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WD" r:id="rId3" sheetId="1"/>
    <sheet name="DEF" r:id="rId4" sheetId="2"/>
    <sheet name="MID" r:id="rId5" sheetId="3"/>
  </sheets>
  <definedNames>
    <definedName name="_xlnm._FilterDatabase" localSheetId="0" hidden="true">FWD!$A$1:$BZ$1</definedName>
    <definedName name="_xlnm._FilterDatabase" localSheetId="1" hidden="true">DEF!$A$1:$BZ$1</definedName>
    <definedName name="_xlnm._FilterDatabase" localSheetId="2" hidden="true">MID!$A$1:$BZ$1</definedName>
  </definedNames>
</workbook>
</file>

<file path=xl/sharedStrings.xml><?xml version="1.0" encoding="utf-8"?>
<sst xmlns="http://schemas.openxmlformats.org/spreadsheetml/2006/main" count="30872" uniqueCount="480">
  <si>
    <t/>
  </si>
  <si>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</si>
  <si>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</si>
  <si>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</si>
  <si>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</si>
  <si>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</si>
  <si>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</si>
  <si>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</si>
  <si>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</si>
  <si>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</si>
  <si>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</si>
  <si>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</si>
  <si>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</si>
  <si>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</si>
  <si>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</si>
  <si>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</si>
  <si>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</si>
  <si>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</si>
  <si>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</si>
  <si>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</si>
  <si>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</si>
  <si>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</si>
  <si>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</si>
  <si>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</si>
  <si>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</si>
  <si>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</si>
  <si>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</si>
  <si>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</si>
  <si>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</si>
  <si>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</si>
  <si>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</si>
  <si>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</si>
  <si>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</si>
  <si>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</si>
  <si>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</si>
  <si>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</si>
  <si>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</si>
  <si>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</si>
  <si>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</si>
  <si>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</si>
  <si>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</si>
  <si>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</si>
  <si>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</si>
  <si>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</si>
  <si>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</si>
  <si>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</si>
  <si>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</si>
  <si>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</si>
  <si>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</si>
  <si>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</si>
  <si>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</si>
  <si>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</si>
  <si>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</si>
  <si>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</si>
  <si>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</si>
  <si>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</si>
  <si>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</si>
  <si>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</si>
  <si>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</si>
  <si>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</si>
  <si>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</si>
  <si>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</si>
  <si>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</si>
  <si>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</si>
  <si>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</si>
  <si>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</si>
  <si>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</si>
  <si>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</si>
  <si>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</si>
  <si>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</si>
  <si>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</si>
  <si>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</si>
  <si>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</si>
  <si>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</si>
  <si>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</si>
  <si>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</si>
  <si>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</si>
  <si>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</si>
  <si>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</si>
  <si>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</si>
  <si>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</si>
  <si>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</si>
  <si>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</si>
  <si>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</si>
  <si>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</si>
  <si>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</si>
  <si>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Wesley Moraes Ferreira da Silva</t>
  </si>
  <si>
    <t>AVL</t>
  </si>
  <si>
    <t>Oliver McBurnie</t>
  </si>
  <si>
    <t>Adam Idah</t>
  </si>
  <si>
    <t>NOR</t>
  </si>
  <si>
    <t>Callum Wilson</t>
  </si>
  <si>
    <t>BOU</t>
  </si>
  <si>
    <t>Indiana Vassilev</t>
  </si>
  <si>
    <t>Harry Kane</t>
  </si>
  <si>
    <t>TOT</t>
  </si>
  <si>
    <t>Matej Vydra</t>
  </si>
  <si>
    <t>BUR</t>
  </si>
  <si>
    <t>Steven Bergwijn</t>
  </si>
  <si>
    <t>Michael Obafemi</t>
  </si>
  <si>
    <t>SOU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</si>
  <si>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</si>
  <si>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</si>
  <si>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</si>
  <si>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</si>
  <si>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</si>
  <si>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</si>
  <si>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</si>
  <si>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</si>
  <si>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</si>
  <si>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</si>
  <si>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Borja González Tomás</t>
  </si>
  <si>
    <t>Josip Drmic</t>
  </si>
  <si>
    <t>Sébastien Haller</t>
  </si>
  <si>
    <t>WHU</t>
  </si>
  <si>
    <t>Danny Welbeck</t>
  </si>
  <si>
    <t>WAT</t>
  </si>
  <si>
    <t>Moise Kean</t>
  </si>
  <si>
    <t>EVE</t>
  </si>
  <si>
    <t>Neal Maupay</t>
  </si>
  <si>
    <t>Gerard Deulofeu</t>
  </si>
  <si>
    <t>Odion Ighalo</t>
  </si>
  <si>
    <t>MUN</t>
  </si>
  <si>
    <t>Jarrod Bowen</t>
  </si>
  <si>
    <t>Pierre-Emerick Aubameyang</t>
  </si>
  <si>
    <t>Dominic Calvert-Lewin</t>
  </si>
  <si>
    <t>Anthony Gordon</t>
  </si>
  <si>
    <t>Chris Wood</t>
  </si>
  <si>
    <t>Aaron Connolly</t>
  </si>
  <si>
    <t>Albian Ajeti</t>
  </si>
  <si>
    <t>Diogo José Teixeira da Silva</t>
  </si>
  <si>
    <t>WOL</t>
  </si>
  <si>
    <t>Sergio Aguero</t>
  </si>
  <si>
    <t>Roberto Firmino Barbosa de Oliveira</t>
  </si>
  <si>
    <t>LIV</t>
  </si>
  <si>
    <t>Troy Deeney</t>
  </si>
  <si>
    <t>Oumar Niasse</t>
  </si>
  <si>
    <t>Joshua King</t>
  </si>
  <si>
    <t>Jonathan Kodjia</t>
  </si>
  <si>
    <t>Raul Alonso Jimenez Rodriguez</t>
  </si>
  <si>
    <t>Shane Long</t>
  </si>
  <si>
    <t>Yoshinori Muto</t>
  </si>
  <si>
    <t>Takumi Minamino</t>
  </si>
  <si>
    <t>Ashley Barnes</t>
  </si>
  <si>
    <t>Christian Benteke</t>
  </si>
  <si>
    <t>David McGoldrick</t>
  </si>
  <si>
    <t>Dwight Gayle</t>
  </si>
  <si>
    <t>Jordan Ayew</t>
  </si>
  <si>
    <t>Olivier Giroud</t>
  </si>
  <si>
    <t>CHE</t>
  </si>
  <si>
    <t>Edward Nketiah</t>
  </si>
  <si>
    <t>Jay Rodriguez</t>
  </si>
  <si>
    <t>Alexandre Lacazette</t>
  </si>
  <si>
    <t>Mason Greenwood</t>
  </si>
  <si>
    <t>Andy Carroll</t>
  </si>
  <si>
    <t>Tammy Abraham</t>
  </si>
  <si>
    <t>Danny Ings</t>
  </si>
  <si>
    <t>Isaac Success Ajayi</t>
  </si>
  <si>
    <t>Dominic Solanke</t>
  </si>
  <si>
    <t>Sam Surridge</t>
  </si>
  <si>
    <t>Divock Origi</t>
  </si>
  <si>
    <t>Michy Batshuayi</t>
  </si>
  <si>
    <t>Connor Wickham</t>
  </si>
  <si>
    <t>Marcus Rashford</t>
  </si>
  <si>
    <t>Mbwana Aly Samatta</t>
  </si>
  <si>
    <t>Billy Sharp</t>
  </si>
  <si>
    <t>Andre Gray</t>
  </si>
  <si>
    <t>Harry Maguire</t>
  </si>
  <si>
    <t>Jonny Evans</t>
  </si>
  <si>
    <t>Emil Krafth</t>
  </si>
  <si>
    <t>Eric Bailly</t>
  </si>
  <si>
    <t>Joel Ward</t>
  </si>
  <si>
    <t>Max Kilman</t>
  </si>
  <si>
    <t>James Tarkowski</t>
  </si>
  <si>
    <t>Luke Shaw</t>
  </si>
  <si>
    <t>Jeremy Ngakia</t>
  </si>
  <si>
    <t>Jonathan Castro Otto</t>
  </si>
  <si>
    <t>Fabián Balbuena</t>
  </si>
  <si>
    <t>Jamal Lewis</t>
  </si>
  <si>
    <t>Jack Simpson</t>
  </si>
  <si>
    <t>Ben Davies</t>
  </si>
  <si>
    <t>Sead Kolasinac</t>
  </si>
  <si>
    <t>Nicolás Otamendi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</si>
  <si>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</si>
  <si>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</si>
  <si>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</si>
  <si>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</si>
  <si>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</si>
  <si>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</si>
  <si>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</si>
  <si>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</si>
  <si>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José Holebas</t>
  </si>
  <si>
    <t>Trent Alexander-Arnold</t>
  </si>
  <si>
    <t>Mamadou Sakho</t>
  </si>
  <si>
    <t>Kyle Walker</t>
  </si>
  <si>
    <t>Patrick Van Aanholt</t>
  </si>
  <si>
    <t>Ryan Bennett</t>
  </si>
  <si>
    <t>Ezri Konsa Ngoyo</t>
  </si>
  <si>
    <t>Jetro Willems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</si>
  <si>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</si>
  <si>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</si>
  <si>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</si>
  <si>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</si>
  <si>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</si>
  <si>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</si>
  <si>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</si>
  <si>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</si>
  <si>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</si>
  <si>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</si>
  <si>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</si>
  <si>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</si>
  <si>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</si>
  <si>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</si>
  <si>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</si>
  <si>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</si>
  <si>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</si>
  <si>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</si>
  <si>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</si>
  <si>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</si>
  <si>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David Luiz Moreira Marinho</t>
  </si>
  <si>
    <t>Kyle Walker-Peters</t>
  </si>
  <si>
    <t>Antonio Rüdiger</t>
  </si>
  <si>
    <t>Christian Fuchs</t>
  </si>
  <si>
    <t>Eric Garcia</t>
  </si>
  <si>
    <t>José Diogo Dalot Teixeira</t>
  </si>
  <si>
    <t>Jannik Vestergaard</t>
  </si>
  <si>
    <t>Joseph Gomez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</si>
  <si>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</si>
  <si>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</si>
  <si>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</si>
  <si>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</si>
  <si>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</si>
  <si>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</si>
  <si>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</si>
  <si>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</si>
  <si>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Mason Holgate</t>
  </si>
  <si>
    <t>Bernardo Fernandes da Silva Junior</t>
  </si>
  <si>
    <t>Neil Taylor</t>
  </si>
  <si>
    <t>Danny Rose</t>
  </si>
  <si>
    <t>Kortney Hause</t>
  </si>
  <si>
    <t>Yerry Mina</t>
  </si>
  <si>
    <t>Rob Holding</t>
  </si>
  <si>
    <t>Ryan Fredericks</t>
  </si>
  <si>
    <t>Ricardo Domingos Barbosa Pereira</t>
  </si>
  <si>
    <t>Jamaal Lascelles</t>
  </si>
  <si>
    <t>Michael Keane</t>
  </si>
  <si>
    <t>Jan Vertonghen</t>
  </si>
  <si>
    <t>Dan Burn</t>
  </si>
  <si>
    <t>Aaron Wan-Bissaka</t>
  </si>
  <si>
    <t>César Azpilicueta</t>
  </si>
  <si>
    <t>Francisco Femenía Far</t>
  </si>
  <si>
    <t>Craig Dawson</t>
  </si>
  <si>
    <t>Japhet Tanganga</t>
  </si>
  <si>
    <t>Grant Hanley</t>
  </si>
  <si>
    <t>Christoph Zimmermann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</si>
  <si>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</si>
  <si>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</si>
  <si>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</si>
  <si>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</si>
  <si>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</si>
  <si>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</si>
  <si>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</si>
  <si>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</si>
  <si>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Aymeric Laporte</t>
  </si>
  <si>
    <t>Fabian Schär</t>
  </si>
  <si>
    <t>Steve Cook</t>
  </si>
  <si>
    <t>Romain Saiss</t>
  </si>
  <si>
    <t>Martín Montoya</t>
  </si>
  <si>
    <t>George Baldock</t>
  </si>
  <si>
    <t>Andrew Robertson</t>
  </si>
  <si>
    <t>Brandon Williams</t>
  </si>
  <si>
    <t>Ahmed Elmohamady</t>
  </si>
  <si>
    <t>Craig Cathcart</t>
  </si>
  <si>
    <t>Héctor Bellerín</t>
  </si>
  <si>
    <t>Ezequiel Schelotto</t>
  </si>
  <si>
    <t>Aaron Cresswell</t>
  </si>
  <si>
    <t>Sokratis Papastathopoulos</t>
  </si>
  <si>
    <t>Issa Diop</t>
  </si>
  <si>
    <t>John Egan</t>
  </si>
  <si>
    <t>Scott Dann</t>
  </si>
  <si>
    <t>DeAndre Yedlin</t>
  </si>
  <si>
    <t>Matt Ritchie</t>
  </si>
  <si>
    <t>Jack O'Connell</t>
  </si>
  <si>
    <t>Björn Engels</t>
  </si>
  <si>
    <t>Caglar Söyüncü</t>
  </si>
  <si>
    <t>Enda Stevens</t>
  </si>
  <si>
    <t>Seamus Coleman</t>
  </si>
  <si>
    <t>Ryan Bertrand</t>
  </si>
  <si>
    <t>Oleksandr Zinchenko</t>
  </si>
  <si>
    <t>John Stones</t>
  </si>
  <si>
    <t>Chris Mepham</t>
  </si>
  <si>
    <t>Ciaran Clark</t>
  </si>
  <si>
    <t>João Pedro Cavaco Cancelo</t>
  </si>
  <si>
    <t>Arthur Masuaku</t>
  </si>
  <si>
    <t>Rúben Gonçalo Silva Nascimento Vinagre</t>
  </si>
  <si>
    <t>Frederic Guilbert</t>
  </si>
  <si>
    <t>Phil Jones</t>
  </si>
  <si>
    <t>Virgil van Dijk</t>
  </si>
  <si>
    <t>Simon Francis</t>
  </si>
  <si>
    <t>Willy Boly</t>
  </si>
  <si>
    <t>Tyrone Mings</t>
  </si>
  <si>
    <t>Benjamin Mendy</t>
  </si>
  <si>
    <t>Javier Manquillo</t>
  </si>
  <si>
    <t>Matt Targett</t>
  </si>
  <si>
    <t>Paul Dummett</t>
  </si>
  <si>
    <t>Granit Xhaka</t>
  </si>
  <si>
    <t>Ibrahim Amadou</t>
  </si>
  <si>
    <t>Christian Atsu</t>
  </si>
  <si>
    <t>Harvey Barnes</t>
  </si>
  <si>
    <t>Declan Rice</t>
  </si>
  <si>
    <t>Andreas Pereira</t>
  </si>
  <si>
    <t>Angel Gomes</t>
  </si>
  <si>
    <t>Aaron Mooy</t>
  </si>
  <si>
    <t>Will Hughes</t>
  </si>
  <si>
    <t>Eric Dier</t>
  </si>
  <si>
    <t>Leandro Trossard</t>
  </si>
  <si>
    <t>Matteo Guendouzi</t>
  </si>
  <si>
    <t>Henri Lansbury</t>
  </si>
  <si>
    <t>Philip Billing</t>
  </si>
  <si>
    <t>Ayoze Pérez Gutiérrez</t>
  </si>
  <si>
    <t>Harvey Elliott</t>
  </si>
  <si>
    <t>Adama Traoré</t>
  </si>
  <si>
    <t>Felipe Anderson Pereira Gomes</t>
  </si>
  <si>
    <t>Etienne Capoue</t>
  </si>
  <si>
    <t>Yves Bissouma</t>
  </si>
  <si>
    <t>Callum Robinson</t>
  </si>
  <si>
    <t>Richarlison de Andrade</t>
  </si>
  <si>
    <t>Sofiane Boufal</t>
  </si>
  <si>
    <t>Morgan Schneiderlin</t>
  </si>
  <si>
    <t>Gylfi Sigurdsson</t>
  </si>
  <si>
    <t>Jairo Riedewald</t>
  </si>
  <si>
    <t>Roberto Pereyra</t>
  </si>
  <si>
    <t>Theo Walcott</t>
  </si>
  <si>
    <t>Mario Vrancic</t>
  </si>
  <si>
    <t>Pedro Lomba Neto</t>
  </si>
  <si>
    <t>Aaron Lennon</t>
  </si>
  <si>
    <t>Lukas Rupp</t>
  </si>
  <si>
    <t>Erik Lamela</t>
  </si>
  <si>
    <t>Bernardo Mota Veiga de Carvalho e Silva</t>
  </si>
  <si>
    <t>Muhamed Besic</t>
  </si>
  <si>
    <t>Manuel Lanzini</t>
  </si>
  <si>
    <t>Junior Stanislas</t>
  </si>
  <si>
    <t>Mason Mount</t>
  </si>
  <si>
    <t>James Maddison</t>
  </si>
  <si>
    <t>Ryan Fraser</t>
  </si>
  <si>
    <t>Andrew Surman</t>
  </si>
  <si>
    <t>Allan Saint-Maximin</t>
  </si>
  <si>
    <t>Daniel Ceballos Fernández</t>
  </si>
  <si>
    <t>Marco Stiepermann</t>
  </si>
  <si>
    <t>Pablo Fornals</t>
  </si>
  <si>
    <t>John Fleck</t>
  </si>
  <si>
    <t>Nabil Bentaleb</t>
  </si>
  <si>
    <t>Mark Noble</t>
  </si>
  <si>
    <t>Jack Grealish</t>
  </si>
  <si>
    <t>Nemanja Matic</t>
  </si>
  <si>
    <t>Harry Wilson</t>
  </si>
  <si>
    <t>Ismaila Sarr</t>
  </si>
  <si>
    <t>Oriol Romeu</t>
  </si>
  <si>
    <t>Brandon Pierrick</t>
  </si>
  <si>
    <t>Kevin De Bruyne</t>
  </si>
  <si>
    <t>Bernard Anício Caldeira Duarte</t>
  </si>
  <si>
    <t>Marc Albrighton</t>
  </si>
  <si>
    <t>Dale Stephens</t>
  </si>
  <si>
    <t>Nathan Redmond</t>
  </si>
  <si>
    <t>Moussa Djenepo</t>
  </si>
  <si>
    <t>Pierre-Emile Højbjerg</t>
  </si>
  <si>
    <t>Mateo Kovacic</t>
  </si>
  <si>
    <t>Bamidele Alli</t>
  </si>
  <si>
    <t>Mohamed Salah</t>
  </si>
  <si>
    <t>Keinan Davis</t>
  </si>
  <si>
    <t>Lucas Rodrigues Moura da Silva</t>
  </si>
  <si>
    <t>Fernando Luiz Rosa</t>
  </si>
  <si>
    <t>Mesut Ozil</t>
  </si>
  <si>
    <t>Emiliano Buendía</t>
  </si>
  <si>
    <t>Tomas Soucek</t>
  </si>
  <si>
    <t>Tom Davies</t>
  </si>
  <si>
    <t>Ben Osborn</t>
  </si>
  <si>
    <t>Jeff Hendrick</t>
  </si>
  <si>
    <t>Robert Brady</t>
  </si>
  <si>
    <t>Oliver Norwood</t>
  </si>
  <si>
    <t>James Milner</t>
  </si>
  <si>
    <t>Andros Townsend</t>
  </si>
  <si>
    <t>Luka Milivojevic</t>
  </si>
  <si>
    <t>Dennis Praet</t>
  </si>
  <si>
    <t>Bukayo Saka</t>
  </si>
  <si>
    <t>Onel Hernández</t>
  </si>
  <si>
    <t>James Ward-Prowse</t>
  </si>
  <si>
    <t>Solomon March</t>
  </si>
  <si>
    <t>Jorge Luiz Frello Filho</t>
  </si>
  <si>
    <t>Leander Dendoncker</t>
  </si>
  <si>
    <t>Hamza Choudhury</t>
  </si>
  <si>
    <t>Wilfried Zaha</t>
  </si>
  <si>
    <t>Robert Snodgrass</t>
  </si>
  <si>
    <t>Morgan Gibbs-White</t>
  </si>
  <si>
    <t>Onyinye Wilfred Ndidi</t>
  </si>
  <si>
    <t>Youri Tielemans</t>
  </si>
  <si>
    <t>Raheem Sterling</t>
  </si>
  <si>
    <t>Ignacio Pussetto</t>
  </si>
  <si>
    <t>Sean Longstaff</t>
  </si>
  <si>
    <t>Max Meyer</t>
  </si>
  <si>
    <t>Fabio Henrique Tavares</t>
  </si>
  <si>
    <t>N'Golo Kanté</t>
  </si>
  <si>
    <t>Demarai Gray</t>
  </si>
  <si>
    <t>Georginio Wijnaldum</t>
  </si>
  <si>
    <t>Curtis Jones</t>
  </si>
  <si>
    <t>Willian Borges Da Silva</t>
  </si>
  <si>
    <t>Ashley Roy Westwood</t>
  </si>
  <si>
    <t>Douglas Luiz Soares de Paulo</t>
  </si>
  <si>
    <t>Miguel Almirón</t>
  </si>
  <si>
    <t>Alex Iwobi</t>
  </si>
  <si>
    <t>Daniel Castelo Podence</t>
  </si>
  <si>
    <t>Jonjo Shelvey</t>
  </si>
  <si>
    <t>Naby Keita</t>
  </si>
  <si>
    <t>Giovani Lo Celso</t>
  </si>
  <si>
    <t>João Moutinho</t>
  </si>
  <si>
    <t>Bruno Miguel Borges Fernandes</t>
  </si>
  <si>
    <t>Pedro Rodríguez Ledesma</t>
  </si>
  <si>
    <t>Ondrej Duda</t>
  </si>
  <si>
    <t>Kenneth McLean</t>
  </si>
  <si>
    <t>Todd Cantwell</t>
  </si>
  <si>
    <t>Pascal Groß</t>
  </si>
  <si>
    <t>Sander Berge</t>
  </si>
  <si>
    <t>Alexander Tettey</t>
  </si>
  <si>
    <t>Davy Pröpper</t>
  </si>
  <si>
    <t>Tanguy NDombele</t>
  </si>
  <si>
    <t>Alex Oxlade-Chamberlain</t>
  </si>
  <si>
    <t>Gedson Carvalho Fernandes</t>
  </si>
  <si>
    <t>Conor Hourihane</t>
  </si>
  <si>
    <t>Michail Antonio</t>
  </si>
  <si>
    <t>Cheikhou Kouyaté</t>
  </si>
  <si>
    <t>Phil Foden</t>
  </si>
  <si>
    <t>Isaac Hayden</t>
  </si>
  <si>
    <t>Anwar El Ghazi</t>
  </si>
  <si>
    <t>Jesse Lingard</t>
  </si>
  <si>
    <t>Ilkay Gündogan</t>
  </si>
  <si>
    <t>James McArthur</t>
  </si>
  <si>
    <t>Heung-Min Son</t>
  </si>
  <si>
    <t>Dwight McNeil</t>
  </si>
  <si>
    <t>Daniel James</t>
  </si>
  <si>
    <t>Harry Winks</t>
  </si>
  <si>
    <t>Domingos Quina</t>
  </si>
  <si>
    <t>Alireza Jahanbakhsh</t>
  </si>
  <si>
    <t>Nathaniel Chalobah</t>
  </si>
  <si>
    <t>James McCarthy</t>
  </si>
  <si>
    <t>Riyad Mahrez</t>
  </si>
  <si>
    <t>Christian Pulisic</t>
  </si>
  <si>
    <t>Reiss Nelson</t>
  </si>
  <si>
    <t>Matthew Longstaff</t>
  </si>
  <si>
    <t>David Silva</t>
  </si>
  <si>
    <t>Anthony Martial</t>
  </si>
  <si>
    <t>Daniel Drinkwater</t>
  </si>
  <si>
    <t>Lucas Torreira</t>
  </si>
  <si>
    <t>Frederico Rodrigues de Paula Santos</t>
  </si>
  <si>
    <t>Jefferson Lerma</t>
  </si>
  <si>
    <t>Callum Hudson-Odoi</t>
  </si>
  <si>
    <t>Jordan Henderson</t>
  </si>
  <si>
    <t>Nampalys Mendy</t>
  </si>
  <si>
    <t>Marvelous Nakamba</t>
  </si>
  <si>
    <t>Jack Cork</t>
  </si>
  <si>
    <t>Xherdan Shaqiri</t>
  </si>
  <si>
    <t>Sadio Mane</t>
  </si>
  <si>
    <t>Kouassi Ryan Sessegnon</t>
  </si>
  <si>
    <t>Dan Gosling</t>
  </si>
  <si>
    <t>Rúben Diogo da Silva Neves</t>
  </si>
  <si>
    <t>Fabian Delph</t>
  </si>
  <si>
    <t>Joseph Willock</t>
  </si>
  <si>
    <t>Juan Mata</t>
  </si>
  <si>
    <t>Rodrigo Hernández Cascante</t>
  </si>
  <si>
    <t>Stuart Armstrong</t>
  </si>
  <si>
    <t>Steven Alzate</t>
  </si>
  <si>
    <t>Lewis Cook</t>
  </si>
  <si>
    <t>Johann Berg Gudmundsson</t>
  </si>
  <si>
    <t>Mahmoud Hassan</t>
  </si>
  <si>
    <t>Moussa Sissoko</t>
  </si>
  <si>
    <t>Ross Barkley</t>
  </si>
  <si>
    <t>Nicolas Pepe</t>
  </si>
  <si>
    <t>Valentino Lazaro</t>
  </si>
  <si>
    <t>Christian Eriksen</t>
  </si>
  <si>
    <t>Abdoulaye Doucouré</t>
  </si>
  <si>
    <t>Adam Lallana</t>
  </si>
</sst>
</file>

<file path=xl/styles.xml><?xml version="1.0" encoding="utf-8"?>
<styleSheet xmlns="http://schemas.openxmlformats.org/spreadsheetml/2006/main">
  <numFmts count="3">
    <numFmt numFmtId="165" formatCode=""/>
    <numFmt numFmtId="166" formatCode="0.0"/>
    <numFmt numFmtId="167" formatCode="0.0%"/>
  </numFmts>
  <fonts count="29877">
    <font>
      <sz val="11.0"/>
      <color indexed="8"/>
      <name val="Calibri"/>
      <family val="2"/>
      <scheme val="minor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</fonts>
  <fills count="26">
    <fill>
      <patternFill patternType="none"/>
    </fill>
    <fill>
      <patternFill patternType="darkGray"/>
    </fill>
    <fill>
      <patternFill>
        <fgColor rgb="002060"/>
      </patternFill>
    </fill>
    <fill>
      <patternFill>
        <fgColor rgb="002060"/>
        <bgColor rgb="002060"/>
      </patternFill>
    </fill>
    <fill>
      <patternFill patternType="solid">
        <fgColor rgb="002060"/>
        <bgColor rgb="002060"/>
      </patternFill>
    </fill>
    <fill>
      <patternFill>
        <fgColor rgb="C00000"/>
      </patternFill>
    </fill>
    <fill>
      <patternFill>
        <fgColor rgb="C00000"/>
        <bgColor rgb="C00000"/>
      </patternFill>
    </fill>
    <fill>
      <patternFill patternType="solid">
        <fgColor rgb="C00000"/>
        <bgColor rgb="C00000"/>
      </patternFill>
    </fill>
    <fill>
      <patternFill>
        <fgColor rgb="00B050"/>
      </patternFill>
    </fill>
    <fill>
      <patternFill>
        <fgColor rgb="00B050"/>
        <bgColor rgb="00B050"/>
      </patternFill>
    </fill>
    <fill>
      <patternFill patternType="solid">
        <fgColor rgb="00B050"/>
        <bgColor rgb="00B050"/>
      </patternFill>
    </fill>
    <fill>
      <patternFill>
        <fgColor rgb="806000"/>
      </patternFill>
    </fill>
    <fill>
      <patternFill>
        <fgColor rgb="806000"/>
        <bgColor rgb="806000"/>
      </patternFill>
    </fill>
    <fill>
      <patternFill patternType="solid">
        <fgColor rgb="806000"/>
        <bgColor rgb="806000"/>
      </patternFill>
    </fill>
    <fill>
      <patternFill>
        <fgColor rgb="CC6800"/>
      </patternFill>
    </fill>
    <fill>
      <patternFill>
        <fgColor rgb="CC6800"/>
        <bgColor rgb="CC6800"/>
      </patternFill>
    </fill>
    <fill>
      <patternFill patternType="solid">
        <fgColor rgb="CC6800"/>
        <bgColor rgb="CC6800"/>
      </patternFill>
    </fill>
    <fill>
      <patternFill>
        <fgColor rgb="D9D9D9"/>
      </patternFill>
    </fill>
    <fill>
      <patternFill>
        <fgColor rgb="D9D9D9"/>
        <bgColor rgb="D9D9D9"/>
      </patternFill>
    </fill>
    <fill>
      <patternFill patternType="solid">
        <fgColor rgb="D9D9D9"/>
        <bgColor rgb="D9D9D9"/>
      </patternFill>
    </fill>
    <fill>
      <patternFill>
        <fgColor rgb="FEFFFF"/>
      </patternFill>
    </fill>
    <fill>
      <patternFill>
        <fgColor rgb="FEFFFF"/>
        <bgColor rgb="FEFFFF"/>
      </patternFill>
    </fill>
    <fill>
      <patternFill patternType="solid">
        <fgColor rgb="FEFFFF"/>
        <bgColor rgb="FEFFFF"/>
      </patternFill>
    </fill>
    <fill>
      <patternFill>
        <fgColor rgb="FFFF66"/>
      </patternFill>
    </fill>
    <fill>
      <patternFill>
        <fgColor rgb="FFFF66"/>
        <bgColor rgb="FFFF66"/>
      </patternFill>
    </fill>
    <fill>
      <patternFill patternType="solid">
        <fgColor rgb="FFFF66"/>
        <bgColor rgb="FFFF66"/>
      </patternFill>
    </fill>
  </fills>
  <borders count="9">
    <border>
      <left/>
      <right/>
      <top/>
      <bottom/>
      <diagonal/>
    </border>
    <border>
      <top>
        <color rgb="010000"/>
      </top>
    </border>
    <border>
      <left>
        <color rgb="010000"/>
      </left>
      <top>
        <color rgb="010000"/>
      </top>
    </border>
    <border>
      <left>
        <color rgb="010000"/>
      </left>
      <right>
        <color rgb="010000"/>
      </right>
      <top>
        <color rgb="010000"/>
      </top>
    </border>
    <border>
      <left>
        <color rgb="010000"/>
      </left>
      <right>
        <color rgb="010000"/>
      </right>
      <top>
        <color rgb="010000"/>
      </top>
      <bottom>
        <color rgb="010000"/>
      </bottom>
    </border>
    <border>
      <left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 style="thin">
        <color rgb="010000"/>
      </bottom>
    </border>
  </borders>
  <cellStyleXfs count="1">
    <xf numFmtId="0" fontId="0" fillId="0" borderId="0"/>
  </cellStyleXfs>
  <cellXfs count="29877">
    <xf numFmtId="0" fontId="0" fillId="0" borderId="0" xfId="0"/>
    <xf fontId="1" applyFont="true" borderId="8" applyBorder="true" fillId="4" applyFill="true">
      <alignment horizontal="center" vertical="center"/>
    </xf>
    <xf fontId="2" applyFont="true" borderId="8" applyBorder="true" fillId="4" applyFill="true">
      <alignment horizontal="center" vertical="center"/>
    </xf>
    <xf fontId="3" applyFont="true" borderId="8" applyBorder="true" fillId="4" applyFill="true">
      <alignment horizontal="center" vertical="center"/>
    </xf>
    <xf fontId="4" applyFont="true" borderId="8" applyBorder="true" fillId="4" applyFill="true">
      <alignment horizontal="center" vertical="center"/>
    </xf>
    <xf fontId="5" applyFont="true" borderId="8" applyBorder="true" fillId="4" applyFill="true">
      <alignment horizontal="center" vertical="center"/>
    </xf>
    <xf fontId="6" applyFont="true" borderId="8" applyBorder="true" fillId="4" applyFill="true">
      <alignment horizontal="center" vertical="center"/>
    </xf>
    <xf fontId="7" applyFont="true" borderId="8" applyBorder="true" fillId="4" applyFill="true">
      <alignment horizontal="center" vertical="center"/>
    </xf>
    <xf fontId="8" applyFont="true" borderId="8" applyBorder="true" fillId="4" applyFill="true">
      <alignment horizontal="center" vertical="center"/>
    </xf>
    <xf fontId="9" applyFont="true" borderId="8" applyBorder="true" fillId="4" applyFill="true">
      <alignment horizontal="center" vertical="center"/>
    </xf>
    <xf fontId="10" applyFont="true" borderId="8" applyBorder="true" fillId="4" applyFill="true">
      <alignment horizontal="center" vertical="center"/>
    </xf>
    <xf fontId="11" applyFont="true" borderId="8" applyBorder="true" fillId="4" applyFill="true">
      <alignment horizontal="center" vertical="center"/>
    </xf>
    <xf fontId="12" applyFont="true" borderId="8" applyBorder="true" fillId="4" applyFill="true">
      <alignment horizontal="center" vertical="center"/>
    </xf>
    <xf fontId="13" applyFont="true" borderId="8" applyBorder="true" fillId="4" applyFill="true">
      <alignment horizontal="center" vertical="center"/>
    </xf>
    <xf fontId="14" applyFont="true" borderId="8" applyBorder="true" fillId="4" applyFill="true">
      <alignment horizontal="center" vertical="center"/>
    </xf>
    <xf fontId="15" applyFont="true" borderId="8" applyBorder="true" fillId="4" applyFill="true">
      <alignment horizontal="center" vertical="center"/>
    </xf>
    <xf fontId="16" applyFont="true" borderId="8" applyBorder="true" fillId="4" applyFill="true">
      <alignment horizontal="center" vertical="center"/>
    </xf>
    <xf fontId="17" applyFont="true" borderId="8" applyBorder="true" fillId="4" applyFill="true">
      <alignment horizontal="center" vertical="center"/>
    </xf>
    <xf fontId="18" applyFont="true" borderId="8" applyBorder="true" fillId="4" applyFill="true">
      <alignment horizontal="center" vertical="center"/>
    </xf>
    <xf fontId="19" applyFont="true" borderId="8" applyBorder="true" fillId="4" applyFill="true">
      <alignment horizontal="center" vertical="center"/>
    </xf>
    <xf fontId="20" applyFont="true" borderId="8" applyBorder="true" fillId="4" applyFill="true">
      <alignment horizontal="center" vertical="center"/>
    </xf>
    <xf fontId="21" applyFont="true" borderId="8" applyBorder="true" fillId="4" applyFill="true">
      <alignment horizontal="center" vertical="center"/>
    </xf>
    <xf fontId="22" applyFont="true" borderId="8" applyBorder="true" fillId="4" applyFill="true">
      <alignment horizontal="center" vertical="center"/>
    </xf>
    <xf fontId="23" applyFont="true" borderId="8" applyBorder="true" fillId="4" applyFill="true">
      <alignment horizontal="center" vertical="center"/>
    </xf>
    <xf fontId="24" applyFont="true" borderId="8" applyBorder="true" fillId="4" applyFill="true">
      <alignment horizontal="center" vertical="center"/>
    </xf>
    <xf fontId="25" applyFont="true" borderId="8" applyBorder="true" fillId="4" applyFill="true">
      <alignment horizontal="center" vertical="center"/>
    </xf>
    <xf fontId="26" applyFont="true" borderId="8" applyBorder="true" fillId="4" applyFill="true">
      <alignment horizontal="center" vertical="center"/>
    </xf>
    <xf fontId="27" applyFont="true" borderId="8" applyBorder="true" fillId="4" applyFill="true">
      <alignment horizontal="center" vertical="center"/>
    </xf>
    <xf fontId="28" applyFont="true" borderId="8" applyBorder="true" fillId="4" applyFill="true">
      <alignment horizontal="center" vertical="center"/>
    </xf>
    <xf fontId="29" applyFont="true" borderId="8" applyBorder="true" fillId="4" applyFill="true">
      <alignment horizontal="center" vertical="center"/>
    </xf>
    <xf fontId="30" applyFont="true" borderId="8" applyBorder="true" fillId="4" applyFill="true">
      <alignment horizontal="center" vertical="center"/>
    </xf>
    <xf fontId="31" applyFont="true" borderId="8" applyBorder="true" fillId="4" applyFill="true">
      <alignment horizontal="center" vertical="center"/>
    </xf>
    <xf fontId="32" applyFont="true" borderId="8" applyBorder="true" fillId="4" applyFill="true">
      <alignment horizontal="center" vertical="center"/>
    </xf>
    <xf fontId="33" applyFont="true" borderId="8" applyBorder="true" fillId="4" applyFill="true">
      <alignment horizontal="center" vertical="center"/>
    </xf>
    <xf fontId="34" applyFont="true" borderId="8" applyBorder="true" fillId="4" applyFill="true">
      <alignment horizontal="center" vertical="center"/>
    </xf>
    <xf fontId="35" applyFont="true" borderId="8" applyBorder="true" fillId="4" applyFill="true">
      <alignment horizontal="center" vertical="center"/>
    </xf>
    <xf fontId="36" applyFont="true" borderId="8" applyBorder="true" fillId="4" applyFill="true">
      <alignment horizontal="center" vertical="center"/>
    </xf>
    <xf fontId="37" applyFont="true" borderId="8" applyBorder="true" fillId="4" applyFill="true">
      <alignment horizontal="center" vertical="center"/>
    </xf>
    <xf fontId="38" applyFont="true" borderId="8" applyBorder="true" fillId="4" applyFill="true">
      <alignment horizontal="center" vertical="center"/>
    </xf>
    <xf fontId="39" applyFont="true" borderId="8" applyBorder="true" fillId="4" applyFill="true">
      <alignment horizontal="center" vertical="center"/>
    </xf>
    <xf fontId="40" applyFont="true" borderId="8" applyBorder="true" fillId="4" applyFill="true">
      <alignment horizontal="center" vertical="center"/>
    </xf>
    <xf fontId="41" applyFont="true" borderId="8" applyBorder="true" fillId="4" applyFill="true">
      <alignment horizontal="center" vertical="center"/>
    </xf>
    <xf fontId="42" applyFont="true" borderId="8" applyBorder="true" fillId="4" applyFill="true">
      <alignment horizontal="center" vertical="center"/>
    </xf>
    <xf fontId="43" applyFont="true" borderId="8" applyBorder="true" fillId="4" applyFill="true">
      <alignment horizontal="center" vertical="center"/>
    </xf>
    <xf fontId="44" applyFont="true" borderId="8" applyBorder="true" fillId="4" applyFill="true">
      <alignment horizontal="center" vertical="center"/>
    </xf>
    <xf fontId="45" applyFont="true" borderId="8" applyBorder="true" fillId="4" applyFill="true">
      <alignment horizontal="center" vertical="center"/>
    </xf>
    <xf fontId="46" applyFont="true" borderId="8" applyBorder="true" fillId="4" applyFill="true">
      <alignment horizontal="center" vertical="center"/>
    </xf>
    <xf fontId="47" applyFont="true" borderId="8" applyBorder="true" fillId="7" applyFill="true">
      <alignment horizontal="center" vertical="center"/>
    </xf>
    <xf fontId="48" applyFont="true" borderId="8" applyBorder="true" fillId="7" applyFill="true">
      <alignment horizontal="center" vertical="center"/>
    </xf>
    <xf fontId="49" applyFont="true" borderId="8" applyBorder="true" fillId="7" applyFill="true">
      <alignment horizontal="center" vertical="center"/>
    </xf>
    <xf fontId="50" applyFont="true" borderId="8" applyBorder="true" fillId="7" applyFill="true">
      <alignment horizontal="center" vertical="center"/>
    </xf>
    <xf fontId="51" applyFont="true" borderId="8" applyBorder="true" fillId="7" applyFill="true">
      <alignment horizontal="center" vertical="center"/>
    </xf>
    <xf fontId="52" applyFont="true" borderId="8" applyBorder="true" fillId="7" applyFill="true">
      <alignment horizontal="center" vertical="center"/>
    </xf>
    <xf fontId="53" applyFont="true" borderId="8" applyBorder="true" fillId="7" applyFill="true">
      <alignment horizontal="center" vertical="center"/>
    </xf>
    <xf fontId="54" applyFont="true" borderId="8" applyBorder="true" fillId="7" applyFill="true">
      <alignment horizontal="center" vertical="center"/>
    </xf>
    <xf fontId="55" applyFont="true" borderId="8" applyBorder="true" fillId="7" applyFill="true">
      <alignment horizontal="center" vertical="center"/>
    </xf>
    <xf fontId="56" applyFont="true" borderId="8" applyBorder="true" fillId="7" applyFill="true">
      <alignment horizontal="center" vertical="center"/>
    </xf>
    <xf fontId="57" applyFont="true" borderId="8" applyBorder="true" fillId="7" applyFill="true">
      <alignment horizontal="center" vertical="center"/>
    </xf>
    <xf fontId="58" applyFont="true" borderId="8" applyBorder="true" fillId="7" applyFill="true">
      <alignment horizontal="center" vertical="center"/>
    </xf>
    <xf fontId="59" applyFont="true" borderId="8" applyBorder="true" fillId="7" applyFill="true">
      <alignment horizontal="center" vertical="center"/>
    </xf>
    <xf fontId="60" applyFont="true" borderId="8" applyBorder="true" fillId="7" applyFill="true">
      <alignment horizontal="center" vertical="center"/>
    </xf>
    <xf fontId="61" applyFont="true" borderId="8" applyBorder="true" fillId="7" applyFill="true">
      <alignment horizontal="center" vertical="center"/>
    </xf>
    <xf fontId="62" applyFont="true" borderId="8" applyBorder="true" fillId="7" applyFill="true">
      <alignment horizontal="center" vertical="center"/>
    </xf>
    <xf fontId="63" applyFont="true" borderId="8" applyBorder="true" fillId="7" applyFill="true">
      <alignment horizontal="center" vertical="center"/>
    </xf>
    <xf fontId="64" applyFont="true" borderId="8" applyBorder="true" fillId="7" applyFill="true">
      <alignment horizontal="center" vertical="center"/>
    </xf>
    <xf fontId="65" applyFont="true" borderId="8" applyBorder="true" fillId="7" applyFill="true">
      <alignment horizontal="center" vertical="center"/>
    </xf>
    <xf fontId="66" applyFont="true" borderId="8" applyBorder="true" fillId="7" applyFill="true">
      <alignment horizontal="center" vertical="center"/>
    </xf>
    <xf fontId="67" applyFont="true" borderId="8" applyBorder="true" fillId="7" applyFill="true">
      <alignment horizontal="center" vertical="center"/>
    </xf>
    <xf fontId="68" applyFont="true" borderId="8" applyBorder="true" fillId="7" applyFill="true">
      <alignment horizontal="center" vertical="center"/>
    </xf>
    <xf fontId="69" applyFont="true" borderId="8" applyBorder="true" fillId="10" applyFill="true">
      <alignment horizontal="center" vertical="center"/>
    </xf>
    <xf fontId="70" applyFont="true" borderId="8" applyBorder="true" fillId="10" applyFill="true">
      <alignment horizontal="center" vertical="center"/>
    </xf>
    <xf fontId="71" applyFont="true" borderId="8" applyBorder="true" fillId="10" applyFill="true">
      <alignment horizontal="center" vertical="center"/>
    </xf>
    <xf fontId="72" applyFont="true" borderId="8" applyBorder="true" fillId="10" applyFill="true">
      <alignment horizontal="center" vertical="center"/>
    </xf>
    <xf fontId="73" applyFont="true" borderId="8" applyBorder="true" fillId="13" applyFill="true">
      <alignment horizontal="center" vertical="center"/>
    </xf>
    <xf fontId="74" applyFont="true" borderId="8" applyBorder="true" fillId="13" applyFill="true">
      <alignment horizontal="center" vertical="center"/>
    </xf>
    <xf fontId="75" applyFont="true" borderId="8" applyBorder="true" fillId="13" applyFill="true">
      <alignment horizontal="center" vertical="center"/>
    </xf>
    <xf fontId="76" applyFont="true" borderId="8" applyBorder="true" fillId="16" applyFill="true">
      <alignment horizontal="center" vertical="center"/>
    </xf>
    <xf fontId="77" applyFont="true" borderId="8" applyBorder="true" fillId="16" applyFill="true">
      <alignment horizontal="center" vertical="center"/>
    </xf>
    <xf fontId="78" applyFont="true" borderId="8" applyBorder="true" fillId="16" applyFill="true">
      <alignment horizontal="center" vertical="center"/>
    </xf>
    <xf fontId="79" applyFont="true" borderId="8" applyBorder="true" applyNumberFormat="true" numFmtId="165" fillId="19" applyFill="true">
      <alignment horizontal="left" vertical="center"/>
    </xf>
    <xf fontId="80" applyFont="true" borderId="8" applyBorder="true" applyNumberFormat="true" numFmtId="165" fillId="22" applyFill="true">
      <alignment horizontal="center" vertical="center"/>
    </xf>
    <xf fontId="81" applyFont="true" borderId="8" applyBorder="true" applyNumberFormat="true" numFmtId="166" fillId="22" applyFill="true">
      <alignment horizontal="center" vertical="center"/>
    </xf>
    <xf fontId="82" applyFont="true" borderId="8" applyBorder="true" applyNumberFormat="true" numFmtId="1" fillId="22" applyFill="true">
      <alignment horizontal="center" vertical="center"/>
    </xf>
    <xf fontId="83" applyFont="true" borderId="8" applyBorder="true" applyNumberFormat="true" numFmtId="1" fillId="22" applyFill="true">
      <alignment horizontal="center" vertical="center"/>
    </xf>
    <xf fontId="84" applyFont="true" borderId="8" applyBorder="true" applyNumberFormat="true" numFmtId="1" fillId="22" applyFill="true">
      <alignment horizontal="center" vertical="center"/>
    </xf>
    <xf fontId="85" applyFont="true" borderId="8" applyBorder="true" applyNumberFormat="true" numFmtId="1" fillId="22" applyFill="true">
      <alignment horizontal="center" vertical="center"/>
    </xf>
    <xf fontId="86" applyFont="true" borderId="8" applyBorder="true" applyNumberFormat="true" numFmtId="1" fillId="22" applyFill="true">
      <alignment horizontal="center" vertical="center"/>
    </xf>
    <xf fontId="87" applyFont="true" borderId="8" applyBorder="true" applyNumberFormat="true" numFmtId="1" fillId="22" applyFill="true">
      <alignment horizontal="center" vertical="center"/>
    </xf>
    <xf fontId="88" applyFont="true" borderId="8" applyBorder="true" applyNumberFormat="true" numFmtId="1" fillId="22" applyFill="true">
      <alignment horizontal="center" vertical="center"/>
    </xf>
    <xf fontId="89" applyFont="true" borderId="8" applyBorder="true" applyNumberFormat="true" numFmtId="165" fillId="22" applyFill="true">
      <alignment horizontal="center" vertical="center"/>
    </xf>
    <xf fontId="90" applyFont="true" borderId="8" applyBorder="true" applyNumberFormat="true" numFmtId="165" fillId="22" applyFill="true">
      <alignment horizontal="center" vertical="center"/>
    </xf>
    <xf fontId="91" applyFont="true" borderId="8" applyBorder="true" applyNumberFormat="true" numFmtId="1" fillId="22" applyFill="true">
      <alignment horizontal="center" vertical="center"/>
    </xf>
    <xf fontId="92" applyFont="true" borderId="8" applyBorder="true" applyNumberFormat="true" numFmtId="1" fillId="22" applyFill="true">
      <alignment horizontal="center" vertical="center"/>
    </xf>
    <xf fontId="93" applyFont="true" borderId="8" applyBorder="true" applyNumberFormat="true" numFmtId="1" fillId="22" applyFill="true">
      <alignment horizontal="center" vertical="center"/>
    </xf>
    <xf fontId="94" applyFont="true" borderId="8" applyBorder="true" applyNumberFormat="true" numFmtId="167" fillId="22" applyFill="true">
      <alignment horizontal="center" vertical="center"/>
    </xf>
    <xf fontId="95" applyFont="true" borderId="8" applyBorder="true" applyNumberFormat="true" numFmtId="1" fillId="22" applyFill="true">
      <alignment horizontal="center" vertical="center"/>
    </xf>
    <xf fontId="96" applyFont="true" borderId="8" applyBorder="true" applyNumberFormat="true" numFmtId="167" fillId="22" applyFill="true">
      <alignment horizontal="center" vertical="center"/>
    </xf>
    <xf fontId="97" applyFont="true" borderId="8" applyBorder="true" applyNumberFormat="true" numFmtId="1" fillId="22" applyFill="true">
      <alignment horizontal="center" vertical="center"/>
    </xf>
    <xf fontId="98" applyFont="true" borderId="8" applyBorder="true" applyNumberFormat="true" numFmtId="167" fillId="22" applyFill="true">
      <alignment horizontal="center" vertical="center"/>
    </xf>
    <xf fontId="99" applyFont="true" borderId="8" applyBorder="true" applyNumberFormat="true" numFmtId="1" fillId="22" applyFill="true">
      <alignment horizontal="center" vertical="center"/>
    </xf>
    <xf fontId="100" applyFont="true" borderId="8" applyBorder="true" applyNumberFormat="true" numFmtId="167" fillId="22" applyFill="true">
      <alignment horizontal="center" vertical="center"/>
    </xf>
    <xf fontId="101" applyFont="true" borderId="8" applyBorder="true" applyNumberFormat="true" numFmtId="167" fillId="22" applyFill="true">
      <alignment horizontal="center" vertical="center"/>
    </xf>
    <xf fontId="102" applyFont="true" borderId="8" applyBorder="true" applyNumberFormat="true" numFmtId="1" fillId="22" applyFill="true">
      <alignment horizontal="center" vertical="center"/>
    </xf>
    <xf fontId="103" applyFont="true" borderId="8" applyBorder="true" applyNumberFormat="true" numFmtId="1" fillId="22" applyFill="true">
      <alignment horizontal="center" vertical="center"/>
    </xf>
    <xf fontId="104" applyFont="true" borderId="8" applyBorder="true" applyNumberFormat="true" numFmtId="1" fillId="22" applyFill="true">
      <alignment horizontal="center" vertical="center"/>
    </xf>
    <xf fontId="105" applyFont="true" borderId="8" applyBorder="true" applyNumberFormat="true" numFmtId="167" fillId="22" applyFill="true">
      <alignment horizontal="center" vertical="center"/>
    </xf>
    <xf fontId="106" applyFont="true" borderId="8" applyBorder="true" applyNumberFormat="true" numFmtId="166" fillId="22" applyFill="true">
      <alignment horizontal="center" vertical="center"/>
    </xf>
    <xf fontId="107" applyFont="true" borderId="8" applyBorder="true" applyNumberFormat="true" numFmtId="166" fillId="22" applyFill="true">
      <alignment horizontal="center" vertical="center"/>
    </xf>
    <xf fontId="108" applyFont="true" borderId="8" applyBorder="true" applyNumberFormat="true" numFmtId="1" fillId="22" applyFill="true">
      <alignment horizontal="center" vertical="center"/>
    </xf>
    <xf fontId="109" applyFont="true" borderId="8" applyBorder="true" applyNumberFormat="true" numFmtId="1" fillId="22" applyFill="true">
      <alignment horizontal="center" vertical="center"/>
    </xf>
    <xf fontId="110" applyFont="true" borderId="8" applyBorder="true" applyNumberFormat="true" numFmtId="1" fillId="22" applyFill="true">
      <alignment horizontal="center" vertical="center"/>
    </xf>
    <xf fontId="111" applyFont="true" borderId="8" applyBorder="true" applyNumberFormat="true" numFmtId="167" fillId="22" applyFill="true">
      <alignment horizontal="center" vertical="center"/>
    </xf>
    <xf fontId="112" applyFont="true" borderId="8" applyBorder="true" applyNumberFormat="true" numFmtId="1" fillId="22" applyFill="true">
      <alignment horizontal="center" vertical="center"/>
    </xf>
    <xf fontId="113" applyFont="true" borderId="8" applyBorder="true" applyNumberFormat="true" numFmtId="167" fillId="22" applyFill="true">
      <alignment horizontal="center" vertical="center"/>
    </xf>
    <xf fontId="114" applyFont="true" borderId="8" applyBorder="true" applyNumberFormat="true" numFmtId="1" fillId="22" applyFill="true">
      <alignment horizontal="center" vertical="center"/>
    </xf>
    <xf fontId="115" applyFont="true" borderId="8" applyBorder="true" applyNumberFormat="true" numFmtId="1" fillId="22" applyFill="true">
      <alignment horizontal="center" vertical="center"/>
    </xf>
    <xf fontId="116" applyFont="true" borderId="8" applyBorder="true" applyNumberFormat="true" numFmtId="1" fillId="22" applyFill="true">
      <alignment horizontal="center" vertical="center"/>
    </xf>
    <xf fontId="117" applyFont="true" borderId="8" applyBorder="true" applyNumberFormat="true" numFmtId="1" fillId="22" applyFill="true">
      <alignment horizontal="center" vertical="center"/>
    </xf>
    <xf fontId="118" applyFont="true" borderId="8" applyBorder="true" applyNumberFormat="true" numFmtId="167" fillId="22" applyFill="true">
      <alignment horizontal="center" vertical="center"/>
    </xf>
    <xf fontId="119" applyFont="true" borderId="8" applyBorder="true" applyNumberFormat="true" numFmtId="1" fillId="22" applyFill="true">
      <alignment horizontal="center" vertical="center"/>
    </xf>
    <xf fontId="120" applyFont="true" borderId="8" applyBorder="true" applyNumberFormat="true" numFmtId="167" fillId="22" applyFill="true">
      <alignment horizontal="center" vertical="center"/>
    </xf>
    <xf fontId="121" applyFont="true" borderId="8" applyBorder="true" applyNumberFormat="true" numFmtId="1" fillId="22" applyFill="true">
      <alignment horizontal="center" vertical="center"/>
    </xf>
    <xf fontId="122" applyFont="true" borderId="8" applyBorder="true" applyNumberFormat="true" numFmtId="167" fillId="22" applyFill="true">
      <alignment horizontal="center" vertical="center"/>
    </xf>
    <xf fontId="123" applyFont="true" borderId="8" applyBorder="true" applyNumberFormat="true" numFmtId="2" fillId="22" applyFill="true">
      <alignment horizontal="center" vertical="center"/>
    </xf>
    <xf fontId="124" applyFont="true" borderId="8" applyBorder="true" applyNumberFormat="true" numFmtId="2" fillId="22" applyFill="true">
      <alignment horizontal="center" vertical="center"/>
    </xf>
    <xf fontId="125" applyFont="true" borderId="8" applyBorder="true" applyNumberFormat="true" numFmtId="2" fillId="22" applyFill="true">
      <alignment horizontal="center" vertical="center"/>
    </xf>
    <xf fontId="126" applyFont="true" borderId="8" applyBorder="true" applyNumberFormat="true" numFmtId="2" fillId="22" applyFill="true">
      <alignment horizontal="center" vertical="center"/>
    </xf>
    <xf fontId="127" applyFont="true" borderId="8" applyBorder="true" applyNumberFormat="true" numFmtId="2" fillId="22" applyFill="true">
      <alignment horizontal="center" vertical="center"/>
    </xf>
    <xf fontId="128" applyFont="true" borderId="8" applyBorder="true" applyNumberFormat="true" numFmtId="2" fillId="22" applyFill="true">
      <alignment horizontal="center" vertical="center"/>
    </xf>
    <xf fontId="129" applyFont="true" borderId="8" applyBorder="true" applyNumberFormat="true" numFmtId="2" fillId="22" applyFill="true">
      <alignment horizontal="center" vertical="center"/>
    </xf>
    <xf fontId="130" applyFont="true" borderId="8" applyBorder="true" applyNumberFormat="true" numFmtId="2" fillId="22" applyFill="true">
      <alignment horizontal="center" vertical="center"/>
    </xf>
    <xf fontId="131" applyFont="true" borderId="8" applyBorder="true" applyNumberFormat="true" numFmtId="2" fillId="22" applyFill="true">
      <alignment horizontal="center" vertical="center"/>
    </xf>
    <xf fontId="132" applyFont="true" borderId="8" applyBorder="true" applyNumberFormat="true" numFmtId="2" fillId="22" applyFill="true">
      <alignment horizontal="center" vertical="center"/>
    </xf>
    <xf fontId="133" applyFont="true" borderId="8" applyBorder="true" applyNumberFormat="true" numFmtId="2" fillId="22" applyFill="true">
      <alignment horizontal="center" vertical="center"/>
    </xf>
    <xf fontId="134" applyFont="true" borderId="8" applyBorder="true" applyNumberFormat="true" numFmtId="2" fillId="22" applyFill="true">
      <alignment horizontal="center" vertical="center"/>
    </xf>
    <xf fontId="135" applyFont="true" borderId="8" applyBorder="true" applyNumberFormat="true" numFmtId="2" fillId="22" applyFill="true">
      <alignment horizontal="center" vertical="center"/>
    </xf>
    <xf fontId="136" applyFont="true" borderId="8" applyBorder="true" applyNumberFormat="true" numFmtId="2" fillId="22" applyFill="true">
      <alignment horizontal="center" vertical="center"/>
    </xf>
    <xf fontId="137" applyFont="true" borderId="8" applyBorder="true" applyNumberFormat="true" numFmtId="2" fillId="22" applyFill="true">
      <alignment horizontal="center" vertical="center"/>
    </xf>
    <xf fontId="138" applyFont="true" borderId="8" applyBorder="true" applyNumberFormat="true" numFmtId="2" fillId="22" applyFill="true">
      <alignment horizontal="center" vertical="center"/>
    </xf>
    <xf fontId="139" applyFont="true" borderId="8" applyBorder="true" applyNumberFormat="true" numFmtId="2" fillId="22" applyFill="true">
      <alignment horizontal="center" vertical="center"/>
    </xf>
    <xf fontId="140" applyFont="true" borderId="8" applyBorder="true" applyNumberFormat="true" numFmtId="2" fillId="22" applyFill="true">
      <alignment horizontal="center" vertical="center"/>
    </xf>
    <xf fontId="141" applyFont="true" borderId="8" applyBorder="true" applyNumberFormat="true" numFmtId="2" fillId="22" applyFill="true">
      <alignment horizontal="center" vertical="center"/>
    </xf>
    <xf fontId="142" applyFont="true" borderId="8" applyBorder="true" applyNumberFormat="true" numFmtId="2" fillId="22" applyFill="true">
      <alignment horizontal="center" vertical="center"/>
    </xf>
    <xf fontId="143" applyFont="true" borderId="8" applyBorder="true" applyNumberFormat="true" numFmtId="2" fillId="22" applyFill="true">
      <alignment horizontal="center" vertical="center"/>
    </xf>
    <xf fontId="144" applyFont="true" borderId="8" applyBorder="true" applyNumberFormat="true" numFmtId="2" fillId="22" applyFill="true">
      <alignment horizontal="center" vertical="center"/>
    </xf>
    <xf fontId="145" applyFont="true" borderId="8" applyBorder="true" applyNumberFormat="true" numFmtId="2" fillId="22" applyFill="true">
      <alignment horizontal="center" vertical="center"/>
    </xf>
    <xf fontId="146" applyFont="true" borderId="8" applyBorder="true" applyNumberFormat="true" numFmtId="2" fillId="22" applyFill="true">
      <alignment horizontal="center" vertical="center"/>
    </xf>
    <xf fontId="147" applyFont="true" borderId="8" applyBorder="true" applyNumberFormat="true" numFmtId="2" fillId="22" applyFill="true">
      <alignment horizontal="center" vertical="center"/>
    </xf>
    <xf fontId="148" applyFont="true" borderId="8" applyBorder="true" applyNumberFormat="true" numFmtId="2" fillId="22" applyFill="true">
      <alignment horizontal="center" vertical="center"/>
    </xf>
    <xf fontId="149" applyFont="true" borderId="8" applyBorder="true" applyNumberFormat="true" numFmtId="2" fillId="22" applyFill="true">
      <alignment horizontal="center" vertical="center"/>
    </xf>
    <xf fontId="150" applyFont="true" borderId="8" applyBorder="true" applyNumberFormat="true" numFmtId="2" fillId="22" applyFill="true">
      <alignment horizontal="center" vertical="center"/>
    </xf>
    <xf fontId="151" applyFont="true" borderId="8" applyBorder="true" applyNumberFormat="true" numFmtId="2" fillId="22" applyFill="true">
      <alignment horizontal="center" vertical="center"/>
    </xf>
    <xf fontId="152" applyFont="true" borderId="8" applyBorder="true" applyNumberFormat="true" numFmtId="2" fillId="22" applyFill="true">
      <alignment horizontal="center" vertical="center"/>
    </xf>
    <xf fontId="153" applyFont="true" borderId="8" applyBorder="true" applyNumberFormat="true" numFmtId="2" fillId="22" applyFill="true">
      <alignment horizontal="center" vertical="center"/>
    </xf>
    <xf fontId="154" applyFont="true" borderId="8" applyBorder="true" applyNumberFormat="true" numFmtId="2" fillId="22" applyFill="true">
      <alignment horizontal="center" vertical="center"/>
    </xf>
    <xf fontId="155" applyFont="true" borderId="8" applyBorder="true" applyNumberFormat="true" numFmtId="2" fillId="22" applyFill="true">
      <alignment horizontal="center" vertical="center"/>
    </xf>
    <xf fontId="156" applyFont="true" borderId="8" applyBorder="true" applyNumberFormat="true" numFmtId="2" fillId="22" applyFill="true">
      <alignment horizontal="center" vertical="center"/>
    </xf>
    <xf fontId="157" applyFont="true" borderId="8" applyBorder="true" applyNumberFormat="true" numFmtId="165" fillId="19" applyFill="true">
      <alignment horizontal="left" vertical="center"/>
    </xf>
    <xf fontId="158" applyFont="true" borderId="8" applyBorder="true" applyNumberFormat="true" numFmtId="165" fillId="22" applyFill="true">
      <alignment horizontal="center" vertical="center"/>
    </xf>
    <xf fontId="159" applyFont="true" borderId="8" applyBorder="true" applyNumberFormat="true" numFmtId="166" fillId="22" applyFill="true">
      <alignment horizontal="center" vertical="center"/>
    </xf>
    <xf fontId="160" applyFont="true" borderId="8" applyBorder="true" applyNumberFormat="true" numFmtId="1" fillId="22" applyFill="true">
      <alignment horizontal="center" vertical="center"/>
    </xf>
    <xf fontId="161" applyFont="true" borderId="8" applyBorder="true" applyNumberFormat="true" numFmtId="1" fillId="22" applyFill="true">
      <alignment horizontal="center" vertical="center"/>
    </xf>
    <xf fontId="162" applyFont="true" borderId="8" applyBorder="true" applyNumberFormat="true" numFmtId="1" fillId="22" applyFill="true">
      <alignment horizontal="center" vertical="center"/>
    </xf>
    <xf fontId="163" applyFont="true" borderId="8" applyBorder="true" applyNumberFormat="true" numFmtId="1" fillId="22" applyFill="true">
      <alignment horizontal="center" vertical="center"/>
    </xf>
    <xf fontId="164" applyFont="true" borderId="8" applyBorder="true" applyNumberFormat="true" numFmtId="1" fillId="22" applyFill="true">
      <alignment horizontal="center" vertical="center"/>
    </xf>
    <xf fontId="165" applyFont="true" borderId="8" applyBorder="true" applyNumberFormat="true" numFmtId="1" fillId="22" applyFill="true">
      <alignment horizontal="center" vertical="center"/>
    </xf>
    <xf fontId="166" applyFont="true" borderId="8" applyBorder="true" applyNumberFormat="true" numFmtId="1" fillId="22" applyFill="true">
      <alignment horizontal="center" vertical="center"/>
    </xf>
    <xf fontId="167" applyFont="true" borderId="8" applyBorder="true" applyNumberFormat="true" numFmtId="165" fillId="22" applyFill="true">
      <alignment horizontal="center" vertical="center"/>
    </xf>
    <xf fontId="168" applyFont="true" borderId="8" applyBorder="true" applyNumberFormat="true" numFmtId="165" fillId="22" applyFill="true">
      <alignment horizontal="center" vertical="center"/>
    </xf>
    <xf fontId="169" applyFont="true" borderId="8" applyBorder="true" applyNumberFormat="true" numFmtId="1" fillId="22" applyFill="true">
      <alignment horizontal="center" vertical="center"/>
    </xf>
    <xf fontId="170" applyFont="true" borderId="8" applyBorder="true" applyNumberFormat="true" numFmtId="1" fillId="22" applyFill="true">
      <alignment horizontal="center" vertical="center"/>
    </xf>
    <xf fontId="171" applyFont="true" borderId="8" applyBorder="true" applyNumberFormat="true" numFmtId="1" fillId="22" applyFill="true">
      <alignment horizontal="center" vertical="center"/>
    </xf>
    <xf fontId="172" applyFont="true" borderId="8" applyBorder="true" applyNumberFormat="true" numFmtId="167" fillId="22" applyFill="true">
      <alignment horizontal="center" vertical="center"/>
    </xf>
    <xf fontId="173" applyFont="true" borderId="8" applyBorder="true" applyNumberFormat="true" numFmtId="1" fillId="22" applyFill="true">
      <alignment horizontal="center" vertical="center"/>
    </xf>
    <xf fontId="174" applyFont="true" borderId="8" applyBorder="true" applyNumberFormat="true" numFmtId="167" fillId="22" applyFill="true">
      <alignment horizontal="center" vertical="center"/>
    </xf>
    <xf fontId="175" applyFont="true" borderId="8" applyBorder="true" applyNumberFormat="true" numFmtId="1" fillId="22" applyFill="true">
      <alignment horizontal="center" vertical="center"/>
    </xf>
    <xf fontId="176" applyFont="true" borderId="8" applyBorder="true" applyNumberFormat="true" numFmtId="167" fillId="22" applyFill="true">
      <alignment horizontal="center" vertical="center"/>
    </xf>
    <xf fontId="177" applyFont="true" borderId="8" applyBorder="true" applyNumberFormat="true" numFmtId="1" fillId="22" applyFill="true">
      <alignment horizontal="center" vertical="center"/>
    </xf>
    <xf fontId="178" applyFont="true" borderId="8" applyBorder="true" applyNumberFormat="true" numFmtId="167" fillId="22" applyFill="true">
      <alignment horizontal="center" vertical="center"/>
    </xf>
    <xf fontId="179" applyFont="true" borderId="8" applyBorder="true" applyNumberFormat="true" numFmtId="167" fillId="22" applyFill="true">
      <alignment horizontal="center" vertical="center"/>
    </xf>
    <xf fontId="180" applyFont="true" borderId="8" applyBorder="true" applyNumberFormat="true" numFmtId="1" fillId="22" applyFill="true">
      <alignment horizontal="center" vertical="center"/>
    </xf>
    <xf fontId="181" applyFont="true" borderId="8" applyBorder="true" applyNumberFormat="true" numFmtId="1" fillId="22" applyFill="true">
      <alignment horizontal="center" vertical="center"/>
    </xf>
    <xf fontId="182" applyFont="true" borderId="8" applyBorder="true" applyNumberFormat="true" numFmtId="1" fillId="22" applyFill="true">
      <alignment horizontal="center" vertical="center"/>
    </xf>
    <xf fontId="183" applyFont="true" borderId="8" applyBorder="true" applyNumberFormat="true" numFmtId="167" fillId="22" applyFill="true">
      <alignment horizontal="center" vertical="center"/>
    </xf>
    <xf fontId="184" applyFont="true" borderId="8" applyBorder="true" applyNumberFormat="true" numFmtId="166" fillId="22" applyFill="true">
      <alignment horizontal="center" vertical="center"/>
    </xf>
    <xf fontId="185" applyFont="true" borderId="8" applyBorder="true" applyNumberFormat="true" numFmtId="166" fillId="22" applyFill="true">
      <alignment horizontal="center" vertical="center"/>
    </xf>
    <xf fontId="186" applyFont="true" borderId="8" applyBorder="true" applyNumberFormat="true" numFmtId="1" fillId="22" applyFill="true">
      <alignment horizontal="center" vertical="center"/>
    </xf>
    <xf fontId="187" applyFont="true" borderId="8" applyBorder="true" applyNumberFormat="true" numFmtId="1" fillId="22" applyFill="true">
      <alignment horizontal="center" vertical="center"/>
    </xf>
    <xf fontId="188" applyFont="true" borderId="8" applyBorder="true" applyNumberFormat="true" numFmtId="1" fillId="22" applyFill="true">
      <alignment horizontal="center" vertical="center"/>
    </xf>
    <xf fontId="189" applyFont="true" borderId="8" applyBorder="true" applyNumberFormat="true" numFmtId="167" fillId="22" applyFill="true">
      <alignment horizontal="center" vertical="center"/>
    </xf>
    <xf fontId="190" applyFont="true" borderId="8" applyBorder="true" applyNumberFormat="true" numFmtId="1" fillId="22" applyFill="true">
      <alignment horizontal="center" vertical="center"/>
    </xf>
    <xf fontId="191" applyFont="true" borderId="8" applyBorder="true" applyNumberFormat="true" numFmtId="167" fillId="22" applyFill="true">
      <alignment horizontal="center" vertical="center"/>
    </xf>
    <xf fontId="192" applyFont="true" borderId="8" applyBorder="true" applyNumberFormat="true" numFmtId="1" fillId="22" applyFill="true">
      <alignment horizontal="center" vertical="center"/>
    </xf>
    <xf fontId="193" applyFont="true" borderId="8" applyBorder="true" applyNumberFormat="true" numFmtId="1" fillId="22" applyFill="true">
      <alignment horizontal="center" vertical="center"/>
    </xf>
    <xf fontId="194" applyFont="true" borderId="8" applyBorder="true" applyNumberFormat="true" numFmtId="1" fillId="22" applyFill="true">
      <alignment horizontal="center" vertical="center"/>
    </xf>
    <xf fontId="195" applyFont="true" borderId="8" applyBorder="true" applyNumberFormat="true" numFmtId="1" fillId="22" applyFill="true">
      <alignment horizontal="center" vertical="center"/>
    </xf>
    <xf fontId="196" applyFont="true" borderId="8" applyBorder="true" applyNumberFormat="true" numFmtId="167" fillId="22" applyFill="true">
      <alignment horizontal="center" vertical="center"/>
    </xf>
    <xf fontId="197" applyFont="true" borderId="8" applyBorder="true" applyNumberFormat="true" numFmtId="1" fillId="22" applyFill="true">
      <alignment horizontal="center" vertical="center"/>
    </xf>
    <xf fontId="198" applyFont="true" borderId="8" applyBorder="true" applyNumberFormat="true" numFmtId="167" fillId="22" applyFill="true">
      <alignment horizontal="center" vertical="center"/>
    </xf>
    <xf fontId="199" applyFont="true" borderId="8" applyBorder="true" applyNumberFormat="true" numFmtId="1" fillId="22" applyFill="true">
      <alignment horizontal="center" vertical="center"/>
    </xf>
    <xf fontId="200" applyFont="true" borderId="8" applyBorder="true" applyNumberFormat="true" numFmtId="167" fillId="22" applyFill="true">
      <alignment horizontal="center" vertical="center"/>
    </xf>
    <xf fontId="201" applyFont="true" borderId="8" applyBorder="true" applyNumberFormat="true" numFmtId="2" fillId="22" applyFill="true">
      <alignment horizontal="center" vertical="center"/>
    </xf>
    <xf fontId="202" applyFont="true" borderId="8" applyBorder="true" applyNumberFormat="true" numFmtId="2" fillId="22" applyFill="true">
      <alignment horizontal="center" vertical="center"/>
    </xf>
    <xf fontId="203" applyFont="true" borderId="8" applyBorder="true" applyNumberFormat="true" numFmtId="2" fillId="22" applyFill="true">
      <alignment horizontal="center" vertical="center"/>
    </xf>
    <xf fontId="204" applyFont="true" borderId="8" applyBorder="true" applyNumberFormat="true" numFmtId="2" fillId="22" applyFill="true">
      <alignment horizontal="center" vertical="center"/>
    </xf>
    <xf fontId="205" applyFont="true" borderId="8" applyBorder="true" applyNumberFormat="true" numFmtId="2" fillId="22" applyFill="true">
      <alignment horizontal="center" vertical="center"/>
    </xf>
    <xf fontId="206" applyFont="true" borderId="8" applyBorder="true" applyNumberFormat="true" numFmtId="2" fillId="22" applyFill="true">
      <alignment horizontal="center" vertical="center"/>
    </xf>
    <xf fontId="207" applyFont="true" borderId="8" applyBorder="true" applyNumberFormat="true" numFmtId="2" fillId="22" applyFill="true">
      <alignment horizontal="center" vertical="center"/>
    </xf>
    <xf fontId="208" applyFont="true" borderId="8" applyBorder="true" applyNumberFormat="true" numFmtId="2" fillId="22" applyFill="true">
      <alignment horizontal="center" vertical="center"/>
    </xf>
    <xf fontId="209" applyFont="true" borderId="8" applyBorder="true" applyNumberFormat="true" numFmtId="2" fillId="22" applyFill="true">
      <alignment horizontal="center" vertical="center"/>
    </xf>
    <xf fontId="210" applyFont="true" borderId="8" applyBorder="true" applyNumberFormat="true" numFmtId="2" fillId="22" applyFill="true">
      <alignment horizontal="center" vertical="center"/>
    </xf>
    <xf fontId="211" applyFont="true" borderId="8" applyBorder="true" applyNumberFormat="true" numFmtId="2" fillId="22" applyFill="true">
      <alignment horizontal="center" vertical="center"/>
    </xf>
    <xf fontId="212" applyFont="true" borderId="8" applyBorder="true" applyNumberFormat="true" numFmtId="2" fillId="22" applyFill="true">
      <alignment horizontal="center" vertical="center"/>
    </xf>
    <xf fontId="213" applyFont="true" borderId="8" applyBorder="true" applyNumberFormat="true" numFmtId="2" fillId="22" applyFill="true">
      <alignment horizontal="center" vertical="center"/>
    </xf>
    <xf fontId="214" applyFont="true" borderId="8" applyBorder="true" applyNumberFormat="true" numFmtId="2" fillId="22" applyFill="true">
      <alignment horizontal="center" vertical="center"/>
    </xf>
    <xf fontId="215" applyFont="true" borderId="8" applyBorder="true" applyNumberFormat="true" numFmtId="2" fillId="22" applyFill="true">
      <alignment horizontal="center" vertical="center"/>
    </xf>
    <xf fontId="216" applyFont="true" borderId="8" applyBorder="true" applyNumberFormat="true" numFmtId="2" fillId="22" applyFill="true">
      <alignment horizontal="center" vertical="center"/>
    </xf>
    <xf fontId="217" applyFont="true" borderId="8" applyBorder="true" applyNumberFormat="true" numFmtId="2" fillId="22" applyFill="true">
      <alignment horizontal="center" vertical="center"/>
    </xf>
    <xf fontId="218" applyFont="true" borderId="8" applyBorder="true" applyNumberFormat="true" numFmtId="2" fillId="22" applyFill="true">
      <alignment horizontal="center" vertical="center"/>
    </xf>
    <xf fontId="219" applyFont="true" borderId="8" applyBorder="true" applyNumberFormat="true" numFmtId="2" fillId="22" applyFill="true">
      <alignment horizontal="center" vertical="center"/>
    </xf>
    <xf fontId="220" applyFont="true" borderId="8" applyBorder="true" applyNumberFormat="true" numFmtId="2" fillId="22" applyFill="true">
      <alignment horizontal="center" vertical="center"/>
    </xf>
    <xf fontId="221" applyFont="true" borderId="8" applyBorder="true" applyNumberFormat="true" numFmtId="2" fillId="22" applyFill="true">
      <alignment horizontal="center" vertical="center"/>
    </xf>
    <xf fontId="222" applyFont="true" borderId="8" applyBorder="true" applyNumberFormat="true" numFmtId="2" fillId="22" applyFill="true">
      <alignment horizontal="center" vertical="center"/>
    </xf>
    <xf fontId="223" applyFont="true" borderId="8" applyBorder="true" applyNumberFormat="true" numFmtId="2" fillId="22" applyFill="true">
      <alignment horizontal="center" vertical="center"/>
    </xf>
    <xf fontId="224" applyFont="true" borderId="8" applyBorder="true" applyNumberFormat="true" numFmtId="2" fillId="22" applyFill="true">
      <alignment horizontal="center" vertical="center"/>
    </xf>
    <xf fontId="225" applyFont="true" borderId="8" applyBorder="true" applyNumberFormat="true" numFmtId="2" fillId="22" applyFill="true">
      <alignment horizontal="center" vertical="center"/>
    </xf>
    <xf fontId="226" applyFont="true" borderId="8" applyBorder="true" applyNumberFormat="true" numFmtId="2" fillId="22" applyFill="true">
      <alignment horizontal="center" vertical="center"/>
    </xf>
    <xf fontId="227" applyFont="true" borderId="8" applyBorder="true" applyNumberFormat="true" numFmtId="2" fillId="22" applyFill="true">
      <alignment horizontal="center" vertical="center"/>
    </xf>
    <xf fontId="228" applyFont="true" borderId="8" applyBorder="true" applyNumberFormat="true" numFmtId="2" fillId="22" applyFill="true">
      <alignment horizontal="center" vertical="center"/>
    </xf>
    <xf fontId="229" applyFont="true" borderId="8" applyBorder="true" applyNumberFormat="true" numFmtId="2" fillId="22" applyFill="true">
      <alignment horizontal="center" vertical="center"/>
    </xf>
    <xf fontId="230" applyFont="true" borderId="8" applyBorder="true" applyNumberFormat="true" numFmtId="2" fillId="22" applyFill="true">
      <alignment horizontal="center" vertical="center"/>
    </xf>
    <xf fontId="231" applyFont="true" borderId="8" applyBorder="true" applyNumberFormat="true" numFmtId="2" fillId="22" applyFill="true">
      <alignment horizontal="center" vertical="center"/>
    </xf>
    <xf fontId="232" applyFont="true" borderId="8" applyBorder="true" applyNumberFormat="true" numFmtId="2" fillId="22" applyFill="true">
      <alignment horizontal="center" vertical="center"/>
    </xf>
    <xf fontId="233" applyFont="true" borderId="8" applyBorder="true" applyNumberFormat="true" numFmtId="2" fillId="22" applyFill="true">
      <alignment horizontal="center" vertical="center"/>
    </xf>
    <xf fontId="234" applyFont="true" borderId="8" applyBorder="true" applyNumberFormat="true" numFmtId="2" fillId="22" applyFill="true">
      <alignment horizontal="center" vertical="center"/>
    </xf>
    <xf fontId="235" applyFont="true" borderId="8" applyBorder="true" applyNumberFormat="true" numFmtId="165" fillId="19" applyFill="true">
      <alignment horizontal="left" vertical="center"/>
    </xf>
    <xf fontId="236" applyFont="true" borderId="8" applyBorder="true" applyNumberFormat="true" numFmtId="165" fillId="22" applyFill="true">
      <alignment horizontal="center" vertical="center"/>
    </xf>
    <xf fontId="237" applyFont="true" borderId="8" applyBorder="true" applyNumberFormat="true" numFmtId="166" fillId="22" applyFill="true">
      <alignment horizontal="center" vertical="center"/>
    </xf>
    <xf fontId="238" applyFont="true" borderId="8" applyBorder="true" applyNumberFormat="true" numFmtId="1" fillId="22" applyFill="true">
      <alignment horizontal="center" vertical="center"/>
    </xf>
    <xf fontId="239" applyFont="true" borderId="8" applyBorder="true" applyNumberFormat="true" numFmtId="1" fillId="22" applyFill="true">
      <alignment horizontal="center" vertical="center"/>
    </xf>
    <xf fontId="240" applyFont="true" borderId="8" applyBorder="true" applyNumberFormat="true" numFmtId="1" fillId="22" applyFill="true">
      <alignment horizontal="center" vertical="center"/>
    </xf>
    <xf fontId="241" applyFont="true" borderId="8" applyBorder="true" applyNumberFormat="true" numFmtId="1" fillId="22" applyFill="true">
      <alignment horizontal="center" vertical="center"/>
    </xf>
    <xf fontId="242" applyFont="true" borderId="8" applyBorder="true" applyNumberFormat="true" numFmtId="1" fillId="22" applyFill="true">
      <alignment horizontal="center" vertical="center"/>
    </xf>
    <xf fontId="243" applyFont="true" borderId="8" applyBorder="true" applyNumberFormat="true" numFmtId="1" fillId="22" applyFill="true">
      <alignment horizontal="center" vertical="center"/>
    </xf>
    <xf fontId="244" applyFont="true" borderId="8" applyBorder="true" applyNumberFormat="true" numFmtId="1" fillId="22" applyFill="true">
      <alignment horizontal="center" vertical="center"/>
    </xf>
    <xf fontId="245" applyFont="true" borderId="8" applyBorder="true" applyNumberFormat="true" numFmtId="165" fillId="22" applyFill="true">
      <alignment horizontal="center" vertical="center"/>
    </xf>
    <xf fontId="246" applyFont="true" borderId="8" applyBorder="true" applyNumberFormat="true" numFmtId="165" fillId="22" applyFill="true">
      <alignment horizontal="center" vertical="center"/>
    </xf>
    <xf fontId="247" applyFont="true" borderId="8" applyBorder="true" applyNumberFormat="true" numFmtId="1" fillId="22" applyFill="true">
      <alignment horizontal="center" vertical="center"/>
    </xf>
    <xf fontId="248" applyFont="true" borderId="8" applyBorder="true" applyNumberFormat="true" numFmtId="1" fillId="22" applyFill="true">
      <alignment horizontal="center" vertical="center"/>
    </xf>
    <xf fontId="249" applyFont="true" borderId="8" applyBorder="true" applyNumberFormat="true" numFmtId="1" fillId="22" applyFill="true">
      <alignment horizontal="center" vertical="center"/>
    </xf>
    <xf fontId="250" applyFont="true" borderId="8" applyBorder="true" applyNumberFormat="true" numFmtId="167" fillId="22" applyFill="true">
      <alignment horizontal="center" vertical="center"/>
    </xf>
    <xf fontId="251" applyFont="true" borderId="8" applyBorder="true" applyNumberFormat="true" numFmtId="1" fillId="22" applyFill="true">
      <alignment horizontal="center" vertical="center"/>
    </xf>
    <xf fontId="252" applyFont="true" borderId="8" applyBorder="true" applyNumberFormat="true" numFmtId="167" fillId="22" applyFill="true">
      <alignment horizontal="center" vertical="center"/>
    </xf>
    <xf fontId="253" applyFont="true" borderId="8" applyBorder="true" applyNumberFormat="true" numFmtId="1" fillId="22" applyFill="true">
      <alignment horizontal="center" vertical="center"/>
    </xf>
    <xf fontId="254" applyFont="true" borderId="8" applyBorder="true" applyNumberFormat="true" numFmtId="167" fillId="22" applyFill="true">
      <alignment horizontal="center" vertical="center"/>
    </xf>
    <xf fontId="255" applyFont="true" borderId="8" applyBorder="true" applyNumberFormat="true" numFmtId="1" fillId="22" applyFill="true">
      <alignment horizontal="center" vertical="center"/>
    </xf>
    <xf fontId="256" applyFont="true" borderId="8" applyBorder="true" applyNumberFormat="true" numFmtId="167" fillId="22" applyFill="true">
      <alignment horizontal="center" vertical="center"/>
    </xf>
    <xf fontId="257" applyFont="true" borderId="8" applyBorder="true" applyNumberFormat="true" numFmtId="167" fillId="22" applyFill="true">
      <alignment horizontal="center" vertical="center"/>
    </xf>
    <xf fontId="258" applyFont="true" borderId="8" applyBorder="true" applyNumberFormat="true" numFmtId="1" fillId="22" applyFill="true">
      <alignment horizontal="center" vertical="center"/>
    </xf>
    <xf fontId="259" applyFont="true" borderId="8" applyBorder="true" applyNumberFormat="true" numFmtId="1" fillId="22" applyFill="true">
      <alignment horizontal="center" vertical="center"/>
    </xf>
    <xf fontId="260" applyFont="true" borderId="8" applyBorder="true" applyNumberFormat="true" numFmtId="1" fillId="22" applyFill="true">
      <alignment horizontal="center" vertical="center"/>
    </xf>
    <xf fontId="261" applyFont="true" borderId="8" applyBorder="true" applyNumberFormat="true" numFmtId="167" fillId="22" applyFill="true">
      <alignment horizontal="center" vertical="center"/>
    </xf>
    <xf fontId="262" applyFont="true" borderId="8" applyBorder="true" applyNumberFormat="true" numFmtId="166" fillId="22" applyFill="true">
      <alignment horizontal="center" vertical="center"/>
    </xf>
    <xf fontId="263" applyFont="true" borderId="8" applyBorder="true" applyNumberFormat="true" numFmtId="166" fillId="22" applyFill="true">
      <alignment horizontal="center" vertical="center"/>
    </xf>
    <xf fontId="264" applyFont="true" borderId="8" applyBorder="true" applyNumberFormat="true" numFmtId="1" fillId="22" applyFill="true">
      <alignment horizontal="center" vertical="center"/>
    </xf>
    <xf fontId="265" applyFont="true" borderId="8" applyBorder="true" applyNumberFormat="true" numFmtId="1" fillId="22" applyFill="true">
      <alignment horizontal="center" vertical="center"/>
    </xf>
    <xf fontId="266" applyFont="true" borderId="8" applyBorder="true" applyNumberFormat="true" numFmtId="1" fillId="22" applyFill="true">
      <alignment horizontal="center" vertical="center"/>
    </xf>
    <xf fontId="267" applyFont="true" borderId="8" applyBorder="true" applyNumberFormat="true" numFmtId="167" fillId="22" applyFill="true">
      <alignment horizontal="center" vertical="center"/>
    </xf>
    <xf fontId="268" applyFont="true" borderId="8" applyBorder="true" applyNumberFormat="true" numFmtId="1" fillId="22" applyFill="true">
      <alignment horizontal="center" vertical="center"/>
    </xf>
    <xf fontId="269" applyFont="true" borderId="8" applyBorder="true" applyNumberFormat="true" numFmtId="167" fillId="22" applyFill="true">
      <alignment horizontal="center" vertical="center"/>
    </xf>
    <xf fontId="270" applyFont="true" borderId="8" applyBorder="true" applyNumberFormat="true" numFmtId="1" fillId="22" applyFill="true">
      <alignment horizontal="center" vertical="center"/>
    </xf>
    <xf fontId="271" applyFont="true" borderId="8" applyBorder="true" applyNumberFormat="true" numFmtId="1" fillId="22" applyFill="true">
      <alignment horizontal="center" vertical="center"/>
    </xf>
    <xf fontId="272" applyFont="true" borderId="8" applyBorder="true" applyNumberFormat="true" numFmtId="1" fillId="22" applyFill="true">
      <alignment horizontal="center" vertical="center"/>
    </xf>
    <xf fontId="273" applyFont="true" borderId="8" applyBorder="true" applyNumberFormat="true" numFmtId="1" fillId="22" applyFill="true">
      <alignment horizontal="center" vertical="center"/>
    </xf>
    <xf fontId="274" applyFont="true" borderId="8" applyBorder="true" applyNumberFormat="true" numFmtId="167" fillId="22" applyFill="true">
      <alignment horizontal="center" vertical="center"/>
    </xf>
    <xf fontId="275" applyFont="true" borderId="8" applyBorder="true" applyNumberFormat="true" numFmtId="1" fillId="22" applyFill="true">
      <alignment horizontal="center" vertical="center"/>
    </xf>
    <xf fontId="276" applyFont="true" borderId="8" applyBorder="true" applyNumberFormat="true" numFmtId="167" fillId="22" applyFill="true">
      <alignment horizontal="center" vertical="center"/>
    </xf>
    <xf fontId="277" applyFont="true" borderId="8" applyBorder="true" applyNumberFormat="true" numFmtId="1" fillId="22" applyFill="true">
      <alignment horizontal="center" vertical="center"/>
    </xf>
    <xf fontId="278" applyFont="true" borderId="8" applyBorder="true" applyNumberFormat="true" numFmtId="167" fillId="22" applyFill="true">
      <alignment horizontal="center" vertical="center"/>
    </xf>
    <xf fontId="279" applyFont="true" borderId="8" applyBorder="true" applyNumberFormat="true" numFmtId="2" fillId="22" applyFill="true">
      <alignment horizontal="center" vertical="center"/>
    </xf>
    <xf fontId="280" applyFont="true" borderId="8" applyBorder="true" applyNumberFormat="true" numFmtId="2" fillId="22" applyFill="true">
      <alignment horizontal="center" vertical="center"/>
    </xf>
    <xf fontId="281" applyFont="true" borderId="8" applyBorder="true" applyNumberFormat="true" numFmtId="2" fillId="22" applyFill="true">
      <alignment horizontal="center" vertical="center"/>
    </xf>
    <xf fontId="282" applyFont="true" borderId="8" applyBorder="true" applyNumberFormat="true" numFmtId="2" fillId="22" applyFill="true">
      <alignment horizontal="center" vertical="center"/>
    </xf>
    <xf fontId="283" applyFont="true" borderId="8" applyBorder="true" applyNumberFormat="true" numFmtId="2" fillId="22" applyFill="true">
      <alignment horizontal="center" vertical="center"/>
    </xf>
    <xf fontId="284" applyFont="true" borderId="8" applyBorder="true" applyNumberFormat="true" numFmtId="2" fillId="22" applyFill="true">
      <alignment horizontal="center" vertical="center"/>
    </xf>
    <xf fontId="285" applyFont="true" borderId="8" applyBorder="true" applyNumberFormat="true" numFmtId="2" fillId="22" applyFill="true">
      <alignment horizontal="center" vertical="center"/>
    </xf>
    <xf fontId="286" applyFont="true" borderId="8" applyBorder="true" applyNumberFormat="true" numFmtId="2" fillId="22" applyFill="true">
      <alignment horizontal="center" vertical="center"/>
    </xf>
    <xf fontId="287" applyFont="true" borderId="8" applyBorder="true" applyNumberFormat="true" numFmtId="2" fillId="22" applyFill="true">
      <alignment horizontal="center" vertical="center"/>
    </xf>
    <xf fontId="288" applyFont="true" borderId="8" applyBorder="true" applyNumberFormat="true" numFmtId="2" fillId="22" applyFill="true">
      <alignment horizontal="center" vertical="center"/>
    </xf>
    <xf fontId="289" applyFont="true" borderId="8" applyBorder="true" applyNumberFormat="true" numFmtId="2" fillId="22" applyFill="true">
      <alignment horizontal="center" vertical="center"/>
    </xf>
    <xf fontId="290" applyFont="true" borderId="8" applyBorder="true" applyNumberFormat="true" numFmtId="2" fillId="22" applyFill="true">
      <alignment horizontal="center" vertical="center"/>
    </xf>
    <xf fontId="291" applyFont="true" borderId="8" applyBorder="true" applyNumberFormat="true" numFmtId="2" fillId="22" applyFill="true">
      <alignment horizontal="center" vertical="center"/>
    </xf>
    <xf fontId="292" applyFont="true" borderId="8" applyBorder="true" applyNumberFormat="true" numFmtId="2" fillId="22" applyFill="true">
      <alignment horizontal="center" vertical="center"/>
    </xf>
    <xf fontId="293" applyFont="true" borderId="8" applyBorder="true" applyNumberFormat="true" numFmtId="2" fillId="22" applyFill="true">
      <alignment horizontal="center" vertical="center"/>
    </xf>
    <xf fontId="294" applyFont="true" borderId="8" applyBorder="true" applyNumberFormat="true" numFmtId="2" fillId="22" applyFill="true">
      <alignment horizontal="center" vertical="center"/>
    </xf>
    <xf fontId="295" applyFont="true" borderId="8" applyBorder="true" applyNumberFormat="true" numFmtId="2" fillId="22" applyFill="true">
      <alignment horizontal="center" vertical="center"/>
    </xf>
    <xf fontId="296" applyFont="true" borderId="8" applyBorder="true" applyNumberFormat="true" numFmtId="2" fillId="22" applyFill="true">
      <alignment horizontal="center" vertical="center"/>
    </xf>
    <xf fontId="297" applyFont="true" borderId="8" applyBorder="true" applyNumberFormat="true" numFmtId="2" fillId="22" applyFill="true">
      <alignment horizontal="center" vertical="center"/>
    </xf>
    <xf fontId="298" applyFont="true" borderId="8" applyBorder="true" applyNumberFormat="true" numFmtId="2" fillId="22" applyFill="true">
      <alignment horizontal="center" vertical="center"/>
    </xf>
    <xf fontId="299" applyFont="true" borderId="8" applyBorder="true" applyNumberFormat="true" numFmtId="2" fillId="22" applyFill="true">
      <alignment horizontal="center" vertical="center"/>
    </xf>
    <xf fontId="300" applyFont="true" borderId="8" applyBorder="true" applyNumberFormat="true" numFmtId="2" fillId="22" applyFill="true">
      <alignment horizontal="center" vertical="center"/>
    </xf>
    <xf fontId="301" applyFont="true" borderId="8" applyBorder="true" applyNumberFormat="true" numFmtId="2" fillId="22" applyFill="true">
      <alignment horizontal="center" vertical="center"/>
    </xf>
    <xf fontId="302" applyFont="true" borderId="8" applyBorder="true" applyNumberFormat="true" numFmtId="2" fillId="22" applyFill="true">
      <alignment horizontal="center" vertical="center"/>
    </xf>
    <xf fontId="303" applyFont="true" borderId="8" applyBorder="true" applyNumberFormat="true" numFmtId="2" fillId="22" applyFill="true">
      <alignment horizontal="center" vertical="center"/>
    </xf>
    <xf fontId="304" applyFont="true" borderId="8" applyBorder="true" applyNumberFormat="true" numFmtId="2" fillId="22" applyFill="true">
      <alignment horizontal="center" vertical="center"/>
    </xf>
    <xf fontId="305" applyFont="true" borderId="8" applyBorder="true" applyNumberFormat="true" numFmtId="2" fillId="22" applyFill="true">
      <alignment horizontal="center" vertical="center"/>
    </xf>
    <xf fontId="306" applyFont="true" borderId="8" applyBorder="true" applyNumberFormat="true" numFmtId="2" fillId="22" applyFill="true">
      <alignment horizontal="center" vertical="center"/>
    </xf>
    <xf fontId="307" applyFont="true" borderId="8" applyBorder="true" applyNumberFormat="true" numFmtId="2" fillId="22" applyFill="true">
      <alignment horizontal="center" vertical="center"/>
    </xf>
    <xf fontId="308" applyFont="true" borderId="8" applyBorder="true" applyNumberFormat="true" numFmtId="2" fillId="22" applyFill="true">
      <alignment horizontal="center" vertical="center"/>
    </xf>
    <xf fontId="309" applyFont="true" borderId="8" applyBorder="true" applyNumberFormat="true" numFmtId="2" fillId="22" applyFill="true">
      <alignment horizontal="center" vertical="center"/>
    </xf>
    <xf fontId="310" applyFont="true" borderId="8" applyBorder="true" applyNumberFormat="true" numFmtId="2" fillId="22" applyFill="true">
      <alignment horizontal="center" vertical="center"/>
    </xf>
    <xf fontId="311" applyFont="true" borderId="8" applyBorder="true" applyNumberFormat="true" numFmtId="2" fillId="22" applyFill="true">
      <alignment horizontal="center" vertical="center"/>
    </xf>
    <xf fontId="312" applyFont="true" borderId="8" applyBorder="true" applyNumberFormat="true" numFmtId="2" fillId="22" applyFill="true">
      <alignment horizontal="center" vertical="center"/>
    </xf>
    <xf fontId="313" applyFont="true" borderId="8" applyBorder="true" applyNumberFormat="true" numFmtId="165" fillId="19" applyFill="true">
      <alignment horizontal="left" vertical="center"/>
    </xf>
    <xf fontId="314" applyFont="true" borderId="8" applyBorder="true" applyNumberFormat="true" numFmtId="165" fillId="22" applyFill="true">
      <alignment horizontal="center" vertical="center"/>
    </xf>
    <xf fontId="315" applyFont="true" borderId="8" applyBorder="true" applyNumberFormat="true" numFmtId="166" fillId="22" applyFill="true">
      <alignment horizontal="center" vertical="center"/>
    </xf>
    <xf fontId="316" applyFont="true" borderId="8" applyBorder="true" applyNumberFormat="true" numFmtId="1" fillId="22" applyFill="true">
      <alignment horizontal="center" vertical="center"/>
    </xf>
    <xf fontId="317" applyFont="true" borderId="8" applyBorder="true" applyNumberFormat="true" numFmtId="1" fillId="22" applyFill="true">
      <alignment horizontal="center" vertical="center"/>
    </xf>
    <xf fontId="318" applyFont="true" borderId="8" applyBorder="true" applyNumberFormat="true" numFmtId="1" fillId="22" applyFill="true">
      <alignment horizontal="center" vertical="center"/>
    </xf>
    <xf fontId="319" applyFont="true" borderId="8" applyBorder="true" applyNumberFormat="true" numFmtId="1" fillId="22" applyFill="true">
      <alignment horizontal="center" vertical="center"/>
    </xf>
    <xf fontId="320" applyFont="true" borderId="8" applyBorder="true" applyNumberFormat="true" numFmtId="1" fillId="22" applyFill="true">
      <alignment horizontal="center" vertical="center"/>
    </xf>
    <xf fontId="321" applyFont="true" borderId="8" applyBorder="true" applyNumberFormat="true" numFmtId="1" fillId="22" applyFill="true">
      <alignment horizontal="center" vertical="center"/>
    </xf>
    <xf fontId="322" applyFont="true" borderId="8" applyBorder="true" applyNumberFormat="true" numFmtId="1" fillId="22" applyFill="true">
      <alignment horizontal="center" vertical="center"/>
    </xf>
    <xf fontId="323" applyFont="true" borderId="8" applyBorder="true" applyNumberFormat="true" numFmtId="165" fillId="22" applyFill="true">
      <alignment horizontal="center" vertical="center"/>
    </xf>
    <xf fontId="324" applyFont="true" borderId="8" applyBorder="true" applyNumberFormat="true" numFmtId="165" fillId="22" applyFill="true">
      <alignment horizontal="center" vertical="center"/>
    </xf>
    <xf fontId="325" applyFont="true" borderId="8" applyBorder="true" applyNumberFormat="true" numFmtId="1" fillId="22" applyFill="true">
      <alignment horizontal="center" vertical="center"/>
    </xf>
    <xf fontId="326" applyFont="true" borderId="8" applyBorder="true" applyNumberFormat="true" numFmtId="1" fillId="22" applyFill="true">
      <alignment horizontal="center" vertical="center"/>
    </xf>
    <xf fontId="327" applyFont="true" borderId="8" applyBorder="true" applyNumberFormat="true" numFmtId="1" fillId="22" applyFill="true">
      <alignment horizontal="center" vertical="center"/>
    </xf>
    <xf fontId="328" applyFont="true" borderId="8" applyBorder="true" applyNumberFormat="true" numFmtId="167" fillId="22" applyFill="true">
      <alignment horizontal="center" vertical="center"/>
    </xf>
    <xf fontId="329" applyFont="true" borderId="8" applyBorder="true" applyNumberFormat="true" numFmtId="1" fillId="22" applyFill="true">
      <alignment horizontal="center" vertical="center"/>
    </xf>
    <xf fontId="330" applyFont="true" borderId="8" applyBorder="true" applyNumberFormat="true" numFmtId="167" fillId="22" applyFill="true">
      <alignment horizontal="center" vertical="center"/>
    </xf>
    <xf fontId="331" applyFont="true" borderId="8" applyBorder="true" applyNumberFormat="true" numFmtId="1" fillId="22" applyFill="true">
      <alignment horizontal="center" vertical="center"/>
    </xf>
    <xf fontId="332" applyFont="true" borderId="8" applyBorder="true" applyNumberFormat="true" numFmtId="167" fillId="22" applyFill="true">
      <alignment horizontal="center" vertical="center"/>
    </xf>
    <xf fontId="333" applyFont="true" borderId="8" applyBorder="true" applyNumberFormat="true" numFmtId="1" fillId="22" applyFill="true">
      <alignment horizontal="center" vertical="center"/>
    </xf>
    <xf fontId="334" applyFont="true" borderId="8" applyBorder="true" applyNumberFormat="true" numFmtId="167" fillId="22" applyFill="true">
      <alignment horizontal="center" vertical="center"/>
    </xf>
    <xf fontId="335" applyFont="true" borderId="8" applyBorder="true" applyNumberFormat="true" numFmtId="167" fillId="22" applyFill="true">
      <alignment horizontal="center" vertical="center"/>
    </xf>
    <xf fontId="336" applyFont="true" borderId="8" applyBorder="true" applyNumberFormat="true" numFmtId="1" fillId="22" applyFill="true">
      <alignment horizontal="center" vertical="center"/>
    </xf>
    <xf fontId="337" applyFont="true" borderId="8" applyBorder="true" applyNumberFormat="true" numFmtId="1" fillId="22" applyFill="true">
      <alignment horizontal="center" vertical="center"/>
    </xf>
    <xf fontId="338" applyFont="true" borderId="8" applyBorder="true" applyNumberFormat="true" numFmtId="1" fillId="22" applyFill="true">
      <alignment horizontal="center" vertical="center"/>
    </xf>
    <xf fontId="339" applyFont="true" borderId="8" applyBorder="true" applyNumberFormat="true" numFmtId="167" fillId="22" applyFill="true">
      <alignment horizontal="center" vertical="center"/>
    </xf>
    <xf fontId="340" applyFont="true" borderId="8" applyBorder="true" applyNumberFormat="true" numFmtId="166" fillId="22" applyFill="true">
      <alignment horizontal="center" vertical="center"/>
    </xf>
    <xf fontId="341" applyFont="true" borderId="8" applyBorder="true" applyNumberFormat="true" numFmtId="166" fillId="22" applyFill="true">
      <alignment horizontal="center" vertical="center"/>
    </xf>
    <xf fontId="342" applyFont="true" borderId="8" applyBorder="true" applyNumberFormat="true" numFmtId="1" fillId="22" applyFill="true">
      <alignment horizontal="center" vertical="center"/>
    </xf>
    <xf fontId="343" applyFont="true" borderId="8" applyBorder="true" applyNumberFormat="true" numFmtId="1" fillId="22" applyFill="true">
      <alignment horizontal="center" vertical="center"/>
    </xf>
    <xf fontId="344" applyFont="true" borderId="8" applyBorder="true" applyNumberFormat="true" numFmtId="1" fillId="22" applyFill="true">
      <alignment horizontal="center" vertical="center"/>
    </xf>
    <xf fontId="345" applyFont="true" borderId="8" applyBorder="true" applyNumberFormat="true" numFmtId="167" fillId="22" applyFill="true">
      <alignment horizontal="center" vertical="center"/>
    </xf>
    <xf fontId="346" applyFont="true" borderId="8" applyBorder="true" applyNumberFormat="true" numFmtId="1" fillId="22" applyFill="true">
      <alignment horizontal="center" vertical="center"/>
    </xf>
    <xf fontId="347" applyFont="true" borderId="8" applyBorder="true" applyNumberFormat="true" numFmtId="167" fillId="22" applyFill="true">
      <alignment horizontal="center" vertical="center"/>
    </xf>
    <xf fontId="348" applyFont="true" borderId="8" applyBorder="true" applyNumberFormat="true" numFmtId="1" fillId="22" applyFill="true">
      <alignment horizontal="center" vertical="center"/>
    </xf>
    <xf fontId="349" applyFont="true" borderId="8" applyBorder="true" applyNumberFormat="true" numFmtId="1" fillId="22" applyFill="true">
      <alignment horizontal="center" vertical="center"/>
    </xf>
    <xf fontId="350" applyFont="true" borderId="8" applyBorder="true" applyNumberFormat="true" numFmtId="1" fillId="22" applyFill="true">
      <alignment horizontal="center" vertical="center"/>
    </xf>
    <xf fontId="351" applyFont="true" borderId="8" applyBorder="true" applyNumberFormat="true" numFmtId="1" fillId="22" applyFill="true">
      <alignment horizontal="center" vertical="center"/>
    </xf>
    <xf fontId="352" applyFont="true" borderId="8" applyBorder="true" applyNumberFormat="true" numFmtId="167" fillId="22" applyFill="true">
      <alignment horizontal="center" vertical="center"/>
    </xf>
    <xf fontId="353" applyFont="true" borderId="8" applyBorder="true" applyNumberFormat="true" numFmtId="1" fillId="22" applyFill="true">
      <alignment horizontal="center" vertical="center"/>
    </xf>
    <xf fontId="354" applyFont="true" borderId="8" applyBorder="true" applyNumberFormat="true" numFmtId="167" fillId="22" applyFill="true">
      <alignment horizontal="center" vertical="center"/>
    </xf>
    <xf fontId="355" applyFont="true" borderId="8" applyBorder="true" applyNumberFormat="true" numFmtId="1" fillId="22" applyFill="true">
      <alignment horizontal="center" vertical="center"/>
    </xf>
    <xf fontId="356" applyFont="true" borderId="8" applyBorder="true" applyNumberFormat="true" numFmtId="167" fillId="22" applyFill="true">
      <alignment horizontal="center" vertical="center"/>
    </xf>
    <xf fontId="357" applyFont="true" borderId="8" applyBorder="true" applyNumberFormat="true" numFmtId="2" fillId="22" applyFill="true">
      <alignment horizontal="center" vertical="center"/>
    </xf>
    <xf fontId="358" applyFont="true" borderId="8" applyBorder="true" applyNumberFormat="true" numFmtId="2" fillId="22" applyFill="true">
      <alignment horizontal="center" vertical="center"/>
    </xf>
    <xf fontId="359" applyFont="true" borderId="8" applyBorder="true" applyNumberFormat="true" numFmtId="2" fillId="22" applyFill="true">
      <alignment horizontal="center" vertical="center"/>
    </xf>
    <xf fontId="360" applyFont="true" borderId="8" applyBorder="true" applyNumberFormat="true" numFmtId="2" fillId="22" applyFill="true">
      <alignment horizontal="center" vertical="center"/>
    </xf>
    <xf fontId="361" applyFont="true" borderId="8" applyBorder="true" applyNumberFormat="true" numFmtId="2" fillId="22" applyFill="true">
      <alignment horizontal="center" vertical="center"/>
    </xf>
    <xf fontId="362" applyFont="true" borderId="8" applyBorder="true" applyNumberFormat="true" numFmtId="2" fillId="22" applyFill="true">
      <alignment horizontal="center" vertical="center"/>
    </xf>
    <xf fontId="363" applyFont="true" borderId="8" applyBorder="true" applyNumberFormat="true" numFmtId="2" fillId="22" applyFill="true">
      <alignment horizontal="center" vertical="center"/>
    </xf>
    <xf fontId="364" applyFont="true" borderId="8" applyBorder="true" applyNumberFormat="true" numFmtId="2" fillId="22" applyFill="true">
      <alignment horizontal="center" vertical="center"/>
    </xf>
    <xf fontId="365" applyFont="true" borderId="8" applyBorder="true" applyNumberFormat="true" numFmtId="2" fillId="22" applyFill="true">
      <alignment horizontal="center" vertical="center"/>
    </xf>
    <xf fontId="366" applyFont="true" borderId="8" applyBorder="true" applyNumberFormat="true" numFmtId="2" fillId="22" applyFill="true">
      <alignment horizontal="center" vertical="center"/>
    </xf>
    <xf fontId="367" applyFont="true" borderId="8" applyBorder="true" applyNumberFormat="true" numFmtId="2" fillId="22" applyFill="true">
      <alignment horizontal="center" vertical="center"/>
    </xf>
    <xf fontId="368" applyFont="true" borderId="8" applyBorder="true" applyNumberFormat="true" numFmtId="2" fillId="22" applyFill="true">
      <alignment horizontal="center" vertical="center"/>
    </xf>
    <xf fontId="369" applyFont="true" borderId="8" applyBorder="true" applyNumberFormat="true" numFmtId="2" fillId="22" applyFill="true">
      <alignment horizontal="center" vertical="center"/>
    </xf>
    <xf fontId="370" applyFont="true" borderId="8" applyBorder="true" applyNumberFormat="true" numFmtId="2" fillId="22" applyFill="true">
      <alignment horizontal="center" vertical="center"/>
    </xf>
    <xf fontId="371" applyFont="true" borderId="8" applyBorder="true" applyNumberFormat="true" numFmtId="2" fillId="22" applyFill="true">
      <alignment horizontal="center" vertical="center"/>
    </xf>
    <xf fontId="372" applyFont="true" borderId="8" applyBorder="true" applyNumberFormat="true" numFmtId="2" fillId="22" applyFill="true">
      <alignment horizontal="center" vertical="center"/>
    </xf>
    <xf fontId="373" applyFont="true" borderId="8" applyBorder="true" applyNumberFormat="true" numFmtId="2" fillId="22" applyFill="true">
      <alignment horizontal="center" vertical="center"/>
    </xf>
    <xf fontId="374" applyFont="true" borderId="8" applyBorder="true" applyNumberFormat="true" numFmtId="2" fillId="22" applyFill="true">
      <alignment horizontal="center" vertical="center"/>
    </xf>
    <xf fontId="375" applyFont="true" borderId="8" applyBorder="true" applyNumberFormat="true" numFmtId="2" fillId="22" applyFill="true">
      <alignment horizontal="center" vertical="center"/>
    </xf>
    <xf fontId="376" applyFont="true" borderId="8" applyBorder="true" applyNumberFormat="true" numFmtId="2" fillId="22" applyFill="true">
      <alignment horizontal="center" vertical="center"/>
    </xf>
    <xf fontId="377" applyFont="true" borderId="8" applyBorder="true" applyNumberFormat="true" numFmtId="2" fillId="22" applyFill="true">
      <alignment horizontal="center" vertical="center"/>
    </xf>
    <xf fontId="378" applyFont="true" borderId="8" applyBorder="true" applyNumberFormat="true" numFmtId="2" fillId="22" applyFill="true">
      <alignment horizontal="center" vertical="center"/>
    </xf>
    <xf fontId="379" applyFont="true" borderId="8" applyBorder="true" applyNumberFormat="true" numFmtId="2" fillId="22" applyFill="true">
      <alignment horizontal="center" vertical="center"/>
    </xf>
    <xf fontId="380" applyFont="true" borderId="8" applyBorder="true" applyNumberFormat="true" numFmtId="2" fillId="22" applyFill="true">
      <alignment horizontal="center" vertical="center"/>
    </xf>
    <xf fontId="381" applyFont="true" borderId="8" applyBorder="true" applyNumberFormat="true" numFmtId="2" fillId="22" applyFill="true">
      <alignment horizontal="center" vertical="center"/>
    </xf>
    <xf fontId="382" applyFont="true" borderId="8" applyBorder="true" applyNumberFormat="true" numFmtId="2" fillId="22" applyFill="true">
      <alignment horizontal="center" vertical="center"/>
    </xf>
    <xf fontId="383" applyFont="true" borderId="8" applyBorder="true" applyNumberFormat="true" numFmtId="2" fillId="22" applyFill="true">
      <alignment horizontal="center" vertical="center"/>
    </xf>
    <xf fontId="384" applyFont="true" borderId="8" applyBorder="true" applyNumberFormat="true" numFmtId="2" fillId="22" applyFill="true">
      <alignment horizontal="center" vertical="center"/>
    </xf>
    <xf fontId="385" applyFont="true" borderId="8" applyBorder="true" applyNumberFormat="true" numFmtId="2" fillId="22" applyFill="true">
      <alignment horizontal="center" vertical="center"/>
    </xf>
    <xf fontId="386" applyFont="true" borderId="8" applyBorder="true" applyNumberFormat="true" numFmtId="2" fillId="22" applyFill="true">
      <alignment horizontal="center" vertical="center"/>
    </xf>
    <xf fontId="387" applyFont="true" borderId="8" applyBorder="true" applyNumberFormat="true" numFmtId="2" fillId="22" applyFill="true">
      <alignment horizontal="center" vertical="center"/>
    </xf>
    <xf fontId="388" applyFont="true" borderId="8" applyBorder="true" applyNumberFormat="true" numFmtId="2" fillId="22" applyFill="true">
      <alignment horizontal="center" vertical="center"/>
    </xf>
    <xf fontId="389" applyFont="true" borderId="8" applyBorder="true" applyNumberFormat="true" numFmtId="2" fillId="22" applyFill="true">
      <alignment horizontal="center" vertical="center"/>
    </xf>
    <xf fontId="390" applyFont="true" borderId="8" applyBorder="true" applyNumberFormat="true" numFmtId="2" fillId="22" applyFill="true">
      <alignment horizontal="center" vertical="center"/>
    </xf>
    <xf fontId="391" applyFont="true" borderId="8" applyBorder="true" applyNumberFormat="true" numFmtId="165" fillId="19" applyFill="true">
      <alignment horizontal="left" vertical="center"/>
    </xf>
    <xf fontId="392" applyFont="true" borderId="8" applyBorder="true" applyNumberFormat="true" numFmtId="165" fillId="22" applyFill="true">
      <alignment horizontal="center" vertical="center"/>
    </xf>
    <xf fontId="393" applyFont="true" borderId="8" applyBorder="true" applyNumberFormat="true" numFmtId="166" fillId="22" applyFill="true">
      <alignment horizontal="center" vertical="center"/>
    </xf>
    <xf fontId="394" applyFont="true" borderId="8" applyBorder="true" applyNumberFormat="true" numFmtId="1" fillId="22" applyFill="true">
      <alignment horizontal="center" vertical="center"/>
    </xf>
    <xf fontId="395" applyFont="true" borderId="8" applyBorder="true" applyNumberFormat="true" numFmtId="1" fillId="22" applyFill="true">
      <alignment horizontal="center" vertical="center"/>
    </xf>
    <xf fontId="396" applyFont="true" borderId="8" applyBorder="true" applyNumberFormat="true" numFmtId="1" fillId="22" applyFill="true">
      <alignment horizontal="center" vertical="center"/>
    </xf>
    <xf fontId="397" applyFont="true" borderId="8" applyBorder="true" applyNumberFormat="true" numFmtId="1" fillId="22" applyFill="true">
      <alignment horizontal="center" vertical="center"/>
    </xf>
    <xf fontId="398" applyFont="true" borderId="8" applyBorder="true" applyNumberFormat="true" numFmtId="1" fillId="22" applyFill="true">
      <alignment horizontal="center" vertical="center"/>
    </xf>
    <xf fontId="399" applyFont="true" borderId="8" applyBorder="true" applyNumberFormat="true" numFmtId="1" fillId="22" applyFill="true">
      <alignment horizontal="center" vertical="center"/>
    </xf>
    <xf fontId="400" applyFont="true" borderId="8" applyBorder="true" applyNumberFormat="true" numFmtId="1" fillId="22" applyFill="true">
      <alignment horizontal="center" vertical="center"/>
    </xf>
    <xf fontId="401" applyFont="true" borderId="8" applyBorder="true" applyNumberFormat="true" numFmtId="165" fillId="22" applyFill="true">
      <alignment horizontal="center" vertical="center"/>
    </xf>
    <xf fontId="402" applyFont="true" borderId="8" applyBorder="true" applyNumberFormat="true" numFmtId="165" fillId="22" applyFill="true">
      <alignment horizontal="center" vertical="center"/>
    </xf>
    <xf fontId="403" applyFont="true" borderId="8" applyBorder="true" applyNumberFormat="true" numFmtId="1" fillId="22" applyFill="true">
      <alignment horizontal="center" vertical="center"/>
    </xf>
    <xf fontId="404" applyFont="true" borderId="8" applyBorder="true" applyNumberFormat="true" numFmtId="1" fillId="22" applyFill="true">
      <alignment horizontal="center" vertical="center"/>
    </xf>
    <xf fontId="405" applyFont="true" borderId="8" applyBorder="true" applyNumberFormat="true" numFmtId="1" fillId="22" applyFill="true">
      <alignment horizontal="center" vertical="center"/>
    </xf>
    <xf fontId="406" applyFont="true" borderId="8" applyBorder="true" applyNumberFormat="true" numFmtId="167" fillId="22" applyFill="true">
      <alignment horizontal="center" vertical="center"/>
    </xf>
    <xf fontId="407" applyFont="true" borderId="8" applyBorder="true" applyNumberFormat="true" numFmtId="1" fillId="22" applyFill="true">
      <alignment horizontal="center" vertical="center"/>
    </xf>
    <xf fontId="408" applyFont="true" borderId="8" applyBorder="true" applyNumberFormat="true" numFmtId="167" fillId="22" applyFill="true">
      <alignment horizontal="center" vertical="center"/>
    </xf>
    <xf fontId="409" applyFont="true" borderId="8" applyBorder="true" applyNumberFormat="true" numFmtId="1" fillId="22" applyFill="true">
      <alignment horizontal="center" vertical="center"/>
    </xf>
    <xf fontId="410" applyFont="true" borderId="8" applyBorder="true" applyNumberFormat="true" numFmtId="167" fillId="22" applyFill="true">
      <alignment horizontal="center" vertical="center"/>
    </xf>
    <xf fontId="411" applyFont="true" borderId="8" applyBorder="true" applyNumberFormat="true" numFmtId="1" fillId="22" applyFill="true">
      <alignment horizontal="center" vertical="center"/>
    </xf>
    <xf fontId="412" applyFont="true" borderId="8" applyBorder="true" applyNumberFormat="true" numFmtId="167" fillId="22" applyFill="true">
      <alignment horizontal="center" vertical="center"/>
    </xf>
    <xf fontId="413" applyFont="true" borderId="8" applyBorder="true" applyNumberFormat="true" numFmtId="167" fillId="22" applyFill="true">
      <alignment horizontal="center" vertical="center"/>
    </xf>
    <xf fontId="414" applyFont="true" borderId="8" applyBorder="true" applyNumberFormat="true" numFmtId="1" fillId="22" applyFill="true">
      <alignment horizontal="center" vertical="center"/>
    </xf>
    <xf fontId="415" applyFont="true" borderId="8" applyBorder="true" applyNumberFormat="true" numFmtId="1" fillId="22" applyFill="true">
      <alignment horizontal="center" vertical="center"/>
    </xf>
    <xf fontId="416" applyFont="true" borderId="8" applyBorder="true" applyNumberFormat="true" numFmtId="1" fillId="22" applyFill="true">
      <alignment horizontal="center" vertical="center"/>
    </xf>
    <xf fontId="417" applyFont="true" borderId="8" applyBorder="true" applyNumberFormat="true" numFmtId="167" fillId="22" applyFill="true">
      <alignment horizontal="center" vertical="center"/>
    </xf>
    <xf fontId="418" applyFont="true" borderId="8" applyBorder="true" applyNumberFormat="true" numFmtId="166" fillId="22" applyFill="true">
      <alignment horizontal="center" vertical="center"/>
    </xf>
    <xf fontId="419" applyFont="true" borderId="8" applyBorder="true" applyNumberFormat="true" numFmtId="166" fillId="22" applyFill="true">
      <alignment horizontal="center" vertical="center"/>
    </xf>
    <xf fontId="420" applyFont="true" borderId="8" applyBorder="true" applyNumberFormat="true" numFmtId="1" fillId="22" applyFill="true">
      <alignment horizontal="center" vertical="center"/>
    </xf>
    <xf fontId="421" applyFont="true" borderId="8" applyBorder="true" applyNumberFormat="true" numFmtId="1" fillId="22" applyFill="true">
      <alignment horizontal="center" vertical="center"/>
    </xf>
    <xf fontId="422" applyFont="true" borderId="8" applyBorder="true" applyNumberFormat="true" numFmtId="1" fillId="22" applyFill="true">
      <alignment horizontal="center" vertical="center"/>
    </xf>
    <xf fontId="423" applyFont="true" borderId="8" applyBorder="true" applyNumberFormat="true" numFmtId="167" fillId="22" applyFill="true">
      <alignment horizontal="center" vertical="center"/>
    </xf>
    <xf fontId="424" applyFont="true" borderId="8" applyBorder="true" applyNumberFormat="true" numFmtId="1" fillId="22" applyFill="true">
      <alignment horizontal="center" vertical="center"/>
    </xf>
    <xf fontId="425" applyFont="true" borderId="8" applyBorder="true" applyNumberFormat="true" numFmtId="167" fillId="22" applyFill="true">
      <alignment horizontal="center" vertical="center"/>
    </xf>
    <xf fontId="426" applyFont="true" borderId="8" applyBorder="true" applyNumberFormat="true" numFmtId="1" fillId="22" applyFill="true">
      <alignment horizontal="center" vertical="center"/>
    </xf>
    <xf fontId="427" applyFont="true" borderId="8" applyBorder="true" applyNumberFormat="true" numFmtId="1" fillId="22" applyFill="true">
      <alignment horizontal="center" vertical="center"/>
    </xf>
    <xf fontId="428" applyFont="true" borderId="8" applyBorder="true" applyNumberFormat="true" numFmtId="1" fillId="22" applyFill="true">
      <alignment horizontal="center" vertical="center"/>
    </xf>
    <xf fontId="429" applyFont="true" borderId="8" applyBorder="true" applyNumberFormat="true" numFmtId="1" fillId="22" applyFill="true">
      <alignment horizontal="center" vertical="center"/>
    </xf>
    <xf fontId="430" applyFont="true" borderId="8" applyBorder="true" applyNumberFormat="true" numFmtId="167" fillId="22" applyFill="true">
      <alignment horizontal="center" vertical="center"/>
    </xf>
    <xf fontId="431" applyFont="true" borderId="8" applyBorder="true" applyNumberFormat="true" numFmtId="1" fillId="22" applyFill="true">
      <alignment horizontal="center" vertical="center"/>
    </xf>
    <xf fontId="432" applyFont="true" borderId="8" applyBorder="true" applyNumberFormat="true" numFmtId="167" fillId="22" applyFill="true">
      <alignment horizontal="center" vertical="center"/>
    </xf>
    <xf fontId="433" applyFont="true" borderId="8" applyBorder="true" applyNumberFormat="true" numFmtId="1" fillId="22" applyFill="true">
      <alignment horizontal="center" vertical="center"/>
    </xf>
    <xf fontId="434" applyFont="true" borderId="8" applyBorder="true" applyNumberFormat="true" numFmtId="167" fillId="22" applyFill="true">
      <alignment horizontal="center" vertical="center"/>
    </xf>
    <xf fontId="435" applyFont="true" borderId="8" applyBorder="true" applyNumberFormat="true" numFmtId="2" fillId="22" applyFill="true">
      <alignment horizontal="center" vertical="center"/>
    </xf>
    <xf fontId="436" applyFont="true" borderId="8" applyBorder="true" applyNumberFormat="true" numFmtId="2" fillId="22" applyFill="true">
      <alignment horizontal="center" vertical="center"/>
    </xf>
    <xf fontId="437" applyFont="true" borderId="8" applyBorder="true" applyNumberFormat="true" numFmtId="2" fillId="22" applyFill="true">
      <alignment horizontal="center" vertical="center"/>
    </xf>
    <xf fontId="438" applyFont="true" borderId="8" applyBorder="true" applyNumberFormat="true" numFmtId="2" fillId="22" applyFill="true">
      <alignment horizontal="center" vertical="center"/>
    </xf>
    <xf fontId="439" applyFont="true" borderId="8" applyBorder="true" applyNumberFormat="true" numFmtId="2" fillId="22" applyFill="true">
      <alignment horizontal="center" vertical="center"/>
    </xf>
    <xf fontId="440" applyFont="true" borderId="8" applyBorder="true" applyNumberFormat="true" numFmtId="2" fillId="22" applyFill="true">
      <alignment horizontal="center" vertical="center"/>
    </xf>
    <xf fontId="441" applyFont="true" borderId="8" applyBorder="true" applyNumberFormat="true" numFmtId="2" fillId="22" applyFill="true">
      <alignment horizontal="center" vertical="center"/>
    </xf>
    <xf fontId="442" applyFont="true" borderId="8" applyBorder="true" applyNumberFormat="true" numFmtId="2" fillId="22" applyFill="true">
      <alignment horizontal="center" vertical="center"/>
    </xf>
    <xf fontId="443" applyFont="true" borderId="8" applyBorder="true" applyNumberFormat="true" numFmtId="2" fillId="22" applyFill="true">
      <alignment horizontal="center" vertical="center"/>
    </xf>
    <xf fontId="444" applyFont="true" borderId="8" applyBorder="true" applyNumberFormat="true" numFmtId="2" fillId="22" applyFill="true">
      <alignment horizontal="center" vertical="center"/>
    </xf>
    <xf fontId="445" applyFont="true" borderId="8" applyBorder="true" applyNumberFormat="true" numFmtId="2" fillId="22" applyFill="true">
      <alignment horizontal="center" vertical="center"/>
    </xf>
    <xf fontId="446" applyFont="true" borderId="8" applyBorder="true" applyNumberFormat="true" numFmtId="2" fillId="22" applyFill="true">
      <alignment horizontal="center" vertical="center"/>
    </xf>
    <xf fontId="447" applyFont="true" borderId="8" applyBorder="true" applyNumberFormat="true" numFmtId="2" fillId="22" applyFill="true">
      <alignment horizontal="center" vertical="center"/>
    </xf>
    <xf fontId="448" applyFont="true" borderId="8" applyBorder="true" applyNumberFormat="true" numFmtId="2" fillId="22" applyFill="true">
      <alignment horizontal="center" vertical="center"/>
    </xf>
    <xf fontId="449" applyFont="true" borderId="8" applyBorder="true" applyNumberFormat="true" numFmtId="2" fillId="22" applyFill="true">
      <alignment horizontal="center" vertical="center"/>
    </xf>
    <xf fontId="450" applyFont="true" borderId="8" applyBorder="true" applyNumberFormat="true" numFmtId="2" fillId="22" applyFill="true">
      <alignment horizontal="center" vertical="center"/>
    </xf>
    <xf fontId="451" applyFont="true" borderId="8" applyBorder="true" applyNumberFormat="true" numFmtId="2" fillId="22" applyFill="true">
      <alignment horizontal="center" vertical="center"/>
    </xf>
    <xf fontId="452" applyFont="true" borderId="8" applyBorder="true" applyNumberFormat="true" numFmtId="2" fillId="22" applyFill="true">
      <alignment horizontal="center" vertical="center"/>
    </xf>
    <xf fontId="453" applyFont="true" borderId="8" applyBorder="true" applyNumberFormat="true" numFmtId="2" fillId="22" applyFill="true">
      <alignment horizontal="center" vertical="center"/>
    </xf>
    <xf fontId="454" applyFont="true" borderId="8" applyBorder="true" applyNumberFormat="true" numFmtId="2" fillId="22" applyFill="true">
      <alignment horizontal="center" vertical="center"/>
    </xf>
    <xf fontId="455" applyFont="true" borderId="8" applyBorder="true" applyNumberFormat="true" numFmtId="2" fillId="22" applyFill="true">
      <alignment horizontal="center" vertical="center"/>
    </xf>
    <xf fontId="456" applyFont="true" borderId="8" applyBorder="true" applyNumberFormat="true" numFmtId="2" fillId="22" applyFill="true">
      <alignment horizontal="center" vertical="center"/>
    </xf>
    <xf fontId="457" applyFont="true" borderId="8" applyBorder="true" applyNumberFormat="true" numFmtId="2" fillId="22" applyFill="true">
      <alignment horizontal="center" vertical="center"/>
    </xf>
    <xf fontId="458" applyFont="true" borderId="8" applyBorder="true" applyNumberFormat="true" numFmtId="2" fillId="22" applyFill="true">
      <alignment horizontal="center" vertical="center"/>
    </xf>
    <xf fontId="459" applyFont="true" borderId="8" applyBorder="true" applyNumberFormat="true" numFmtId="2" fillId="22" applyFill="true">
      <alignment horizontal="center" vertical="center"/>
    </xf>
    <xf fontId="460" applyFont="true" borderId="8" applyBorder="true" applyNumberFormat="true" numFmtId="2" fillId="22" applyFill="true">
      <alignment horizontal="center" vertical="center"/>
    </xf>
    <xf fontId="461" applyFont="true" borderId="8" applyBorder="true" applyNumberFormat="true" numFmtId="2" fillId="22" applyFill="true">
      <alignment horizontal="center" vertical="center"/>
    </xf>
    <xf fontId="462" applyFont="true" borderId="8" applyBorder="true" applyNumberFormat="true" numFmtId="2" fillId="22" applyFill="true">
      <alignment horizontal="center" vertical="center"/>
    </xf>
    <xf fontId="463" applyFont="true" borderId="8" applyBorder="true" applyNumberFormat="true" numFmtId="2" fillId="22" applyFill="true">
      <alignment horizontal="center" vertical="center"/>
    </xf>
    <xf fontId="464" applyFont="true" borderId="8" applyBorder="true" applyNumberFormat="true" numFmtId="2" fillId="22" applyFill="true">
      <alignment horizontal="center" vertical="center"/>
    </xf>
    <xf fontId="465" applyFont="true" borderId="8" applyBorder="true" applyNumberFormat="true" numFmtId="2" fillId="22" applyFill="true">
      <alignment horizontal="center" vertical="center"/>
    </xf>
    <xf fontId="466" applyFont="true" borderId="8" applyBorder="true" applyNumberFormat="true" numFmtId="2" fillId="22" applyFill="true">
      <alignment horizontal="center" vertical="center"/>
    </xf>
    <xf fontId="467" applyFont="true" borderId="8" applyBorder="true" applyNumberFormat="true" numFmtId="2" fillId="22" applyFill="true">
      <alignment horizontal="center" vertical="center"/>
    </xf>
    <xf fontId="468" applyFont="true" borderId="8" applyBorder="true" applyNumberFormat="true" numFmtId="2" fillId="22" applyFill="true">
      <alignment horizontal="center" vertical="center"/>
    </xf>
    <xf fontId="469" applyFont="true" borderId="8" applyBorder="true" applyNumberFormat="true" numFmtId="165" fillId="19" applyFill="true">
      <alignment horizontal="left" vertical="center"/>
    </xf>
    <xf fontId="470" applyFont="true" borderId="8" applyBorder="true" applyNumberFormat="true" numFmtId="165" fillId="22" applyFill="true">
      <alignment horizontal="center" vertical="center"/>
    </xf>
    <xf fontId="471" applyFont="true" borderId="8" applyBorder="true" applyNumberFormat="true" numFmtId="166" fillId="22" applyFill="true">
      <alignment horizontal="center" vertical="center"/>
    </xf>
    <xf fontId="472" applyFont="true" borderId="8" applyBorder="true" applyNumberFormat="true" numFmtId="1" fillId="22" applyFill="true">
      <alignment horizontal="center" vertical="center"/>
    </xf>
    <xf fontId="473" applyFont="true" borderId="8" applyBorder="true" applyNumberFormat="true" numFmtId="1" fillId="22" applyFill="true">
      <alignment horizontal="center" vertical="center"/>
    </xf>
    <xf fontId="474" applyFont="true" borderId="8" applyBorder="true" applyNumberFormat="true" numFmtId="1" fillId="22" applyFill="true">
      <alignment horizontal="center" vertical="center"/>
    </xf>
    <xf fontId="475" applyFont="true" borderId="8" applyBorder="true" applyNumberFormat="true" numFmtId="1" fillId="22" applyFill="true">
      <alignment horizontal="center" vertical="center"/>
    </xf>
    <xf fontId="476" applyFont="true" borderId="8" applyBorder="true" applyNumberFormat="true" numFmtId="1" fillId="22" applyFill="true">
      <alignment horizontal="center" vertical="center"/>
    </xf>
    <xf fontId="477" applyFont="true" borderId="8" applyBorder="true" applyNumberFormat="true" numFmtId="1" fillId="22" applyFill="true">
      <alignment horizontal="center" vertical="center"/>
    </xf>
    <xf fontId="478" applyFont="true" borderId="8" applyBorder="true" applyNumberFormat="true" numFmtId="1" fillId="22" applyFill="true">
      <alignment horizontal="center" vertical="center"/>
    </xf>
    <xf fontId="479" applyFont="true" borderId="8" applyBorder="true" applyNumberFormat="true" numFmtId="165" fillId="22" applyFill="true">
      <alignment horizontal="center" vertical="center"/>
    </xf>
    <xf fontId="480" applyFont="true" borderId="8" applyBorder="true" applyNumberFormat="true" numFmtId="165" fillId="22" applyFill="true">
      <alignment horizontal="center" vertical="center"/>
    </xf>
    <xf fontId="481" applyFont="true" borderId="8" applyBorder="true" applyNumberFormat="true" numFmtId="1" fillId="22" applyFill="true">
      <alignment horizontal="center" vertical="center"/>
    </xf>
    <xf fontId="482" applyFont="true" borderId="8" applyBorder="true" applyNumberFormat="true" numFmtId="1" fillId="22" applyFill="true">
      <alignment horizontal="center" vertical="center"/>
    </xf>
    <xf fontId="483" applyFont="true" borderId="8" applyBorder="true" applyNumberFormat="true" numFmtId="1" fillId="22" applyFill="true">
      <alignment horizontal="center" vertical="center"/>
    </xf>
    <xf fontId="484" applyFont="true" borderId="8" applyBorder="true" applyNumberFormat="true" numFmtId="167" fillId="22" applyFill="true">
      <alignment horizontal="center" vertical="center"/>
    </xf>
    <xf fontId="485" applyFont="true" borderId="8" applyBorder="true" applyNumberFormat="true" numFmtId="1" fillId="22" applyFill="true">
      <alignment horizontal="center" vertical="center"/>
    </xf>
    <xf fontId="486" applyFont="true" borderId="8" applyBorder="true" applyNumberFormat="true" numFmtId="167" fillId="22" applyFill="true">
      <alignment horizontal="center" vertical="center"/>
    </xf>
    <xf fontId="487" applyFont="true" borderId="8" applyBorder="true" applyNumberFormat="true" numFmtId="1" fillId="22" applyFill="true">
      <alignment horizontal="center" vertical="center"/>
    </xf>
    <xf fontId="488" applyFont="true" borderId="8" applyBorder="true" applyNumberFormat="true" numFmtId="167" fillId="22" applyFill="true">
      <alignment horizontal="center" vertical="center"/>
    </xf>
    <xf fontId="489" applyFont="true" borderId="8" applyBorder="true" applyNumberFormat="true" numFmtId="1" fillId="22" applyFill="true">
      <alignment horizontal="center" vertical="center"/>
    </xf>
    <xf fontId="490" applyFont="true" borderId="8" applyBorder="true" applyNumberFormat="true" numFmtId="167" fillId="22" applyFill="true">
      <alignment horizontal="center" vertical="center"/>
    </xf>
    <xf fontId="491" applyFont="true" borderId="8" applyBorder="true" applyNumberFormat="true" numFmtId="167" fillId="22" applyFill="true">
      <alignment horizontal="center" vertical="center"/>
    </xf>
    <xf fontId="492" applyFont="true" borderId="8" applyBorder="true" applyNumberFormat="true" numFmtId="1" fillId="22" applyFill="true">
      <alignment horizontal="center" vertical="center"/>
    </xf>
    <xf fontId="493" applyFont="true" borderId="8" applyBorder="true" applyNumberFormat="true" numFmtId="1" fillId="22" applyFill="true">
      <alignment horizontal="center" vertical="center"/>
    </xf>
    <xf fontId="494" applyFont="true" borderId="8" applyBorder="true" applyNumberFormat="true" numFmtId="1" fillId="22" applyFill="true">
      <alignment horizontal="center" vertical="center"/>
    </xf>
    <xf fontId="495" applyFont="true" borderId="8" applyBorder="true" applyNumberFormat="true" numFmtId="167" fillId="22" applyFill="true">
      <alignment horizontal="center" vertical="center"/>
    </xf>
    <xf fontId="496" applyFont="true" borderId="8" applyBorder="true" applyNumberFormat="true" numFmtId="166" fillId="22" applyFill="true">
      <alignment horizontal="center" vertical="center"/>
    </xf>
    <xf fontId="497" applyFont="true" borderId="8" applyBorder="true" applyNumberFormat="true" numFmtId="166" fillId="22" applyFill="true">
      <alignment horizontal="center" vertical="center"/>
    </xf>
    <xf fontId="498" applyFont="true" borderId="8" applyBorder="true" applyNumberFormat="true" numFmtId="1" fillId="22" applyFill="true">
      <alignment horizontal="center" vertical="center"/>
    </xf>
    <xf fontId="499" applyFont="true" borderId="8" applyBorder="true" applyNumberFormat="true" numFmtId="1" fillId="22" applyFill="true">
      <alignment horizontal="center" vertical="center"/>
    </xf>
    <xf fontId="500" applyFont="true" borderId="8" applyBorder="true" applyNumberFormat="true" numFmtId="1" fillId="22" applyFill="true">
      <alignment horizontal="center" vertical="center"/>
    </xf>
    <xf fontId="501" applyFont="true" borderId="8" applyBorder="true" applyNumberFormat="true" numFmtId="167" fillId="22" applyFill="true">
      <alignment horizontal="center" vertical="center"/>
    </xf>
    <xf fontId="502" applyFont="true" borderId="8" applyBorder="true" applyNumberFormat="true" numFmtId="1" fillId="22" applyFill="true">
      <alignment horizontal="center" vertical="center"/>
    </xf>
    <xf fontId="503" applyFont="true" borderId="8" applyBorder="true" applyNumberFormat="true" numFmtId="167" fillId="22" applyFill="true">
      <alignment horizontal="center" vertical="center"/>
    </xf>
    <xf fontId="504" applyFont="true" borderId="8" applyBorder="true" applyNumberFormat="true" numFmtId="1" fillId="22" applyFill="true">
      <alignment horizontal="center" vertical="center"/>
    </xf>
    <xf fontId="505" applyFont="true" borderId="8" applyBorder="true" applyNumberFormat="true" numFmtId="1" fillId="22" applyFill="true">
      <alignment horizontal="center" vertical="center"/>
    </xf>
    <xf fontId="506" applyFont="true" borderId="8" applyBorder="true" applyNumberFormat="true" numFmtId="1" fillId="22" applyFill="true">
      <alignment horizontal="center" vertical="center"/>
    </xf>
    <xf fontId="507" applyFont="true" borderId="8" applyBorder="true" applyNumberFormat="true" numFmtId="1" fillId="22" applyFill="true">
      <alignment horizontal="center" vertical="center"/>
    </xf>
    <xf fontId="508" applyFont="true" borderId="8" applyBorder="true" applyNumberFormat="true" numFmtId="167" fillId="22" applyFill="true">
      <alignment horizontal="center" vertical="center"/>
    </xf>
    <xf fontId="509" applyFont="true" borderId="8" applyBorder="true" applyNumberFormat="true" numFmtId="1" fillId="22" applyFill="true">
      <alignment horizontal="center" vertical="center"/>
    </xf>
    <xf fontId="510" applyFont="true" borderId="8" applyBorder="true" applyNumberFormat="true" numFmtId="167" fillId="22" applyFill="true">
      <alignment horizontal="center" vertical="center"/>
    </xf>
    <xf fontId="511" applyFont="true" borderId="8" applyBorder="true" applyNumberFormat="true" numFmtId="1" fillId="22" applyFill="true">
      <alignment horizontal="center" vertical="center"/>
    </xf>
    <xf fontId="512" applyFont="true" borderId="8" applyBorder="true" applyNumberFormat="true" numFmtId="167" fillId="22" applyFill="true">
      <alignment horizontal="center" vertical="center"/>
    </xf>
    <xf fontId="513" applyFont="true" borderId="8" applyBorder="true" applyNumberFormat="true" numFmtId="2" fillId="22" applyFill="true">
      <alignment horizontal="center" vertical="center"/>
    </xf>
    <xf fontId="514" applyFont="true" borderId="8" applyBorder="true" applyNumberFormat="true" numFmtId="2" fillId="22" applyFill="true">
      <alignment horizontal="center" vertical="center"/>
    </xf>
    <xf fontId="515" applyFont="true" borderId="8" applyBorder="true" applyNumberFormat="true" numFmtId="2" fillId="22" applyFill="true">
      <alignment horizontal="center" vertical="center"/>
    </xf>
    <xf fontId="516" applyFont="true" borderId="8" applyBorder="true" applyNumberFormat="true" numFmtId="2" fillId="22" applyFill="true">
      <alignment horizontal="center" vertical="center"/>
    </xf>
    <xf fontId="517" applyFont="true" borderId="8" applyBorder="true" applyNumberFormat="true" numFmtId="2" fillId="22" applyFill="true">
      <alignment horizontal="center" vertical="center"/>
    </xf>
    <xf fontId="518" applyFont="true" borderId="8" applyBorder="true" applyNumberFormat="true" numFmtId="2" fillId="22" applyFill="true">
      <alignment horizontal="center" vertical="center"/>
    </xf>
    <xf fontId="519" applyFont="true" borderId="8" applyBorder="true" applyNumberFormat="true" numFmtId="2" fillId="22" applyFill="true">
      <alignment horizontal="center" vertical="center"/>
    </xf>
    <xf fontId="520" applyFont="true" borderId="8" applyBorder="true" applyNumberFormat="true" numFmtId="2" fillId="22" applyFill="true">
      <alignment horizontal="center" vertical="center"/>
    </xf>
    <xf fontId="521" applyFont="true" borderId="8" applyBorder="true" applyNumberFormat="true" numFmtId="2" fillId="22" applyFill="true">
      <alignment horizontal="center" vertical="center"/>
    </xf>
    <xf fontId="522" applyFont="true" borderId="8" applyBorder="true" applyNumberFormat="true" numFmtId="2" fillId="22" applyFill="true">
      <alignment horizontal="center" vertical="center"/>
    </xf>
    <xf fontId="523" applyFont="true" borderId="8" applyBorder="true" applyNumberFormat="true" numFmtId="2" fillId="22" applyFill="true">
      <alignment horizontal="center" vertical="center"/>
    </xf>
    <xf fontId="524" applyFont="true" borderId="8" applyBorder="true" applyNumberFormat="true" numFmtId="2" fillId="22" applyFill="true">
      <alignment horizontal="center" vertical="center"/>
    </xf>
    <xf fontId="525" applyFont="true" borderId="8" applyBorder="true" applyNumberFormat="true" numFmtId="2" fillId="22" applyFill="true">
      <alignment horizontal="center" vertical="center"/>
    </xf>
    <xf fontId="526" applyFont="true" borderId="8" applyBorder="true" applyNumberFormat="true" numFmtId="2" fillId="22" applyFill="true">
      <alignment horizontal="center" vertical="center"/>
    </xf>
    <xf fontId="527" applyFont="true" borderId="8" applyBorder="true" applyNumberFormat="true" numFmtId="2" fillId="22" applyFill="true">
      <alignment horizontal="center" vertical="center"/>
    </xf>
    <xf fontId="528" applyFont="true" borderId="8" applyBorder="true" applyNumberFormat="true" numFmtId="2" fillId="22" applyFill="true">
      <alignment horizontal="center" vertical="center"/>
    </xf>
    <xf fontId="529" applyFont="true" borderId="8" applyBorder="true" applyNumberFormat="true" numFmtId="2" fillId="22" applyFill="true">
      <alignment horizontal="center" vertical="center"/>
    </xf>
    <xf fontId="530" applyFont="true" borderId="8" applyBorder="true" applyNumberFormat="true" numFmtId="2" fillId="22" applyFill="true">
      <alignment horizontal="center" vertical="center"/>
    </xf>
    <xf fontId="531" applyFont="true" borderId="8" applyBorder="true" applyNumberFormat="true" numFmtId="2" fillId="22" applyFill="true">
      <alignment horizontal="center" vertical="center"/>
    </xf>
    <xf fontId="532" applyFont="true" borderId="8" applyBorder="true" applyNumberFormat="true" numFmtId="2" fillId="22" applyFill="true">
      <alignment horizontal="center" vertical="center"/>
    </xf>
    <xf fontId="533" applyFont="true" borderId="8" applyBorder="true" applyNumberFormat="true" numFmtId="2" fillId="22" applyFill="true">
      <alignment horizontal="center" vertical="center"/>
    </xf>
    <xf fontId="534" applyFont="true" borderId="8" applyBorder="true" applyNumberFormat="true" numFmtId="2" fillId="22" applyFill="true">
      <alignment horizontal="center" vertical="center"/>
    </xf>
    <xf fontId="535" applyFont="true" borderId="8" applyBorder="true" applyNumberFormat="true" numFmtId="2" fillId="22" applyFill="true">
      <alignment horizontal="center" vertical="center"/>
    </xf>
    <xf fontId="536" applyFont="true" borderId="8" applyBorder="true" applyNumberFormat="true" numFmtId="2" fillId="22" applyFill="true">
      <alignment horizontal="center" vertical="center"/>
    </xf>
    <xf fontId="537" applyFont="true" borderId="8" applyBorder="true" applyNumberFormat="true" numFmtId="2" fillId="22" applyFill="true">
      <alignment horizontal="center" vertical="center"/>
    </xf>
    <xf fontId="538" applyFont="true" borderId="8" applyBorder="true" applyNumberFormat="true" numFmtId="2" fillId="22" applyFill="true">
      <alignment horizontal="center" vertical="center"/>
    </xf>
    <xf fontId="539" applyFont="true" borderId="8" applyBorder="true" applyNumberFormat="true" numFmtId="2" fillId="22" applyFill="true">
      <alignment horizontal="center" vertical="center"/>
    </xf>
    <xf fontId="540" applyFont="true" borderId="8" applyBorder="true" applyNumberFormat="true" numFmtId="2" fillId="22" applyFill="true">
      <alignment horizontal="center" vertical="center"/>
    </xf>
    <xf fontId="541" applyFont="true" borderId="8" applyBorder="true" applyNumberFormat="true" numFmtId="2" fillId="22" applyFill="true">
      <alignment horizontal="center" vertical="center"/>
    </xf>
    <xf fontId="542" applyFont="true" borderId="8" applyBorder="true" applyNumberFormat="true" numFmtId="2" fillId="22" applyFill="true">
      <alignment horizontal="center" vertical="center"/>
    </xf>
    <xf fontId="543" applyFont="true" borderId="8" applyBorder="true" applyNumberFormat="true" numFmtId="2" fillId="22" applyFill="true">
      <alignment horizontal="center" vertical="center"/>
    </xf>
    <xf fontId="544" applyFont="true" borderId="8" applyBorder="true" applyNumberFormat="true" numFmtId="2" fillId="22" applyFill="true">
      <alignment horizontal="center" vertical="center"/>
    </xf>
    <xf fontId="545" applyFont="true" borderId="8" applyBorder="true" applyNumberFormat="true" numFmtId="2" fillId="22" applyFill="true">
      <alignment horizontal="center" vertical="center"/>
    </xf>
    <xf fontId="546" applyFont="true" borderId="8" applyBorder="true" applyNumberFormat="true" numFmtId="2" fillId="22" applyFill="true">
      <alignment horizontal="center" vertical="center"/>
    </xf>
    <xf fontId="547" applyFont="true" borderId="8" applyBorder="true" applyNumberFormat="true" numFmtId="165" fillId="19" applyFill="true">
      <alignment horizontal="left" vertical="center"/>
    </xf>
    <xf fontId="548" applyFont="true" borderId="8" applyBorder="true" applyNumberFormat="true" numFmtId="165" fillId="22" applyFill="true">
      <alignment horizontal="center" vertical="center"/>
    </xf>
    <xf fontId="549" applyFont="true" borderId="8" applyBorder="true" applyNumberFormat="true" numFmtId="166" fillId="22" applyFill="true">
      <alignment horizontal="center" vertical="center"/>
    </xf>
    <xf fontId="550" applyFont="true" borderId="8" applyBorder="true" applyNumberFormat="true" numFmtId="1" fillId="22" applyFill="true">
      <alignment horizontal="center" vertical="center"/>
    </xf>
    <xf fontId="551" applyFont="true" borderId="8" applyBorder="true" applyNumberFormat="true" numFmtId="1" fillId="22" applyFill="true">
      <alignment horizontal="center" vertical="center"/>
    </xf>
    <xf fontId="552" applyFont="true" borderId="8" applyBorder="true" applyNumberFormat="true" numFmtId="1" fillId="22" applyFill="true">
      <alignment horizontal="center" vertical="center"/>
    </xf>
    <xf fontId="553" applyFont="true" borderId="8" applyBorder="true" applyNumberFormat="true" numFmtId="1" fillId="22" applyFill="true">
      <alignment horizontal="center" vertical="center"/>
    </xf>
    <xf fontId="554" applyFont="true" borderId="8" applyBorder="true" applyNumberFormat="true" numFmtId="1" fillId="22" applyFill="true">
      <alignment horizontal="center" vertical="center"/>
    </xf>
    <xf fontId="555" applyFont="true" borderId="8" applyBorder="true" applyNumberFormat="true" numFmtId="1" fillId="22" applyFill="true">
      <alignment horizontal="center" vertical="center"/>
    </xf>
    <xf fontId="556" applyFont="true" borderId="8" applyBorder="true" applyNumberFormat="true" numFmtId="1" fillId="22" applyFill="true">
      <alignment horizontal="center" vertical="center"/>
    </xf>
    <xf fontId="557" applyFont="true" borderId="8" applyBorder="true" applyNumberFormat="true" numFmtId="165" fillId="22" applyFill="true">
      <alignment horizontal="center" vertical="center"/>
    </xf>
    <xf fontId="558" applyFont="true" borderId="8" applyBorder="true" applyNumberFormat="true" numFmtId="165" fillId="22" applyFill="true">
      <alignment horizontal="center" vertical="center"/>
    </xf>
    <xf fontId="559" applyFont="true" borderId="8" applyBorder="true" applyNumberFormat="true" numFmtId="1" fillId="22" applyFill="true">
      <alignment horizontal="center" vertical="center"/>
    </xf>
    <xf fontId="560" applyFont="true" borderId="8" applyBorder="true" applyNumberFormat="true" numFmtId="1" fillId="22" applyFill="true">
      <alignment horizontal="center" vertical="center"/>
    </xf>
    <xf fontId="561" applyFont="true" borderId="8" applyBorder="true" applyNumberFormat="true" numFmtId="1" fillId="22" applyFill="true">
      <alignment horizontal="center" vertical="center"/>
    </xf>
    <xf fontId="562" applyFont="true" borderId="8" applyBorder="true" applyNumberFormat="true" numFmtId="167" fillId="22" applyFill="true">
      <alignment horizontal="center" vertical="center"/>
    </xf>
    <xf fontId="563" applyFont="true" borderId="8" applyBorder="true" applyNumberFormat="true" numFmtId="1" fillId="22" applyFill="true">
      <alignment horizontal="center" vertical="center"/>
    </xf>
    <xf fontId="564" applyFont="true" borderId="8" applyBorder="true" applyNumberFormat="true" numFmtId="167" fillId="22" applyFill="true">
      <alignment horizontal="center" vertical="center"/>
    </xf>
    <xf fontId="565" applyFont="true" borderId="8" applyBorder="true" applyNumberFormat="true" numFmtId="1" fillId="22" applyFill="true">
      <alignment horizontal="center" vertical="center"/>
    </xf>
    <xf fontId="566" applyFont="true" borderId="8" applyBorder="true" applyNumberFormat="true" numFmtId="167" fillId="22" applyFill="true">
      <alignment horizontal="center" vertical="center"/>
    </xf>
    <xf fontId="567" applyFont="true" borderId="8" applyBorder="true" applyNumberFormat="true" numFmtId="1" fillId="22" applyFill="true">
      <alignment horizontal="center" vertical="center"/>
    </xf>
    <xf fontId="568" applyFont="true" borderId="8" applyBorder="true" applyNumberFormat="true" numFmtId="167" fillId="22" applyFill="true">
      <alignment horizontal="center" vertical="center"/>
    </xf>
    <xf fontId="569" applyFont="true" borderId="8" applyBorder="true" applyNumberFormat="true" numFmtId="167" fillId="22" applyFill="true">
      <alignment horizontal="center" vertical="center"/>
    </xf>
    <xf fontId="570" applyFont="true" borderId="8" applyBorder="true" applyNumberFormat="true" numFmtId="1" fillId="22" applyFill="true">
      <alignment horizontal="center" vertical="center"/>
    </xf>
    <xf fontId="571" applyFont="true" borderId="8" applyBorder="true" applyNumberFormat="true" numFmtId="1" fillId="22" applyFill="true">
      <alignment horizontal="center" vertical="center"/>
    </xf>
    <xf fontId="572" applyFont="true" borderId="8" applyBorder="true" applyNumberFormat="true" numFmtId="1" fillId="22" applyFill="true">
      <alignment horizontal="center" vertical="center"/>
    </xf>
    <xf fontId="573" applyFont="true" borderId="8" applyBorder="true" applyNumberFormat="true" numFmtId="167" fillId="22" applyFill="true">
      <alignment horizontal="center" vertical="center"/>
    </xf>
    <xf fontId="574" applyFont="true" borderId="8" applyBorder="true" applyNumberFormat="true" numFmtId="166" fillId="22" applyFill="true">
      <alignment horizontal="center" vertical="center"/>
    </xf>
    <xf fontId="575" applyFont="true" borderId="8" applyBorder="true" applyNumberFormat="true" numFmtId="166" fillId="22" applyFill="true">
      <alignment horizontal="center" vertical="center"/>
    </xf>
    <xf fontId="576" applyFont="true" borderId="8" applyBorder="true" applyNumberFormat="true" numFmtId="1" fillId="22" applyFill="true">
      <alignment horizontal="center" vertical="center"/>
    </xf>
    <xf fontId="577" applyFont="true" borderId="8" applyBorder="true" applyNumberFormat="true" numFmtId="1" fillId="22" applyFill="true">
      <alignment horizontal="center" vertical="center"/>
    </xf>
    <xf fontId="578" applyFont="true" borderId="8" applyBorder="true" applyNumberFormat="true" numFmtId="1" fillId="22" applyFill="true">
      <alignment horizontal="center" vertical="center"/>
    </xf>
    <xf fontId="579" applyFont="true" borderId="8" applyBorder="true" applyNumberFormat="true" numFmtId="167" fillId="22" applyFill="true">
      <alignment horizontal="center" vertical="center"/>
    </xf>
    <xf fontId="580" applyFont="true" borderId="8" applyBorder="true" applyNumberFormat="true" numFmtId="1" fillId="22" applyFill="true">
      <alignment horizontal="center" vertical="center"/>
    </xf>
    <xf fontId="581" applyFont="true" borderId="8" applyBorder="true" applyNumberFormat="true" numFmtId="167" fillId="22" applyFill="true">
      <alignment horizontal="center" vertical="center"/>
    </xf>
    <xf fontId="582" applyFont="true" borderId="8" applyBorder="true" applyNumberFormat="true" numFmtId="1" fillId="22" applyFill="true">
      <alignment horizontal="center" vertical="center"/>
    </xf>
    <xf fontId="583" applyFont="true" borderId="8" applyBorder="true" applyNumberFormat="true" numFmtId="1" fillId="22" applyFill="true">
      <alignment horizontal="center" vertical="center"/>
    </xf>
    <xf fontId="584" applyFont="true" borderId="8" applyBorder="true" applyNumberFormat="true" numFmtId="1" fillId="22" applyFill="true">
      <alignment horizontal="center" vertical="center"/>
    </xf>
    <xf fontId="585" applyFont="true" borderId="8" applyBorder="true" applyNumberFormat="true" numFmtId="1" fillId="22" applyFill="true">
      <alignment horizontal="center" vertical="center"/>
    </xf>
    <xf fontId="586" applyFont="true" borderId="8" applyBorder="true" applyNumberFormat="true" numFmtId="167" fillId="22" applyFill="true">
      <alignment horizontal="center" vertical="center"/>
    </xf>
    <xf fontId="587" applyFont="true" borderId="8" applyBorder="true" applyNumberFormat="true" numFmtId="1" fillId="22" applyFill="true">
      <alignment horizontal="center" vertical="center"/>
    </xf>
    <xf fontId="588" applyFont="true" borderId="8" applyBorder="true" applyNumberFormat="true" numFmtId="167" fillId="22" applyFill="true">
      <alignment horizontal="center" vertical="center"/>
    </xf>
    <xf fontId="589" applyFont="true" borderId="8" applyBorder="true" applyNumberFormat="true" numFmtId="1" fillId="22" applyFill="true">
      <alignment horizontal="center" vertical="center"/>
    </xf>
    <xf fontId="590" applyFont="true" borderId="8" applyBorder="true" applyNumberFormat="true" numFmtId="167" fillId="22" applyFill="true">
      <alignment horizontal="center" vertical="center"/>
    </xf>
    <xf fontId="591" applyFont="true" borderId="8" applyBorder="true" applyNumberFormat="true" numFmtId="2" fillId="22" applyFill="true">
      <alignment horizontal="center" vertical="center"/>
    </xf>
    <xf fontId="592" applyFont="true" borderId="8" applyBorder="true" applyNumberFormat="true" numFmtId="2" fillId="22" applyFill="true">
      <alignment horizontal="center" vertical="center"/>
    </xf>
    <xf fontId="593" applyFont="true" borderId="8" applyBorder="true" applyNumberFormat="true" numFmtId="2" fillId="22" applyFill="true">
      <alignment horizontal="center" vertical="center"/>
    </xf>
    <xf fontId="594" applyFont="true" borderId="8" applyBorder="true" applyNumberFormat="true" numFmtId="2" fillId="22" applyFill="true">
      <alignment horizontal="center" vertical="center"/>
    </xf>
    <xf fontId="595" applyFont="true" borderId="8" applyBorder="true" applyNumberFormat="true" numFmtId="2" fillId="22" applyFill="true">
      <alignment horizontal="center" vertical="center"/>
    </xf>
    <xf fontId="596" applyFont="true" borderId="8" applyBorder="true" applyNumberFormat="true" numFmtId="2" fillId="22" applyFill="true">
      <alignment horizontal="center" vertical="center"/>
    </xf>
    <xf fontId="597" applyFont="true" borderId="8" applyBorder="true" applyNumberFormat="true" numFmtId="2" fillId="22" applyFill="true">
      <alignment horizontal="center" vertical="center"/>
    </xf>
    <xf fontId="598" applyFont="true" borderId="8" applyBorder="true" applyNumberFormat="true" numFmtId="2" fillId="22" applyFill="true">
      <alignment horizontal="center" vertical="center"/>
    </xf>
    <xf fontId="599" applyFont="true" borderId="8" applyBorder="true" applyNumberFormat="true" numFmtId="2" fillId="22" applyFill="true">
      <alignment horizontal="center" vertical="center"/>
    </xf>
    <xf fontId="600" applyFont="true" borderId="8" applyBorder="true" applyNumberFormat="true" numFmtId="2" fillId="22" applyFill="true">
      <alignment horizontal="center" vertical="center"/>
    </xf>
    <xf fontId="601" applyFont="true" borderId="8" applyBorder="true" applyNumberFormat="true" numFmtId="2" fillId="22" applyFill="true">
      <alignment horizontal="center" vertical="center"/>
    </xf>
    <xf fontId="602" applyFont="true" borderId="8" applyBorder="true" applyNumberFormat="true" numFmtId="2" fillId="22" applyFill="true">
      <alignment horizontal="center" vertical="center"/>
    </xf>
    <xf fontId="603" applyFont="true" borderId="8" applyBorder="true" applyNumberFormat="true" numFmtId="2" fillId="22" applyFill="true">
      <alignment horizontal="center" vertical="center"/>
    </xf>
    <xf fontId="604" applyFont="true" borderId="8" applyBorder="true" applyNumberFormat="true" numFmtId="2" fillId="22" applyFill="true">
      <alignment horizontal="center" vertical="center"/>
    </xf>
    <xf fontId="605" applyFont="true" borderId="8" applyBorder="true" applyNumberFormat="true" numFmtId="2" fillId="22" applyFill="true">
      <alignment horizontal="center" vertical="center"/>
    </xf>
    <xf fontId="606" applyFont="true" borderId="8" applyBorder="true" applyNumberFormat="true" numFmtId="2" fillId="22" applyFill="true">
      <alignment horizontal="center" vertical="center"/>
    </xf>
    <xf fontId="607" applyFont="true" borderId="8" applyBorder="true" applyNumberFormat="true" numFmtId="2" fillId="22" applyFill="true">
      <alignment horizontal="center" vertical="center"/>
    </xf>
    <xf fontId="608" applyFont="true" borderId="8" applyBorder="true" applyNumberFormat="true" numFmtId="2" fillId="22" applyFill="true">
      <alignment horizontal="center" vertical="center"/>
    </xf>
    <xf fontId="609" applyFont="true" borderId="8" applyBorder="true" applyNumberFormat="true" numFmtId="2" fillId="22" applyFill="true">
      <alignment horizontal="center" vertical="center"/>
    </xf>
    <xf fontId="610" applyFont="true" borderId="8" applyBorder="true" applyNumberFormat="true" numFmtId="2" fillId="22" applyFill="true">
      <alignment horizontal="center" vertical="center"/>
    </xf>
    <xf fontId="611" applyFont="true" borderId="8" applyBorder="true" applyNumberFormat="true" numFmtId="2" fillId="22" applyFill="true">
      <alignment horizontal="center" vertical="center"/>
    </xf>
    <xf fontId="612" applyFont="true" borderId="8" applyBorder="true" applyNumberFormat="true" numFmtId="2" fillId="22" applyFill="true">
      <alignment horizontal="center" vertical="center"/>
    </xf>
    <xf fontId="613" applyFont="true" borderId="8" applyBorder="true" applyNumberFormat="true" numFmtId="2" fillId="22" applyFill="true">
      <alignment horizontal="center" vertical="center"/>
    </xf>
    <xf fontId="614" applyFont="true" borderId="8" applyBorder="true" applyNumberFormat="true" numFmtId="2" fillId="22" applyFill="true">
      <alignment horizontal="center" vertical="center"/>
    </xf>
    <xf fontId="615" applyFont="true" borderId="8" applyBorder="true" applyNumberFormat="true" numFmtId="2" fillId="22" applyFill="true">
      <alignment horizontal="center" vertical="center"/>
    </xf>
    <xf fontId="616" applyFont="true" borderId="8" applyBorder="true" applyNumberFormat="true" numFmtId="2" fillId="22" applyFill="true">
      <alignment horizontal="center" vertical="center"/>
    </xf>
    <xf fontId="617" applyFont="true" borderId="8" applyBorder="true" applyNumberFormat="true" numFmtId="2" fillId="22" applyFill="true">
      <alignment horizontal="center" vertical="center"/>
    </xf>
    <xf fontId="618" applyFont="true" borderId="8" applyBorder="true" applyNumberFormat="true" numFmtId="2" fillId="22" applyFill="true">
      <alignment horizontal="center" vertical="center"/>
    </xf>
    <xf fontId="619" applyFont="true" borderId="8" applyBorder="true" applyNumberFormat="true" numFmtId="2" fillId="22" applyFill="true">
      <alignment horizontal="center" vertical="center"/>
    </xf>
    <xf fontId="620" applyFont="true" borderId="8" applyBorder="true" applyNumberFormat="true" numFmtId="2" fillId="22" applyFill="true">
      <alignment horizontal="center" vertical="center"/>
    </xf>
    <xf fontId="621" applyFont="true" borderId="8" applyBorder="true" applyNumberFormat="true" numFmtId="2" fillId="22" applyFill="true">
      <alignment horizontal="center" vertical="center"/>
    </xf>
    <xf fontId="622" applyFont="true" borderId="8" applyBorder="true" applyNumberFormat="true" numFmtId="2" fillId="22" applyFill="true">
      <alignment horizontal="center" vertical="center"/>
    </xf>
    <xf fontId="623" applyFont="true" borderId="8" applyBorder="true" applyNumberFormat="true" numFmtId="2" fillId="22" applyFill="true">
      <alignment horizontal="center" vertical="center"/>
    </xf>
    <xf fontId="624" applyFont="true" borderId="8" applyBorder="true" applyNumberFormat="true" numFmtId="2" fillId="22" applyFill="true">
      <alignment horizontal="center" vertical="center"/>
    </xf>
    <xf fontId="625" applyFont="true" borderId="8" applyBorder="true" applyNumberFormat="true" numFmtId="165" fillId="19" applyFill="true">
      <alignment horizontal="left" vertical="center"/>
    </xf>
    <xf fontId="626" applyFont="true" borderId="8" applyBorder="true" applyNumberFormat="true" numFmtId="165" fillId="22" applyFill="true">
      <alignment horizontal="center" vertical="center"/>
    </xf>
    <xf fontId="627" applyFont="true" borderId="8" applyBorder="true" applyNumberFormat="true" numFmtId="166" fillId="22" applyFill="true">
      <alignment horizontal="center" vertical="center"/>
    </xf>
    <xf fontId="628" applyFont="true" borderId="8" applyBorder="true" applyNumberFormat="true" numFmtId="1" fillId="22" applyFill="true">
      <alignment horizontal="center" vertical="center"/>
    </xf>
    <xf fontId="629" applyFont="true" borderId="8" applyBorder="true" applyNumberFormat="true" numFmtId="1" fillId="22" applyFill="true">
      <alignment horizontal="center" vertical="center"/>
    </xf>
    <xf fontId="630" applyFont="true" borderId="8" applyBorder="true" applyNumberFormat="true" numFmtId="1" fillId="22" applyFill="true">
      <alignment horizontal="center" vertical="center"/>
    </xf>
    <xf fontId="631" applyFont="true" borderId="8" applyBorder="true" applyNumberFormat="true" numFmtId="1" fillId="22" applyFill="true">
      <alignment horizontal="center" vertical="center"/>
    </xf>
    <xf fontId="632" applyFont="true" borderId="8" applyBorder="true" applyNumberFormat="true" numFmtId="1" fillId="22" applyFill="true">
      <alignment horizontal="center" vertical="center"/>
    </xf>
    <xf fontId="633" applyFont="true" borderId="8" applyBorder="true" applyNumberFormat="true" numFmtId="1" fillId="22" applyFill="true">
      <alignment horizontal="center" vertical="center"/>
    </xf>
    <xf fontId="634" applyFont="true" borderId="8" applyBorder="true" applyNumberFormat="true" numFmtId="1" fillId="22" applyFill="true">
      <alignment horizontal="center" vertical="center"/>
    </xf>
    <xf fontId="635" applyFont="true" borderId="8" applyBorder="true" applyNumberFormat="true" numFmtId="165" fillId="22" applyFill="true">
      <alignment horizontal="center" vertical="center"/>
    </xf>
    <xf fontId="636" applyFont="true" borderId="8" applyBorder="true" applyNumberFormat="true" numFmtId="165" fillId="22" applyFill="true">
      <alignment horizontal="center" vertical="center"/>
    </xf>
    <xf fontId="637" applyFont="true" borderId="8" applyBorder="true" applyNumberFormat="true" numFmtId="1" fillId="22" applyFill="true">
      <alignment horizontal="center" vertical="center"/>
    </xf>
    <xf fontId="638" applyFont="true" borderId="8" applyBorder="true" applyNumberFormat="true" numFmtId="1" fillId="22" applyFill="true">
      <alignment horizontal="center" vertical="center"/>
    </xf>
    <xf fontId="639" applyFont="true" borderId="8" applyBorder="true" applyNumberFormat="true" numFmtId="1" fillId="22" applyFill="true">
      <alignment horizontal="center" vertical="center"/>
    </xf>
    <xf fontId="640" applyFont="true" borderId="8" applyBorder="true" applyNumberFormat="true" numFmtId="167" fillId="22" applyFill="true">
      <alignment horizontal="center" vertical="center"/>
    </xf>
    <xf fontId="641" applyFont="true" borderId="8" applyBorder="true" applyNumberFormat="true" numFmtId="1" fillId="22" applyFill="true">
      <alignment horizontal="center" vertical="center"/>
    </xf>
    <xf fontId="642" applyFont="true" borderId="8" applyBorder="true" applyNumberFormat="true" numFmtId="167" fillId="22" applyFill="true">
      <alignment horizontal="center" vertical="center"/>
    </xf>
    <xf fontId="643" applyFont="true" borderId="8" applyBorder="true" applyNumberFormat="true" numFmtId="1" fillId="22" applyFill="true">
      <alignment horizontal="center" vertical="center"/>
    </xf>
    <xf fontId="644" applyFont="true" borderId="8" applyBorder="true" applyNumberFormat="true" numFmtId="167" fillId="22" applyFill="true">
      <alignment horizontal="center" vertical="center"/>
    </xf>
    <xf fontId="645" applyFont="true" borderId="8" applyBorder="true" applyNumberFormat="true" numFmtId="1" fillId="22" applyFill="true">
      <alignment horizontal="center" vertical="center"/>
    </xf>
    <xf fontId="646" applyFont="true" borderId="8" applyBorder="true" applyNumberFormat="true" numFmtId="167" fillId="22" applyFill="true">
      <alignment horizontal="center" vertical="center"/>
    </xf>
    <xf fontId="647" applyFont="true" borderId="8" applyBorder="true" applyNumberFormat="true" numFmtId="167" fillId="22" applyFill="true">
      <alignment horizontal="center" vertical="center"/>
    </xf>
    <xf fontId="648" applyFont="true" borderId="8" applyBorder="true" applyNumberFormat="true" numFmtId="1" fillId="22" applyFill="true">
      <alignment horizontal="center" vertical="center"/>
    </xf>
    <xf fontId="649" applyFont="true" borderId="8" applyBorder="true" applyNumberFormat="true" numFmtId="1" fillId="22" applyFill="true">
      <alignment horizontal="center" vertical="center"/>
    </xf>
    <xf fontId="650" applyFont="true" borderId="8" applyBorder="true" applyNumberFormat="true" numFmtId="1" fillId="22" applyFill="true">
      <alignment horizontal="center" vertical="center"/>
    </xf>
    <xf fontId="651" applyFont="true" borderId="8" applyBorder="true" applyNumberFormat="true" numFmtId="167" fillId="22" applyFill="true">
      <alignment horizontal="center" vertical="center"/>
    </xf>
    <xf fontId="652" applyFont="true" borderId="8" applyBorder="true" applyNumberFormat="true" numFmtId="166" fillId="22" applyFill="true">
      <alignment horizontal="center" vertical="center"/>
    </xf>
    <xf fontId="653" applyFont="true" borderId="8" applyBorder="true" applyNumberFormat="true" numFmtId="166" fillId="22" applyFill="true">
      <alignment horizontal="center" vertical="center"/>
    </xf>
    <xf fontId="654" applyFont="true" borderId="8" applyBorder="true" applyNumberFormat="true" numFmtId="1" fillId="22" applyFill="true">
      <alignment horizontal="center" vertical="center"/>
    </xf>
    <xf fontId="655" applyFont="true" borderId="8" applyBorder="true" applyNumberFormat="true" numFmtId="1" fillId="22" applyFill="true">
      <alignment horizontal="center" vertical="center"/>
    </xf>
    <xf fontId="656" applyFont="true" borderId="8" applyBorder="true" applyNumberFormat="true" numFmtId="1" fillId="22" applyFill="true">
      <alignment horizontal="center" vertical="center"/>
    </xf>
    <xf fontId="657" applyFont="true" borderId="8" applyBorder="true" applyNumberFormat="true" numFmtId="167" fillId="22" applyFill="true">
      <alignment horizontal="center" vertical="center"/>
    </xf>
    <xf fontId="658" applyFont="true" borderId="8" applyBorder="true" applyNumberFormat="true" numFmtId="1" fillId="22" applyFill="true">
      <alignment horizontal="center" vertical="center"/>
    </xf>
    <xf fontId="659" applyFont="true" borderId="8" applyBorder="true" applyNumberFormat="true" numFmtId="167" fillId="22" applyFill="true">
      <alignment horizontal="center" vertical="center"/>
    </xf>
    <xf fontId="660" applyFont="true" borderId="8" applyBorder="true" applyNumberFormat="true" numFmtId="1" fillId="22" applyFill="true">
      <alignment horizontal="center" vertical="center"/>
    </xf>
    <xf fontId="661" applyFont="true" borderId="8" applyBorder="true" applyNumberFormat="true" numFmtId="1" fillId="22" applyFill="true">
      <alignment horizontal="center" vertical="center"/>
    </xf>
    <xf fontId="662" applyFont="true" borderId="8" applyBorder="true" applyNumberFormat="true" numFmtId="1" fillId="22" applyFill="true">
      <alignment horizontal="center" vertical="center"/>
    </xf>
    <xf fontId="663" applyFont="true" borderId="8" applyBorder="true" applyNumberFormat="true" numFmtId="1" fillId="22" applyFill="true">
      <alignment horizontal="center" vertical="center"/>
    </xf>
    <xf fontId="664" applyFont="true" borderId="8" applyBorder="true" applyNumberFormat="true" numFmtId="167" fillId="22" applyFill="true">
      <alignment horizontal="center" vertical="center"/>
    </xf>
    <xf fontId="665" applyFont="true" borderId="8" applyBorder="true" applyNumberFormat="true" numFmtId="1" fillId="22" applyFill="true">
      <alignment horizontal="center" vertical="center"/>
    </xf>
    <xf fontId="666" applyFont="true" borderId="8" applyBorder="true" applyNumberFormat="true" numFmtId="167" fillId="22" applyFill="true">
      <alignment horizontal="center" vertical="center"/>
    </xf>
    <xf fontId="667" applyFont="true" borderId="8" applyBorder="true" applyNumberFormat="true" numFmtId="1" fillId="22" applyFill="true">
      <alignment horizontal="center" vertical="center"/>
    </xf>
    <xf fontId="668" applyFont="true" borderId="8" applyBorder="true" applyNumberFormat="true" numFmtId="167" fillId="22" applyFill="true">
      <alignment horizontal="center" vertical="center"/>
    </xf>
    <xf fontId="669" applyFont="true" borderId="8" applyBorder="true" applyNumberFormat="true" numFmtId="2" fillId="22" applyFill="true">
      <alignment horizontal="center" vertical="center"/>
    </xf>
    <xf fontId="670" applyFont="true" borderId="8" applyBorder="true" applyNumberFormat="true" numFmtId="2" fillId="22" applyFill="true">
      <alignment horizontal="center" vertical="center"/>
    </xf>
    <xf fontId="671" applyFont="true" borderId="8" applyBorder="true" applyNumberFormat="true" numFmtId="2" fillId="22" applyFill="true">
      <alignment horizontal="center" vertical="center"/>
    </xf>
    <xf fontId="672" applyFont="true" borderId="8" applyBorder="true" applyNumberFormat="true" numFmtId="2" fillId="22" applyFill="true">
      <alignment horizontal="center" vertical="center"/>
    </xf>
    <xf fontId="673" applyFont="true" borderId="8" applyBorder="true" applyNumberFormat="true" numFmtId="2" fillId="22" applyFill="true">
      <alignment horizontal="center" vertical="center"/>
    </xf>
    <xf fontId="674" applyFont="true" borderId="8" applyBorder="true" applyNumberFormat="true" numFmtId="2" fillId="22" applyFill="true">
      <alignment horizontal="center" vertical="center"/>
    </xf>
    <xf fontId="675" applyFont="true" borderId="8" applyBorder="true" applyNumberFormat="true" numFmtId="2" fillId="22" applyFill="true">
      <alignment horizontal="center" vertical="center"/>
    </xf>
    <xf fontId="676" applyFont="true" borderId="8" applyBorder="true" applyNumberFormat="true" numFmtId="2" fillId="22" applyFill="true">
      <alignment horizontal="center" vertical="center"/>
    </xf>
    <xf fontId="677" applyFont="true" borderId="8" applyBorder="true" applyNumberFormat="true" numFmtId="2" fillId="22" applyFill="true">
      <alignment horizontal="center" vertical="center"/>
    </xf>
    <xf fontId="678" applyFont="true" borderId="8" applyBorder="true" applyNumberFormat="true" numFmtId="2" fillId="22" applyFill="true">
      <alignment horizontal="center" vertical="center"/>
    </xf>
    <xf fontId="679" applyFont="true" borderId="8" applyBorder="true" applyNumberFormat="true" numFmtId="2" fillId="22" applyFill="true">
      <alignment horizontal="center" vertical="center"/>
    </xf>
    <xf fontId="680" applyFont="true" borderId="8" applyBorder="true" applyNumberFormat="true" numFmtId="2" fillId="22" applyFill="true">
      <alignment horizontal="center" vertical="center"/>
    </xf>
    <xf fontId="681" applyFont="true" borderId="8" applyBorder="true" applyNumberFormat="true" numFmtId="2" fillId="22" applyFill="true">
      <alignment horizontal="center" vertical="center"/>
    </xf>
    <xf fontId="682" applyFont="true" borderId="8" applyBorder="true" applyNumberFormat="true" numFmtId="2" fillId="22" applyFill="true">
      <alignment horizontal="center" vertical="center"/>
    </xf>
    <xf fontId="683" applyFont="true" borderId="8" applyBorder="true" applyNumberFormat="true" numFmtId="2" fillId="22" applyFill="true">
      <alignment horizontal="center" vertical="center"/>
    </xf>
    <xf fontId="684" applyFont="true" borderId="8" applyBorder="true" applyNumberFormat="true" numFmtId="2" fillId="22" applyFill="true">
      <alignment horizontal="center" vertical="center"/>
    </xf>
    <xf fontId="685" applyFont="true" borderId="8" applyBorder="true" applyNumberFormat="true" numFmtId="2" fillId="22" applyFill="true">
      <alignment horizontal="center" vertical="center"/>
    </xf>
    <xf fontId="686" applyFont="true" borderId="8" applyBorder="true" applyNumberFormat="true" numFmtId="2" fillId="22" applyFill="true">
      <alignment horizontal="center" vertical="center"/>
    </xf>
    <xf fontId="687" applyFont="true" borderId="8" applyBorder="true" applyNumberFormat="true" numFmtId="2" fillId="22" applyFill="true">
      <alignment horizontal="center" vertical="center"/>
    </xf>
    <xf fontId="688" applyFont="true" borderId="8" applyBorder="true" applyNumberFormat="true" numFmtId="2" fillId="22" applyFill="true">
      <alignment horizontal="center" vertical="center"/>
    </xf>
    <xf fontId="689" applyFont="true" borderId="8" applyBorder="true" applyNumberFormat="true" numFmtId="2" fillId="22" applyFill="true">
      <alignment horizontal="center" vertical="center"/>
    </xf>
    <xf fontId="690" applyFont="true" borderId="8" applyBorder="true" applyNumberFormat="true" numFmtId="2" fillId="22" applyFill="true">
      <alignment horizontal="center" vertical="center"/>
    </xf>
    <xf fontId="691" applyFont="true" borderId="8" applyBorder="true" applyNumberFormat="true" numFmtId="2" fillId="22" applyFill="true">
      <alignment horizontal="center" vertical="center"/>
    </xf>
    <xf fontId="692" applyFont="true" borderId="8" applyBorder="true" applyNumberFormat="true" numFmtId="2" fillId="22" applyFill="true">
      <alignment horizontal="center" vertical="center"/>
    </xf>
    <xf fontId="693" applyFont="true" borderId="8" applyBorder="true" applyNumberFormat="true" numFmtId="2" fillId="22" applyFill="true">
      <alignment horizontal="center" vertical="center"/>
    </xf>
    <xf fontId="694" applyFont="true" borderId="8" applyBorder="true" applyNumberFormat="true" numFmtId="2" fillId="22" applyFill="true">
      <alignment horizontal="center" vertical="center"/>
    </xf>
    <xf fontId="695" applyFont="true" borderId="8" applyBorder="true" applyNumberFormat="true" numFmtId="2" fillId="22" applyFill="true">
      <alignment horizontal="center" vertical="center"/>
    </xf>
    <xf fontId="696" applyFont="true" borderId="8" applyBorder="true" applyNumberFormat="true" numFmtId="2" fillId="22" applyFill="true">
      <alignment horizontal="center" vertical="center"/>
    </xf>
    <xf fontId="697" applyFont="true" borderId="8" applyBorder="true" applyNumberFormat="true" numFmtId="2" fillId="22" applyFill="true">
      <alignment horizontal="center" vertical="center"/>
    </xf>
    <xf fontId="698" applyFont="true" borderId="8" applyBorder="true" applyNumberFormat="true" numFmtId="2" fillId="22" applyFill="true">
      <alignment horizontal="center" vertical="center"/>
    </xf>
    <xf fontId="699" applyFont="true" borderId="8" applyBorder="true" applyNumberFormat="true" numFmtId="2" fillId="22" applyFill="true">
      <alignment horizontal="center" vertical="center"/>
    </xf>
    <xf fontId="700" applyFont="true" borderId="8" applyBorder="true" applyNumberFormat="true" numFmtId="2" fillId="22" applyFill="true">
      <alignment horizontal="center" vertical="center"/>
    </xf>
    <xf fontId="701" applyFont="true" borderId="8" applyBorder="true" applyNumberFormat="true" numFmtId="2" fillId="22" applyFill="true">
      <alignment horizontal="center" vertical="center"/>
    </xf>
    <xf fontId="702" applyFont="true" borderId="8" applyBorder="true" applyNumberFormat="true" numFmtId="2" fillId="22" applyFill="true">
      <alignment horizontal="center" vertical="center"/>
    </xf>
    <xf fontId="703" applyFont="true" borderId="8" applyBorder="true" applyNumberFormat="true" numFmtId="165" fillId="19" applyFill="true">
      <alignment horizontal="left" vertical="center"/>
    </xf>
    <xf fontId="704" applyFont="true" borderId="8" applyBorder="true" applyNumberFormat="true" numFmtId="165" fillId="22" applyFill="true">
      <alignment horizontal="center" vertical="center"/>
    </xf>
    <xf fontId="705" applyFont="true" borderId="8" applyBorder="true" applyNumberFormat="true" numFmtId="166" fillId="22" applyFill="true">
      <alignment horizontal="center" vertical="center"/>
    </xf>
    <xf fontId="706" applyFont="true" borderId="8" applyBorder="true" applyNumberFormat="true" numFmtId="1" fillId="22" applyFill="true">
      <alignment horizontal="center" vertical="center"/>
    </xf>
    <xf fontId="707" applyFont="true" borderId="8" applyBorder="true" applyNumberFormat="true" numFmtId="1" fillId="22" applyFill="true">
      <alignment horizontal="center" vertical="center"/>
    </xf>
    <xf fontId="708" applyFont="true" borderId="8" applyBorder="true" applyNumberFormat="true" numFmtId="1" fillId="22" applyFill="true">
      <alignment horizontal="center" vertical="center"/>
    </xf>
    <xf fontId="709" applyFont="true" borderId="8" applyBorder="true" applyNumberFormat="true" numFmtId="1" fillId="22" applyFill="true">
      <alignment horizontal="center" vertical="center"/>
    </xf>
    <xf fontId="710" applyFont="true" borderId="8" applyBorder="true" applyNumberFormat="true" numFmtId="1" fillId="22" applyFill="true">
      <alignment horizontal="center" vertical="center"/>
    </xf>
    <xf fontId="711" applyFont="true" borderId="8" applyBorder="true" applyNumberFormat="true" numFmtId="1" fillId="22" applyFill="true">
      <alignment horizontal="center" vertical="center"/>
    </xf>
    <xf fontId="712" applyFont="true" borderId="8" applyBorder="true" applyNumberFormat="true" numFmtId="1" fillId="22" applyFill="true">
      <alignment horizontal="center" vertical="center"/>
    </xf>
    <xf fontId="713" applyFont="true" borderId="8" applyBorder="true" applyNumberFormat="true" numFmtId="165" fillId="22" applyFill="true">
      <alignment horizontal="center" vertical="center"/>
    </xf>
    <xf fontId="714" applyFont="true" borderId="8" applyBorder="true" applyNumberFormat="true" numFmtId="165" fillId="22" applyFill="true">
      <alignment horizontal="center" vertical="center"/>
    </xf>
    <xf fontId="715" applyFont="true" borderId="8" applyBorder="true" applyNumberFormat="true" numFmtId="1" fillId="22" applyFill="true">
      <alignment horizontal="center" vertical="center"/>
    </xf>
    <xf fontId="716" applyFont="true" borderId="8" applyBorder="true" applyNumberFormat="true" numFmtId="1" fillId="22" applyFill="true">
      <alignment horizontal="center" vertical="center"/>
    </xf>
    <xf fontId="717" applyFont="true" borderId="8" applyBorder="true" applyNumberFormat="true" numFmtId="1" fillId="22" applyFill="true">
      <alignment horizontal="center" vertical="center"/>
    </xf>
    <xf fontId="718" applyFont="true" borderId="8" applyBorder="true" applyNumberFormat="true" numFmtId="167" fillId="22" applyFill="true">
      <alignment horizontal="center" vertical="center"/>
    </xf>
    <xf fontId="719" applyFont="true" borderId="8" applyBorder="true" applyNumberFormat="true" numFmtId="1" fillId="22" applyFill="true">
      <alignment horizontal="center" vertical="center"/>
    </xf>
    <xf fontId="720" applyFont="true" borderId="8" applyBorder="true" applyNumberFormat="true" numFmtId="167" fillId="22" applyFill="true">
      <alignment horizontal="center" vertical="center"/>
    </xf>
    <xf fontId="721" applyFont="true" borderId="8" applyBorder="true" applyNumberFormat="true" numFmtId="1" fillId="22" applyFill="true">
      <alignment horizontal="center" vertical="center"/>
    </xf>
    <xf fontId="722" applyFont="true" borderId="8" applyBorder="true" applyNumberFormat="true" numFmtId="167" fillId="22" applyFill="true">
      <alignment horizontal="center" vertical="center"/>
    </xf>
    <xf fontId="723" applyFont="true" borderId="8" applyBorder="true" applyNumberFormat="true" numFmtId="1" fillId="22" applyFill="true">
      <alignment horizontal="center" vertical="center"/>
    </xf>
    <xf fontId="724" applyFont="true" borderId="8" applyBorder="true" applyNumberFormat="true" numFmtId="167" fillId="22" applyFill="true">
      <alignment horizontal="center" vertical="center"/>
    </xf>
    <xf fontId="725" applyFont="true" borderId="8" applyBorder="true" applyNumberFormat="true" numFmtId="167" fillId="22" applyFill="true">
      <alignment horizontal="center" vertical="center"/>
    </xf>
    <xf fontId="726" applyFont="true" borderId="8" applyBorder="true" applyNumberFormat="true" numFmtId="1" fillId="22" applyFill="true">
      <alignment horizontal="center" vertical="center"/>
    </xf>
    <xf fontId="727" applyFont="true" borderId="8" applyBorder="true" applyNumberFormat="true" numFmtId="1" fillId="22" applyFill="true">
      <alignment horizontal="center" vertical="center"/>
    </xf>
    <xf fontId="728" applyFont="true" borderId="8" applyBorder="true" applyNumberFormat="true" numFmtId="1" fillId="22" applyFill="true">
      <alignment horizontal="center" vertical="center"/>
    </xf>
    <xf fontId="729" applyFont="true" borderId="8" applyBorder="true" applyNumberFormat="true" numFmtId="167" fillId="22" applyFill="true">
      <alignment horizontal="center" vertical="center"/>
    </xf>
    <xf fontId="730" applyFont="true" borderId="8" applyBorder="true" applyNumberFormat="true" numFmtId="166" fillId="22" applyFill="true">
      <alignment horizontal="center" vertical="center"/>
    </xf>
    <xf fontId="731" applyFont="true" borderId="8" applyBorder="true" applyNumberFormat="true" numFmtId="166" fillId="22" applyFill="true">
      <alignment horizontal="center" vertical="center"/>
    </xf>
    <xf fontId="732" applyFont="true" borderId="8" applyBorder="true" applyNumberFormat="true" numFmtId="1" fillId="22" applyFill="true">
      <alignment horizontal="center" vertical="center"/>
    </xf>
    <xf fontId="733" applyFont="true" borderId="8" applyBorder="true" applyNumberFormat="true" numFmtId="1" fillId="22" applyFill="true">
      <alignment horizontal="center" vertical="center"/>
    </xf>
    <xf fontId="734" applyFont="true" borderId="8" applyBorder="true" applyNumberFormat="true" numFmtId="1" fillId="22" applyFill="true">
      <alignment horizontal="center" vertical="center"/>
    </xf>
    <xf fontId="735" applyFont="true" borderId="8" applyBorder="true" applyNumberFormat="true" numFmtId="167" fillId="22" applyFill="true">
      <alignment horizontal="center" vertical="center"/>
    </xf>
    <xf fontId="736" applyFont="true" borderId="8" applyBorder="true" applyNumberFormat="true" numFmtId="1" fillId="22" applyFill="true">
      <alignment horizontal="center" vertical="center"/>
    </xf>
    <xf fontId="737" applyFont="true" borderId="8" applyBorder="true" applyNumberFormat="true" numFmtId="167" fillId="22" applyFill="true">
      <alignment horizontal="center" vertical="center"/>
    </xf>
    <xf fontId="738" applyFont="true" borderId="8" applyBorder="true" applyNumberFormat="true" numFmtId="1" fillId="22" applyFill="true">
      <alignment horizontal="center" vertical="center"/>
    </xf>
    <xf fontId="739" applyFont="true" borderId="8" applyBorder="true" applyNumberFormat="true" numFmtId="1" fillId="22" applyFill="true">
      <alignment horizontal="center" vertical="center"/>
    </xf>
    <xf fontId="740" applyFont="true" borderId="8" applyBorder="true" applyNumberFormat="true" numFmtId="1" fillId="22" applyFill="true">
      <alignment horizontal="center" vertical="center"/>
    </xf>
    <xf fontId="741" applyFont="true" borderId="8" applyBorder="true" applyNumberFormat="true" numFmtId="1" fillId="22" applyFill="true">
      <alignment horizontal="center" vertical="center"/>
    </xf>
    <xf fontId="742" applyFont="true" borderId="8" applyBorder="true" applyNumberFormat="true" numFmtId="167" fillId="22" applyFill="true">
      <alignment horizontal="center" vertical="center"/>
    </xf>
    <xf fontId="743" applyFont="true" borderId="8" applyBorder="true" applyNumberFormat="true" numFmtId="1" fillId="22" applyFill="true">
      <alignment horizontal="center" vertical="center"/>
    </xf>
    <xf fontId="744" applyFont="true" borderId="8" applyBorder="true" applyNumberFormat="true" numFmtId="167" fillId="22" applyFill="true">
      <alignment horizontal="center" vertical="center"/>
    </xf>
    <xf fontId="745" applyFont="true" borderId="8" applyBorder="true" applyNumberFormat="true" numFmtId="1" fillId="22" applyFill="true">
      <alignment horizontal="center" vertical="center"/>
    </xf>
    <xf fontId="746" applyFont="true" borderId="8" applyBorder="true" applyNumberFormat="true" numFmtId="167" fillId="22" applyFill="true">
      <alignment horizontal="center" vertical="center"/>
    </xf>
    <xf fontId="747" applyFont="true" borderId="8" applyBorder="true" applyNumberFormat="true" numFmtId="2" fillId="22" applyFill="true">
      <alignment horizontal="center" vertical="center"/>
    </xf>
    <xf fontId="748" applyFont="true" borderId="8" applyBorder="true" applyNumberFormat="true" numFmtId="2" fillId="22" applyFill="true">
      <alignment horizontal="center" vertical="center"/>
    </xf>
    <xf fontId="749" applyFont="true" borderId="8" applyBorder="true" applyNumberFormat="true" numFmtId="2" fillId="22" applyFill="true">
      <alignment horizontal="center" vertical="center"/>
    </xf>
    <xf fontId="750" applyFont="true" borderId="8" applyBorder="true" applyNumberFormat="true" numFmtId="2" fillId="22" applyFill="true">
      <alignment horizontal="center" vertical="center"/>
    </xf>
    <xf fontId="751" applyFont="true" borderId="8" applyBorder="true" applyNumberFormat="true" numFmtId="2" fillId="22" applyFill="true">
      <alignment horizontal="center" vertical="center"/>
    </xf>
    <xf fontId="752" applyFont="true" borderId="8" applyBorder="true" applyNumberFormat="true" numFmtId="2" fillId="22" applyFill="true">
      <alignment horizontal="center" vertical="center"/>
    </xf>
    <xf fontId="753" applyFont="true" borderId="8" applyBorder="true" applyNumberFormat="true" numFmtId="2" fillId="22" applyFill="true">
      <alignment horizontal="center" vertical="center"/>
    </xf>
    <xf fontId="754" applyFont="true" borderId="8" applyBorder="true" applyNumberFormat="true" numFmtId="2" fillId="22" applyFill="true">
      <alignment horizontal="center" vertical="center"/>
    </xf>
    <xf fontId="755" applyFont="true" borderId="8" applyBorder="true" applyNumberFormat="true" numFmtId="2" fillId="22" applyFill="true">
      <alignment horizontal="center" vertical="center"/>
    </xf>
    <xf fontId="756" applyFont="true" borderId="8" applyBorder="true" applyNumberFormat="true" numFmtId="2" fillId="22" applyFill="true">
      <alignment horizontal="center" vertical="center"/>
    </xf>
    <xf fontId="757" applyFont="true" borderId="8" applyBorder="true" applyNumberFormat="true" numFmtId="2" fillId="22" applyFill="true">
      <alignment horizontal="center" vertical="center"/>
    </xf>
    <xf fontId="758" applyFont="true" borderId="8" applyBorder="true" applyNumberFormat="true" numFmtId="2" fillId="22" applyFill="true">
      <alignment horizontal="center" vertical="center"/>
    </xf>
    <xf fontId="759" applyFont="true" borderId="8" applyBorder="true" applyNumberFormat="true" numFmtId="2" fillId="22" applyFill="true">
      <alignment horizontal="center" vertical="center"/>
    </xf>
    <xf fontId="760" applyFont="true" borderId="8" applyBorder="true" applyNumberFormat="true" numFmtId="2" fillId="22" applyFill="true">
      <alignment horizontal="center" vertical="center"/>
    </xf>
    <xf fontId="761" applyFont="true" borderId="8" applyBorder="true" applyNumberFormat="true" numFmtId="2" fillId="22" applyFill="true">
      <alignment horizontal="center" vertical="center"/>
    </xf>
    <xf fontId="762" applyFont="true" borderId="8" applyBorder="true" applyNumberFormat="true" numFmtId="2" fillId="22" applyFill="true">
      <alignment horizontal="center" vertical="center"/>
    </xf>
    <xf fontId="763" applyFont="true" borderId="8" applyBorder="true" applyNumberFormat="true" numFmtId="2" fillId="22" applyFill="true">
      <alignment horizontal="center" vertical="center"/>
    </xf>
    <xf fontId="764" applyFont="true" borderId="8" applyBorder="true" applyNumberFormat="true" numFmtId="2" fillId="22" applyFill="true">
      <alignment horizontal="center" vertical="center"/>
    </xf>
    <xf fontId="765" applyFont="true" borderId="8" applyBorder="true" applyNumberFormat="true" numFmtId="2" fillId="22" applyFill="true">
      <alignment horizontal="center" vertical="center"/>
    </xf>
    <xf fontId="766" applyFont="true" borderId="8" applyBorder="true" applyNumberFormat="true" numFmtId="2" fillId="22" applyFill="true">
      <alignment horizontal="center" vertical="center"/>
    </xf>
    <xf fontId="767" applyFont="true" borderId="8" applyBorder="true" applyNumberFormat="true" numFmtId="2" fillId="22" applyFill="true">
      <alignment horizontal="center" vertical="center"/>
    </xf>
    <xf fontId="768" applyFont="true" borderId="8" applyBorder="true" applyNumberFormat="true" numFmtId="2" fillId="22" applyFill="true">
      <alignment horizontal="center" vertical="center"/>
    </xf>
    <xf fontId="769" applyFont="true" borderId="8" applyBorder="true" applyNumberFormat="true" numFmtId="2" fillId="22" applyFill="true">
      <alignment horizontal="center" vertical="center"/>
    </xf>
    <xf fontId="770" applyFont="true" borderId="8" applyBorder="true" applyNumberFormat="true" numFmtId="2" fillId="22" applyFill="true">
      <alignment horizontal="center" vertical="center"/>
    </xf>
    <xf fontId="771" applyFont="true" borderId="8" applyBorder="true" applyNumberFormat="true" numFmtId="2" fillId="22" applyFill="true">
      <alignment horizontal="center" vertical="center"/>
    </xf>
    <xf fontId="772" applyFont="true" borderId="8" applyBorder="true" applyNumberFormat="true" numFmtId="2" fillId="22" applyFill="true">
      <alignment horizontal="center" vertical="center"/>
    </xf>
    <xf fontId="773" applyFont="true" borderId="8" applyBorder="true" applyNumberFormat="true" numFmtId="2" fillId="22" applyFill="true">
      <alignment horizontal="center" vertical="center"/>
    </xf>
    <xf fontId="774" applyFont="true" borderId="8" applyBorder="true" applyNumberFormat="true" numFmtId="2" fillId="22" applyFill="true">
      <alignment horizontal="center" vertical="center"/>
    </xf>
    <xf fontId="775" applyFont="true" borderId="8" applyBorder="true" applyNumberFormat="true" numFmtId="2" fillId="22" applyFill="true">
      <alignment horizontal="center" vertical="center"/>
    </xf>
    <xf fontId="776" applyFont="true" borderId="8" applyBorder="true" applyNumberFormat="true" numFmtId="2" fillId="22" applyFill="true">
      <alignment horizontal="center" vertical="center"/>
    </xf>
    <xf fontId="777" applyFont="true" borderId="8" applyBorder="true" applyNumberFormat="true" numFmtId="2" fillId="22" applyFill="true">
      <alignment horizontal="center" vertical="center"/>
    </xf>
    <xf fontId="778" applyFont="true" borderId="8" applyBorder="true" applyNumberFormat="true" numFmtId="2" fillId="22" applyFill="true">
      <alignment horizontal="center" vertical="center"/>
    </xf>
    <xf fontId="779" applyFont="true" borderId="8" applyBorder="true" applyNumberFormat="true" numFmtId="2" fillId="22" applyFill="true">
      <alignment horizontal="center" vertical="center"/>
    </xf>
    <xf fontId="780" applyFont="true" borderId="8" applyBorder="true" applyNumberFormat="true" numFmtId="2" fillId="22" applyFill="true">
      <alignment horizontal="center" vertical="center"/>
    </xf>
    <xf fontId="781" applyFont="true" borderId="8" applyBorder="true" applyNumberFormat="true" numFmtId="165" fillId="19" applyFill="true">
      <alignment horizontal="left" vertical="center"/>
    </xf>
    <xf fontId="782" applyFont="true" borderId="8" applyBorder="true" applyNumberFormat="true" numFmtId="165" fillId="22" applyFill="true">
      <alignment horizontal="center" vertical="center"/>
    </xf>
    <xf fontId="783" applyFont="true" borderId="8" applyBorder="true" applyNumberFormat="true" numFmtId="166" fillId="22" applyFill="true">
      <alignment horizontal="center" vertical="center"/>
    </xf>
    <xf fontId="784" applyFont="true" borderId="8" applyBorder="true" applyNumberFormat="true" numFmtId="1" fillId="22" applyFill="true">
      <alignment horizontal="center" vertical="center"/>
    </xf>
    <xf fontId="785" applyFont="true" borderId="8" applyBorder="true" applyNumberFormat="true" numFmtId="1" fillId="22" applyFill="true">
      <alignment horizontal="center" vertical="center"/>
    </xf>
    <xf fontId="786" applyFont="true" borderId="8" applyBorder="true" applyNumberFormat="true" numFmtId="1" fillId="22" applyFill="true">
      <alignment horizontal="center" vertical="center"/>
    </xf>
    <xf fontId="787" applyFont="true" borderId="8" applyBorder="true" applyNumberFormat="true" numFmtId="1" fillId="22" applyFill="true">
      <alignment horizontal="center" vertical="center"/>
    </xf>
    <xf fontId="788" applyFont="true" borderId="8" applyBorder="true" applyNumberFormat="true" numFmtId="1" fillId="22" applyFill="true">
      <alignment horizontal="center" vertical="center"/>
    </xf>
    <xf fontId="789" applyFont="true" borderId="8" applyBorder="true" applyNumberFormat="true" numFmtId="1" fillId="22" applyFill="true">
      <alignment horizontal="center" vertical="center"/>
    </xf>
    <xf fontId="790" applyFont="true" borderId="8" applyBorder="true" applyNumberFormat="true" numFmtId="1" fillId="22" applyFill="true">
      <alignment horizontal="center" vertical="center"/>
    </xf>
    <xf fontId="791" applyFont="true" borderId="8" applyBorder="true" applyNumberFormat="true" numFmtId="165" fillId="22" applyFill="true">
      <alignment horizontal="center" vertical="center"/>
    </xf>
    <xf fontId="792" applyFont="true" borderId="8" applyBorder="true" applyNumberFormat="true" numFmtId="165" fillId="22" applyFill="true">
      <alignment horizontal="center" vertical="center"/>
    </xf>
    <xf fontId="793" applyFont="true" borderId="8" applyBorder="true" applyNumberFormat="true" numFmtId="1" fillId="22" applyFill="true">
      <alignment horizontal="center" vertical="center"/>
    </xf>
    <xf fontId="794" applyFont="true" borderId="8" applyBorder="true" applyNumberFormat="true" numFmtId="1" fillId="22" applyFill="true">
      <alignment horizontal="center" vertical="center"/>
    </xf>
    <xf fontId="795" applyFont="true" borderId="8" applyBorder="true" applyNumberFormat="true" numFmtId="1" fillId="22" applyFill="true">
      <alignment horizontal="center" vertical="center"/>
    </xf>
    <xf fontId="796" applyFont="true" borderId="8" applyBorder="true" applyNumberFormat="true" numFmtId="167" fillId="22" applyFill="true">
      <alignment horizontal="center" vertical="center"/>
    </xf>
    <xf fontId="797" applyFont="true" borderId="8" applyBorder="true" applyNumberFormat="true" numFmtId="1" fillId="22" applyFill="true">
      <alignment horizontal="center" vertical="center"/>
    </xf>
    <xf fontId="798" applyFont="true" borderId="8" applyBorder="true" applyNumberFormat="true" numFmtId="167" fillId="22" applyFill="true">
      <alignment horizontal="center" vertical="center"/>
    </xf>
    <xf fontId="799" applyFont="true" borderId="8" applyBorder="true" applyNumberFormat="true" numFmtId="1" fillId="22" applyFill="true">
      <alignment horizontal="center" vertical="center"/>
    </xf>
    <xf fontId="800" applyFont="true" borderId="8" applyBorder="true" applyNumberFormat="true" numFmtId="167" fillId="22" applyFill="true">
      <alignment horizontal="center" vertical="center"/>
    </xf>
    <xf fontId="801" applyFont="true" borderId="8" applyBorder="true" applyNumberFormat="true" numFmtId="1" fillId="22" applyFill="true">
      <alignment horizontal="center" vertical="center"/>
    </xf>
    <xf fontId="802" applyFont="true" borderId="8" applyBorder="true" applyNumberFormat="true" numFmtId="167" fillId="22" applyFill="true">
      <alignment horizontal="center" vertical="center"/>
    </xf>
    <xf fontId="803" applyFont="true" borderId="8" applyBorder="true" applyNumberFormat="true" numFmtId="167" fillId="22" applyFill="true">
      <alignment horizontal="center" vertical="center"/>
    </xf>
    <xf fontId="804" applyFont="true" borderId="8" applyBorder="true" applyNumberFormat="true" numFmtId="1" fillId="22" applyFill="true">
      <alignment horizontal="center" vertical="center"/>
    </xf>
    <xf fontId="805" applyFont="true" borderId="8" applyBorder="true" applyNumberFormat="true" numFmtId="1" fillId="22" applyFill="true">
      <alignment horizontal="center" vertical="center"/>
    </xf>
    <xf fontId="806" applyFont="true" borderId="8" applyBorder="true" applyNumberFormat="true" numFmtId="1" fillId="22" applyFill="true">
      <alignment horizontal="center" vertical="center"/>
    </xf>
    <xf fontId="807" applyFont="true" borderId="8" applyBorder="true" applyNumberFormat="true" numFmtId="167" fillId="22" applyFill="true">
      <alignment horizontal="center" vertical="center"/>
    </xf>
    <xf fontId="808" applyFont="true" borderId="8" applyBorder="true" applyNumberFormat="true" numFmtId="166" fillId="22" applyFill="true">
      <alignment horizontal="center" vertical="center"/>
    </xf>
    <xf fontId="809" applyFont="true" borderId="8" applyBorder="true" applyNumberFormat="true" numFmtId="166" fillId="22" applyFill="true">
      <alignment horizontal="center" vertical="center"/>
    </xf>
    <xf fontId="810" applyFont="true" borderId="8" applyBorder="true" applyNumberFormat="true" numFmtId="1" fillId="22" applyFill="true">
      <alignment horizontal="center" vertical="center"/>
    </xf>
    <xf fontId="811" applyFont="true" borderId="8" applyBorder="true" applyNumberFormat="true" numFmtId="1" fillId="22" applyFill="true">
      <alignment horizontal="center" vertical="center"/>
    </xf>
    <xf fontId="812" applyFont="true" borderId="8" applyBorder="true" applyNumberFormat="true" numFmtId="1" fillId="22" applyFill="true">
      <alignment horizontal="center" vertical="center"/>
    </xf>
    <xf fontId="813" applyFont="true" borderId="8" applyBorder="true" applyNumberFormat="true" numFmtId="167" fillId="22" applyFill="true">
      <alignment horizontal="center" vertical="center"/>
    </xf>
    <xf fontId="814" applyFont="true" borderId="8" applyBorder="true" applyNumberFormat="true" numFmtId="1" fillId="22" applyFill="true">
      <alignment horizontal="center" vertical="center"/>
    </xf>
    <xf fontId="815" applyFont="true" borderId="8" applyBorder="true" applyNumberFormat="true" numFmtId="167" fillId="22" applyFill="true">
      <alignment horizontal="center" vertical="center"/>
    </xf>
    <xf fontId="816" applyFont="true" borderId="8" applyBorder="true" applyNumberFormat="true" numFmtId="1" fillId="22" applyFill="true">
      <alignment horizontal="center" vertical="center"/>
    </xf>
    <xf fontId="817" applyFont="true" borderId="8" applyBorder="true" applyNumberFormat="true" numFmtId="1" fillId="22" applyFill="true">
      <alignment horizontal="center" vertical="center"/>
    </xf>
    <xf fontId="818" applyFont="true" borderId="8" applyBorder="true" applyNumberFormat="true" numFmtId="1" fillId="22" applyFill="true">
      <alignment horizontal="center" vertical="center"/>
    </xf>
    <xf fontId="819" applyFont="true" borderId="8" applyBorder="true" applyNumberFormat="true" numFmtId="1" fillId="22" applyFill="true">
      <alignment horizontal="center" vertical="center"/>
    </xf>
    <xf fontId="820" applyFont="true" borderId="8" applyBorder="true" applyNumberFormat="true" numFmtId="167" fillId="22" applyFill="true">
      <alignment horizontal="center" vertical="center"/>
    </xf>
    <xf fontId="821" applyFont="true" borderId="8" applyBorder="true" applyNumberFormat="true" numFmtId="1" fillId="22" applyFill="true">
      <alignment horizontal="center" vertical="center"/>
    </xf>
    <xf fontId="822" applyFont="true" borderId="8" applyBorder="true" applyNumberFormat="true" numFmtId="167" fillId="22" applyFill="true">
      <alignment horizontal="center" vertical="center"/>
    </xf>
    <xf fontId="823" applyFont="true" borderId="8" applyBorder="true" applyNumberFormat="true" numFmtId="1" fillId="22" applyFill="true">
      <alignment horizontal="center" vertical="center"/>
    </xf>
    <xf fontId="824" applyFont="true" borderId="8" applyBorder="true" applyNumberFormat="true" numFmtId="167" fillId="22" applyFill="true">
      <alignment horizontal="center" vertical="center"/>
    </xf>
    <xf fontId="825" applyFont="true" borderId="8" applyBorder="true" applyNumberFormat="true" numFmtId="2" fillId="22" applyFill="true">
      <alignment horizontal="center" vertical="center"/>
    </xf>
    <xf fontId="826" applyFont="true" borderId="8" applyBorder="true" applyNumberFormat="true" numFmtId="2" fillId="22" applyFill="true">
      <alignment horizontal="center" vertical="center"/>
    </xf>
    <xf fontId="827" applyFont="true" borderId="8" applyBorder="true" applyNumberFormat="true" numFmtId="2" fillId="22" applyFill="true">
      <alignment horizontal="center" vertical="center"/>
    </xf>
    <xf fontId="828" applyFont="true" borderId="8" applyBorder="true" applyNumberFormat="true" numFmtId="2" fillId="22" applyFill="true">
      <alignment horizontal="center" vertical="center"/>
    </xf>
    <xf fontId="829" applyFont="true" borderId="8" applyBorder="true" applyNumberFormat="true" numFmtId="2" fillId="22" applyFill="true">
      <alignment horizontal="center" vertical="center"/>
    </xf>
    <xf fontId="830" applyFont="true" borderId="8" applyBorder="true" applyNumberFormat="true" numFmtId="2" fillId="22" applyFill="true">
      <alignment horizontal="center" vertical="center"/>
    </xf>
    <xf fontId="831" applyFont="true" borderId="8" applyBorder="true" applyNumberFormat="true" numFmtId="2" fillId="22" applyFill="true">
      <alignment horizontal="center" vertical="center"/>
    </xf>
    <xf fontId="832" applyFont="true" borderId="8" applyBorder="true" applyNumberFormat="true" numFmtId="2" fillId="22" applyFill="true">
      <alignment horizontal="center" vertical="center"/>
    </xf>
    <xf fontId="833" applyFont="true" borderId="8" applyBorder="true" applyNumberFormat="true" numFmtId="2" fillId="22" applyFill="true">
      <alignment horizontal="center" vertical="center"/>
    </xf>
    <xf fontId="834" applyFont="true" borderId="8" applyBorder="true" applyNumberFormat="true" numFmtId="2" fillId="22" applyFill="true">
      <alignment horizontal="center" vertical="center"/>
    </xf>
    <xf fontId="835" applyFont="true" borderId="8" applyBorder="true" applyNumberFormat="true" numFmtId="2" fillId="22" applyFill="true">
      <alignment horizontal="center" vertical="center"/>
    </xf>
    <xf fontId="836" applyFont="true" borderId="8" applyBorder="true" applyNumberFormat="true" numFmtId="2" fillId="22" applyFill="true">
      <alignment horizontal="center" vertical="center"/>
    </xf>
    <xf fontId="837" applyFont="true" borderId="8" applyBorder="true" applyNumberFormat="true" numFmtId="2" fillId="22" applyFill="true">
      <alignment horizontal="center" vertical="center"/>
    </xf>
    <xf fontId="838" applyFont="true" borderId="8" applyBorder="true" applyNumberFormat="true" numFmtId="2" fillId="22" applyFill="true">
      <alignment horizontal="center" vertical="center"/>
    </xf>
    <xf fontId="839" applyFont="true" borderId="8" applyBorder="true" applyNumberFormat="true" numFmtId="2" fillId="22" applyFill="true">
      <alignment horizontal="center" vertical="center"/>
    </xf>
    <xf fontId="840" applyFont="true" borderId="8" applyBorder="true" applyNumberFormat="true" numFmtId="2" fillId="22" applyFill="true">
      <alignment horizontal="center" vertical="center"/>
    </xf>
    <xf fontId="841" applyFont="true" borderId="8" applyBorder="true" applyNumberFormat="true" numFmtId="2" fillId="22" applyFill="true">
      <alignment horizontal="center" vertical="center"/>
    </xf>
    <xf fontId="842" applyFont="true" borderId="8" applyBorder="true" applyNumberFormat="true" numFmtId="2" fillId="22" applyFill="true">
      <alignment horizontal="center" vertical="center"/>
    </xf>
    <xf fontId="843" applyFont="true" borderId="8" applyBorder="true" applyNumberFormat="true" numFmtId="2" fillId="22" applyFill="true">
      <alignment horizontal="center" vertical="center"/>
    </xf>
    <xf fontId="844" applyFont="true" borderId="8" applyBorder="true" applyNumberFormat="true" numFmtId="2" fillId="22" applyFill="true">
      <alignment horizontal="center" vertical="center"/>
    </xf>
    <xf fontId="845" applyFont="true" borderId="8" applyBorder="true" applyNumberFormat="true" numFmtId="2" fillId="22" applyFill="true">
      <alignment horizontal="center" vertical="center"/>
    </xf>
    <xf fontId="846" applyFont="true" borderId="8" applyBorder="true" applyNumberFormat="true" numFmtId="2" fillId="22" applyFill="true">
      <alignment horizontal="center" vertical="center"/>
    </xf>
    <xf fontId="847" applyFont="true" borderId="8" applyBorder="true" applyNumberFormat="true" numFmtId="2" fillId="22" applyFill="true">
      <alignment horizontal="center" vertical="center"/>
    </xf>
    <xf fontId="848" applyFont="true" borderId="8" applyBorder="true" applyNumberFormat="true" numFmtId="2" fillId="22" applyFill="true">
      <alignment horizontal="center" vertical="center"/>
    </xf>
    <xf fontId="849" applyFont="true" borderId="8" applyBorder="true" applyNumberFormat="true" numFmtId="2" fillId="22" applyFill="true">
      <alignment horizontal="center" vertical="center"/>
    </xf>
    <xf fontId="850" applyFont="true" borderId="8" applyBorder="true" applyNumberFormat="true" numFmtId="2" fillId="22" applyFill="true">
      <alignment horizontal="center" vertical="center"/>
    </xf>
    <xf fontId="851" applyFont="true" borderId="8" applyBorder="true" applyNumberFormat="true" numFmtId="2" fillId="22" applyFill="true">
      <alignment horizontal="center" vertical="center"/>
    </xf>
    <xf fontId="852" applyFont="true" borderId="8" applyBorder="true" applyNumberFormat="true" numFmtId="2" fillId="22" applyFill="true">
      <alignment horizontal="center" vertical="center"/>
    </xf>
    <xf fontId="853" applyFont="true" borderId="8" applyBorder="true" applyNumberFormat="true" numFmtId="2" fillId="22" applyFill="true">
      <alignment horizontal="center" vertical="center"/>
    </xf>
    <xf fontId="854" applyFont="true" borderId="8" applyBorder="true" applyNumberFormat="true" numFmtId="2" fillId="22" applyFill="true">
      <alignment horizontal="center" vertical="center"/>
    </xf>
    <xf fontId="855" applyFont="true" borderId="8" applyBorder="true" applyNumberFormat="true" numFmtId="2" fillId="22" applyFill="true">
      <alignment horizontal="center" vertical="center"/>
    </xf>
    <xf fontId="856" applyFont="true" borderId="8" applyBorder="true" applyNumberFormat="true" numFmtId="2" fillId="22" applyFill="true">
      <alignment horizontal="center" vertical="center"/>
    </xf>
    <xf fontId="857" applyFont="true" borderId="8" applyBorder="true" applyNumberFormat="true" numFmtId="2" fillId="22" applyFill="true">
      <alignment horizontal="center" vertical="center"/>
    </xf>
    <xf fontId="858" applyFont="true" borderId="8" applyBorder="true" applyNumberFormat="true" numFmtId="2" fillId="22" applyFill="true">
      <alignment horizontal="center" vertical="center"/>
    </xf>
    <xf fontId="859" applyFont="true" borderId="8" applyBorder="true" applyNumberFormat="true" numFmtId="165" fillId="19" applyFill="true">
      <alignment horizontal="left" vertical="center"/>
    </xf>
    <xf fontId="860" applyFont="true" borderId="8" applyBorder="true" applyNumberFormat="true" numFmtId="165" fillId="22" applyFill="true">
      <alignment horizontal="center" vertical="center"/>
    </xf>
    <xf fontId="861" applyFont="true" borderId="8" applyBorder="true" applyNumberFormat="true" numFmtId="166" fillId="22" applyFill="true">
      <alignment horizontal="center" vertical="center"/>
    </xf>
    <xf fontId="862" applyFont="true" borderId="8" applyBorder="true" applyNumberFormat="true" numFmtId="1" fillId="22" applyFill="true">
      <alignment horizontal="center" vertical="center"/>
    </xf>
    <xf fontId="863" applyFont="true" borderId="8" applyBorder="true" applyNumberFormat="true" numFmtId="1" fillId="22" applyFill="true">
      <alignment horizontal="center" vertical="center"/>
    </xf>
    <xf fontId="864" applyFont="true" borderId="8" applyBorder="true" applyNumberFormat="true" numFmtId="1" fillId="22" applyFill="true">
      <alignment horizontal="center" vertical="center"/>
    </xf>
    <xf fontId="865" applyFont="true" borderId="8" applyBorder="true" applyNumberFormat="true" numFmtId="1" fillId="22" applyFill="true">
      <alignment horizontal="center" vertical="center"/>
    </xf>
    <xf fontId="866" applyFont="true" borderId="8" applyBorder="true" applyNumberFormat="true" numFmtId="1" fillId="22" applyFill="true">
      <alignment horizontal="center" vertical="center"/>
    </xf>
    <xf fontId="867" applyFont="true" borderId="8" applyBorder="true" applyNumberFormat="true" numFmtId="1" fillId="22" applyFill="true">
      <alignment horizontal="center" vertical="center"/>
    </xf>
    <xf fontId="868" applyFont="true" borderId="8" applyBorder="true" applyNumberFormat="true" numFmtId="1" fillId="22" applyFill="true">
      <alignment horizontal="center" vertical="center"/>
    </xf>
    <xf fontId="869" applyFont="true" borderId="8" applyBorder="true" applyNumberFormat="true" numFmtId="165" fillId="22" applyFill="true">
      <alignment horizontal="center" vertical="center"/>
    </xf>
    <xf fontId="870" applyFont="true" borderId="8" applyBorder="true" applyNumberFormat="true" numFmtId="165" fillId="22" applyFill="true">
      <alignment horizontal="center" vertical="center"/>
    </xf>
    <xf fontId="871" applyFont="true" borderId="8" applyBorder="true" applyNumberFormat="true" numFmtId="1" fillId="22" applyFill="true">
      <alignment horizontal="center" vertical="center"/>
    </xf>
    <xf fontId="872" applyFont="true" borderId="8" applyBorder="true" applyNumberFormat="true" numFmtId="1" fillId="22" applyFill="true">
      <alignment horizontal="center" vertical="center"/>
    </xf>
    <xf fontId="873" applyFont="true" borderId="8" applyBorder="true" applyNumberFormat="true" numFmtId="1" fillId="22" applyFill="true">
      <alignment horizontal="center" vertical="center"/>
    </xf>
    <xf fontId="874" applyFont="true" borderId="8" applyBorder="true" applyNumberFormat="true" numFmtId="167" fillId="22" applyFill="true">
      <alignment horizontal="center" vertical="center"/>
    </xf>
    <xf fontId="875" applyFont="true" borderId="8" applyBorder="true" applyNumberFormat="true" numFmtId="1" fillId="22" applyFill="true">
      <alignment horizontal="center" vertical="center"/>
    </xf>
    <xf fontId="876" applyFont="true" borderId="8" applyBorder="true" applyNumberFormat="true" numFmtId="167" fillId="22" applyFill="true">
      <alignment horizontal="center" vertical="center"/>
    </xf>
    <xf fontId="877" applyFont="true" borderId="8" applyBorder="true" applyNumberFormat="true" numFmtId="1" fillId="22" applyFill="true">
      <alignment horizontal="center" vertical="center"/>
    </xf>
    <xf fontId="878" applyFont="true" borderId="8" applyBorder="true" applyNumberFormat="true" numFmtId="167" fillId="22" applyFill="true">
      <alignment horizontal="center" vertical="center"/>
    </xf>
    <xf fontId="879" applyFont="true" borderId="8" applyBorder="true" applyNumberFormat="true" numFmtId="1" fillId="22" applyFill="true">
      <alignment horizontal="center" vertical="center"/>
    </xf>
    <xf fontId="880" applyFont="true" borderId="8" applyBorder="true" applyNumberFormat="true" numFmtId="167" fillId="22" applyFill="true">
      <alignment horizontal="center" vertical="center"/>
    </xf>
    <xf fontId="881" applyFont="true" borderId="8" applyBorder="true" applyNumberFormat="true" numFmtId="167" fillId="22" applyFill="true">
      <alignment horizontal="center" vertical="center"/>
    </xf>
    <xf fontId="882" applyFont="true" borderId="8" applyBorder="true" applyNumberFormat="true" numFmtId="1" fillId="22" applyFill="true">
      <alignment horizontal="center" vertical="center"/>
    </xf>
    <xf fontId="883" applyFont="true" borderId="8" applyBorder="true" applyNumberFormat="true" numFmtId="1" fillId="22" applyFill="true">
      <alignment horizontal="center" vertical="center"/>
    </xf>
    <xf fontId="884" applyFont="true" borderId="8" applyBorder="true" applyNumberFormat="true" numFmtId="1" fillId="22" applyFill="true">
      <alignment horizontal="center" vertical="center"/>
    </xf>
    <xf fontId="885" applyFont="true" borderId="8" applyBorder="true" applyNumberFormat="true" numFmtId="167" fillId="22" applyFill="true">
      <alignment horizontal="center" vertical="center"/>
    </xf>
    <xf fontId="886" applyFont="true" borderId="8" applyBorder="true" applyNumberFormat="true" numFmtId="166" fillId="22" applyFill="true">
      <alignment horizontal="center" vertical="center"/>
    </xf>
    <xf fontId="887" applyFont="true" borderId="8" applyBorder="true" applyNumberFormat="true" numFmtId="166" fillId="22" applyFill="true">
      <alignment horizontal="center" vertical="center"/>
    </xf>
    <xf fontId="888" applyFont="true" borderId="8" applyBorder="true" applyNumberFormat="true" numFmtId="1" fillId="22" applyFill="true">
      <alignment horizontal="center" vertical="center"/>
    </xf>
    <xf fontId="889" applyFont="true" borderId="8" applyBorder="true" applyNumberFormat="true" numFmtId="1" fillId="22" applyFill="true">
      <alignment horizontal="center" vertical="center"/>
    </xf>
    <xf fontId="890" applyFont="true" borderId="8" applyBorder="true" applyNumberFormat="true" numFmtId="1" fillId="22" applyFill="true">
      <alignment horizontal="center" vertical="center"/>
    </xf>
    <xf fontId="891" applyFont="true" borderId="8" applyBorder="true" applyNumberFormat="true" numFmtId="167" fillId="22" applyFill="true">
      <alignment horizontal="center" vertical="center"/>
    </xf>
    <xf fontId="892" applyFont="true" borderId="8" applyBorder="true" applyNumberFormat="true" numFmtId="1" fillId="22" applyFill="true">
      <alignment horizontal="center" vertical="center"/>
    </xf>
    <xf fontId="893" applyFont="true" borderId="8" applyBorder="true" applyNumberFormat="true" numFmtId="167" fillId="22" applyFill="true">
      <alignment horizontal="center" vertical="center"/>
    </xf>
    <xf fontId="894" applyFont="true" borderId="8" applyBorder="true" applyNumberFormat="true" numFmtId="1" fillId="22" applyFill="true">
      <alignment horizontal="center" vertical="center"/>
    </xf>
    <xf fontId="895" applyFont="true" borderId="8" applyBorder="true" applyNumberFormat="true" numFmtId="1" fillId="22" applyFill="true">
      <alignment horizontal="center" vertical="center"/>
    </xf>
    <xf fontId="896" applyFont="true" borderId="8" applyBorder="true" applyNumberFormat="true" numFmtId="1" fillId="22" applyFill="true">
      <alignment horizontal="center" vertical="center"/>
    </xf>
    <xf fontId="897" applyFont="true" borderId="8" applyBorder="true" applyNumberFormat="true" numFmtId="1" fillId="22" applyFill="true">
      <alignment horizontal="center" vertical="center"/>
    </xf>
    <xf fontId="898" applyFont="true" borderId="8" applyBorder="true" applyNumberFormat="true" numFmtId="167" fillId="22" applyFill="true">
      <alignment horizontal="center" vertical="center"/>
    </xf>
    <xf fontId="899" applyFont="true" borderId="8" applyBorder="true" applyNumberFormat="true" numFmtId="1" fillId="22" applyFill="true">
      <alignment horizontal="center" vertical="center"/>
    </xf>
    <xf fontId="900" applyFont="true" borderId="8" applyBorder="true" applyNumberFormat="true" numFmtId="167" fillId="22" applyFill="true">
      <alignment horizontal="center" vertical="center"/>
    </xf>
    <xf fontId="901" applyFont="true" borderId="8" applyBorder="true" applyNumberFormat="true" numFmtId="1" fillId="22" applyFill="true">
      <alignment horizontal="center" vertical="center"/>
    </xf>
    <xf fontId="902" applyFont="true" borderId="8" applyBorder="true" applyNumberFormat="true" numFmtId="167" fillId="22" applyFill="true">
      <alignment horizontal="center" vertical="center"/>
    </xf>
    <xf fontId="903" applyFont="true" borderId="8" applyBorder="true" applyNumberFormat="true" numFmtId="2" fillId="22" applyFill="true">
      <alignment horizontal="center" vertical="center"/>
    </xf>
    <xf fontId="904" applyFont="true" borderId="8" applyBorder="true" applyNumberFormat="true" numFmtId="2" fillId="22" applyFill="true">
      <alignment horizontal="center" vertical="center"/>
    </xf>
    <xf fontId="905" applyFont="true" borderId="8" applyBorder="true" applyNumberFormat="true" numFmtId="2" fillId="22" applyFill="true">
      <alignment horizontal="center" vertical="center"/>
    </xf>
    <xf fontId="906" applyFont="true" borderId="8" applyBorder="true" applyNumberFormat="true" numFmtId="2" fillId="22" applyFill="true">
      <alignment horizontal="center" vertical="center"/>
    </xf>
    <xf fontId="907" applyFont="true" borderId="8" applyBorder="true" applyNumberFormat="true" numFmtId="2" fillId="22" applyFill="true">
      <alignment horizontal="center" vertical="center"/>
    </xf>
    <xf fontId="908" applyFont="true" borderId="8" applyBorder="true" applyNumberFormat="true" numFmtId="2" fillId="22" applyFill="true">
      <alignment horizontal="center" vertical="center"/>
    </xf>
    <xf fontId="909" applyFont="true" borderId="8" applyBorder="true" applyNumberFormat="true" numFmtId="2" fillId="22" applyFill="true">
      <alignment horizontal="center" vertical="center"/>
    </xf>
    <xf fontId="910" applyFont="true" borderId="8" applyBorder="true" applyNumberFormat="true" numFmtId="2" fillId="22" applyFill="true">
      <alignment horizontal="center" vertical="center"/>
    </xf>
    <xf fontId="911" applyFont="true" borderId="8" applyBorder="true" applyNumberFormat="true" numFmtId="2" fillId="22" applyFill="true">
      <alignment horizontal="center" vertical="center"/>
    </xf>
    <xf fontId="912" applyFont="true" borderId="8" applyBorder="true" applyNumberFormat="true" numFmtId="2" fillId="22" applyFill="true">
      <alignment horizontal="center" vertical="center"/>
    </xf>
    <xf fontId="913" applyFont="true" borderId="8" applyBorder="true" applyNumberFormat="true" numFmtId="2" fillId="22" applyFill="true">
      <alignment horizontal="center" vertical="center"/>
    </xf>
    <xf fontId="914" applyFont="true" borderId="8" applyBorder="true" applyNumberFormat="true" numFmtId="2" fillId="22" applyFill="true">
      <alignment horizontal="center" vertical="center"/>
    </xf>
    <xf fontId="915" applyFont="true" borderId="8" applyBorder="true" applyNumberFormat="true" numFmtId="2" fillId="22" applyFill="true">
      <alignment horizontal="center" vertical="center"/>
    </xf>
    <xf fontId="916" applyFont="true" borderId="8" applyBorder="true" applyNumberFormat="true" numFmtId="2" fillId="22" applyFill="true">
      <alignment horizontal="center" vertical="center"/>
    </xf>
    <xf fontId="917" applyFont="true" borderId="8" applyBorder="true" applyNumberFormat="true" numFmtId="2" fillId="22" applyFill="true">
      <alignment horizontal="center" vertical="center"/>
    </xf>
    <xf fontId="918" applyFont="true" borderId="8" applyBorder="true" applyNumberFormat="true" numFmtId="2" fillId="22" applyFill="true">
      <alignment horizontal="center" vertical="center"/>
    </xf>
    <xf fontId="919" applyFont="true" borderId="8" applyBorder="true" applyNumberFormat="true" numFmtId="2" fillId="22" applyFill="true">
      <alignment horizontal="center" vertical="center"/>
    </xf>
    <xf fontId="920" applyFont="true" borderId="8" applyBorder="true" applyNumberFormat="true" numFmtId="2" fillId="22" applyFill="true">
      <alignment horizontal="center" vertical="center"/>
    </xf>
    <xf fontId="921" applyFont="true" borderId="8" applyBorder="true" applyNumberFormat="true" numFmtId="2" fillId="22" applyFill="true">
      <alignment horizontal="center" vertical="center"/>
    </xf>
    <xf fontId="922" applyFont="true" borderId="8" applyBorder="true" applyNumberFormat="true" numFmtId="2" fillId="22" applyFill="true">
      <alignment horizontal="center" vertical="center"/>
    </xf>
    <xf fontId="923" applyFont="true" borderId="8" applyBorder="true" applyNumberFormat="true" numFmtId="2" fillId="22" applyFill="true">
      <alignment horizontal="center" vertical="center"/>
    </xf>
    <xf fontId="924" applyFont="true" borderId="8" applyBorder="true" applyNumberFormat="true" numFmtId="2" fillId="22" applyFill="true">
      <alignment horizontal="center" vertical="center"/>
    </xf>
    <xf fontId="925" applyFont="true" borderId="8" applyBorder="true" applyNumberFormat="true" numFmtId="2" fillId="22" applyFill="true">
      <alignment horizontal="center" vertical="center"/>
    </xf>
    <xf fontId="926" applyFont="true" borderId="8" applyBorder="true" applyNumberFormat="true" numFmtId="2" fillId="22" applyFill="true">
      <alignment horizontal="center" vertical="center"/>
    </xf>
    <xf fontId="927" applyFont="true" borderId="8" applyBorder="true" applyNumberFormat="true" numFmtId="2" fillId="22" applyFill="true">
      <alignment horizontal="center" vertical="center"/>
    </xf>
    <xf fontId="928" applyFont="true" borderId="8" applyBorder="true" applyNumberFormat="true" numFmtId="2" fillId="22" applyFill="true">
      <alignment horizontal="center" vertical="center"/>
    </xf>
    <xf fontId="929" applyFont="true" borderId="8" applyBorder="true" applyNumberFormat="true" numFmtId="2" fillId="22" applyFill="true">
      <alignment horizontal="center" vertical="center"/>
    </xf>
    <xf fontId="930" applyFont="true" borderId="8" applyBorder="true" applyNumberFormat="true" numFmtId="2" fillId="22" applyFill="true">
      <alignment horizontal="center" vertical="center"/>
    </xf>
    <xf fontId="931" applyFont="true" borderId="8" applyBorder="true" applyNumberFormat="true" numFmtId="2" fillId="22" applyFill="true">
      <alignment horizontal="center" vertical="center"/>
    </xf>
    <xf fontId="932" applyFont="true" borderId="8" applyBorder="true" applyNumberFormat="true" numFmtId="2" fillId="22" applyFill="true">
      <alignment horizontal="center" vertical="center"/>
    </xf>
    <xf fontId="933" applyFont="true" borderId="8" applyBorder="true" applyNumberFormat="true" numFmtId="2" fillId="22" applyFill="true">
      <alignment horizontal="center" vertical="center"/>
    </xf>
    <xf fontId="934" applyFont="true" borderId="8" applyBorder="true" applyNumberFormat="true" numFmtId="2" fillId="22" applyFill="true">
      <alignment horizontal="center" vertical="center"/>
    </xf>
    <xf fontId="935" applyFont="true" borderId="8" applyBorder="true" applyNumberFormat="true" numFmtId="2" fillId="22" applyFill="true">
      <alignment horizontal="center" vertical="center"/>
    </xf>
    <xf fontId="936" applyFont="true" borderId="8" applyBorder="true" applyNumberFormat="true" numFmtId="2" fillId="22" applyFill="true">
      <alignment horizontal="center" vertical="center"/>
    </xf>
    <xf fontId="937" applyFont="true" borderId="8" applyBorder="true" applyNumberFormat="true" numFmtId="165" fillId="19" applyFill="true">
      <alignment horizontal="left" vertical="center"/>
    </xf>
    <xf fontId="938" applyFont="true" borderId="8" applyBorder="true" applyNumberFormat="true" numFmtId="165" fillId="22" applyFill="true">
      <alignment horizontal="center" vertical="center"/>
    </xf>
    <xf fontId="939" applyFont="true" borderId="8" applyBorder="true" applyNumberFormat="true" numFmtId="166" fillId="22" applyFill="true">
      <alignment horizontal="center" vertical="center"/>
    </xf>
    <xf fontId="940" applyFont="true" borderId="8" applyBorder="true" applyNumberFormat="true" numFmtId="1" fillId="22" applyFill="true">
      <alignment horizontal="center" vertical="center"/>
    </xf>
    <xf fontId="941" applyFont="true" borderId="8" applyBorder="true" applyNumberFormat="true" numFmtId="1" fillId="22" applyFill="true">
      <alignment horizontal="center" vertical="center"/>
    </xf>
    <xf fontId="942" applyFont="true" borderId="8" applyBorder="true" applyNumberFormat="true" numFmtId="1" fillId="22" applyFill="true">
      <alignment horizontal="center" vertical="center"/>
    </xf>
    <xf fontId="943" applyFont="true" borderId="8" applyBorder="true" applyNumberFormat="true" numFmtId="1" fillId="22" applyFill="true">
      <alignment horizontal="center" vertical="center"/>
    </xf>
    <xf fontId="944" applyFont="true" borderId="8" applyBorder="true" applyNumberFormat="true" numFmtId="1" fillId="22" applyFill="true">
      <alignment horizontal="center" vertical="center"/>
    </xf>
    <xf fontId="945" applyFont="true" borderId="8" applyBorder="true" applyNumberFormat="true" numFmtId="1" fillId="22" applyFill="true">
      <alignment horizontal="center" vertical="center"/>
    </xf>
    <xf fontId="946" applyFont="true" borderId="8" applyBorder="true" applyNumberFormat="true" numFmtId="1" fillId="22" applyFill="true">
      <alignment horizontal="center" vertical="center"/>
    </xf>
    <xf fontId="947" applyFont="true" borderId="8" applyBorder="true" applyNumberFormat="true" numFmtId="165" fillId="22" applyFill="true">
      <alignment horizontal="center" vertical="center"/>
    </xf>
    <xf fontId="948" applyFont="true" borderId="8" applyBorder="true" applyNumberFormat="true" numFmtId="165" fillId="22" applyFill="true">
      <alignment horizontal="center" vertical="center"/>
    </xf>
    <xf fontId="949" applyFont="true" borderId="8" applyBorder="true" applyNumberFormat="true" numFmtId="1" fillId="22" applyFill="true">
      <alignment horizontal="center" vertical="center"/>
    </xf>
    <xf fontId="950" applyFont="true" borderId="8" applyBorder="true" applyNumberFormat="true" numFmtId="1" fillId="22" applyFill="true">
      <alignment horizontal="center" vertical="center"/>
    </xf>
    <xf fontId="951" applyFont="true" borderId="8" applyBorder="true" applyNumberFormat="true" numFmtId="1" fillId="22" applyFill="true">
      <alignment horizontal="center" vertical="center"/>
    </xf>
    <xf fontId="952" applyFont="true" borderId="8" applyBorder="true" applyNumberFormat="true" numFmtId="167" fillId="22" applyFill="true">
      <alignment horizontal="center" vertical="center"/>
    </xf>
    <xf fontId="953" applyFont="true" borderId="8" applyBorder="true" applyNumberFormat="true" numFmtId="1" fillId="22" applyFill="true">
      <alignment horizontal="center" vertical="center"/>
    </xf>
    <xf fontId="954" applyFont="true" borderId="8" applyBorder="true" applyNumberFormat="true" numFmtId="167" fillId="22" applyFill="true">
      <alignment horizontal="center" vertical="center"/>
    </xf>
    <xf fontId="955" applyFont="true" borderId="8" applyBorder="true" applyNumberFormat="true" numFmtId="1" fillId="22" applyFill="true">
      <alignment horizontal="center" vertical="center"/>
    </xf>
    <xf fontId="956" applyFont="true" borderId="8" applyBorder="true" applyNumberFormat="true" numFmtId="167" fillId="22" applyFill="true">
      <alignment horizontal="center" vertical="center"/>
    </xf>
    <xf fontId="957" applyFont="true" borderId="8" applyBorder="true" applyNumberFormat="true" numFmtId="1" fillId="22" applyFill="true">
      <alignment horizontal="center" vertical="center"/>
    </xf>
    <xf fontId="958" applyFont="true" borderId="8" applyBorder="true" applyNumberFormat="true" numFmtId="167" fillId="22" applyFill="true">
      <alignment horizontal="center" vertical="center"/>
    </xf>
    <xf fontId="959" applyFont="true" borderId="8" applyBorder="true" applyNumberFormat="true" numFmtId="167" fillId="22" applyFill="true">
      <alignment horizontal="center" vertical="center"/>
    </xf>
    <xf fontId="960" applyFont="true" borderId="8" applyBorder="true" applyNumberFormat="true" numFmtId="1" fillId="22" applyFill="true">
      <alignment horizontal="center" vertical="center"/>
    </xf>
    <xf fontId="961" applyFont="true" borderId="8" applyBorder="true" applyNumberFormat="true" numFmtId="1" fillId="22" applyFill="true">
      <alignment horizontal="center" vertical="center"/>
    </xf>
    <xf fontId="962" applyFont="true" borderId="8" applyBorder="true" applyNumberFormat="true" numFmtId="1" fillId="22" applyFill="true">
      <alignment horizontal="center" vertical="center"/>
    </xf>
    <xf fontId="963" applyFont="true" borderId="8" applyBorder="true" applyNumberFormat="true" numFmtId="167" fillId="22" applyFill="true">
      <alignment horizontal="center" vertical="center"/>
    </xf>
    <xf fontId="964" applyFont="true" borderId="8" applyBorder="true" applyNumberFormat="true" numFmtId="166" fillId="22" applyFill="true">
      <alignment horizontal="center" vertical="center"/>
    </xf>
    <xf fontId="965" applyFont="true" borderId="8" applyBorder="true" applyNumberFormat="true" numFmtId="166" fillId="22" applyFill="true">
      <alignment horizontal="center" vertical="center"/>
    </xf>
    <xf fontId="966" applyFont="true" borderId="8" applyBorder="true" applyNumberFormat="true" numFmtId="1" fillId="22" applyFill="true">
      <alignment horizontal="center" vertical="center"/>
    </xf>
    <xf fontId="967" applyFont="true" borderId="8" applyBorder="true" applyNumberFormat="true" numFmtId="1" fillId="22" applyFill="true">
      <alignment horizontal="center" vertical="center"/>
    </xf>
    <xf fontId="968" applyFont="true" borderId="8" applyBorder="true" applyNumberFormat="true" numFmtId="1" fillId="22" applyFill="true">
      <alignment horizontal="center" vertical="center"/>
    </xf>
    <xf fontId="969" applyFont="true" borderId="8" applyBorder="true" applyNumberFormat="true" numFmtId="167" fillId="22" applyFill="true">
      <alignment horizontal="center" vertical="center"/>
    </xf>
    <xf fontId="970" applyFont="true" borderId="8" applyBorder="true" applyNumberFormat="true" numFmtId="1" fillId="22" applyFill="true">
      <alignment horizontal="center" vertical="center"/>
    </xf>
    <xf fontId="971" applyFont="true" borderId="8" applyBorder="true" applyNumberFormat="true" numFmtId="167" fillId="22" applyFill="true">
      <alignment horizontal="center" vertical="center"/>
    </xf>
    <xf fontId="972" applyFont="true" borderId="8" applyBorder="true" applyNumberFormat="true" numFmtId="1" fillId="22" applyFill="true">
      <alignment horizontal="center" vertical="center"/>
    </xf>
    <xf fontId="973" applyFont="true" borderId="8" applyBorder="true" applyNumberFormat="true" numFmtId="1" fillId="22" applyFill="true">
      <alignment horizontal="center" vertical="center"/>
    </xf>
    <xf fontId="974" applyFont="true" borderId="8" applyBorder="true" applyNumberFormat="true" numFmtId="1" fillId="22" applyFill="true">
      <alignment horizontal="center" vertical="center"/>
    </xf>
    <xf fontId="975" applyFont="true" borderId="8" applyBorder="true" applyNumberFormat="true" numFmtId="1" fillId="22" applyFill="true">
      <alignment horizontal="center" vertical="center"/>
    </xf>
    <xf fontId="976" applyFont="true" borderId="8" applyBorder="true" applyNumberFormat="true" numFmtId="167" fillId="22" applyFill="true">
      <alignment horizontal="center" vertical="center"/>
    </xf>
    <xf fontId="977" applyFont="true" borderId="8" applyBorder="true" applyNumberFormat="true" numFmtId="1" fillId="22" applyFill="true">
      <alignment horizontal="center" vertical="center"/>
    </xf>
    <xf fontId="978" applyFont="true" borderId="8" applyBorder="true" applyNumberFormat="true" numFmtId="167" fillId="22" applyFill="true">
      <alignment horizontal="center" vertical="center"/>
    </xf>
    <xf fontId="979" applyFont="true" borderId="8" applyBorder="true" applyNumberFormat="true" numFmtId="1" fillId="22" applyFill="true">
      <alignment horizontal="center" vertical="center"/>
    </xf>
    <xf fontId="980" applyFont="true" borderId="8" applyBorder="true" applyNumberFormat="true" numFmtId="167" fillId="22" applyFill="true">
      <alignment horizontal="center" vertical="center"/>
    </xf>
    <xf fontId="981" applyFont="true" borderId="8" applyBorder="true" applyNumberFormat="true" numFmtId="2" fillId="22" applyFill="true">
      <alignment horizontal="center" vertical="center"/>
    </xf>
    <xf fontId="982" applyFont="true" borderId="8" applyBorder="true" applyNumberFormat="true" numFmtId="2" fillId="22" applyFill="true">
      <alignment horizontal="center" vertical="center"/>
    </xf>
    <xf fontId="983" applyFont="true" borderId="8" applyBorder="true" applyNumberFormat="true" numFmtId="2" fillId="22" applyFill="true">
      <alignment horizontal="center" vertical="center"/>
    </xf>
    <xf fontId="984" applyFont="true" borderId="8" applyBorder="true" applyNumberFormat="true" numFmtId="2" fillId="22" applyFill="true">
      <alignment horizontal="center" vertical="center"/>
    </xf>
    <xf fontId="985" applyFont="true" borderId="8" applyBorder="true" applyNumberFormat="true" numFmtId="2" fillId="22" applyFill="true">
      <alignment horizontal="center" vertical="center"/>
    </xf>
    <xf fontId="986" applyFont="true" borderId="8" applyBorder="true" applyNumberFormat="true" numFmtId="2" fillId="22" applyFill="true">
      <alignment horizontal="center" vertical="center"/>
    </xf>
    <xf fontId="987" applyFont="true" borderId="8" applyBorder="true" applyNumberFormat="true" numFmtId="2" fillId="22" applyFill="true">
      <alignment horizontal="center" vertical="center"/>
    </xf>
    <xf fontId="988" applyFont="true" borderId="8" applyBorder="true" applyNumberFormat="true" numFmtId="2" fillId="22" applyFill="true">
      <alignment horizontal="center" vertical="center"/>
    </xf>
    <xf fontId="989" applyFont="true" borderId="8" applyBorder="true" applyNumberFormat="true" numFmtId="2" fillId="22" applyFill="true">
      <alignment horizontal="center" vertical="center"/>
    </xf>
    <xf fontId="990" applyFont="true" borderId="8" applyBorder="true" applyNumberFormat="true" numFmtId="2" fillId="22" applyFill="true">
      <alignment horizontal="center" vertical="center"/>
    </xf>
    <xf fontId="991" applyFont="true" borderId="8" applyBorder="true" applyNumberFormat="true" numFmtId="2" fillId="22" applyFill="true">
      <alignment horizontal="center" vertical="center"/>
    </xf>
    <xf fontId="992" applyFont="true" borderId="8" applyBorder="true" applyNumberFormat="true" numFmtId="2" fillId="22" applyFill="true">
      <alignment horizontal="center" vertical="center"/>
    </xf>
    <xf fontId="993" applyFont="true" borderId="8" applyBorder="true" applyNumberFormat="true" numFmtId="2" fillId="22" applyFill="true">
      <alignment horizontal="center" vertical="center"/>
    </xf>
    <xf fontId="994" applyFont="true" borderId="8" applyBorder="true" applyNumberFormat="true" numFmtId="2" fillId="22" applyFill="true">
      <alignment horizontal="center" vertical="center"/>
    </xf>
    <xf fontId="995" applyFont="true" borderId="8" applyBorder="true" applyNumberFormat="true" numFmtId="2" fillId="22" applyFill="true">
      <alignment horizontal="center" vertical="center"/>
    </xf>
    <xf fontId="996" applyFont="true" borderId="8" applyBorder="true" applyNumberFormat="true" numFmtId="2" fillId="22" applyFill="true">
      <alignment horizontal="center" vertical="center"/>
    </xf>
    <xf fontId="997" applyFont="true" borderId="8" applyBorder="true" applyNumberFormat="true" numFmtId="2" fillId="22" applyFill="true">
      <alignment horizontal="center" vertical="center"/>
    </xf>
    <xf fontId="998" applyFont="true" borderId="8" applyBorder="true" applyNumberFormat="true" numFmtId="2" fillId="22" applyFill="true">
      <alignment horizontal="center" vertical="center"/>
    </xf>
    <xf fontId="999" applyFont="true" borderId="8" applyBorder="true" applyNumberFormat="true" numFmtId="2" fillId="22" applyFill="true">
      <alignment horizontal="center" vertical="center"/>
    </xf>
    <xf fontId="1000" applyFont="true" borderId="8" applyBorder="true" applyNumberFormat="true" numFmtId="2" fillId="22" applyFill="true">
      <alignment horizontal="center" vertical="center"/>
    </xf>
    <xf fontId="1001" applyFont="true" borderId="8" applyBorder="true" applyNumberFormat="true" numFmtId="2" fillId="22" applyFill="true">
      <alignment horizontal="center" vertical="center"/>
    </xf>
    <xf fontId="1002" applyFont="true" borderId="8" applyBorder="true" applyNumberFormat="true" numFmtId="2" fillId="22" applyFill="true">
      <alignment horizontal="center" vertical="center"/>
    </xf>
    <xf fontId="1003" applyFont="true" borderId="8" applyBorder="true" applyNumberFormat="true" numFmtId="2" fillId="22" applyFill="true">
      <alignment horizontal="center" vertical="center"/>
    </xf>
    <xf fontId="1004" applyFont="true" borderId="8" applyBorder="true" applyNumberFormat="true" numFmtId="2" fillId="22" applyFill="true">
      <alignment horizontal="center" vertical="center"/>
    </xf>
    <xf fontId="1005" applyFont="true" borderId="8" applyBorder="true" applyNumberFormat="true" numFmtId="2" fillId="22" applyFill="true">
      <alignment horizontal="center" vertical="center"/>
    </xf>
    <xf fontId="1006" applyFont="true" borderId="8" applyBorder="true" applyNumberFormat="true" numFmtId="2" fillId="22" applyFill="true">
      <alignment horizontal="center" vertical="center"/>
    </xf>
    <xf fontId="1007" applyFont="true" borderId="8" applyBorder="true" applyNumberFormat="true" numFmtId="2" fillId="22" applyFill="true">
      <alignment horizontal="center" vertical="center"/>
    </xf>
    <xf fontId="1008" applyFont="true" borderId="8" applyBorder="true" applyNumberFormat="true" numFmtId="2" fillId="22" applyFill="true">
      <alignment horizontal="center" vertical="center"/>
    </xf>
    <xf fontId="1009" applyFont="true" borderId="8" applyBorder="true" applyNumberFormat="true" numFmtId="2" fillId="22" applyFill="true">
      <alignment horizontal="center" vertical="center"/>
    </xf>
    <xf fontId="1010" applyFont="true" borderId="8" applyBorder="true" applyNumberFormat="true" numFmtId="2" fillId="22" applyFill="true">
      <alignment horizontal="center" vertical="center"/>
    </xf>
    <xf fontId="1011" applyFont="true" borderId="8" applyBorder="true" applyNumberFormat="true" numFmtId="2" fillId="22" applyFill="true">
      <alignment horizontal="center" vertical="center"/>
    </xf>
    <xf fontId="1012" applyFont="true" borderId="8" applyBorder="true" applyNumberFormat="true" numFmtId="2" fillId="22" applyFill="true">
      <alignment horizontal="center" vertical="center"/>
    </xf>
    <xf fontId="1013" applyFont="true" borderId="8" applyBorder="true" applyNumberFormat="true" numFmtId="2" fillId="22" applyFill="true">
      <alignment horizontal="center" vertical="center"/>
    </xf>
    <xf fontId="1014" applyFont="true" borderId="8" applyBorder="true" applyNumberFormat="true" numFmtId="2" fillId="22" applyFill="true">
      <alignment horizontal="center" vertical="center"/>
    </xf>
    <xf fontId="1015" applyFont="true" borderId="8" applyBorder="true" applyNumberFormat="true" numFmtId="165" fillId="19" applyFill="true">
      <alignment horizontal="left" vertical="center"/>
    </xf>
    <xf fontId="1016" applyFont="true" borderId="8" applyBorder="true" applyNumberFormat="true" numFmtId="165" fillId="22" applyFill="true">
      <alignment horizontal="center" vertical="center"/>
    </xf>
    <xf fontId="1017" applyFont="true" borderId="8" applyBorder="true" applyNumberFormat="true" numFmtId="166" fillId="22" applyFill="true">
      <alignment horizontal="center" vertical="center"/>
    </xf>
    <xf fontId="1018" applyFont="true" borderId="8" applyBorder="true" applyNumberFormat="true" numFmtId="1" fillId="22" applyFill="true">
      <alignment horizontal="center" vertical="center"/>
    </xf>
    <xf fontId="1019" applyFont="true" borderId="8" applyBorder="true" applyNumberFormat="true" numFmtId="1" fillId="22" applyFill="true">
      <alignment horizontal="center" vertical="center"/>
    </xf>
    <xf fontId="1020" applyFont="true" borderId="8" applyBorder="true" applyNumberFormat="true" numFmtId="1" fillId="22" applyFill="true">
      <alignment horizontal="center" vertical="center"/>
    </xf>
    <xf fontId="1021" applyFont="true" borderId="8" applyBorder="true" applyNumberFormat="true" numFmtId="1" fillId="22" applyFill="true">
      <alignment horizontal="center" vertical="center"/>
    </xf>
    <xf fontId="1022" applyFont="true" borderId="8" applyBorder="true" applyNumberFormat="true" numFmtId="1" fillId="22" applyFill="true">
      <alignment horizontal="center" vertical="center"/>
    </xf>
    <xf fontId="1023" applyFont="true" borderId="8" applyBorder="true" applyNumberFormat="true" numFmtId="1" fillId="22" applyFill="true">
      <alignment horizontal="center" vertical="center"/>
    </xf>
    <xf fontId="1024" applyFont="true" borderId="8" applyBorder="true" applyNumberFormat="true" numFmtId="1" fillId="22" applyFill="true">
      <alignment horizontal="center" vertical="center"/>
    </xf>
    <xf fontId="1025" applyFont="true" borderId="8" applyBorder="true" applyNumberFormat="true" numFmtId="165" fillId="22" applyFill="true">
      <alignment horizontal="center" vertical="center"/>
    </xf>
    <xf fontId="1026" applyFont="true" borderId="8" applyBorder="true" applyNumberFormat="true" numFmtId="165" fillId="22" applyFill="true">
      <alignment horizontal="center" vertical="center"/>
    </xf>
    <xf fontId="1027" applyFont="true" borderId="8" applyBorder="true" applyNumberFormat="true" numFmtId="1" fillId="22" applyFill="true">
      <alignment horizontal="center" vertical="center"/>
    </xf>
    <xf fontId="1028" applyFont="true" borderId="8" applyBorder="true" applyNumberFormat="true" numFmtId="1" fillId="22" applyFill="true">
      <alignment horizontal="center" vertical="center"/>
    </xf>
    <xf fontId="1029" applyFont="true" borderId="8" applyBorder="true" applyNumberFormat="true" numFmtId="1" fillId="22" applyFill="true">
      <alignment horizontal="center" vertical="center"/>
    </xf>
    <xf fontId="1030" applyFont="true" borderId="8" applyBorder="true" applyNumberFormat="true" numFmtId="167" fillId="22" applyFill="true">
      <alignment horizontal="center" vertical="center"/>
    </xf>
    <xf fontId="1031" applyFont="true" borderId="8" applyBorder="true" applyNumberFormat="true" numFmtId="1" fillId="22" applyFill="true">
      <alignment horizontal="center" vertical="center"/>
    </xf>
    <xf fontId="1032" applyFont="true" borderId="8" applyBorder="true" applyNumberFormat="true" numFmtId="167" fillId="22" applyFill="true">
      <alignment horizontal="center" vertical="center"/>
    </xf>
    <xf fontId="1033" applyFont="true" borderId="8" applyBorder="true" applyNumberFormat="true" numFmtId="1" fillId="22" applyFill="true">
      <alignment horizontal="center" vertical="center"/>
    </xf>
    <xf fontId="1034" applyFont="true" borderId="8" applyBorder="true" applyNumberFormat="true" numFmtId="167" fillId="22" applyFill="true">
      <alignment horizontal="center" vertical="center"/>
    </xf>
    <xf fontId="1035" applyFont="true" borderId="8" applyBorder="true" applyNumberFormat="true" numFmtId="1" fillId="22" applyFill="true">
      <alignment horizontal="center" vertical="center"/>
    </xf>
    <xf fontId="1036" applyFont="true" borderId="8" applyBorder="true" applyNumberFormat="true" numFmtId="167" fillId="22" applyFill="true">
      <alignment horizontal="center" vertical="center"/>
    </xf>
    <xf fontId="1037" applyFont="true" borderId="8" applyBorder="true" applyNumberFormat="true" numFmtId="167" fillId="22" applyFill="true">
      <alignment horizontal="center" vertical="center"/>
    </xf>
    <xf fontId="1038" applyFont="true" borderId="8" applyBorder="true" applyNumberFormat="true" numFmtId="1" fillId="22" applyFill="true">
      <alignment horizontal="center" vertical="center"/>
    </xf>
    <xf fontId="1039" applyFont="true" borderId="8" applyBorder="true" applyNumberFormat="true" numFmtId="1" fillId="22" applyFill="true">
      <alignment horizontal="center" vertical="center"/>
    </xf>
    <xf fontId="1040" applyFont="true" borderId="8" applyBorder="true" applyNumberFormat="true" numFmtId="1" fillId="22" applyFill="true">
      <alignment horizontal="center" vertical="center"/>
    </xf>
    <xf fontId="1041" applyFont="true" borderId="8" applyBorder="true" applyNumberFormat="true" numFmtId="167" fillId="22" applyFill="true">
      <alignment horizontal="center" vertical="center"/>
    </xf>
    <xf fontId="1042" applyFont="true" borderId="8" applyBorder="true" applyNumberFormat="true" numFmtId="166" fillId="22" applyFill="true">
      <alignment horizontal="center" vertical="center"/>
    </xf>
    <xf fontId="1043" applyFont="true" borderId="8" applyBorder="true" applyNumberFormat="true" numFmtId="166" fillId="22" applyFill="true">
      <alignment horizontal="center" vertical="center"/>
    </xf>
    <xf fontId="1044" applyFont="true" borderId="8" applyBorder="true" applyNumberFormat="true" numFmtId="1" fillId="22" applyFill="true">
      <alignment horizontal="center" vertical="center"/>
    </xf>
    <xf fontId="1045" applyFont="true" borderId="8" applyBorder="true" applyNumberFormat="true" numFmtId="1" fillId="22" applyFill="true">
      <alignment horizontal="center" vertical="center"/>
    </xf>
    <xf fontId="1046" applyFont="true" borderId="8" applyBorder="true" applyNumberFormat="true" numFmtId="1" fillId="22" applyFill="true">
      <alignment horizontal="center" vertical="center"/>
    </xf>
    <xf fontId="1047" applyFont="true" borderId="8" applyBorder="true" applyNumberFormat="true" numFmtId="167" fillId="22" applyFill="true">
      <alignment horizontal="center" vertical="center"/>
    </xf>
    <xf fontId="1048" applyFont="true" borderId="8" applyBorder="true" applyNumberFormat="true" numFmtId="1" fillId="22" applyFill="true">
      <alignment horizontal="center" vertical="center"/>
    </xf>
    <xf fontId="1049" applyFont="true" borderId="8" applyBorder="true" applyNumberFormat="true" numFmtId="167" fillId="22" applyFill="true">
      <alignment horizontal="center" vertical="center"/>
    </xf>
    <xf fontId="1050" applyFont="true" borderId="8" applyBorder="true" applyNumberFormat="true" numFmtId="1" fillId="22" applyFill="true">
      <alignment horizontal="center" vertical="center"/>
    </xf>
    <xf fontId="1051" applyFont="true" borderId="8" applyBorder="true" applyNumberFormat="true" numFmtId="1" fillId="22" applyFill="true">
      <alignment horizontal="center" vertical="center"/>
    </xf>
    <xf fontId="1052" applyFont="true" borderId="8" applyBorder="true" applyNumberFormat="true" numFmtId="1" fillId="22" applyFill="true">
      <alignment horizontal="center" vertical="center"/>
    </xf>
    <xf fontId="1053" applyFont="true" borderId="8" applyBorder="true" applyNumberFormat="true" numFmtId="1" fillId="22" applyFill="true">
      <alignment horizontal="center" vertical="center"/>
    </xf>
    <xf fontId="1054" applyFont="true" borderId="8" applyBorder="true" applyNumberFormat="true" numFmtId="167" fillId="22" applyFill="true">
      <alignment horizontal="center" vertical="center"/>
    </xf>
    <xf fontId="1055" applyFont="true" borderId="8" applyBorder="true" applyNumberFormat="true" numFmtId="1" fillId="22" applyFill="true">
      <alignment horizontal="center" vertical="center"/>
    </xf>
    <xf fontId="1056" applyFont="true" borderId="8" applyBorder="true" applyNumberFormat="true" numFmtId="167" fillId="22" applyFill="true">
      <alignment horizontal="center" vertical="center"/>
    </xf>
    <xf fontId="1057" applyFont="true" borderId="8" applyBorder="true" applyNumberFormat="true" numFmtId="1" fillId="22" applyFill="true">
      <alignment horizontal="center" vertical="center"/>
    </xf>
    <xf fontId="1058" applyFont="true" borderId="8" applyBorder="true" applyNumberFormat="true" numFmtId="167" fillId="22" applyFill="true">
      <alignment horizontal="center" vertical="center"/>
    </xf>
    <xf fontId="1059" applyFont="true" borderId="8" applyBorder="true" applyNumberFormat="true" numFmtId="2" fillId="22" applyFill="true">
      <alignment horizontal="center" vertical="center"/>
    </xf>
    <xf fontId="1060" applyFont="true" borderId="8" applyBorder="true" applyNumberFormat="true" numFmtId="2" fillId="22" applyFill="true">
      <alignment horizontal="center" vertical="center"/>
    </xf>
    <xf fontId="1061" applyFont="true" borderId="8" applyBorder="true" applyNumberFormat="true" numFmtId="2" fillId="22" applyFill="true">
      <alignment horizontal="center" vertical="center"/>
    </xf>
    <xf fontId="1062" applyFont="true" borderId="8" applyBorder="true" applyNumberFormat="true" numFmtId="2" fillId="22" applyFill="true">
      <alignment horizontal="center" vertical="center"/>
    </xf>
    <xf fontId="1063" applyFont="true" borderId="8" applyBorder="true" applyNumberFormat="true" numFmtId="2" fillId="22" applyFill="true">
      <alignment horizontal="center" vertical="center"/>
    </xf>
    <xf fontId="1064" applyFont="true" borderId="8" applyBorder="true" applyNumberFormat="true" numFmtId="2" fillId="22" applyFill="true">
      <alignment horizontal="center" vertical="center"/>
    </xf>
    <xf fontId="1065" applyFont="true" borderId="8" applyBorder="true" applyNumberFormat="true" numFmtId="2" fillId="22" applyFill="true">
      <alignment horizontal="center" vertical="center"/>
    </xf>
    <xf fontId="1066" applyFont="true" borderId="8" applyBorder="true" applyNumberFormat="true" numFmtId="2" fillId="22" applyFill="true">
      <alignment horizontal="center" vertical="center"/>
    </xf>
    <xf fontId="1067" applyFont="true" borderId="8" applyBorder="true" applyNumberFormat="true" numFmtId="2" fillId="22" applyFill="true">
      <alignment horizontal="center" vertical="center"/>
    </xf>
    <xf fontId="1068" applyFont="true" borderId="8" applyBorder="true" applyNumberFormat="true" numFmtId="2" fillId="22" applyFill="true">
      <alignment horizontal="center" vertical="center"/>
    </xf>
    <xf fontId="1069" applyFont="true" borderId="8" applyBorder="true" applyNumberFormat="true" numFmtId="2" fillId="22" applyFill="true">
      <alignment horizontal="center" vertical="center"/>
    </xf>
    <xf fontId="1070" applyFont="true" borderId="8" applyBorder="true" applyNumberFormat="true" numFmtId="2" fillId="22" applyFill="true">
      <alignment horizontal="center" vertical="center"/>
    </xf>
    <xf fontId="1071" applyFont="true" borderId="8" applyBorder="true" applyNumberFormat="true" numFmtId="2" fillId="22" applyFill="true">
      <alignment horizontal="center" vertical="center"/>
    </xf>
    <xf fontId="1072" applyFont="true" borderId="8" applyBorder="true" applyNumberFormat="true" numFmtId="2" fillId="22" applyFill="true">
      <alignment horizontal="center" vertical="center"/>
    </xf>
    <xf fontId="1073" applyFont="true" borderId="8" applyBorder="true" applyNumberFormat="true" numFmtId="2" fillId="22" applyFill="true">
      <alignment horizontal="center" vertical="center"/>
    </xf>
    <xf fontId="1074" applyFont="true" borderId="8" applyBorder="true" applyNumberFormat="true" numFmtId="2" fillId="22" applyFill="true">
      <alignment horizontal="center" vertical="center"/>
    </xf>
    <xf fontId="1075" applyFont="true" borderId="8" applyBorder="true" applyNumberFormat="true" numFmtId="2" fillId="22" applyFill="true">
      <alignment horizontal="center" vertical="center"/>
    </xf>
    <xf fontId="1076" applyFont="true" borderId="8" applyBorder="true" applyNumberFormat="true" numFmtId="2" fillId="22" applyFill="true">
      <alignment horizontal="center" vertical="center"/>
    </xf>
    <xf fontId="1077" applyFont="true" borderId="8" applyBorder="true" applyNumberFormat="true" numFmtId="2" fillId="22" applyFill="true">
      <alignment horizontal="center" vertical="center"/>
    </xf>
    <xf fontId="1078" applyFont="true" borderId="8" applyBorder="true" applyNumberFormat="true" numFmtId="2" fillId="22" applyFill="true">
      <alignment horizontal="center" vertical="center"/>
    </xf>
    <xf fontId="1079" applyFont="true" borderId="8" applyBorder="true" applyNumberFormat="true" numFmtId="2" fillId="22" applyFill="true">
      <alignment horizontal="center" vertical="center"/>
    </xf>
    <xf fontId="1080" applyFont="true" borderId="8" applyBorder="true" applyNumberFormat="true" numFmtId="2" fillId="22" applyFill="true">
      <alignment horizontal="center" vertical="center"/>
    </xf>
    <xf fontId="1081" applyFont="true" borderId="8" applyBorder="true" applyNumberFormat="true" numFmtId="2" fillId="22" applyFill="true">
      <alignment horizontal="center" vertical="center"/>
    </xf>
    <xf fontId="1082" applyFont="true" borderId="8" applyBorder="true" applyNumberFormat="true" numFmtId="2" fillId="22" applyFill="true">
      <alignment horizontal="center" vertical="center"/>
    </xf>
    <xf fontId="1083" applyFont="true" borderId="8" applyBorder="true" applyNumberFormat="true" numFmtId="2" fillId="22" applyFill="true">
      <alignment horizontal="center" vertical="center"/>
    </xf>
    <xf fontId="1084" applyFont="true" borderId="8" applyBorder="true" applyNumberFormat="true" numFmtId="2" fillId="22" applyFill="true">
      <alignment horizontal="center" vertical="center"/>
    </xf>
    <xf fontId="1085" applyFont="true" borderId="8" applyBorder="true" applyNumberFormat="true" numFmtId="2" fillId="22" applyFill="true">
      <alignment horizontal="center" vertical="center"/>
    </xf>
    <xf fontId="1086" applyFont="true" borderId="8" applyBorder="true" applyNumberFormat="true" numFmtId="2" fillId="22" applyFill="true">
      <alignment horizontal="center" vertical="center"/>
    </xf>
    <xf fontId="1087" applyFont="true" borderId="8" applyBorder="true" applyNumberFormat="true" numFmtId="2" fillId="22" applyFill="true">
      <alignment horizontal="center" vertical="center"/>
    </xf>
    <xf fontId="1088" applyFont="true" borderId="8" applyBorder="true" applyNumberFormat="true" numFmtId="2" fillId="22" applyFill="true">
      <alignment horizontal="center" vertical="center"/>
    </xf>
    <xf fontId="1089" applyFont="true" borderId="8" applyBorder="true" applyNumberFormat="true" numFmtId="2" fillId="22" applyFill="true">
      <alignment horizontal="center" vertical="center"/>
    </xf>
    <xf fontId="1090" applyFont="true" borderId="8" applyBorder="true" applyNumberFormat="true" numFmtId="2" fillId="22" applyFill="true">
      <alignment horizontal="center" vertical="center"/>
    </xf>
    <xf fontId="1091" applyFont="true" borderId="8" applyBorder="true" applyNumberFormat="true" numFmtId="2" fillId="22" applyFill="true">
      <alignment horizontal="center" vertical="center"/>
    </xf>
    <xf fontId="1092" applyFont="true" borderId="8" applyBorder="true" applyNumberFormat="true" numFmtId="2" fillId="22" applyFill="true">
      <alignment horizontal="center" vertical="center"/>
    </xf>
    <xf fontId="1093" applyFont="true" borderId="8" applyBorder="true" applyNumberFormat="true" numFmtId="165" fillId="19" applyFill="true">
      <alignment horizontal="left" vertical="center"/>
    </xf>
    <xf fontId="1094" applyFont="true" borderId="8" applyBorder="true" applyNumberFormat="true" numFmtId="165" fillId="22" applyFill="true">
      <alignment horizontal="center" vertical="center"/>
    </xf>
    <xf fontId="1095" applyFont="true" borderId="8" applyBorder="true" applyNumberFormat="true" numFmtId="166" fillId="22" applyFill="true">
      <alignment horizontal="center" vertical="center"/>
    </xf>
    <xf fontId="1096" applyFont="true" borderId="8" applyBorder="true" applyNumberFormat="true" numFmtId="1" fillId="22" applyFill="true">
      <alignment horizontal="center" vertical="center"/>
    </xf>
    <xf fontId="1097" applyFont="true" borderId="8" applyBorder="true" applyNumberFormat="true" numFmtId="1" fillId="22" applyFill="true">
      <alignment horizontal="center" vertical="center"/>
    </xf>
    <xf fontId="1098" applyFont="true" borderId="8" applyBorder="true" applyNumberFormat="true" numFmtId="1" fillId="22" applyFill="true">
      <alignment horizontal="center" vertical="center"/>
    </xf>
    <xf fontId="1099" applyFont="true" borderId="8" applyBorder="true" applyNumberFormat="true" numFmtId="1" fillId="22" applyFill="true">
      <alignment horizontal="center" vertical="center"/>
    </xf>
    <xf fontId="1100" applyFont="true" borderId="8" applyBorder="true" applyNumberFormat="true" numFmtId="1" fillId="22" applyFill="true">
      <alignment horizontal="center" vertical="center"/>
    </xf>
    <xf fontId="1101" applyFont="true" borderId="8" applyBorder="true" applyNumberFormat="true" numFmtId="1" fillId="22" applyFill="true">
      <alignment horizontal="center" vertical="center"/>
    </xf>
    <xf fontId="1102" applyFont="true" borderId="8" applyBorder="true" applyNumberFormat="true" numFmtId="1" fillId="22" applyFill="true">
      <alignment horizontal="center" vertical="center"/>
    </xf>
    <xf fontId="1103" applyFont="true" borderId="8" applyBorder="true" applyNumberFormat="true" numFmtId="165" fillId="22" applyFill="true">
      <alignment horizontal="center" vertical="center"/>
    </xf>
    <xf fontId="1104" applyFont="true" borderId="8" applyBorder="true" applyNumberFormat="true" numFmtId="165" fillId="22" applyFill="true">
      <alignment horizontal="center" vertical="center"/>
    </xf>
    <xf fontId="1105" applyFont="true" borderId="8" applyBorder="true" applyNumberFormat="true" numFmtId="1" fillId="22" applyFill="true">
      <alignment horizontal="center" vertical="center"/>
    </xf>
    <xf fontId="1106" applyFont="true" borderId="8" applyBorder="true" applyNumberFormat="true" numFmtId="1" fillId="22" applyFill="true">
      <alignment horizontal="center" vertical="center"/>
    </xf>
    <xf fontId="1107" applyFont="true" borderId="8" applyBorder="true" applyNumberFormat="true" numFmtId="1" fillId="22" applyFill="true">
      <alignment horizontal="center" vertical="center"/>
    </xf>
    <xf fontId="1108" applyFont="true" borderId="8" applyBorder="true" applyNumberFormat="true" numFmtId="167" fillId="22" applyFill="true">
      <alignment horizontal="center" vertical="center"/>
    </xf>
    <xf fontId="1109" applyFont="true" borderId="8" applyBorder="true" applyNumberFormat="true" numFmtId="1" fillId="22" applyFill="true">
      <alignment horizontal="center" vertical="center"/>
    </xf>
    <xf fontId="1110" applyFont="true" borderId="8" applyBorder="true" applyNumberFormat="true" numFmtId="167" fillId="22" applyFill="true">
      <alignment horizontal="center" vertical="center"/>
    </xf>
    <xf fontId="1111" applyFont="true" borderId="8" applyBorder="true" applyNumberFormat="true" numFmtId="1" fillId="22" applyFill="true">
      <alignment horizontal="center" vertical="center"/>
    </xf>
    <xf fontId="1112" applyFont="true" borderId="8" applyBorder="true" applyNumberFormat="true" numFmtId="167" fillId="22" applyFill="true">
      <alignment horizontal="center" vertical="center"/>
    </xf>
    <xf fontId="1113" applyFont="true" borderId="8" applyBorder="true" applyNumberFormat="true" numFmtId="1" fillId="22" applyFill="true">
      <alignment horizontal="center" vertical="center"/>
    </xf>
    <xf fontId="1114" applyFont="true" borderId="8" applyBorder="true" applyNumberFormat="true" numFmtId="167" fillId="22" applyFill="true">
      <alignment horizontal="center" vertical="center"/>
    </xf>
    <xf fontId="1115" applyFont="true" borderId="8" applyBorder="true" applyNumberFormat="true" numFmtId="167" fillId="22" applyFill="true">
      <alignment horizontal="center" vertical="center"/>
    </xf>
    <xf fontId="1116" applyFont="true" borderId="8" applyBorder="true" applyNumberFormat="true" numFmtId="1" fillId="22" applyFill="true">
      <alignment horizontal="center" vertical="center"/>
    </xf>
    <xf fontId="1117" applyFont="true" borderId="8" applyBorder="true" applyNumberFormat="true" numFmtId="1" fillId="22" applyFill="true">
      <alignment horizontal="center" vertical="center"/>
    </xf>
    <xf fontId="1118" applyFont="true" borderId="8" applyBorder="true" applyNumberFormat="true" numFmtId="1" fillId="22" applyFill="true">
      <alignment horizontal="center" vertical="center"/>
    </xf>
    <xf fontId="1119" applyFont="true" borderId="8" applyBorder="true" applyNumberFormat="true" numFmtId="167" fillId="22" applyFill="true">
      <alignment horizontal="center" vertical="center"/>
    </xf>
    <xf fontId="1120" applyFont="true" borderId="8" applyBorder="true" applyNumberFormat="true" numFmtId="166" fillId="22" applyFill="true">
      <alignment horizontal="center" vertical="center"/>
    </xf>
    <xf fontId="1121" applyFont="true" borderId="8" applyBorder="true" applyNumberFormat="true" numFmtId="166" fillId="22" applyFill="true">
      <alignment horizontal="center" vertical="center"/>
    </xf>
    <xf fontId="1122" applyFont="true" borderId="8" applyBorder="true" applyNumberFormat="true" numFmtId="1" fillId="22" applyFill="true">
      <alignment horizontal="center" vertical="center"/>
    </xf>
    <xf fontId="1123" applyFont="true" borderId="8" applyBorder="true" applyNumberFormat="true" numFmtId="1" fillId="22" applyFill="true">
      <alignment horizontal="center" vertical="center"/>
    </xf>
    <xf fontId="1124" applyFont="true" borderId="8" applyBorder="true" applyNumberFormat="true" numFmtId="1" fillId="22" applyFill="true">
      <alignment horizontal="center" vertical="center"/>
    </xf>
    <xf fontId="1125" applyFont="true" borderId="8" applyBorder="true" applyNumberFormat="true" numFmtId="167" fillId="22" applyFill="true">
      <alignment horizontal="center" vertical="center"/>
    </xf>
    <xf fontId="1126" applyFont="true" borderId="8" applyBorder="true" applyNumberFormat="true" numFmtId="1" fillId="22" applyFill="true">
      <alignment horizontal="center" vertical="center"/>
    </xf>
    <xf fontId="1127" applyFont="true" borderId="8" applyBorder="true" applyNumberFormat="true" numFmtId="167" fillId="22" applyFill="true">
      <alignment horizontal="center" vertical="center"/>
    </xf>
    <xf fontId="1128" applyFont="true" borderId="8" applyBorder="true" applyNumberFormat="true" numFmtId="1" fillId="22" applyFill="true">
      <alignment horizontal="center" vertical="center"/>
    </xf>
    <xf fontId="1129" applyFont="true" borderId="8" applyBorder="true" applyNumberFormat="true" numFmtId="1" fillId="22" applyFill="true">
      <alignment horizontal="center" vertical="center"/>
    </xf>
    <xf fontId="1130" applyFont="true" borderId="8" applyBorder="true" applyNumberFormat="true" numFmtId="1" fillId="22" applyFill="true">
      <alignment horizontal="center" vertical="center"/>
    </xf>
    <xf fontId="1131" applyFont="true" borderId="8" applyBorder="true" applyNumberFormat="true" numFmtId="1" fillId="22" applyFill="true">
      <alignment horizontal="center" vertical="center"/>
    </xf>
    <xf fontId="1132" applyFont="true" borderId="8" applyBorder="true" applyNumberFormat="true" numFmtId="167" fillId="22" applyFill="true">
      <alignment horizontal="center" vertical="center"/>
    </xf>
    <xf fontId="1133" applyFont="true" borderId="8" applyBorder="true" applyNumberFormat="true" numFmtId="1" fillId="22" applyFill="true">
      <alignment horizontal="center" vertical="center"/>
    </xf>
    <xf fontId="1134" applyFont="true" borderId="8" applyBorder="true" applyNumberFormat="true" numFmtId="167" fillId="22" applyFill="true">
      <alignment horizontal="center" vertical="center"/>
    </xf>
    <xf fontId="1135" applyFont="true" borderId="8" applyBorder="true" applyNumberFormat="true" numFmtId="1" fillId="22" applyFill="true">
      <alignment horizontal="center" vertical="center"/>
    </xf>
    <xf fontId="1136" applyFont="true" borderId="8" applyBorder="true" applyNumberFormat="true" numFmtId="167" fillId="22" applyFill="true">
      <alignment horizontal="center" vertical="center"/>
    </xf>
    <xf fontId="1137" applyFont="true" borderId="8" applyBorder="true" applyNumberFormat="true" numFmtId="2" fillId="22" applyFill="true">
      <alignment horizontal="center" vertical="center"/>
    </xf>
    <xf fontId="1138" applyFont="true" borderId="8" applyBorder="true" applyNumberFormat="true" numFmtId="2" fillId="22" applyFill="true">
      <alignment horizontal="center" vertical="center"/>
    </xf>
    <xf fontId="1139" applyFont="true" borderId="8" applyBorder="true" applyNumberFormat="true" numFmtId="2" fillId="22" applyFill="true">
      <alignment horizontal="center" vertical="center"/>
    </xf>
    <xf fontId="1140" applyFont="true" borderId="8" applyBorder="true" applyNumberFormat="true" numFmtId="2" fillId="22" applyFill="true">
      <alignment horizontal="center" vertical="center"/>
    </xf>
    <xf fontId="1141" applyFont="true" borderId="8" applyBorder="true" applyNumberFormat="true" numFmtId="2" fillId="22" applyFill="true">
      <alignment horizontal="center" vertical="center"/>
    </xf>
    <xf fontId="1142" applyFont="true" borderId="8" applyBorder="true" applyNumberFormat="true" numFmtId="2" fillId="22" applyFill="true">
      <alignment horizontal="center" vertical="center"/>
    </xf>
    <xf fontId="1143" applyFont="true" borderId="8" applyBorder="true" applyNumberFormat="true" numFmtId="2" fillId="22" applyFill="true">
      <alignment horizontal="center" vertical="center"/>
    </xf>
    <xf fontId="1144" applyFont="true" borderId="8" applyBorder="true" applyNumberFormat="true" numFmtId="2" fillId="22" applyFill="true">
      <alignment horizontal="center" vertical="center"/>
    </xf>
    <xf fontId="1145" applyFont="true" borderId="8" applyBorder="true" applyNumberFormat="true" numFmtId="2" fillId="22" applyFill="true">
      <alignment horizontal="center" vertical="center"/>
    </xf>
    <xf fontId="1146" applyFont="true" borderId="8" applyBorder="true" applyNumberFormat="true" numFmtId="2" fillId="22" applyFill="true">
      <alignment horizontal="center" vertical="center"/>
    </xf>
    <xf fontId="1147" applyFont="true" borderId="8" applyBorder="true" applyNumberFormat="true" numFmtId="2" fillId="22" applyFill="true">
      <alignment horizontal="center" vertical="center"/>
    </xf>
    <xf fontId="1148" applyFont="true" borderId="8" applyBorder="true" applyNumberFormat="true" numFmtId="2" fillId="22" applyFill="true">
      <alignment horizontal="center" vertical="center"/>
    </xf>
    <xf fontId="1149" applyFont="true" borderId="8" applyBorder="true" applyNumberFormat="true" numFmtId="2" fillId="22" applyFill="true">
      <alignment horizontal="center" vertical="center"/>
    </xf>
    <xf fontId="1150" applyFont="true" borderId="8" applyBorder="true" applyNumberFormat="true" numFmtId="2" fillId="22" applyFill="true">
      <alignment horizontal="center" vertical="center"/>
    </xf>
    <xf fontId="1151" applyFont="true" borderId="8" applyBorder="true" applyNumberFormat="true" numFmtId="2" fillId="22" applyFill="true">
      <alignment horizontal="center" vertical="center"/>
    </xf>
    <xf fontId="1152" applyFont="true" borderId="8" applyBorder="true" applyNumberFormat="true" numFmtId="2" fillId="22" applyFill="true">
      <alignment horizontal="center" vertical="center"/>
    </xf>
    <xf fontId="1153" applyFont="true" borderId="8" applyBorder="true" applyNumberFormat="true" numFmtId="2" fillId="22" applyFill="true">
      <alignment horizontal="center" vertical="center"/>
    </xf>
    <xf fontId="1154" applyFont="true" borderId="8" applyBorder="true" applyNumberFormat="true" numFmtId="2" fillId="22" applyFill="true">
      <alignment horizontal="center" vertical="center"/>
    </xf>
    <xf fontId="1155" applyFont="true" borderId="8" applyBorder="true" applyNumberFormat="true" numFmtId="2" fillId="22" applyFill="true">
      <alignment horizontal="center" vertical="center"/>
    </xf>
    <xf fontId="1156" applyFont="true" borderId="8" applyBorder="true" applyNumberFormat="true" numFmtId="2" fillId="22" applyFill="true">
      <alignment horizontal="center" vertical="center"/>
    </xf>
    <xf fontId="1157" applyFont="true" borderId="8" applyBorder="true" applyNumberFormat="true" numFmtId="2" fillId="22" applyFill="true">
      <alignment horizontal="center" vertical="center"/>
    </xf>
    <xf fontId="1158" applyFont="true" borderId="8" applyBorder="true" applyNumberFormat="true" numFmtId="2" fillId="22" applyFill="true">
      <alignment horizontal="center" vertical="center"/>
    </xf>
    <xf fontId="1159" applyFont="true" borderId="8" applyBorder="true" applyNumberFormat="true" numFmtId="2" fillId="22" applyFill="true">
      <alignment horizontal="center" vertical="center"/>
    </xf>
    <xf fontId="1160" applyFont="true" borderId="8" applyBorder="true" applyNumberFormat="true" numFmtId="2" fillId="22" applyFill="true">
      <alignment horizontal="center" vertical="center"/>
    </xf>
    <xf fontId="1161" applyFont="true" borderId="8" applyBorder="true" applyNumberFormat="true" numFmtId="2" fillId="22" applyFill="true">
      <alignment horizontal="center" vertical="center"/>
    </xf>
    <xf fontId="1162" applyFont="true" borderId="8" applyBorder="true" applyNumberFormat="true" numFmtId="2" fillId="22" applyFill="true">
      <alignment horizontal="center" vertical="center"/>
    </xf>
    <xf fontId="1163" applyFont="true" borderId="8" applyBorder="true" applyNumberFormat="true" numFmtId="2" fillId="22" applyFill="true">
      <alignment horizontal="center" vertical="center"/>
    </xf>
    <xf fontId="1164" applyFont="true" borderId="8" applyBorder="true" applyNumberFormat="true" numFmtId="2" fillId="22" applyFill="true">
      <alignment horizontal="center" vertical="center"/>
    </xf>
    <xf fontId="1165" applyFont="true" borderId="8" applyBorder="true" applyNumberFormat="true" numFmtId="2" fillId="22" applyFill="true">
      <alignment horizontal="center" vertical="center"/>
    </xf>
    <xf fontId="1166" applyFont="true" borderId="8" applyBorder="true" applyNumberFormat="true" numFmtId="2" fillId="22" applyFill="true">
      <alignment horizontal="center" vertical="center"/>
    </xf>
    <xf fontId="1167" applyFont="true" borderId="8" applyBorder="true" applyNumberFormat="true" numFmtId="2" fillId="22" applyFill="true">
      <alignment horizontal="center" vertical="center"/>
    </xf>
    <xf fontId="1168" applyFont="true" borderId="8" applyBorder="true" applyNumberFormat="true" numFmtId="2" fillId="22" applyFill="true">
      <alignment horizontal="center" vertical="center"/>
    </xf>
    <xf fontId="1169" applyFont="true" borderId="8" applyBorder="true" applyNumberFormat="true" numFmtId="2" fillId="22" applyFill="true">
      <alignment horizontal="center" vertical="center"/>
    </xf>
    <xf fontId="1170" applyFont="true" borderId="8" applyBorder="true" applyNumberFormat="true" numFmtId="2" fillId="22" applyFill="true">
      <alignment horizontal="center" vertical="center"/>
    </xf>
    <xf fontId="1171" applyFont="true" borderId="8" applyBorder="true" applyNumberFormat="true" numFmtId="165" fillId="19" applyFill="true">
      <alignment horizontal="left" vertical="center"/>
    </xf>
    <xf fontId="1172" applyFont="true" borderId="8" applyBorder="true" applyNumberFormat="true" numFmtId="165" fillId="22" applyFill="true">
      <alignment horizontal="center" vertical="center"/>
    </xf>
    <xf fontId="1173" applyFont="true" borderId="8" applyBorder="true" applyNumberFormat="true" numFmtId="166" fillId="22" applyFill="true">
      <alignment horizontal="center" vertical="center"/>
    </xf>
    <xf fontId="1174" applyFont="true" borderId="8" applyBorder="true" applyNumberFormat="true" numFmtId="1" fillId="22" applyFill="true">
      <alignment horizontal="center" vertical="center"/>
    </xf>
    <xf fontId="1175" applyFont="true" borderId="8" applyBorder="true" applyNumberFormat="true" numFmtId="1" fillId="22" applyFill="true">
      <alignment horizontal="center" vertical="center"/>
    </xf>
    <xf fontId="1176" applyFont="true" borderId="8" applyBorder="true" applyNumberFormat="true" numFmtId="1" fillId="22" applyFill="true">
      <alignment horizontal="center" vertical="center"/>
    </xf>
    <xf fontId="1177" applyFont="true" borderId="8" applyBorder="true" applyNumberFormat="true" numFmtId="1" fillId="22" applyFill="true">
      <alignment horizontal="center" vertical="center"/>
    </xf>
    <xf fontId="1178" applyFont="true" borderId="8" applyBorder="true" applyNumberFormat="true" numFmtId="1" fillId="22" applyFill="true">
      <alignment horizontal="center" vertical="center"/>
    </xf>
    <xf fontId="1179" applyFont="true" borderId="8" applyBorder="true" applyNumberFormat="true" numFmtId="1" fillId="22" applyFill="true">
      <alignment horizontal="center" vertical="center"/>
    </xf>
    <xf fontId="1180" applyFont="true" borderId="8" applyBorder="true" applyNumberFormat="true" numFmtId="1" fillId="22" applyFill="true">
      <alignment horizontal="center" vertical="center"/>
    </xf>
    <xf fontId="1181" applyFont="true" borderId="8" applyBorder="true" applyNumberFormat="true" numFmtId="165" fillId="22" applyFill="true">
      <alignment horizontal="center" vertical="center"/>
    </xf>
    <xf fontId="1182" applyFont="true" borderId="8" applyBorder="true" applyNumberFormat="true" numFmtId="165" fillId="22" applyFill="true">
      <alignment horizontal="center" vertical="center"/>
    </xf>
    <xf fontId="1183" applyFont="true" borderId="8" applyBorder="true" applyNumberFormat="true" numFmtId="1" fillId="22" applyFill="true">
      <alignment horizontal="center" vertical="center"/>
    </xf>
    <xf fontId="1184" applyFont="true" borderId="8" applyBorder="true" applyNumberFormat="true" numFmtId="1" fillId="22" applyFill="true">
      <alignment horizontal="center" vertical="center"/>
    </xf>
    <xf fontId="1185" applyFont="true" borderId="8" applyBorder="true" applyNumberFormat="true" numFmtId="1" fillId="22" applyFill="true">
      <alignment horizontal="center" vertical="center"/>
    </xf>
    <xf fontId="1186" applyFont="true" borderId="8" applyBorder="true" applyNumberFormat="true" numFmtId="167" fillId="22" applyFill="true">
      <alignment horizontal="center" vertical="center"/>
    </xf>
    <xf fontId="1187" applyFont="true" borderId="8" applyBorder="true" applyNumberFormat="true" numFmtId="1" fillId="22" applyFill="true">
      <alignment horizontal="center" vertical="center"/>
    </xf>
    <xf fontId="1188" applyFont="true" borderId="8" applyBorder="true" applyNumberFormat="true" numFmtId="167" fillId="22" applyFill="true">
      <alignment horizontal="center" vertical="center"/>
    </xf>
    <xf fontId="1189" applyFont="true" borderId="8" applyBorder="true" applyNumberFormat="true" numFmtId="1" fillId="22" applyFill="true">
      <alignment horizontal="center" vertical="center"/>
    </xf>
    <xf fontId="1190" applyFont="true" borderId="8" applyBorder="true" applyNumberFormat="true" numFmtId="167" fillId="22" applyFill="true">
      <alignment horizontal="center" vertical="center"/>
    </xf>
    <xf fontId="1191" applyFont="true" borderId="8" applyBorder="true" applyNumberFormat="true" numFmtId="1" fillId="22" applyFill="true">
      <alignment horizontal="center" vertical="center"/>
    </xf>
    <xf fontId="1192" applyFont="true" borderId="8" applyBorder="true" applyNumberFormat="true" numFmtId="167" fillId="22" applyFill="true">
      <alignment horizontal="center" vertical="center"/>
    </xf>
    <xf fontId="1193" applyFont="true" borderId="8" applyBorder="true" applyNumberFormat="true" numFmtId="167" fillId="22" applyFill="true">
      <alignment horizontal="center" vertical="center"/>
    </xf>
    <xf fontId="1194" applyFont="true" borderId="8" applyBorder="true" applyNumberFormat="true" numFmtId="1" fillId="22" applyFill="true">
      <alignment horizontal="center" vertical="center"/>
    </xf>
    <xf fontId="1195" applyFont="true" borderId="8" applyBorder="true" applyNumberFormat="true" numFmtId="1" fillId="22" applyFill="true">
      <alignment horizontal="center" vertical="center"/>
    </xf>
    <xf fontId="1196" applyFont="true" borderId="8" applyBorder="true" applyNumberFormat="true" numFmtId="1" fillId="22" applyFill="true">
      <alignment horizontal="center" vertical="center"/>
    </xf>
    <xf fontId="1197" applyFont="true" borderId="8" applyBorder="true" applyNumberFormat="true" numFmtId="167" fillId="22" applyFill="true">
      <alignment horizontal="center" vertical="center"/>
    </xf>
    <xf fontId="1198" applyFont="true" borderId="8" applyBorder="true" applyNumberFormat="true" numFmtId="166" fillId="22" applyFill="true">
      <alignment horizontal="center" vertical="center"/>
    </xf>
    <xf fontId="1199" applyFont="true" borderId="8" applyBorder="true" applyNumberFormat="true" numFmtId="166" fillId="22" applyFill="true">
      <alignment horizontal="center" vertical="center"/>
    </xf>
    <xf fontId="1200" applyFont="true" borderId="8" applyBorder="true" applyNumberFormat="true" numFmtId="1" fillId="22" applyFill="true">
      <alignment horizontal="center" vertical="center"/>
    </xf>
    <xf fontId="1201" applyFont="true" borderId="8" applyBorder="true" applyNumberFormat="true" numFmtId="1" fillId="22" applyFill="true">
      <alignment horizontal="center" vertical="center"/>
    </xf>
    <xf fontId="1202" applyFont="true" borderId="8" applyBorder="true" applyNumberFormat="true" numFmtId="1" fillId="22" applyFill="true">
      <alignment horizontal="center" vertical="center"/>
    </xf>
    <xf fontId="1203" applyFont="true" borderId="8" applyBorder="true" applyNumberFormat="true" numFmtId="167" fillId="22" applyFill="true">
      <alignment horizontal="center" vertical="center"/>
    </xf>
    <xf fontId="1204" applyFont="true" borderId="8" applyBorder="true" applyNumberFormat="true" numFmtId="1" fillId="22" applyFill="true">
      <alignment horizontal="center" vertical="center"/>
    </xf>
    <xf fontId="1205" applyFont="true" borderId="8" applyBorder="true" applyNumberFormat="true" numFmtId="167" fillId="22" applyFill="true">
      <alignment horizontal="center" vertical="center"/>
    </xf>
    <xf fontId="1206" applyFont="true" borderId="8" applyBorder="true" applyNumberFormat="true" numFmtId="1" fillId="22" applyFill="true">
      <alignment horizontal="center" vertical="center"/>
    </xf>
    <xf fontId="1207" applyFont="true" borderId="8" applyBorder="true" applyNumberFormat="true" numFmtId="1" fillId="22" applyFill="true">
      <alignment horizontal="center" vertical="center"/>
    </xf>
    <xf fontId="1208" applyFont="true" borderId="8" applyBorder="true" applyNumberFormat="true" numFmtId="1" fillId="22" applyFill="true">
      <alignment horizontal="center" vertical="center"/>
    </xf>
    <xf fontId="1209" applyFont="true" borderId="8" applyBorder="true" applyNumberFormat="true" numFmtId="1" fillId="22" applyFill="true">
      <alignment horizontal="center" vertical="center"/>
    </xf>
    <xf fontId="1210" applyFont="true" borderId="8" applyBorder="true" applyNumberFormat="true" numFmtId="167" fillId="22" applyFill="true">
      <alignment horizontal="center" vertical="center"/>
    </xf>
    <xf fontId="1211" applyFont="true" borderId="8" applyBorder="true" applyNumberFormat="true" numFmtId="1" fillId="22" applyFill="true">
      <alignment horizontal="center" vertical="center"/>
    </xf>
    <xf fontId="1212" applyFont="true" borderId="8" applyBorder="true" applyNumberFormat="true" numFmtId="167" fillId="22" applyFill="true">
      <alignment horizontal="center" vertical="center"/>
    </xf>
    <xf fontId="1213" applyFont="true" borderId="8" applyBorder="true" applyNumberFormat="true" numFmtId="1" fillId="22" applyFill="true">
      <alignment horizontal="center" vertical="center"/>
    </xf>
    <xf fontId="1214" applyFont="true" borderId="8" applyBorder="true" applyNumberFormat="true" numFmtId="167" fillId="22" applyFill="true">
      <alignment horizontal="center" vertical="center"/>
    </xf>
    <xf fontId="1215" applyFont="true" borderId="8" applyBorder="true" applyNumberFormat="true" numFmtId="2" fillId="22" applyFill="true">
      <alignment horizontal="center" vertical="center"/>
    </xf>
    <xf fontId="1216" applyFont="true" borderId="8" applyBorder="true" applyNumberFormat="true" numFmtId="2" fillId="22" applyFill="true">
      <alignment horizontal="center" vertical="center"/>
    </xf>
    <xf fontId="1217" applyFont="true" borderId="8" applyBorder="true" applyNumberFormat="true" numFmtId="2" fillId="22" applyFill="true">
      <alignment horizontal="center" vertical="center"/>
    </xf>
    <xf fontId="1218" applyFont="true" borderId="8" applyBorder="true" applyNumberFormat="true" numFmtId="2" fillId="22" applyFill="true">
      <alignment horizontal="center" vertical="center"/>
    </xf>
    <xf fontId="1219" applyFont="true" borderId="8" applyBorder="true" applyNumberFormat="true" numFmtId="2" fillId="22" applyFill="true">
      <alignment horizontal="center" vertical="center"/>
    </xf>
    <xf fontId="1220" applyFont="true" borderId="8" applyBorder="true" applyNumberFormat="true" numFmtId="2" fillId="22" applyFill="true">
      <alignment horizontal="center" vertical="center"/>
    </xf>
    <xf fontId="1221" applyFont="true" borderId="8" applyBorder="true" applyNumberFormat="true" numFmtId="2" fillId="22" applyFill="true">
      <alignment horizontal="center" vertical="center"/>
    </xf>
    <xf fontId="1222" applyFont="true" borderId="8" applyBorder="true" applyNumberFormat="true" numFmtId="2" fillId="22" applyFill="true">
      <alignment horizontal="center" vertical="center"/>
    </xf>
    <xf fontId="1223" applyFont="true" borderId="8" applyBorder="true" applyNumberFormat="true" numFmtId="2" fillId="22" applyFill="true">
      <alignment horizontal="center" vertical="center"/>
    </xf>
    <xf fontId="1224" applyFont="true" borderId="8" applyBorder="true" applyNumberFormat="true" numFmtId="2" fillId="22" applyFill="true">
      <alignment horizontal="center" vertical="center"/>
    </xf>
    <xf fontId="1225" applyFont="true" borderId="8" applyBorder="true" applyNumberFormat="true" numFmtId="2" fillId="22" applyFill="true">
      <alignment horizontal="center" vertical="center"/>
    </xf>
    <xf fontId="1226" applyFont="true" borderId="8" applyBorder="true" applyNumberFormat="true" numFmtId="2" fillId="22" applyFill="true">
      <alignment horizontal="center" vertical="center"/>
    </xf>
    <xf fontId="1227" applyFont="true" borderId="8" applyBorder="true" applyNumberFormat="true" numFmtId="2" fillId="22" applyFill="true">
      <alignment horizontal="center" vertical="center"/>
    </xf>
    <xf fontId="1228" applyFont="true" borderId="8" applyBorder="true" applyNumberFormat="true" numFmtId="2" fillId="22" applyFill="true">
      <alignment horizontal="center" vertical="center"/>
    </xf>
    <xf fontId="1229" applyFont="true" borderId="8" applyBorder="true" applyNumberFormat="true" numFmtId="2" fillId="22" applyFill="true">
      <alignment horizontal="center" vertical="center"/>
    </xf>
    <xf fontId="1230" applyFont="true" borderId="8" applyBorder="true" applyNumberFormat="true" numFmtId="2" fillId="22" applyFill="true">
      <alignment horizontal="center" vertical="center"/>
    </xf>
    <xf fontId="1231" applyFont="true" borderId="8" applyBorder="true" applyNumberFormat="true" numFmtId="2" fillId="22" applyFill="true">
      <alignment horizontal="center" vertical="center"/>
    </xf>
    <xf fontId="1232" applyFont="true" borderId="8" applyBorder="true" applyNumberFormat="true" numFmtId="2" fillId="22" applyFill="true">
      <alignment horizontal="center" vertical="center"/>
    </xf>
    <xf fontId="1233" applyFont="true" borderId="8" applyBorder="true" applyNumberFormat="true" numFmtId="2" fillId="22" applyFill="true">
      <alignment horizontal="center" vertical="center"/>
    </xf>
    <xf fontId="1234" applyFont="true" borderId="8" applyBorder="true" applyNumberFormat="true" numFmtId="2" fillId="22" applyFill="true">
      <alignment horizontal="center" vertical="center"/>
    </xf>
    <xf fontId="1235" applyFont="true" borderId="8" applyBorder="true" applyNumberFormat="true" numFmtId="2" fillId="22" applyFill="true">
      <alignment horizontal="center" vertical="center"/>
    </xf>
    <xf fontId="1236" applyFont="true" borderId="8" applyBorder="true" applyNumberFormat="true" numFmtId="2" fillId="22" applyFill="true">
      <alignment horizontal="center" vertical="center"/>
    </xf>
    <xf fontId="1237" applyFont="true" borderId="8" applyBorder="true" applyNumberFormat="true" numFmtId="2" fillId="22" applyFill="true">
      <alignment horizontal="center" vertical="center"/>
    </xf>
    <xf fontId="1238" applyFont="true" borderId="8" applyBorder="true" applyNumberFormat="true" numFmtId="2" fillId="22" applyFill="true">
      <alignment horizontal="center" vertical="center"/>
    </xf>
    <xf fontId="1239" applyFont="true" borderId="8" applyBorder="true" applyNumberFormat="true" numFmtId="2" fillId="22" applyFill="true">
      <alignment horizontal="center" vertical="center"/>
    </xf>
    <xf fontId="1240" applyFont="true" borderId="8" applyBorder="true" applyNumberFormat="true" numFmtId="2" fillId="22" applyFill="true">
      <alignment horizontal="center" vertical="center"/>
    </xf>
    <xf fontId="1241" applyFont="true" borderId="8" applyBorder="true" applyNumberFormat="true" numFmtId="2" fillId="22" applyFill="true">
      <alignment horizontal="center" vertical="center"/>
    </xf>
    <xf fontId="1242" applyFont="true" borderId="8" applyBorder="true" applyNumberFormat="true" numFmtId="2" fillId="22" applyFill="true">
      <alignment horizontal="center" vertical="center"/>
    </xf>
    <xf fontId="1243" applyFont="true" borderId="8" applyBorder="true" applyNumberFormat="true" numFmtId="2" fillId="22" applyFill="true">
      <alignment horizontal="center" vertical="center"/>
    </xf>
    <xf fontId="1244" applyFont="true" borderId="8" applyBorder="true" applyNumberFormat="true" numFmtId="2" fillId="22" applyFill="true">
      <alignment horizontal="center" vertical="center"/>
    </xf>
    <xf fontId="1245" applyFont="true" borderId="8" applyBorder="true" applyNumberFormat="true" numFmtId="2" fillId="22" applyFill="true">
      <alignment horizontal="center" vertical="center"/>
    </xf>
    <xf fontId="1246" applyFont="true" borderId="8" applyBorder="true" applyNumberFormat="true" numFmtId="2" fillId="22" applyFill="true">
      <alignment horizontal="center" vertical="center"/>
    </xf>
    <xf fontId="1247" applyFont="true" borderId="8" applyBorder="true" applyNumberFormat="true" numFmtId="2" fillId="22" applyFill="true">
      <alignment horizontal="center" vertical="center"/>
    </xf>
    <xf fontId="1248" applyFont="true" borderId="8" applyBorder="true" applyNumberFormat="true" numFmtId="2" fillId="22" applyFill="true">
      <alignment horizontal="center" vertical="center"/>
    </xf>
    <xf fontId="1249" applyFont="true" borderId="8" applyBorder="true" applyNumberFormat="true" numFmtId="165" fillId="19" applyFill="true">
      <alignment horizontal="left" vertical="center"/>
    </xf>
    <xf fontId="1250" applyFont="true" borderId="8" applyBorder="true" applyNumberFormat="true" numFmtId="165" fillId="22" applyFill="true">
      <alignment horizontal="center" vertical="center"/>
    </xf>
    <xf fontId="1251" applyFont="true" borderId="8" applyBorder="true" applyNumberFormat="true" numFmtId="166" fillId="22" applyFill="true">
      <alignment horizontal="center" vertical="center"/>
    </xf>
    <xf fontId="1252" applyFont="true" borderId="8" applyBorder="true" applyNumberFormat="true" numFmtId="1" fillId="22" applyFill="true">
      <alignment horizontal="center" vertical="center"/>
    </xf>
    <xf fontId="1253" applyFont="true" borderId="8" applyBorder="true" applyNumberFormat="true" numFmtId="1" fillId="22" applyFill="true">
      <alignment horizontal="center" vertical="center"/>
    </xf>
    <xf fontId="1254" applyFont="true" borderId="8" applyBorder="true" applyNumberFormat="true" numFmtId="1" fillId="22" applyFill="true">
      <alignment horizontal="center" vertical="center"/>
    </xf>
    <xf fontId="1255" applyFont="true" borderId="8" applyBorder="true" applyNumberFormat="true" numFmtId="1" fillId="22" applyFill="true">
      <alignment horizontal="center" vertical="center"/>
    </xf>
    <xf fontId="1256" applyFont="true" borderId="8" applyBorder="true" applyNumberFormat="true" numFmtId="1" fillId="22" applyFill="true">
      <alignment horizontal="center" vertical="center"/>
    </xf>
    <xf fontId="1257" applyFont="true" borderId="8" applyBorder="true" applyNumberFormat="true" numFmtId="1" fillId="22" applyFill="true">
      <alignment horizontal="center" vertical="center"/>
    </xf>
    <xf fontId="1258" applyFont="true" borderId="8" applyBorder="true" applyNumberFormat="true" numFmtId="1" fillId="22" applyFill="true">
      <alignment horizontal="center" vertical="center"/>
    </xf>
    <xf fontId="1259" applyFont="true" borderId="8" applyBorder="true" applyNumberFormat="true" numFmtId="165" fillId="22" applyFill="true">
      <alignment horizontal="center" vertical="center"/>
    </xf>
    <xf fontId="1260" applyFont="true" borderId="8" applyBorder="true" applyNumberFormat="true" numFmtId="165" fillId="22" applyFill="true">
      <alignment horizontal="center" vertical="center"/>
    </xf>
    <xf fontId="1261" applyFont="true" borderId="8" applyBorder="true" applyNumberFormat="true" numFmtId="1" fillId="22" applyFill="true">
      <alignment horizontal="center" vertical="center"/>
    </xf>
    <xf fontId="1262" applyFont="true" borderId="8" applyBorder="true" applyNumberFormat="true" numFmtId="1" fillId="22" applyFill="true">
      <alignment horizontal="center" vertical="center"/>
    </xf>
    <xf fontId="1263" applyFont="true" borderId="8" applyBorder="true" applyNumberFormat="true" numFmtId="1" fillId="22" applyFill="true">
      <alignment horizontal="center" vertical="center"/>
    </xf>
    <xf fontId="1264" applyFont="true" borderId="8" applyBorder="true" applyNumberFormat="true" numFmtId="167" fillId="22" applyFill="true">
      <alignment horizontal="center" vertical="center"/>
    </xf>
    <xf fontId="1265" applyFont="true" borderId="8" applyBorder="true" applyNumberFormat="true" numFmtId="1" fillId="22" applyFill="true">
      <alignment horizontal="center" vertical="center"/>
    </xf>
    <xf fontId="1266" applyFont="true" borderId="8" applyBorder="true" applyNumberFormat="true" numFmtId="167" fillId="22" applyFill="true">
      <alignment horizontal="center" vertical="center"/>
    </xf>
    <xf fontId="1267" applyFont="true" borderId="8" applyBorder="true" applyNumberFormat="true" numFmtId="1" fillId="22" applyFill="true">
      <alignment horizontal="center" vertical="center"/>
    </xf>
    <xf fontId="1268" applyFont="true" borderId="8" applyBorder="true" applyNumberFormat="true" numFmtId="167" fillId="22" applyFill="true">
      <alignment horizontal="center" vertical="center"/>
    </xf>
    <xf fontId="1269" applyFont="true" borderId="8" applyBorder="true" applyNumberFormat="true" numFmtId="1" fillId="22" applyFill="true">
      <alignment horizontal="center" vertical="center"/>
    </xf>
    <xf fontId="1270" applyFont="true" borderId="8" applyBorder="true" applyNumberFormat="true" numFmtId="167" fillId="22" applyFill="true">
      <alignment horizontal="center" vertical="center"/>
    </xf>
    <xf fontId="1271" applyFont="true" borderId="8" applyBorder="true" applyNumberFormat="true" numFmtId="167" fillId="22" applyFill="true">
      <alignment horizontal="center" vertical="center"/>
    </xf>
    <xf fontId="1272" applyFont="true" borderId="8" applyBorder="true" applyNumberFormat="true" numFmtId="1" fillId="22" applyFill="true">
      <alignment horizontal="center" vertical="center"/>
    </xf>
    <xf fontId="1273" applyFont="true" borderId="8" applyBorder="true" applyNumberFormat="true" numFmtId="1" fillId="22" applyFill="true">
      <alignment horizontal="center" vertical="center"/>
    </xf>
    <xf fontId="1274" applyFont="true" borderId="8" applyBorder="true" applyNumberFormat="true" numFmtId="1" fillId="22" applyFill="true">
      <alignment horizontal="center" vertical="center"/>
    </xf>
    <xf fontId="1275" applyFont="true" borderId="8" applyBorder="true" applyNumberFormat="true" numFmtId="167" fillId="22" applyFill="true">
      <alignment horizontal="center" vertical="center"/>
    </xf>
    <xf fontId="1276" applyFont="true" borderId="8" applyBorder="true" applyNumberFormat="true" numFmtId="166" fillId="22" applyFill="true">
      <alignment horizontal="center" vertical="center"/>
    </xf>
    <xf fontId="1277" applyFont="true" borderId="8" applyBorder="true" applyNumberFormat="true" numFmtId="166" fillId="22" applyFill="true">
      <alignment horizontal="center" vertical="center"/>
    </xf>
    <xf fontId="1278" applyFont="true" borderId="8" applyBorder="true" applyNumberFormat="true" numFmtId="1" fillId="22" applyFill="true">
      <alignment horizontal="center" vertical="center"/>
    </xf>
    <xf fontId="1279" applyFont="true" borderId="8" applyBorder="true" applyNumberFormat="true" numFmtId="1" fillId="22" applyFill="true">
      <alignment horizontal="center" vertical="center"/>
    </xf>
    <xf fontId="1280" applyFont="true" borderId="8" applyBorder="true" applyNumberFormat="true" numFmtId="1" fillId="22" applyFill="true">
      <alignment horizontal="center" vertical="center"/>
    </xf>
    <xf fontId="1281" applyFont="true" borderId="8" applyBorder="true" applyNumberFormat="true" numFmtId="167" fillId="22" applyFill="true">
      <alignment horizontal="center" vertical="center"/>
    </xf>
    <xf fontId="1282" applyFont="true" borderId="8" applyBorder="true" applyNumberFormat="true" numFmtId="1" fillId="22" applyFill="true">
      <alignment horizontal="center" vertical="center"/>
    </xf>
    <xf fontId="1283" applyFont="true" borderId="8" applyBorder="true" applyNumberFormat="true" numFmtId="167" fillId="22" applyFill="true">
      <alignment horizontal="center" vertical="center"/>
    </xf>
    <xf fontId="1284" applyFont="true" borderId="8" applyBorder="true" applyNumberFormat="true" numFmtId="1" fillId="22" applyFill="true">
      <alignment horizontal="center" vertical="center"/>
    </xf>
    <xf fontId="1285" applyFont="true" borderId="8" applyBorder="true" applyNumberFormat="true" numFmtId="1" fillId="22" applyFill="true">
      <alignment horizontal="center" vertical="center"/>
    </xf>
    <xf fontId="1286" applyFont="true" borderId="8" applyBorder="true" applyNumberFormat="true" numFmtId="1" fillId="22" applyFill="true">
      <alignment horizontal="center" vertical="center"/>
    </xf>
    <xf fontId="1287" applyFont="true" borderId="8" applyBorder="true" applyNumberFormat="true" numFmtId="1" fillId="22" applyFill="true">
      <alignment horizontal="center" vertical="center"/>
    </xf>
    <xf fontId="1288" applyFont="true" borderId="8" applyBorder="true" applyNumberFormat="true" numFmtId="167" fillId="22" applyFill="true">
      <alignment horizontal="center" vertical="center"/>
    </xf>
    <xf fontId="1289" applyFont="true" borderId="8" applyBorder="true" applyNumberFormat="true" numFmtId="1" fillId="22" applyFill="true">
      <alignment horizontal="center" vertical="center"/>
    </xf>
    <xf fontId="1290" applyFont="true" borderId="8" applyBorder="true" applyNumberFormat="true" numFmtId="167" fillId="22" applyFill="true">
      <alignment horizontal="center" vertical="center"/>
    </xf>
    <xf fontId="1291" applyFont="true" borderId="8" applyBorder="true" applyNumberFormat="true" numFmtId="1" fillId="22" applyFill="true">
      <alignment horizontal="center" vertical="center"/>
    </xf>
    <xf fontId="1292" applyFont="true" borderId="8" applyBorder="true" applyNumberFormat="true" numFmtId="167" fillId="22" applyFill="true">
      <alignment horizontal="center" vertical="center"/>
    </xf>
    <xf fontId="1293" applyFont="true" borderId="8" applyBorder="true" applyNumberFormat="true" numFmtId="2" fillId="22" applyFill="true">
      <alignment horizontal="center" vertical="center"/>
    </xf>
    <xf fontId="1294" applyFont="true" borderId="8" applyBorder="true" applyNumberFormat="true" numFmtId="2" fillId="22" applyFill="true">
      <alignment horizontal="center" vertical="center"/>
    </xf>
    <xf fontId="1295" applyFont="true" borderId="8" applyBorder="true" applyNumberFormat="true" numFmtId="2" fillId="22" applyFill="true">
      <alignment horizontal="center" vertical="center"/>
    </xf>
    <xf fontId="1296" applyFont="true" borderId="8" applyBorder="true" applyNumberFormat="true" numFmtId="2" fillId="22" applyFill="true">
      <alignment horizontal="center" vertical="center"/>
    </xf>
    <xf fontId="1297" applyFont="true" borderId="8" applyBorder="true" applyNumberFormat="true" numFmtId="2" fillId="22" applyFill="true">
      <alignment horizontal="center" vertical="center"/>
    </xf>
    <xf fontId="1298" applyFont="true" borderId="8" applyBorder="true" applyNumberFormat="true" numFmtId="2" fillId="22" applyFill="true">
      <alignment horizontal="center" vertical="center"/>
    </xf>
    <xf fontId="1299" applyFont="true" borderId="8" applyBorder="true" applyNumberFormat="true" numFmtId="2" fillId="22" applyFill="true">
      <alignment horizontal="center" vertical="center"/>
    </xf>
    <xf fontId="1300" applyFont="true" borderId="8" applyBorder="true" applyNumberFormat="true" numFmtId="2" fillId="22" applyFill="true">
      <alignment horizontal="center" vertical="center"/>
    </xf>
    <xf fontId="1301" applyFont="true" borderId="8" applyBorder="true" applyNumberFormat="true" numFmtId="2" fillId="22" applyFill="true">
      <alignment horizontal="center" vertical="center"/>
    </xf>
    <xf fontId="1302" applyFont="true" borderId="8" applyBorder="true" applyNumberFormat="true" numFmtId="2" fillId="22" applyFill="true">
      <alignment horizontal="center" vertical="center"/>
    </xf>
    <xf fontId="1303" applyFont="true" borderId="8" applyBorder="true" applyNumberFormat="true" numFmtId="2" fillId="22" applyFill="true">
      <alignment horizontal="center" vertical="center"/>
    </xf>
    <xf fontId="1304" applyFont="true" borderId="8" applyBorder="true" applyNumberFormat="true" numFmtId="2" fillId="22" applyFill="true">
      <alignment horizontal="center" vertical="center"/>
    </xf>
    <xf fontId="1305" applyFont="true" borderId="8" applyBorder="true" applyNumberFormat="true" numFmtId="2" fillId="22" applyFill="true">
      <alignment horizontal="center" vertical="center"/>
    </xf>
    <xf fontId="1306" applyFont="true" borderId="8" applyBorder="true" applyNumberFormat="true" numFmtId="2" fillId="22" applyFill="true">
      <alignment horizontal="center" vertical="center"/>
    </xf>
    <xf fontId="1307" applyFont="true" borderId="8" applyBorder="true" applyNumberFormat="true" numFmtId="2" fillId="22" applyFill="true">
      <alignment horizontal="center" vertical="center"/>
    </xf>
    <xf fontId="1308" applyFont="true" borderId="8" applyBorder="true" applyNumberFormat="true" numFmtId="2" fillId="22" applyFill="true">
      <alignment horizontal="center" vertical="center"/>
    </xf>
    <xf fontId="1309" applyFont="true" borderId="8" applyBorder="true" applyNumberFormat="true" numFmtId="2" fillId="22" applyFill="true">
      <alignment horizontal="center" vertical="center"/>
    </xf>
    <xf fontId="1310" applyFont="true" borderId="8" applyBorder="true" applyNumberFormat="true" numFmtId="2" fillId="22" applyFill="true">
      <alignment horizontal="center" vertical="center"/>
    </xf>
    <xf fontId="1311" applyFont="true" borderId="8" applyBorder="true" applyNumberFormat="true" numFmtId="2" fillId="22" applyFill="true">
      <alignment horizontal="center" vertical="center"/>
    </xf>
    <xf fontId="1312" applyFont="true" borderId="8" applyBorder="true" applyNumberFormat="true" numFmtId="2" fillId="22" applyFill="true">
      <alignment horizontal="center" vertical="center"/>
    </xf>
    <xf fontId="1313" applyFont="true" borderId="8" applyBorder="true" applyNumberFormat="true" numFmtId="2" fillId="22" applyFill="true">
      <alignment horizontal="center" vertical="center"/>
    </xf>
    <xf fontId="1314" applyFont="true" borderId="8" applyBorder="true" applyNumberFormat="true" numFmtId="2" fillId="22" applyFill="true">
      <alignment horizontal="center" vertical="center"/>
    </xf>
    <xf fontId="1315" applyFont="true" borderId="8" applyBorder="true" applyNumberFormat="true" numFmtId="2" fillId="22" applyFill="true">
      <alignment horizontal="center" vertical="center"/>
    </xf>
    <xf fontId="1316" applyFont="true" borderId="8" applyBorder="true" applyNumberFormat="true" numFmtId="2" fillId="22" applyFill="true">
      <alignment horizontal="center" vertical="center"/>
    </xf>
    <xf fontId="1317" applyFont="true" borderId="8" applyBorder="true" applyNumberFormat="true" numFmtId="2" fillId="22" applyFill="true">
      <alignment horizontal="center" vertical="center"/>
    </xf>
    <xf fontId="1318" applyFont="true" borderId="8" applyBorder="true" applyNumberFormat="true" numFmtId="2" fillId="22" applyFill="true">
      <alignment horizontal="center" vertical="center"/>
    </xf>
    <xf fontId="1319" applyFont="true" borderId="8" applyBorder="true" applyNumberFormat="true" numFmtId="2" fillId="22" applyFill="true">
      <alignment horizontal="center" vertical="center"/>
    </xf>
    <xf fontId="1320" applyFont="true" borderId="8" applyBorder="true" applyNumberFormat="true" numFmtId="2" fillId="22" applyFill="true">
      <alignment horizontal="center" vertical="center"/>
    </xf>
    <xf fontId="1321" applyFont="true" borderId="8" applyBorder="true" applyNumberFormat="true" numFmtId="2" fillId="22" applyFill="true">
      <alignment horizontal="center" vertical="center"/>
    </xf>
    <xf fontId="1322" applyFont="true" borderId="8" applyBorder="true" applyNumberFormat="true" numFmtId="2" fillId="22" applyFill="true">
      <alignment horizontal="center" vertical="center"/>
    </xf>
    <xf fontId="1323" applyFont="true" borderId="8" applyBorder="true" applyNumberFormat="true" numFmtId="2" fillId="22" applyFill="true">
      <alignment horizontal="center" vertical="center"/>
    </xf>
    <xf fontId="1324" applyFont="true" borderId="8" applyBorder="true" applyNumberFormat="true" numFmtId="2" fillId="22" applyFill="true">
      <alignment horizontal="center" vertical="center"/>
    </xf>
    <xf fontId="1325" applyFont="true" borderId="8" applyBorder="true" applyNumberFormat="true" numFmtId="2" fillId="22" applyFill="true">
      <alignment horizontal="center" vertical="center"/>
    </xf>
    <xf fontId="1326" applyFont="true" borderId="8" applyBorder="true" applyNumberFormat="true" numFmtId="2" fillId="22" applyFill="true">
      <alignment horizontal="center" vertical="center"/>
    </xf>
    <xf fontId="1327" applyFont="true" borderId="8" applyBorder="true" applyNumberFormat="true" numFmtId="165" fillId="19" applyFill="true">
      <alignment horizontal="left" vertical="center"/>
    </xf>
    <xf fontId="1328" applyFont="true" borderId="8" applyBorder="true" applyNumberFormat="true" numFmtId="165" fillId="22" applyFill="true">
      <alignment horizontal="center" vertical="center"/>
    </xf>
    <xf fontId="1329" applyFont="true" borderId="8" applyBorder="true" applyNumberFormat="true" numFmtId="166" fillId="22" applyFill="true">
      <alignment horizontal="center" vertical="center"/>
    </xf>
    <xf fontId="1330" applyFont="true" borderId="8" applyBorder="true" applyNumberFormat="true" numFmtId="1" fillId="22" applyFill="true">
      <alignment horizontal="center" vertical="center"/>
    </xf>
    <xf fontId="1331" applyFont="true" borderId="8" applyBorder="true" applyNumberFormat="true" numFmtId="1" fillId="22" applyFill="true">
      <alignment horizontal="center" vertical="center"/>
    </xf>
    <xf fontId="1332" applyFont="true" borderId="8" applyBorder="true" applyNumberFormat="true" numFmtId="1" fillId="22" applyFill="true">
      <alignment horizontal="center" vertical="center"/>
    </xf>
    <xf fontId="1333" applyFont="true" borderId="8" applyBorder="true" applyNumberFormat="true" numFmtId="1" fillId="22" applyFill="true">
      <alignment horizontal="center" vertical="center"/>
    </xf>
    <xf fontId="1334" applyFont="true" borderId="8" applyBorder="true" applyNumberFormat="true" numFmtId="1" fillId="22" applyFill="true">
      <alignment horizontal="center" vertical="center"/>
    </xf>
    <xf fontId="1335" applyFont="true" borderId="8" applyBorder="true" applyNumberFormat="true" numFmtId="1" fillId="22" applyFill="true">
      <alignment horizontal="center" vertical="center"/>
    </xf>
    <xf fontId="1336" applyFont="true" borderId="8" applyBorder="true" applyNumberFormat="true" numFmtId="1" fillId="22" applyFill="true">
      <alignment horizontal="center" vertical="center"/>
    </xf>
    <xf fontId="1337" applyFont="true" borderId="8" applyBorder="true" applyNumberFormat="true" numFmtId="165" fillId="22" applyFill="true">
      <alignment horizontal="center" vertical="center"/>
    </xf>
    <xf fontId="1338" applyFont="true" borderId="8" applyBorder="true" applyNumberFormat="true" numFmtId="165" fillId="22" applyFill="true">
      <alignment horizontal="center" vertical="center"/>
    </xf>
    <xf fontId="1339" applyFont="true" borderId="8" applyBorder="true" applyNumberFormat="true" numFmtId="1" fillId="22" applyFill="true">
      <alignment horizontal="center" vertical="center"/>
    </xf>
    <xf fontId="1340" applyFont="true" borderId="8" applyBorder="true" applyNumberFormat="true" numFmtId="1" fillId="22" applyFill="true">
      <alignment horizontal="center" vertical="center"/>
    </xf>
    <xf fontId="1341" applyFont="true" borderId="8" applyBorder="true" applyNumberFormat="true" numFmtId="1" fillId="22" applyFill="true">
      <alignment horizontal="center" vertical="center"/>
    </xf>
    <xf fontId="1342" applyFont="true" borderId="8" applyBorder="true" applyNumberFormat="true" numFmtId="167" fillId="22" applyFill="true">
      <alignment horizontal="center" vertical="center"/>
    </xf>
    <xf fontId="1343" applyFont="true" borderId="8" applyBorder="true" applyNumberFormat="true" numFmtId="1" fillId="22" applyFill="true">
      <alignment horizontal="center" vertical="center"/>
    </xf>
    <xf fontId="1344" applyFont="true" borderId="8" applyBorder="true" applyNumberFormat="true" numFmtId="167" fillId="22" applyFill="true">
      <alignment horizontal="center" vertical="center"/>
    </xf>
    <xf fontId="1345" applyFont="true" borderId="8" applyBorder="true" applyNumberFormat="true" numFmtId="1" fillId="22" applyFill="true">
      <alignment horizontal="center" vertical="center"/>
    </xf>
    <xf fontId="1346" applyFont="true" borderId="8" applyBorder="true" applyNumberFormat="true" numFmtId="167" fillId="22" applyFill="true">
      <alignment horizontal="center" vertical="center"/>
    </xf>
    <xf fontId="1347" applyFont="true" borderId="8" applyBorder="true" applyNumberFormat="true" numFmtId="1" fillId="22" applyFill="true">
      <alignment horizontal="center" vertical="center"/>
    </xf>
    <xf fontId="1348" applyFont="true" borderId="8" applyBorder="true" applyNumberFormat="true" numFmtId="167" fillId="22" applyFill="true">
      <alignment horizontal="center" vertical="center"/>
    </xf>
    <xf fontId="1349" applyFont="true" borderId="8" applyBorder="true" applyNumberFormat="true" numFmtId="167" fillId="22" applyFill="true">
      <alignment horizontal="center" vertical="center"/>
    </xf>
    <xf fontId="1350" applyFont="true" borderId="8" applyBorder="true" applyNumberFormat="true" numFmtId="1" fillId="22" applyFill="true">
      <alignment horizontal="center" vertical="center"/>
    </xf>
    <xf fontId="1351" applyFont="true" borderId="8" applyBorder="true" applyNumberFormat="true" numFmtId="1" fillId="22" applyFill="true">
      <alignment horizontal="center" vertical="center"/>
    </xf>
    <xf fontId="1352" applyFont="true" borderId="8" applyBorder="true" applyNumberFormat="true" numFmtId="1" fillId="22" applyFill="true">
      <alignment horizontal="center" vertical="center"/>
    </xf>
    <xf fontId="1353" applyFont="true" borderId="8" applyBorder="true" applyNumberFormat="true" numFmtId="167" fillId="22" applyFill="true">
      <alignment horizontal="center" vertical="center"/>
    </xf>
    <xf fontId="1354" applyFont="true" borderId="8" applyBorder="true" applyNumberFormat="true" numFmtId="166" fillId="22" applyFill="true">
      <alignment horizontal="center" vertical="center"/>
    </xf>
    <xf fontId="1355" applyFont="true" borderId="8" applyBorder="true" applyNumberFormat="true" numFmtId="166" fillId="22" applyFill="true">
      <alignment horizontal="center" vertical="center"/>
    </xf>
    <xf fontId="1356" applyFont="true" borderId="8" applyBorder="true" applyNumberFormat="true" numFmtId="1" fillId="22" applyFill="true">
      <alignment horizontal="center" vertical="center"/>
    </xf>
    <xf fontId="1357" applyFont="true" borderId="8" applyBorder="true" applyNumberFormat="true" numFmtId="1" fillId="22" applyFill="true">
      <alignment horizontal="center" vertical="center"/>
    </xf>
    <xf fontId="1358" applyFont="true" borderId="8" applyBorder="true" applyNumberFormat="true" numFmtId="1" fillId="22" applyFill="true">
      <alignment horizontal="center" vertical="center"/>
    </xf>
    <xf fontId="1359" applyFont="true" borderId="8" applyBorder="true" applyNumberFormat="true" numFmtId="167" fillId="22" applyFill="true">
      <alignment horizontal="center" vertical="center"/>
    </xf>
    <xf fontId="1360" applyFont="true" borderId="8" applyBorder="true" applyNumberFormat="true" numFmtId="1" fillId="22" applyFill="true">
      <alignment horizontal="center" vertical="center"/>
    </xf>
    <xf fontId="1361" applyFont="true" borderId="8" applyBorder="true" applyNumberFormat="true" numFmtId="167" fillId="22" applyFill="true">
      <alignment horizontal="center" vertical="center"/>
    </xf>
    <xf fontId="1362" applyFont="true" borderId="8" applyBorder="true" applyNumberFormat="true" numFmtId="1" fillId="22" applyFill="true">
      <alignment horizontal="center" vertical="center"/>
    </xf>
    <xf fontId="1363" applyFont="true" borderId="8" applyBorder="true" applyNumberFormat="true" numFmtId="1" fillId="22" applyFill="true">
      <alignment horizontal="center" vertical="center"/>
    </xf>
    <xf fontId="1364" applyFont="true" borderId="8" applyBorder="true" applyNumberFormat="true" numFmtId="1" fillId="22" applyFill="true">
      <alignment horizontal="center" vertical="center"/>
    </xf>
    <xf fontId="1365" applyFont="true" borderId="8" applyBorder="true" applyNumberFormat="true" numFmtId="1" fillId="22" applyFill="true">
      <alignment horizontal="center" vertical="center"/>
    </xf>
    <xf fontId="1366" applyFont="true" borderId="8" applyBorder="true" applyNumberFormat="true" numFmtId="167" fillId="22" applyFill="true">
      <alignment horizontal="center" vertical="center"/>
    </xf>
    <xf fontId="1367" applyFont="true" borderId="8" applyBorder="true" applyNumberFormat="true" numFmtId="1" fillId="22" applyFill="true">
      <alignment horizontal="center" vertical="center"/>
    </xf>
    <xf fontId="1368" applyFont="true" borderId="8" applyBorder="true" applyNumberFormat="true" numFmtId="167" fillId="22" applyFill="true">
      <alignment horizontal="center" vertical="center"/>
    </xf>
    <xf fontId="1369" applyFont="true" borderId="8" applyBorder="true" applyNumberFormat="true" numFmtId="1" fillId="22" applyFill="true">
      <alignment horizontal="center" vertical="center"/>
    </xf>
    <xf fontId="1370" applyFont="true" borderId="8" applyBorder="true" applyNumberFormat="true" numFmtId="167" fillId="22" applyFill="true">
      <alignment horizontal="center" vertical="center"/>
    </xf>
    <xf fontId="1371" applyFont="true" borderId="8" applyBorder="true" applyNumberFormat="true" numFmtId="2" fillId="22" applyFill="true">
      <alignment horizontal="center" vertical="center"/>
    </xf>
    <xf fontId="1372" applyFont="true" borderId="8" applyBorder="true" applyNumberFormat="true" numFmtId="2" fillId="22" applyFill="true">
      <alignment horizontal="center" vertical="center"/>
    </xf>
    <xf fontId="1373" applyFont="true" borderId="8" applyBorder="true" applyNumberFormat="true" numFmtId="2" fillId="22" applyFill="true">
      <alignment horizontal="center" vertical="center"/>
    </xf>
    <xf fontId="1374" applyFont="true" borderId="8" applyBorder="true" applyNumberFormat="true" numFmtId="2" fillId="22" applyFill="true">
      <alignment horizontal="center" vertical="center"/>
    </xf>
    <xf fontId="1375" applyFont="true" borderId="8" applyBorder="true" applyNumberFormat="true" numFmtId="2" fillId="22" applyFill="true">
      <alignment horizontal="center" vertical="center"/>
    </xf>
    <xf fontId="1376" applyFont="true" borderId="8" applyBorder="true" applyNumberFormat="true" numFmtId="2" fillId="22" applyFill="true">
      <alignment horizontal="center" vertical="center"/>
    </xf>
    <xf fontId="1377" applyFont="true" borderId="8" applyBorder="true" applyNumberFormat="true" numFmtId="2" fillId="22" applyFill="true">
      <alignment horizontal="center" vertical="center"/>
    </xf>
    <xf fontId="1378" applyFont="true" borderId="8" applyBorder="true" applyNumberFormat="true" numFmtId="2" fillId="22" applyFill="true">
      <alignment horizontal="center" vertical="center"/>
    </xf>
    <xf fontId="1379" applyFont="true" borderId="8" applyBorder="true" applyNumberFormat="true" numFmtId="2" fillId="22" applyFill="true">
      <alignment horizontal="center" vertical="center"/>
    </xf>
    <xf fontId="1380" applyFont="true" borderId="8" applyBorder="true" applyNumberFormat="true" numFmtId="2" fillId="22" applyFill="true">
      <alignment horizontal="center" vertical="center"/>
    </xf>
    <xf fontId="1381" applyFont="true" borderId="8" applyBorder="true" applyNumberFormat="true" numFmtId="2" fillId="22" applyFill="true">
      <alignment horizontal="center" vertical="center"/>
    </xf>
    <xf fontId="1382" applyFont="true" borderId="8" applyBorder="true" applyNumberFormat="true" numFmtId="2" fillId="22" applyFill="true">
      <alignment horizontal="center" vertical="center"/>
    </xf>
    <xf fontId="1383" applyFont="true" borderId="8" applyBorder="true" applyNumberFormat="true" numFmtId="2" fillId="22" applyFill="true">
      <alignment horizontal="center" vertical="center"/>
    </xf>
    <xf fontId="1384" applyFont="true" borderId="8" applyBorder="true" applyNumberFormat="true" numFmtId="2" fillId="22" applyFill="true">
      <alignment horizontal="center" vertical="center"/>
    </xf>
    <xf fontId="1385" applyFont="true" borderId="8" applyBorder="true" applyNumberFormat="true" numFmtId="2" fillId="22" applyFill="true">
      <alignment horizontal="center" vertical="center"/>
    </xf>
    <xf fontId="1386" applyFont="true" borderId="8" applyBorder="true" applyNumberFormat="true" numFmtId="2" fillId="22" applyFill="true">
      <alignment horizontal="center" vertical="center"/>
    </xf>
    <xf fontId="1387" applyFont="true" borderId="8" applyBorder="true" applyNumberFormat="true" numFmtId="2" fillId="22" applyFill="true">
      <alignment horizontal="center" vertical="center"/>
    </xf>
    <xf fontId="1388" applyFont="true" borderId="8" applyBorder="true" applyNumberFormat="true" numFmtId="2" fillId="22" applyFill="true">
      <alignment horizontal="center" vertical="center"/>
    </xf>
    <xf fontId="1389" applyFont="true" borderId="8" applyBorder="true" applyNumberFormat="true" numFmtId="2" fillId="22" applyFill="true">
      <alignment horizontal="center" vertical="center"/>
    </xf>
    <xf fontId="1390" applyFont="true" borderId="8" applyBorder="true" applyNumberFormat="true" numFmtId="2" fillId="22" applyFill="true">
      <alignment horizontal="center" vertical="center"/>
    </xf>
    <xf fontId="1391" applyFont="true" borderId="8" applyBorder="true" applyNumberFormat="true" numFmtId="2" fillId="22" applyFill="true">
      <alignment horizontal="center" vertical="center"/>
    </xf>
    <xf fontId="1392" applyFont="true" borderId="8" applyBorder="true" applyNumberFormat="true" numFmtId="2" fillId="22" applyFill="true">
      <alignment horizontal="center" vertical="center"/>
    </xf>
    <xf fontId="1393" applyFont="true" borderId="8" applyBorder="true" applyNumberFormat="true" numFmtId="2" fillId="22" applyFill="true">
      <alignment horizontal="center" vertical="center"/>
    </xf>
    <xf fontId="1394" applyFont="true" borderId="8" applyBorder="true" applyNumberFormat="true" numFmtId="2" fillId="22" applyFill="true">
      <alignment horizontal="center" vertical="center"/>
    </xf>
    <xf fontId="1395" applyFont="true" borderId="8" applyBorder="true" applyNumberFormat="true" numFmtId="2" fillId="22" applyFill="true">
      <alignment horizontal="center" vertical="center"/>
    </xf>
    <xf fontId="1396" applyFont="true" borderId="8" applyBorder="true" applyNumberFormat="true" numFmtId="2" fillId="22" applyFill="true">
      <alignment horizontal="center" vertical="center"/>
    </xf>
    <xf fontId="1397" applyFont="true" borderId="8" applyBorder="true" applyNumberFormat="true" numFmtId="2" fillId="22" applyFill="true">
      <alignment horizontal="center" vertical="center"/>
    </xf>
    <xf fontId="1398" applyFont="true" borderId="8" applyBorder="true" applyNumberFormat="true" numFmtId="2" fillId="22" applyFill="true">
      <alignment horizontal="center" vertical="center"/>
    </xf>
    <xf fontId="1399" applyFont="true" borderId="8" applyBorder="true" applyNumberFormat="true" numFmtId="2" fillId="22" applyFill="true">
      <alignment horizontal="center" vertical="center"/>
    </xf>
    <xf fontId="1400" applyFont="true" borderId="8" applyBorder="true" applyNumberFormat="true" numFmtId="2" fillId="22" applyFill="true">
      <alignment horizontal="center" vertical="center"/>
    </xf>
    <xf fontId="1401" applyFont="true" borderId="8" applyBorder="true" applyNumberFormat="true" numFmtId="2" fillId="22" applyFill="true">
      <alignment horizontal="center" vertical="center"/>
    </xf>
    <xf fontId="1402" applyFont="true" borderId="8" applyBorder="true" applyNumberFormat="true" numFmtId="2" fillId="22" applyFill="true">
      <alignment horizontal="center" vertical="center"/>
    </xf>
    <xf fontId="1403" applyFont="true" borderId="8" applyBorder="true" applyNumberFormat="true" numFmtId="2" fillId="22" applyFill="true">
      <alignment horizontal="center" vertical="center"/>
    </xf>
    <xf fontId="1404" applyFont="true" borderId="8" applyBorder="true" applyNumberFormat="true" numFmtId="2" fillId="22" applyFill="true">
      <alignment horizontal="center" vertical="center"/>
    </xf>
    <xf fontId="1405" applyFont="true" borderId="8" applyBorder="true" applyNumberFormat="true" numFmtId="165" fillId="19" applyFill="true">
      <alignment horizontal="left" vertical="center"/>
    </xf>
    <xf fontId="1406" applyFont="true" borderId="8" applyBorder="true" applyNumberFormat="true" numFmtId="165" fillId="22" applyFill="true">
      <alignment horizontal="center" vertical="center"/>
    </xf>
    <xf fontId="1407" applyFont="true" borderId="8" applyBorder="true" applyNumberFormat="true" numFmtId="166" fillId="22" applyFill="true">
      <alignment horizontal="center" vertical="center"/>
    </xf>
    <xf fontId="1408" applyFont="true" borderId="8" applyBorder="true" applyNumberFormat="true" numFmtId="1" fillId="22" applyFill="true">
      <alignment horizontal="center" vertical="center"/>
    </xf>
    <xf fontId="1409" applyFont="true" borderId="8" applyBorder="true" applyNumberFormat="true" numFmtId="1" fillId="22" applyFill="true">
      <alignment horizontal="center" vertical="center"/>
    </xf>
    <xf fontId="1410" applyFont="true" borderId="8" applyBorder="true" applyNumberFormat="true" numFmtId="1" fillId="22" applyFill="true">
      <alignment horizontal="center" vertical="center"/>
    </xf>
    <xf fontId="1411" applyFont="true" borderId="8" applyBorder="true" applyNumberFormat="true" numFmtId="1" fillId="22" applyFill="true">
      <alignment horizontal="center" vertical="center"/>
    </xf>
    <xf fontId="1412" applyFont="true" borderId="8" applyBorder="true" applyNumberFormat="true" numFmtId="1" fillId="22" applyFill="true">
      <alignment horizontal="center" vertical="center"/>
    </xf>
    <xf fontId="1413" applyFont="true" borderId="8" applyBorder="true" applyNumberFormat="true" numFmtId="1" fillId="22" applyFill="true">
      <alignment horizontal="center" vertical="center"/>
    </xf>
    <xf fontId="1414" applyFont="true" borderId="8" applyBorder="true" applyNumberFormat="true" numFmtId="1" fillId="22" applyFill="true">
      <alignment horizontal="center" vertical="center"/>
    </xf>
    <xf fontId="1415" applyFont="true" borderId="8" applyBorder="true" applyNumberFormat="true" numFmtId="165" fillId="22" applyFill="true">
      <alignment horizontal="center" vertical="center"/>
    </xf>
    <xf fontId="1416" applyFont="true" borderId="8" applyBorder="true" applyNumberFormat="true" numFmtId="165" fillId="22" applyFill="true">
      <alignment horizontal="center" vertical="center"/>
    </xf>
    <xf fontId="1417" applyFont="true" borderId="8" applyBorder="true" applyNumberFormat="true" numFmtId="1" fillId="22" applyFill="true">
      <alignment horizontal="center" vertical="center"/>
    </xf>
    <xf fontId="1418" applyFont="true" borderId="8" applyBorder="true" applyNumberFormat="true" numFmtId="1" fillId="22" applyFill="true">
      <alignment horizontal="center" vertical="center"/>
    </xf>
    <xf fontId="1419" applyFont="true" borderId="8" applyBorder="true" applyNumberFormat="true" numFmtId="1" fillId="22" applyFill="true">
      <alignment horizontal="center" vertical="center"/>
    </xf>
    <xf fontId="1420" applyFont="true" borderId="8" applyBorder="true" applyNumberFormat="true" numFmtId="167" fillId="22" applyFill="true">
      <alignment horizontal="center" vertical="center"/>
    </xf>
    <xf fontId="1421" applyFont="true" borderId="8" applyBorder="true" applyNumberFormat="true" numFmtId="1" fillId="22" applyFill="true">
      <alignment horizontal="center" vertical="center"/>
    </xf>
    <xf fontId="1422" applyFont="true" borderId="8" applyBorder="true" applyNumberFormat="true" numFmtId="167" fillId="22" applyFill="true">
      <alignment horizontal="center" vertical="center"/>
    </xf>
    <xf fontId="1423" applyFont="true" borderId="8" applyBorder="true" applyNumberFormat="true" numFmtId="1" fillId="22" applyFill="true">
      <alignment horizontal="center" vertical="center"/>
    </xf>
    <xf fontId="1424" applyFont="true" borderId="8" applyBorder="true" applyNumberFormat="true" numFmtId="167" fillId="22" applyFill="true">
      <alignment horizontal="center" vertical="center"/>
    </xf>
    <xf fontId="1425" applyFont="true" borderId="8" applyBorder="true" applyNumberFormat="true" numFmtId="1" fillId="22" applyFill="true">
      <alignment horizontal="center" vertical="center"/>
    </xf>
    <xf fontId="1426" applyFont="true" borderId="8" applyBorder="true" applyNumberFormat="true" numFmtId="167" fillId="22" applyFill="true">
      <alignment horizontal="center" vertical="center"/>
    </xf>
    <xf fontId="1427" applyFont="true" borderId="8" applyBorder="true" applyNumberFormat="true" numFmtId="167" fillId="22" applyFill="true">
      <alignment horizontal="center" vertical="center"/>
    </xf>
    <xf fontId="1428" applyFont="true" borderId="8" applyBorder="true" applyNumberFormat="true" numFmtId="1" fillId="22" applyFill="true">
      <alignment horizontal="center" vertical="center"/>
    </xf>
    <xf fontId="1429" applyFont="true" borderId="8" applyBorder="true" applyNumberFormat="true" numFmtId="1" fillId="22" applyFill="true">
      <alignment horizontal="center" vertical="center"/>
    </xf>
    <xf fontId="1430" applyFont="true" borderId="8" applyBorder="true" applyNumberFormat="true" numFmtId="1" fillId="22" applyFill="true">
      <alignment horizontal="center" vertical="center"/>
    </xf>
    <xf fontId="1431" applyFont="true" borderId="8" applyBorder="true" applyNumberFormat="true" numFmtId="167" fillId="22" applyFill="true">
      <alignment horizontal="center" vertical="center"/>
    </xf>
    <xf fontId="1432" applyFont="true" borderId="8" applyBorder="true" applyNumberFormat="true" numFmtId="166" fillId="22" applyFill="true">
      <alignment horizontal="center" vertical="center"/>
    </xf>
    <xf fontId="1433" applyFont="true" borderId="8" applyBorder="true" applyNumberFormat="true" numFmtId="166" fillId="22" applyFill="true">
      <alignment horizontal="center" vertical="center"/>
    </xf>
    <xf fontId="1434" applyFont="true" borderId="8" applyBorder="true" applyNumberFormat="true" numFmtId="1" fillId="22" applyFill="true">
      <alignment horizontal="center" vertical="center"/>
    </xf>
    <xf fontId="1435" applyFont="true" borderId="8" applyBorder="true" applyNumberFormat="true" numFmtId="1" fillId="22" applyFill="true">
      <alignment horizontal="center" vertical="center"/>
    </xf>
    <xf fontId="1436" applyFont="true" borderId="8" applyBorder="true" applyNumberFormat="true" numFmtId="1" fillId="22" applyFill="true">
      <alignment horizontal="center" vertical="center"/>
    </xf>
    <xf fontId="1437" applyFont="true" borderId="8" applyBorder="true" applyNumberFormat="true" numFmtId="167" fillId="22" applyFill="true">
      <alignment horizontal="center" vertical="center"/>
    </xf>
    <xf fontId="1438" applyFont="true" borderId="8" applyBorder="true" applyNumberFormat="true" numFmtId="1" fillId="22" applyFill="true">
      <alignment horizontal="center" vertical="center"/>
    </xf>
    <xf fontId="1439" applyFont="true" borderId="8" applyBorder="true" applyNumberFormat="true" numFmtId="167" fillId="22" applyFill="true">
      <alignment horizontal="center" vertical="center"/>
    </xf>
    <xf fontId="1440" applyFont="true" borderId="8" applyBorder="true" applyNumberFormat="true" numFmtId="1" fillId="22" applyFill="true">
      <alignment horizontal="center" vertical="center"/>
    </xf>
    <xf fontId="1441" applyFont="true" borderId="8" applyBorder="true" applyNumberFormat="true" numFmtId="1" fillId="22" applyFill="true">
      <alignment horizontal="center" vertical="center"/>
    </xf>
    <xf fontId="1442" applyFont="true" borderId="8" applyBorder="true" applyNumberFormat="true" numFmtId="1" fillId="22" applyFill="true">
      <alignment horizontal="center" vertical="center"/>
    </xf>
    <xf fontId="1443" applyFont="true" borderId="8" applyBorder="true" applyNumberFormat="true" numFmtId="1" fillId="22" applyFill="true">
      <alignment horizontal="center" vertical="center"/>
    </xf>
    <xf fontId="1444" applyFont="true" borderId="8" applyBorder="true" applyNumberFormat="true" numFmtId="167" fillId="22" applyFill="true">
      <alignment horizontal="center" vertical="center"/>
    </xf>
    <xf fontId="1445" applyFont="true" borderId="8" applyBorder="true" applyNumberFormat="true" numFmtId="1" fillId="22" applyFill="true">
      <alignment horizontal="center" vertical="center"/>
    </xf>
    <xf fontId="1446" applyFont="true" borderId="8" applyBorder="true" applyNumberFormat="true" numFmtId="167" fillId="22" applyFill="true">
      <alignment horizontal="center" vertical="center"/>
    </xf>
    <xf fontId="1447" applyFont="true" borderId="8" applyBorder="true" applyNumberFormat="true" numFmtId="1" fillId="22" applyFill="true">
      <alignment horizontal="center" vertical="center"/>
    </xf>
    <xf fontId="1448" applyFont="true" borderId="8" applyBorder="true" applyNumberFormat="true" numFmtId="167" fillId="22" applyFill="true">
      <alignment horizontal="center" vertical="center"/>
    </xf>
    <xf fontId="1449" applyFont="true" borderId="8" applyBorder="true" applyNumberFormat="true" numFmtId="2" fillId="22" applyFill="true">
      <alignment horizontal="center" vertical="center"/>
    </xf>
    <xf fontId="1450" applyFont="true" borderId="8" applyBorder="true" applyNumberFormat="true" numFmtId="2" fillId="22" applyFill="true">
      <alignment horizontal="center" vertical="center"/>
    </xf>
    <xf fontId="1451" applyFont="true" borderId="8" applyBorder="true" applyNumberFormat="true" numFmtId="2" fillId="22" applyFill="true">
      <alignment horizontal="center" vertical="center"/>
    </xf>
    <xf fontId="1452" applyFont="true" borderId="8" applyBorder="true" applyNumberFormat="true" numFmtId="2" fillId="22" applyFill="true">
      <alignment horizontal="center" vertical="center"/>
    </xf>
    <xf fontId="1453" applyFont="true" borderId="8" applyBorder="true" applyNumberFormat="true" numFmtId="2" fillId="22" applyFill="true">
      <alignment horizontal="center" vertical="center"/>
    </xf>
    <xf fontId="1454" applyFont="true" borderId="8" applyBorder="true" applyNumberFormat="true" numFmtId="2" fillId="22" applyFill="true">
      <alignment horizontal="center" vertical="center"/>
    </xf>
    <xf fontId="1455" applyFont="true" borderId="8" applyBorder="true" applyNumberFormat="true" numFmtId="2" fillId="22" applyFill="true">
      <alignment horizontal="center" vertical="center"/>
    </xf>
    <xf fontId="1456" applyFont="true" borderId="8" applyBorder="true" applyNumberFormat="true" numFmtId="2" fillId="22" applyFill="true">
      <alignment horizontal="center" vertical="center"/>
    </xf>
    <xf fontId="1457" applyFont="true" borderId="8" applyBorder="true" applyNumberFormat="true" numFmtId="2" fillId="22" applyFill="true">
      <alignment horizontal="center" vertical="center"/>
    </xf>
    <xf fontId="1458" applyFont="true" borderId="8" applyBorder="true" applyNumberFormat="true" numFmtId="2" fillId="22" applyFill="true">
      <alignment horizontal="center" vertical="center"/>
    </xf>
    <xf fontId="1459" applyFont="true" borderId="8" applyBorder="true" applyNumberFormat="true" numFmtId="2" fillId="22" applyFill="true">
      <alignment horizontal="center" vertical="center"/>
    </xf>
    <xf fontId="1460" applyFont="true" borderId="8" applyBorder="true" applyNumberFormat="true" numFmtId="2" fillId="22" applyFill="true">
      <alignment horizontal="center" vertical="center"/>
    </xf>
    <xf fontId="1461" applyFont="true" borderId="8" applyBorder="true" applyNumberFormat="true" numFmtId="2" fillId="22" applyFill="true">
      <alignment horizontal="center" vertical="center"/>
    </xf>
    <xf fontId="1462" applyFont="true" borderId="8" applyBorder="true" applyNumberFormat="true" numFmtId="2" fillId="22" applyFill="true">
      <alignment horizontal="center" vertical="center"/>
    </xf>
    <xf fontId="1463" applyFont="true" borderId="8" applyBorder="true" applyNumberFormat="true" numFmtId="2" fillId="22" applyFill="true">
      <alignment horizontal="center" vertical="center"/>
    </xf>
    <xf fontId="1464" applyFont="true" borderId="8" applyBorder="true" applyNumberFormat="true" numFmtId="2" fillId="22" applyFill="true">
      <alignment horizontal="center" vertical="center"/>
    </xf>
    <xf fontId="1465" applyFont="true" borderId="8" applyBorder="true" applyNumberFormat="true" numFmtId="2" fillId="22" applyFill="true">
      <alignment horizontal="center" vertical="center"/>
    </xf>
    <xf fontId="1466" applyFont="true" borderId="8" applyBorder="true" applyNumberFormat="true" numFmtId="2" fillId="22" applyFill="true">
      <alignment horizontal="center" vertical="center"/>
    </xf>
    <xf fontId="1467" applyFont="true" borderId="8" applyBorder="true" applyNumberFormat="true" numFmtId="2" fillId="22" applyFill="true">
      <alignment horizontal="center" vertical="center"/>
    </xf>
    <xf fontId="1468" applyFont="true" borderId="8" applyBorder="true" applyNumberFormat="true" numFmtId="2" fillId="22" applyFill="true">
      <alignment horizontal="center" vertical="center"/>
    </xf>
    <xf fontId="1469" applyFont="true" borderId="8" applyBorder="true" applyNumberFormat="true" numFmtId="2" fillId="22" applyFill="true">
      <alignment horizontal="center" vertical="center"/>
    </xf>
    <xf fontId="1470" applyFont="true" borderId="8" applyBorder="true" applyNumberFormat="true" numFmtId="2" fillId="22" applyFill="true">
      <alignment horizontal="center" vertical="center"/>
    </xf>
    <xf fontId="1471" applyFont="true" borderId="8" applyBorder="true" applyNumberFormat="true" numFmtId="2" fillId="22" applyFill="true">
      <alignment horizontal="center" vertical="center"/>
    </xf>
    <xf fontId="1472" applyFont="true" borderId="8" applyBorder="true" applyNumberFormat="true" numFmtId="2" fillId="22" applyFill="true">
      <alignment horizontal="center" vertical="center"/>
    </xf>
    <xf fontId="1473" applyFont="true" borderId="8" applyBorder="true" applyNumberFormat="true" numFmtId="2" fillId="22" applyFill="true">
      <alignment horizontal="center" vertical="center"/>
    </xf>
    <xf fontId="1474" applyFont="true" borderId="8" applyBorder="true" applyNumberFormat="true" numFmtId="2" fillId="22" applyFill="true">
      <alignment horizontal="center" vertical="center"/>
    </xf>
    <xf fontId="1475" applyFont="true" borderId="8" applyBorder="true" applyNumberFormat="true" numFmtId="2" fillId="22" applyFill="true">
      <alignment horizontal="center" vertical="center"/>
    </xf>
    <xf fontId="1476" applyFont="true" borderId="8" applyBorder="true" applyNumberFormat="true" numFmtId="2" fillId="22" applyFill="true">
      <alignment horizontal="center" vertical="center"/>
    </xf>
    <xf fontId="1477" applyFont="true" borderId="8" applyBorder="true" applyNumberFormat="true" numFmtId="2" fillId="22" applyFill="true">
      <alignment horizontal="center" vertical="center"/>
    </xf>
    <xf fontId="1478" applyFont="true" borderId="8" applyBorder="true" applyNumberFormat="true" numFmtId="2" fillId="22" applyFill="true">
      <alignment horizontal="center" vertical="center"/>
    </xf>
    <xf fontId="1479" applyFont="true" borderId="8" applyBorder="true" applyNumberFormat="true" numFmtId="2" fillId="22" applyFill="true">
      <alignment horizontal="center" vertical="center"/>
    </xf>
    <xf fontId="1480" applyFont="true" borderId="8" applyBorder="true" applyNumberFormat="true" numFmtId="2" fillId="22" applyFill="true">
      <alignment horizontal="center" vertical="center"/>
    </xf>
    <xf fontId="1481" applyFont="true" borderId="8" applyBorder="true" applyNumberFormat="true" numFmtId="2" fillId="22" applyFill="true">
      <alignment horizontal="center" vertical="center"/>
    </xf>
    <xf fontId="1482" applyFont="true" borderId="8" applyBorder="true" applyNumberFormat="true" numFmtId="2" fillId="22" applyFill="true">
      <alignment horizontal="center" vertical="center"/>
    </xf>
    <xf fontId="1483" applyFont="true" borderId="8" applyBorder="true" applyNumberFormat="true" numFmtId="165" fillId="19" applyFill="true">
      <alignment horizontal="left" vertical="center"/>
    </xf>
    <xf fontId="1484" applyFont="true" borderId="8" applyBorder="true" applyNumberFormat="true" numFmtId="165" fillId="22" applyFill="true">
      <alignment horizontal="center" vertical="center"/>
    </xf>
    <xf fontId="1485" applyFont="true" borderId="8" applyBorder="true" applyNumberFormat="true" numFmtId="166" fillId="22" applyFill="true">
      <alignment horizontal="center" vertical="center"/>
    </xf>
    <xf fontId="1486" applyFont="true" borderId="8" applyBorder="true" applyNumberFormat="true" numFmtId="1" fillId="22" applyFill="true">
      <alignment horizontal="center" vertical="center"/>
    </xf>
    <xf fontId="1487" applyFont="true" borderId="8" applyBorder="true" applyNumberFormat="true" numFmtId="1" fillId="22" applyFill="true">
      <alignment horizontal="center" vertical="center"/>
    </xf>
    <xf fontId="1488" applyFont="true" borderId="8" applyBorder="true" applyNumberFormat="true" numFmtId="1" fillId="22" applyFill="true">
      <alignment horizontal="center" vertical="center"/>
    </xf>
    <xf fontId="1489" applyFont="true" borderId="8" applyBorder="true" applyNumberFormat="true" numFmtId="1" fillId="22" applyFill="true">
      <alignment horizontal="center" vertical="center"/>
    </xf>
    <xf fontId="1490" applyFont="true" borderId="8" applyBorder="true" applyNumberFormat="true" numFmtId="1" fillId="22" applyFill="true">
      <alignment horizontal="center" vertical="center"/>
    </xf>
    <xf fontId="1491" applyFont="true" borderId="8" applyBorder="true" applyNumberFormat="true" numFmtId="1" fillId="22" applyFill="true">
      <alignment horizontal="center" vertical="center"/>
    </xf>
    <xf fontId="1492" applyFont="true" borderId="8" applyBorder="true" applyNumberFormat="true" numFmtId="1" fillId="22" applyFill="true">
      <alignment horizontal="center" vertical="center"/>
    </xf>
    <xf fontId="1493" applyFont="true" borderId="8" applyBorder="true" applyNumberFormat="true" numFmtId="165" fillId="22" applyFill="true">
      <alignment horizontal="center" vertical="center"/>
    </xf>
    <xf fontId="1494" applyFont="true" borderId="8" applyBorder="true" applyNumberFormat="true" numFmtId="165" fillId="22" applyFill="true">
      <alignment horizontal="center" vertical="center"/>
    </xf>
    <xf fontId="1495" applyFont="true" borderId="8" applyBorder="true" applyNumberFormat="true" numFmtId="1" fillId="22" applyFill="true">
      <alignment horizontal="center" vertical="center"/>
    </xf>
    <xf fontId="1496" applyFont="true" borderId="8" applyBorder="true" applyNumberFormat="true" numFmtId="1" fillId="22" applyFill="true">
      <alignment horizontal="center" vertical="center"/>
    </xf>
    <xf fontId="1497" applyFont="true" borderId="8" applyBorder="true" applyNumberFormat="true" numFmtId="1" fillId="22" applyFill="true">
      <alignment horizontal="center" vertical="center"/>
    </xf>
    <xf fontId="1498" applyFont="true" borderId="8" applyBorder="true" applyNumberFormat="true" numFmtId="167" fillId="22" applyFill="true">
      <alignment horizontal="center" vertical="center"/>
    </xf>
    <xf fontId="1499" applyFont="true" borderId="8" applyBorder="true" applyNumberFormat="true" numFmtId="1" fillId="22" applyFill="true">
      <alignment horizontal="center" vertical="center"/>
    </xf>
    <xf fontId="1500" applyFont="true" borderId="8" applyBorder="true" applyNumberFormat="true" numFmtId="167" fillId="22" applyFill="true">
      <alignment horizontal="center" vertical="center"/>
    </xf>
    <xf fontId="1501" applyFont="true" borderId="8" applyBorder="true" applyNumberFormat="true" numFmtId="1" fillId="22" applyFill="true">
      <alignment horizontal="center" vertical="center"/>
    </xf>
    <xf fontId="1502" applyFont="true" borderId="8" applyBorder="true" applyNumberFormat="true" numFmtId="167" fillId="22" applyFill="true">
      <alignment horizontal="center" vertical="center"/>
    </xf>
    <xf fontId="1503" applyFont="true" borderId="8" applyBorder="true" applyNumberFormat="true" numFmtId="1" fillId="22" applyFill="true">
      <alignment horizontal="center" vertical="center"/>
    </xf>
    <xf fontId="1504" applyFont="true" borderId="8" applyBorder="true" applyNumberFormat="true" numFmtId="167" fillId="22" applyFill="true">
      <alignment horizontal="center" vertical="center"/>
    </xf>
    <xf fontId="1505" applyFont="true" borderId="8" applyBorder="true" applyNumberFormat="true" numFmtId="167" fillId="22" applyFill="true">
      <alignment horizontal="center" vertical="center"/>
    </xf>
    <xf fontId="1506" applyFont="true" borderId="8" applyBorder="true" applyNumberFormat="true" numFmtId="1" fillId="22" applyFill="true">
      <alignment horizontal="center" vertical="center"/>
    </xf>
    <xf fontId="1507" applyFont="true" borderId="8" applyBorder="true" applyNumberFormat="true" numFmtId="1" fillId="22" applyFill="true">
      <alignment horizontal="center" vertical="center"/>
    </xf>
    <xf fontId="1508" applyFont="true" borderId="8" applyBorder="true" applyNumberFormat="true" numFmtId="1" fillId="22" applyFill="true">
      <alignment horizontal="center" vertical="center"/>
    </xf>
    <xf fontId="1509" applyFont="true" borderId="8" applyBorder="true" applyNumberFormat="true" numFmtId="167" fillId="22" applyFill="true">
      <alignment horizontal="center" vertical="center"/>
    </xf>
    <xf fontId="1510" applyFont="true" borderId="8" applyBorder="true" applyNumberFormat="true" numFmtId="166" fillId="22" applyFill="true">
      <alignment horizontal="center" vertical="center"/>
    </xf>
    <xf fontId="1511" applyFont="true" borderId="8" applyBorder="true" applyNumberFormat="true" numFmtId="166" fillId="22" applyFill="true">
      <alignment horizontal="center" vertical="center"/>
    </xf>
    <xf fontId="1512" applyFont="true" borderId="8" applyBorder="true" applyNumberFormat="true" numFmtId="1" fillId="22" applyFill="true">
      <alignment horizontal="center" vertical="center"/>
    </xf>
    <xf fontId="1513" applyFont="true" borderId="8" applyBorder="true" applyNumberFormat="true" numFmtId="1" fillId="22" applyFill="true">
      <alignment horizontal="center" vertical="center"/>
    </xf>
    <xf fontId="1514" applyFont="true" borderId="8" applyBorder="true" applyNumberFormat="true" numFmtId="1" fillId="22" applyFill="true">
      <alignment horizontal="center" vertical="center"/>
    </xf>
    <xf fontId="1515" applyFont="true" borderId="8" applyBorder="true" applyNumberFormat="true" numFmtId="167" fillId="22" applyFill="true">
      <alignment horizontal="center" vertical="center"/>
    </xf>
    <xf fontId="1516" applyFont="true" borderId="8" applyBorder="true" applyNumberFormat="true" numFmtId="1" fillId="22" applyFill="true">
      <alignment horizontal="center" vertical="center"/>
    </xf>
    <xf fontId="1517" applyFont="true" borderId="8" applyBorder="true" applyNumberFormat="true" numFmtId="167" fillId="22" applyFill="true">
      <alignment horizontal="center" vertical="center"/>
    </xf>
    <xf fontId="1518" applyFont="true" borderId="8" applyBorder="true" applyNumberFormat="true" numFmtId="1" fillId="22" applyFill="true">
      <alignment horizontal="center" vertical="center"/>
    </xf>
    <xf fontId="1519" applyFont="true" borderId="8" applyBorder="true" applyNumberFormat="true" numFmtId="1" fillId="22" applyFill="true">
      <alignment horizontal="center" vertical="center"/>
    </xf>
    <xf fontId="1520" applyFont="true" borderId="8" applyBorder="true" applyNumberFormat="true" numFmtId="1" fillId="22" applyFill="true">
      <alignment horizontal="center" vertical="center"/>
    </xf>
    <xf fontId="1521" applyFont="true" borderId="8" applyBorder="true" applyNumberFormat="true" numFmtId="1" fillId="22" applyFill="true">
      <alignment horizontal="center" vertical="center"/>
    </xf>
    <xf fontId="1522" applyFont="true" borderId="8" applyBorder="true" applyNumberFormat="true" numFmtId="167" fillId="22" applyFill="true">
      <alignment horizontal="center" vertical="center"/>
    </xf>
    <xf fontId="1523" applyFont="true" borderId="8" applyBorder="true" applyNumberFormat="true" numFmtId="1" fillId="22" applyFill="true">
      <alignment horizontal="center" vertical="center"/>
    </xf>
    <xf fontId="1524" applyFont="true" borderId="8" applyBorder="true" applyNumberFormat="true" numFmtId="167" fillId="22" applyFill="true">
      <alignment horizontal="center" vertical="center"/>
    </xf>
    <xf fontId="1525" applyFont="true" borderId="8" applyBorder="true" applyNumberFormat="true" numFmtId="1" fillId="22" applyFill="true">
      <alignment horizontal="center" vertical="center"/>
    </xf>
    <xf fontId="1526" applyFont="true" borderId="8" applyBorder="true" applyNumberFormat="true" numFmtId="167" fillId="22" applyFill="true">
      <alignment horizontal="center" vertical="center"/>
    </xf>
    <xf fontId="1527" applyFont="true" borderId="8" applyBorder="true" applyNumberFormat="true" numFmtId="2" fillId="22" applyFill="true">
      <alignment horizontal="center" vertical="center"/>
    </xf>
    <xf fontId="1528" applyFont="true" borderId="8" applyBorder="true" applyNumberFormat="true" numFmtId="2" fillId="22" applyFill="true">
      <alignment horizontal="center" vertical="center"/>
    </xf>
    <xf fontId="1529" applyFont="true" borderId="8" applyBorder="true" applyNumberFormat="true" numFmtId="2" fillId="22" applyFill="true">
      <alignment horizontal="center" vertical="center"/>
    </xf>
    <xf fontId="1530" applyFont="true" borderId="8" applyBorder="true" applyNumberFormat="true" numFmtId="2" fillId="22" applyFill="true">
      <alignment horizontal="center" vertical="center"/>
    </xf>
    <xf fontId="1531" applyFont="true" borderId="8" applyBorder="true" applyNumberFormat="true" numFmtId="2" fillId="22" applyFill="true">
      <alignment horizontal="center" vertical="center"/>
    </xf>
    <xf fontId="1532" applyFont="true" borderId="8" applyBorder="true" applyNumberFormat="true" numFmtId="2" fillId="22" applyFill="true">
      <alignment horizontal="center" vertical="center"/>
    </xf>
    <xf fontId="1533" applyFont="true" borderId="8" applyBorder="true" applyNumberFormat="true" numFmtId="2" fillId="22" applyFill="true">
      <alignment horizontal="center" vertical="center"/>
    </xf>
    <xf fontId="1534" applyFont="true" borderId="8" applyBorder="true" applyNumberFormat="true" numFmtId="2" fillId="22" applyFill="true">
      <alignment horizontal="center" vertical="center"/>
    </xf>
    <xf fontId="1535" applyFont="true" borderId="8" applyBorder="true" applyNumberFormat="true" numFmtId="2" fillId="22" applyFill="true">
      <alignment horizontal="center" vertical="center"/>
    </xf>
    <xf fontId="1536" applyFont="true" borderId="8" applyBorder="true" applyNumberFormat="true" numFmtId="2" fillId="22" applyFill="true">
      <alignment horizontal="center" vertical="center"/>
    </xf>
    <xf fontId="1537" applyFont="true" borderId="8" applyBorder="true" applyNumberFormat="true" numFmtId="2" fillId="22" applyFill="true">
      <alignment horizontal="center" vertical="center"/>
    </xf>
    <xf fontId="1538" applyFont="true" borderId="8" applyBorder="true" applyNumberFormat="true" numFmtId="2" fillId="22" applyFill="true">
      <alignment horizontal="center" vertical="center"/>
    </xf>
    <xf fontId="1539" applyFont="true" borderId="8" applyBorder="true" applyNumberFormat="true" numFmtId="2" fillId="22" applyFill="true">
      <alignment horizontal="center" vertical="center"/>
    </xf>
    <xf fontId="1540" applyFont="true" borderId="8" applyBorder="true" applyNumberFormat="true" numFmtId="2" fillId="22" applyFill="true">
      <alignment horizontal="center" vertical="center"/>
    </xf>
    <xf fontId="1541" applyFont="true" borderId="8" applyBorder="true" applyNumberFormat="true" numFmtId="2" fillId="22" applyFill="true">
      <alignment horizontal="center" vertical="center"/>
    </xf>
    <xf fontId="1542" applyFont="true" borderId="8" applyBorder="true" applyNumberFormat="true" numFmtId="2" fillId="22" applyFill="true">
      <alignment horizontal="center" vertical="center"/>
    </xf>
    <xf fontId="1543" applyFont="true" borderId="8" applyBorder="true" applyNumberFormat="true" numFmtId="2" fillId="22" applyFill="true">
      <alignment horizontal="center" vertical="center"/>
    </xf>
    <xf fontId="1544" applyFont="true" borderId="8" applyBorder="true" applyNumberFormat="true" numFmtId="2" fillId="22" applyFill="true">
      <alignment horizontal="center" vertical="center"/>
    </xf>
    <xf fontId="1545" applyFont="true" borderId="8" applyBorder="true" applyNumberFormat="true" numFmtId="2" fillId="22" applyFill="true">
      <alignment horizontal="center" vertical="center"/>
    </xf>
    <xf fontId="1546" applyFont="true" borderId="8" applyBorder="true" applyNumberFormat="true" numFmtId="2" fillId="22" applyFill="true">
      <alignment horizontal="center" vertical="center"/>
    </xf>
    <xf fontId="1547" applyFont="true" borderId="8" applyBorder="true" applyNumberFormat="true" numFmtId="2" fillId="22" applyFill="true">
      <alignment horizontal="center" vertical="center"/>
    </xf>
    <xf fontId="1548" applyFont="true" borderId="8" applyBorder="true" applyNumberFormat="true" numFmtId="2" fillId="22" applyFill="true">
      <alignment horizontal="center" vertical="center"/>
    </xf>
    <xf fontId="1549" applyFont="true" borderId="8" applyBorder="true" applyNumberFormat="true" numFmtId="2" fillId="22" applyFill="true">
      <alignment horizontal="center" vertical="center"/>
    </xf>
    <xf fontId="1550" applyFont="true" borderId="8" applyBorder="true" applyNumberFormat="true" numFmtId="2" fillId="22" applyFill="true">
      <alignment horizontal="center" vertical="center"/>
    </xf>
    <xf fontId="1551" applyFont="true" borderId="8" applyBorder="true" applyNumberFormat="true" numFmtId="2" fillId="22" applyFill="true">
      <alignment horizontal="center" vertical="center"/>
    </xf>
    <xf fontId="1552" applyFont="true" borderId="8" applyBorder="true" applyNumberFormat="true" numFmtId="2" fillId="22" applyFill="true">
      <alignment horizontal="center" vertical="center"/>
    </xf>
    <xf fontId="1553" applyFont="true" borderId="8" applyBorder="true" applyNumberFormat="true" numFmtId="2" fillId="22" applyFill="true">
      <alignment horizontal="center" vertical="center"/>
    </xf>
    <xf fontId="1554" applyFont="true" borderId="8" applyBorder="true" applyNumberFormat="true" numFmtId="2" fillId="22" applyFill="true">
      <alignment horizontal="center" vertical="center"/>
    </xf>
    <xf fontId="1555" applyFont="true" borderId="8" applyBorder="true" applyNumberFormat="true" numFmtId="2" fillId="22" applyFill="true">
      <alignment horizontal="center" vertical="center"/>
    </xf>
    <xf fontId="1556" applyFont="true" borderId="8" applyBorder="true" applyNumberFormat="true" numFmtId="2" fillId="22" applyFill="true">
      <alignment horizontal="center" vertical="center"/>
    </xf>
    <xf fontId="1557" applyFont="true" borderId="8" applyBorder="true" applyNumberFormat="true" numFmtId="2" fillId="22" applyFill="true">
      <alignment horizontal="center" vertical="center"/>
    </xf>
    <xf fontId="1558" applyFont="true" borderId="8" applyBorder="true" applyNumberFormat="true" numFmtId="2" fillId="22" applyFill="true">
      <alignment horizontal="center" vertical="center"/>
    </xf>
    <xf fontId="1559" applyFont="true" borderId="8" applyBorder="true" applyNumberFormat="true" numFmtId="2" fillId="22" applyFill="true">
      <alignment horizontal="center" vertical="center"/>
    </xf>
    <xf fontId="1560" applyFont="true" borderId="8" applyBorder="true" applyNumberFormat="true" numFmtId="2" fillId="22" applyFill="true">
      <alignment horizontal="center" vertical="center"/>
    </xf>
    <xf fontId="1561" applyFont="true" borderId="8" applyBorder="true" applyNumberFormat="true" numFmtId="165" fillId="19" applyFill="true">
      <alignment horizontal="left" vertical="center"/>
    </xf>
    <xf fontId="1562" applyFont="true" borderId="8" applyBorder="true" applyNumberFormat="true" numFmtId="165" fillId="22" applyFill="true">
      <alignment horizontal="center" vertical="center"/>
    </xf>
    <xf fontId="1563" applyFont="true" borderId="8" applyBorder="true" applyNumberFormat="true" numFmtId="166" fillId="22" applyFill="true">
      <alignment horizontal="center" vertical="center"/>
    </xf>
    <xf fontId="1564" applyFont="true" borderId="8" applyBorder="true" applyNumberFormat="true" numFmtId="1" fillId="22" applyFill="true">
      <alignment horizontal="center" vertical="center"/>
    </xf>
    <xf fontId="1565" applyFont="true" borderId="8" applyBorder="true" applyNumberFormat="true" numFmtId="1" fillId="22" applyFill="true">
      <alignment horizontal="center" vertical="center"/>
    </xf>
    <xf fontId="1566" applyFont="true" borderId="8" applyBorder="true" applyNumberFormat="true" numFmtId="1" fillId="22" applyFill="true">
      <alignment horizontal="center" vertical="center"/>
    </xf>
    <xf fontId="1567" applyFont="true" borderId="8" applyBorder="true" applyNumberFormat="true" numFmtId="1" fillId="22" applyFill="true">
      <alignment horizontal="center" vertical="center"/>
    </xf>
    <xf fontId="1568" applyFont="true" borderId="8" applyBorder="true" applyNumberFormat="true" numFmtId="1" fillId="22" applyFill="true">
      <alignment horizontal="center" vertical="center"/>
    </xf>
    <xf fontId="1569" applyFont="true" borderId="8" applyBorder="true" applyNumberFormat="true" numFmtId="1" fillId="22" applyFill="true">
      <alignment horizontal="center" vertical="center"/>
    </xf>
    <xf fontId="1570" applyFont="true" borderId="8" applyBorder="true" applyNumberFormat="true" numFmtId="1" fillId="22" applyFill="true">
      <alignment horizontal="center" vertical="center"/>
    </xf>
    <xf fontId="1571" applyFont="true" borderId="8" applyBorder="true" applyNumberFormat="true" numFmtId="165" fillId="22" applyFill="true">
      <alignment horizontal="center" vertical="center"/>
    </xf>
    <xf fontId="1572" applyFont="true" borderId="8" applyBorder="true" applyNumberFormat="true" numFmtId="165" fillId="22" applyFill="true">
      <alignment horizontal="center" vertical="center"/>
    </xf>
    <xf fontId="1573" applyFont="true" borderId="8" applyBorder="true" applyNumberFormat="true" numFmtId="1" fillId="22" applyFill="true">
      <alignment horizontal="center" vertical="center"/>
    </xf>
    <xf fontId="1574" applyFont="true" borderId="8" applyBorder="true" applyNumberFormat="true" numFmtId="1" fillId="22" applyFill="true">
      <alignment horizontal="center" vertical="center"/>
    </xf>
    <xf fontId="1575" applyFont="true" borderId="8" applyBorder="true" applyNumberFormat="true" numFmtId="1" fillId="22" applyFill="true">
      <alignment horizontal="center" vertical="center"/>
    </xf>
    <xf fontId="1576" applyFont="true" borderId="8" applyBorder="true" applyNumberFormat="true" numFmtId="167" fillId="22" applyFill="true">
      <alignment horizontal="center" vertical="center"/>
    </xf>
    <xf fontId="1577" applyFont="true" borderId="8" applyBorder="true" applyNumberFormat="true" numFmtId="1" fillId="22" applyFill="true">
      <alignment horizontal="center" vertical="center"/>
    </xf>
    <xf fontId="1578" applyFont="true" borderId="8" applyBorder="true" applyNumberFormat="true" numFmtId="167" fillId="22" applyFill="true">
      <alignment horizontal="center" vertical="center"/>
    </xf>
    <xf fontId="1579" applyFont="true" borderId="8" applyBorder="true" applyNumberFormat="true" numFmtId="1" fillId="22" applyFill="true">
      <alignment horizontal="center" vertical="center"/>
    </xf>
    <xf fontId="1580" applyFont="true" borderId="8" applyBorder="true" applyNumberFormat="true" numFmtId="167" fillId="22" applyFill="true">
      <alignment horizontal="center" vertical="center"/>
    </xf>
    <xf fontId="1581" applyFont="true" borderId="8" applyBorder="true" applyNumberFormat="true" numFmtId="1" fillId="22" applyFill="true">
      <alignment horizontal="center" vertical="center"/>
    </xf>
    <xf fontId="1582" applyFont="true" borderId="8" applyBorder="true" applyNumberFormat="true" numFmtId="167" fillId="22" applyFill="true">
      <alignment horizontal="center" vertical="center"/>
    </xf>
    <xf fontId="1583" applyFont="true" borderId="8" applyBorder="true" applyNumberFormat="true" numFmtId="167" fillId="22" applyFill="true">
      <alignment horizontal="center" vertical="center"/>
    </xf>
    <xf fontId="1584" applyFont="true" borderId="8" applyBorder="true" applyNumberFormat="true" numFmtId="1" fillId="22" applyFill="true">
      <alignment horizontal="center" vertical="center"/>
    </xf>
    <xf fontId="1585" applyFont="true" borderId="8" applyBorder="true" applyNumberFormat="true" numFmtId="1" fillId="22" applyFill="true">
      <alignment horizontal="center" vertical="center"/>
    </xf>
    <xf fontId="1586" applyFont="true" borderId="8" applyBorder="true" applyNumberFormat="true" numFmtId="1" fillId="22" applyFill="true">
      <alignment horizontal="center" vertical="center"/>
    </xf>
    <xf fontId="1587" applyFont="true" borderId="8" applyBorder="true" applyNumberFormat="true" numFmtId="167" fillId="22" applyFill="true">
      <alignment horizontal="center" vertical="center"/>
    </xf>
    <xf fontId="1588" applyFont="true" borderId="8" applyBorder="true" applyNumberFormat="true" numFmtId="166" fillId="22" applyFill="true">
      <alignment horizontal="center" vertical="center"/>
    </xf>
    <xf fontId="1589" applyFont="true" borderId="8" applyBorder="true" applyNumberFormat="true" numFmtId="166" fillId="22" applyFill="true">
      <alignment horizontal="center" vertical="center"/>
    </xf>
    <xf fontId="1590" applyFont="true" borderId="8" applyBorder="true" applyNumberFormat="true" numFmtId="1" fillId="22" applyFill="true">
      <alignment horizontal="center" vertical="center"/>
    </xf>
    <xf fontId="1591" applyFont="true" borderId="8" applyBorder="true" applyNumberFormat="true" numFmtId="1" fillId="22" applyFill="true">
      <alignment horizontal="center" vertical="center"/>
    </xf>
    <xf fontId="1592" applyFont="true" borderId="8" applyBorder="true" applyNumberFormat="true" numFmtId="1" fillId="22" applyFill="true">
      <alignment horizontal="center" vertical="center"/>
    </xf>
    <xf fontId="1593" applyFont="true" borderId="8" applyBorder="true" applyNumberFormat="true" numFmtId="167" fillId="22" applyFill="true">
      <alignment horizontal="center" vertical="center"/>
    </xf>
    <xf fontId="1594" applyFont="true" borderId="8" applyBorder="true" applyNumberFormat="true" numFmtId="1" fillId="22" applyFill="true">
      <alignment horizontal="center" vertical="center"/>
    </xf>
    <xf fontId="1595" applyFont="true" borderId="8" applyBorder="true" applyNumberFormat="true" numFmtId="167" fillId="22" applyFill="true">
      <alignment horizontal="center" vertical="center"/>
    </xf>
    <xf fontId="1596" applyFont="true" borderId="8" applyBorder="true" applyNumberFormat="true" numFmtId="1" fillId="22" applyFill="true">
      <alignment horizontal="center" vertical="center"/>
    </xf>
    <xf fontId="1597" applyFont="true" borderId="8" applyBorder="true" applyNumberFormat="true" numFmtId="1" fillId="22" applyFill="true">
      <alignment horizontal="center" vertical="center"/>
    </xf>
    <xf fontId="1598" applyFont="true" borderId="8" applyBorder="true" applyNumberFormat="true" numFmtId="1" fillId="22" applyFill="true">
      <alignment horizontal="center" vertical="center"/>
    </xf>
    <xf fontId="1599" applyFont="true" borderId="8" applyBorder="true" applyNumberFormat="true" numFmtId="1" fillId="22" applyFill="true">
      <alignment horizontal="center" vertical="center"/>
    </xf>
    <xf fontId="1600" applyFont="true" borderId="8" applyBorder="true" applyNumberFormat="true" numFmtId="167" fillId="22" applyFill="true">
      <alignment horizontal="center" vertical="center"/>
    </xf>
    <xf fontId="1601" applyFont="true" borderId="8" applyBorder="true" applyNumberFormat="true" numFmtId="1" fillId="22" applyFill="true">
      <alignment horizontal="center" vertical="center"/>
    </xf>
    <xf fontId="1602" applyFont="true" borderId="8" applyBorder="true" applyNumberFormat="true" numFmtId="167" fillId="22" applyFill="true">
      <alignment horizontal="center" vertical="center"/>
    </xf>
    <xf fontId="1603" applyFont="true" borderId="8" applyBorder="true" applyNumberFormat="true" numFmtId="1" fillId="22" applyFill="true">
      <alignment horizontal="center" vertical="center"/>
    </xf>
    <xf fontId="1604" applyFont="true" borderId="8" applyBorder="true" applyNumberFormat="true" numFmtId="167" fillId="22" applyFill="true">
      <alignment horizontal="center" vertical="center"/>
    </xf>
    <xf fontId="1605" applyFont="true" borderId="8" applyBorder="true" applyNumberFormat="true" numFmtId="2" fillId="22" applyFill="true">
      <alignment horizontal="center" vertical="center"/>
    </xf>
    <xf fontId="1606" applyFont="true" borderId="8" applyBorder="true" applyNumberFormat="true" numFmtId="2" fillId="22" applyFill="true">
      <alignment horizontal="center" vertical="center"/>
    </xf>
    <xf fontId="1607" applyFont="true" borderId="8" applyBorder="true" applyNumberFormat="true" numFmtId="2" fillId="22" applyFill="true">
      <alignment horizontal="center" vertical="center"/>
    </xf>
    <xf fontId="1608" applyFont="true" borderId="8" applyBorder="true" applyNumberFormat="true" numFmtId="2" fillId="22" applyFill="true">
      <alignment horizontal="center" vertical="center"/>
    </xf>
    <xf fontId="1609" applyFont="true" borderId="8" applyBorder="true" applyNumberFormat="true" numFmtId="2" fillId="22" applyFill="true">
      <alignment horizontal="center" vertical="center"/>
    </xf>
    <xf fontId="1610" applyFont="true" borderId="8" applyBorder="true" applyNumberFormat="true" numFmtId="2" fillId="22" applyFill="true">
      <alignment horizontal="center" vertical="center"/>
    </xf>
    <xf fontId="1611" applyFont="true" borderId="8" applyBorder="true" applyNumberFormat="true" numFmtId="2" fillId="22" applyFill="true">
      <alignment horizontal="center" vertical="center"/>
    </xf>
    <xf fontId="1612" applyFont="true" borderId="8" applyBorder="true" applyNumberFormat="true" numFmtId="2" fillId="22" applyFill="true">
      <alignment horizontal="center" vertical="center"/>
    </xf>
    <xf fontId="1613" applyFont="true" borderId="8" applyBorder="true" applyNumberFormat="true" numFmtId="2" fillId="22" applyFill="true">
      <alignment horizontal="center" vertical="center"/>
    </xf>
    <xf fontId="1614" applyFont="true" borderId="8" applyBorder="true" applyNumberFormat="true" numFmtId="2" fillId="22" applyFill="true">
      <alignment horizontal="center" vertical="center"/>
    </xf>
    <xf fontId="1615" applyFont="true" borderId="8" applyBorder="true" applyNumberFormat="true" numFmtId="2" fillId="22" applyFill="true">
      <alignment horizontal="center" vertical="center"/>
    </xf>
    <xf fontId="1616" applyFont="true" borderId="8" applyBorder="true" applyNumberFormat="true" numFmtId="2" fillId="22" applyFill="true">
      <alignment horizontal="center" vertical="center"/>
    </xf>
    <xf fontId="1617" applyFont="true" borderId="8" applyBorder="true" applyNumberFormat="true" numFmtId="2" fillId="22" applyFill="true">
      <alignment horizontal="center" vertical="center"/>
    </xf>
    <xf fontId="1618" applyFont="true" borderId="8" applyBorder="true" applyNumberFormat="true" numFmtId="2" fillId="22" applyFill="true">
      <alignment horizontal="center" vertical="center"/>
    </xf>
    <xf fontId="1619" applyFont="true" borderId="8" applyBorder="true" applyNumberFormat="true" numFmtId="2" fillId="22" applyFill="true">
      <alignment horizontal="center" vertical="center"/>
    </xf>
    <xf fontId="1620" applyFont="true" borderId="8" applyBorder="true" applyNumberFormat="true" numFmtId="2" fillId="22" applyFill="true">
      <alignment horizontal="center" vertical="center"/>
    </xf>
    <xf fontId="1621" applyFont="true" borderId="8" applyBorder="true" applyNumberFormat="true" numFmtId="2" fillId="22" applyFill="true">
      <alignment horizontal="center" vertical="center"/>
    </xf>
    <xf fontId="1622" applyFont="true" borderId="8" applyBorder="true" applyNumberFormat="true" numFmtId="2" fillId="22" applyFill="true">
      <alignment horizontal="center" vertical="center"/>
    </xf>
    <xf fontId="1623" applyFont="true" borderId="8" applyBorder="true" applyNumberFormat="true" numFmtId="2" fillId="22" applyFill="true">
      <alignment horizontal="center" vertical="center"/>
    </xf>
    <xf fontId="1624" applyFont="true" borderId="8" applyBorder="true" applyNumberFormat="true" numFmtId="2" fillId="22" applyFill="true">
      <alignment horizontal="center" vertical="center"/>
    </xf>
    <xf fontId="1625" applyFont="true" borderId="8" applyBorder="true" applyNumberFormat="true" numFmtId="2" fillId="22" applyFill="true">
      <alignment horizontal="center" vertical="center"/>
    </xf>
    <xf fontId="1626" applyFont="true" borderId="8" applyBorder="true" applyNumberFormat="true" numFmtId="2" fillId="22" applyFill="true">
      <alignment horizontal="center" vertical="center"/>
    </xf>
    <xf fontId="1627" applyFont="true" borderId="8" applyBorder="true" applyNumberFormat="true" numFmtId="2" fillId="22" applyFill="true">
      <alignment horizontal="center" vertical="center"/>
    </xf>
    <xf fontId="1628" applyFont="true" borderId="8" applyBorder="true" applyNumberFormat="true" numFmtId="2" fillId="22" applyFill="true">
      <alignment horizontal="center" vertical="center"/>
    </xf>
    <xf fontId="1629" applyFont="true" borderId="8" applyBorder="true" applyNumberFormat="true" numFmtId="2" fillId="22" applyFill="true">
      <alignment horizontal="center" vertical="center"/>
    </xf>
    <xf fontId="1630" applyFont="true" borderId="8" applyBorder="true" applyNumberFormat="true" numFmtId="2" fillId="22" applyFill="true">
      <alignment horizontal="center" vertical="center"/>
    </xf>
    <xf fontId="1631" applyFont="true" borderId="8" applyBorder="true" applyNumberFormat="true" numFmtId="2" fillId="22" applyFill="true">
      <alignment horizontal="center" vertical="center"/>
    </xf>
    <xf fontId="1632" applyFont="true" borderId="8" applyBorder="true" applyNumberFormat="true" numFmtId="2" fillId="22" applyFill="true">
      <alignment horizontal="center" vertical="center"/>
    </xf>
    <xf fontId="1633" applyFont="true" borderId="8" applyBorder="true" applyNumberFormat="true" numFmtId="2" fillId="22" applyFill="true">
      <alignment horizontal="center" vertical="center"/>
    </xf>
    <xf fontId="1634" applyFont="true" borderId="8" applyBorder="true" applyNumberFormat="true" numFmtId="2" fillId="22" applyFill="true">
      <alignment horizontal="center" vertical="center"/>
    </xf>
    <xf fontId="1635" applyFont="true" borderId="8" applyBorder="true" applyNumberFormat="true" numFmtId="2" fillId="22" applyFill="true">
      <alignment horizontal="center" vertical="center"/>
    </xf>
    <xf fontId="1636" applyFont="true" borderId="8" applyBorder="true" applyNumberFormat="true" numFmtId="2" fillId="22" applyFill="true">
      <alignment horizontal="center" vertical="center"/>
    </xf>
    <xf fontId="1637" applyFont="true" borderId="8" applyBorder="true" applyNumberFormat="true" numFmtId="2" fillId="22" applyFill="true">
      <alignment horizontal="center" vertical="center"/>
    </xf>
    <xf fontId="1638" applyFont="true" borderId="8" applyBorder="true" applyNumberFormat="true" numFmtId="2" fillId="22" applyFill="true">
      <alignment horizontal="center" vertical="center"/>
    </xf>
    <xf fontId="1639" applyFont="true" borderId="8" applyBorder="true" applyNumberFormat="true" numFmtId="165" fillId="19" applyFill="true">
      <alignment horizontal="left" vertical="center"/>
    </xf>
    <xf fontId="1640" applyFont="true" borderId="8" applyBorder="true" applyNumberFormat="true" numFmtId="165" fillId="22" applyFill="true">
      <alignment horizontal="center" vertical="center"/>
    </xf>
    <xf fontId="1641" applyFont="true" borderId="8" applyBorder="true" applyNumberFormat="true" numFmtId="166" fillId="22" applyFill="true">
      <alignment horizontal="center" vertical="center"/>
    </xf>
    <xf fontId="1642" applyFont="true" borderId="8" applyBorder="true" applyNumberFormat="true" numFmtId="1" fillId="22" applyFill="true">
      <alignment horizontal="center" vertical="center"/>
    </xf>
    <xf fontId="1643" applyFont="true" borderId="8" applyBorder="true" applyNumberFormat="true" numFmtId="1" fillId="22" applyFill="true">
      <alignment horizontal="center" vertical="center"/>
    </xf>
    <xf fontId="1644" applyFont="true" borderId="8" applyBorder="true" applyNumberFormat="true" numFmtId="1" fillId="22" applyFill="true">
      <alignment horizontal="center" vertical="center"/>
    </xf>
    <xf fontId="1645" applyFont="true" borderId="8" applyBorder="true" applyNumberFormat="true" numFmtId="1" fillId="22" applyFill="true">
      <alignment horizontal="center" vertical="center"/>
    </xf>
    <xf fontId="1646" applyFont="true" borderId="8" applyBorder="true" applyNumberFormat="true" numFmtId="1" fillId="22" applyFill="true">
      <alignment horizontal="center" vertical="center"/>
    </xf>
    <xf fontId="1647" applyFont="true" borderId="8" applyBorder="true" applyNumberFormat="true" numFmtId="1" fillId="22" applyFill="true">
      <alignment horizontal="center" vertical="center"/>
    </xf>
    <xf fontId="1648" applyFont="true" borderId="8" applyBorder="true" applyNumberFormat="true" numFmtId="1" fillId="22" applyFill="true">
      <alignment horizontal="center" vertical="center"/>
    </xf>
    <xf fontId="1649" applyFont="true" borderId="8" applyBorder="true" applyNumberFormat="true" numFmtId="165" fillId="22" applyFill="true">
      <alignment horizontal="center" vertical="center"/>
    </xf>
    <xf fontId="1650" applyFont="true" borderId="8" applyBorder="true" applyNumberFormat="true" numFmtId="165" fillId="22" applyFill="true">
      <alignment horizontal="center" vertical="center"/>
    </xf>
    <xf fontId="1651" applyFont="true" borderId="8" applyBorder="true" applyNumberFormat="true" numFmtId="1" fillId="22" applyFill="true">
      <alignment horizontal="center" vertical="center"/>
    </xf>
    <xf fontId="1652" applyFont="true" borderId="8" applyBorder="true" applyNumberFormat="true" numFmtId="1" fillId="22" applyFill="true">
      <alignment horizontal="center" vertical="center"/>
    </xf>
    <xf fontId="1653" applyFont="true" borderId="8" applyBorder="true" applyNumberFormat="true" numFmtId="1" fillId="22" applyFill="true">
      <alignment horizontal="center" vertical="center"/>
    </xf>
    <xf fontId="1654" applyFont="true" borderId="8" applyBorder="true" applyNumberFormat="true" numFmtId="167" fillId="22" applyFill="true">
      <alignment horizontal="center" vertical="center"/>
    </xf>
    <xf fontId="1655" applyFont="true" borderId="8" applyBorder="true" applyNumberFormat="true" numFmtId="1" fillId="22" applyFill="true">
      <alignment horizontal="center" vertical="center"/>
    </xf>
    <xf fontId="1656" applyFont="true" borderId="8" applyBorder="true" applyNumberFormat="true" numFmtId="167" fillId="22" applyFill="true">
      <alignment horizontal="center" vertical="center"/>
    </xf>
    <xf fontId="1657" applyFont="true" borderId="8" applyBorder="true" applyNumberFormat="true" numFmtId="1" fillId="22" applyFill="true">
      <alignment horizontal="center" vertical="center"/>
    </xf>
    <xf fontId="1658" applyFont="true" borderId="8" applyBorder="true" applyNumberFormat="true" numFmtId="167" fillId="22" applyFill="true">
      <alignment horizontal="center" vertical="center"/>
    </xf>
    <xf fontId="1659" applyFont="true" borderId="8" applyBorder="true" applyNumberFormat="true" numFmtId="1" fillId="22" applyFill="true">
      <alignment horizontal="center" vertical="center"/>
    </xf>
    <xf fontId="1660" applyFont="true" borderId="8" applyBorder="true" applyNumberFormat="true" numFmtId="167" fillId="22" applyFill="true">
      <alignment horizontal="center" vertical="center"/>
    </xf>
    <xf fontId="1661" applyFont="true" borderId="8" applyBorder="true" applyNumberFormat="true" numFmtId="167" fillId="22" applyFill="true">
      <alignment horizontal="center" vertical="center"/>
    </xf>
    <xf fontId="1662" applyFont="true" borderId="8" applyBorder="true" applyNumberFormat="true" numFmtId="1" fillId="22" applyFill="true">
      <alignment horizontal="center" vertical="center"/>
    </xf>
    <xf fontId="1663" applyFont="true" borderId="8" applyBorder="true" applyNumberFormat="true" numFmtId="1" fillId="22" applyFill="true">
      <alignment horizontal="center" vertical="center"/>
    </xf>
    <xf fontId="1664" applyFont="true" borderId="8" applyBorder="true" applyNumberFormat="true" numFmtId="1" fillId="22" applyFill="true">
      <alignment horizontal="center" vertical="center"/>
    </xf>
    <xf fontId="1665" applyFont="true" borderId="8" applyBorder="true" applyNumberFormat="true" numFmtId="167" fillId="22" applyFill="true">
      <alignment horizontal="center" vertical="center"/>
    </xf>
    <xf fontId="1666" applyFont="true" borderId="8" applyBorder="true" applyNumberFormat="true" numFmtId="166" fillId="22" applyFill="true">
      <alignment horizontal="center" vertical="center"/>
    </xf>
    <xf fontId="1667" applyFont="true" borderId="8" applyBorder="true" applyNumberFormat="true" numFmtId="166" fillId="22" applyFill="true">
      <alignment horizontal="center" vertical="center"/>
    </xf>
    <xf fontId="1668" applyFont="true" borderId="8" applyBorder="true" applyNumberFormat="true" numFmtId="1" fillId="22" applyFill="true">
      <alignment horizontal="center" vertical="center"/>
    </xf>
    <xf fontId="1669" applyFont="true" borderId="8" applyBorder="true" applyNumberFormat="true" numFmtId="1" fillId="22" applyFill="true">
      <alignment horizontal="center" vertical="center"/>
    </xf>
    <xf fontId="1670" applyFont="true" borderId="8" applyBorder="true" applyNumberFormat="true" numFmtId="1" fillId="22" applyFill="true">
      <alignment horizontal="center" vertical="center"/>
    </xf>
    <xf fontId="1671" applyFont="true" borderId="8" applyBorder="true" applyNumberFormat="true" numFmtId="167" fillId="22" applyFill="true">
      <alignment horizontal="center" vertical="center"/>
    </xf>
    <xf fontId="1672" applyFont="true" borderId="8" applyBorder="true" applyNumberFormat="true" numFmtId="1" fillId="22" applyFill="true">
      <alignment horizontal="center" vertical="center"/>
    </xf>
    <xf fontId="1673" applyFont="true" borderId="8" applyBorder="true" applyNumberFormat="true" numFmtId="167" fillId="22" applyFill="true">
      <alignment horizontal="center" vertical="center"/>
    </xf>
    <xf fontId="1674" applyFont="true" borderId="8" applyBorder="true" applyNumberFormat="true" numFmtId="1" fillId="22" applyFill="true">
      <alignment horizontal="center" vertical="center"/>
    </xf>
    <xf fontId="1675" applyFont="true" borderId="8" applyBorder="true" applyNumberFormat="true" numFmtId="1" fillId="22" applyFill="true">
      <alignment horizontal="center" vertical="center"/>
    </xf>
    <xf fontId="1676" applyFont="true" borderId="8" applyBorder="true" applyNumberFormat="true" numFmtId="1" fillId="22" applyFill="true">
      <alignment horizontal="center" vertical="center"/>
    </xf>
    <xf fontId="1677" applyFont="true" borderId="8" applyBorder="true" applyNumberFormat="true" numFmtId="1" fillId="22" applyFill="true">
      <alignment horizontal="center" vertical="center"/>
    </xf>
    <xf fontId="1678" applyFont="true" borderId="8" applyBorder="true" applyNumberFormat="true" numFmtId="167" fillId="22" applyFill="true">
      <alignment horizontal="center" vertical="center"/>
    </xf>
    <xf fontId="1679" applyFont="true" borderId="8" applyBorder="true" applyNumberFormat="true" numFmtId="1" fillId="22" applyFill="true">
      <alignment horizontal="center" vertical="center"/>
    </xf>
    <xf fontId="1680" applyFont="true" borderId="8" applyBorder="true" applyNumberFormat="true" numFmtId="167" fillId="22" applyFill="true">
      <alignment horizontal="center" vertical="center"/>
    </xf>
    <xf fontId="1681" applyFont="true" borderId="8" applyBorder="true" applyNumberFormat="true" numFmtId="1" fillId="22" applyFill="true">
      <alignment horizontal="center" vertical="center"/>
    </xf>
    <xf fontId="1682" applyFont="true" borderId="8" applyBorder="true" applyNumberFormat="true" numFmtId="167" fillId="22" applyFill="true">
      <alignment horizontal="center" vertical="center"/>
    </xf>
    <xf fontId="1683" applyFont="true" borderId="8" applyBorder="true" applyNumberFormat="true" numFmtId="2" fillId="22" applyFill="true">
      <alignment horizontal="center" vertical="center"/>
    </xf>
    <xf fontId="1684" applyFont="true" borderId="8" applyBorder="true" applyNumberFormat="true" numFmtId="2" fillId="22" applyFill="true">
      <alignment horizontal="center" vertical="center"/>
    </xf>
    <xf fontId="1685" applyFont="true" borderId="8" applyBorder="true" applyNumberFormat="true" numFmtId="2" fillId="22" applyFill="true">
      <alignment horizontal="center" vertical="center"/>
    </xf>
    <xf fontId="1686" applyFont="true" borderId="8" applyBorder="true" applyNumberFormat="true" numFmtId="2" fillId="22" applyFill="true">
      <alignment horizontal="center" vertical="center"/>
    </xf>
    <xf fontId="1687" applyFont="true" borderId="8" applyBorder="true" applyNumberFormat="true" numFmtId="2" fillId="22" applyFill="true">
      <alignment horizontal="center" vertical="center"/>
    </xf>
    <xf fontId="1688" applyFont="true" borderId="8" applyBorder="true" applyNumberFormat="true" numFmtId="2" fillId="22" applyFill="true">
      <alignment horizontal="center" vertical="center"/>
    </xf>
    <xf fontId="1689" applyFont="true" borderId="8" applyBorder="true" applyNumberFormat="true" numFmtId="2" fillId="22" applyFill="true">
      <alignment horizontal="center" vertical="center"/>
    </xf>
    <xf fontId="1690" applyFont="true" borderId="8" applyBorder="true" applyNumberFormat="true" numFmtId="2" fillId="22" applyFill="true">
      <alignment horizontal="center" vertical="center"/>
    </xf>
    <xf fontId="1691" applyFont="true" borderId="8" applyBorder="true" applyNumberFormat="true" numFmtId="2" fillId="22" applyFill="true">
      <alignment horizontal="center" vertical="center"/>
    </xf>
    <xf fontId="1692" applyFont="true" borderId="8" applyBorder="true" applyNumberFormat="true" numFmtId="2" fillId="22" applyFill="true">
      <alignment horizontal="center" vertical="center"/>
    </xf>
    <xf fontId="1693" applyFont="true" borderId="8" applyBorder="true" applyNumberFormat="true" numFmtId="2" fillId="22" applyFill="true">
      <alignment horizontal="center" vertical="center"/>
    </xf>
    <xf fontId="1694" applyFont="true" borderId="8" applyBorder="true" applyNumberFormat="true" numFmtId="2" fillId="22" applyFill="true">
      <alignment horizontal="center" vertical="center"/>
    </xf>
    <xf fontId="1695" applyFont="true" borderId="8" applyBorder="true" applyNumberFormat="true" numFmtId="2" fillId="22" applyFill="true">
      <alignment horizontal="center" vertical="center"/>
    </xf>
    <xf fontId="1696" applyFont="true" borderId="8" applyBorder="true" applyNumberFormat="true" numFmtId="2" fillId="22" applyFill="true">
      <alignment horizontal="center" vertical="center"/>
    </xf>
    <xf fontId="1697" applyFont="true" borderId="8" applyBorder="true" applyNumberFormat="true" numFmtId="2" fillId="22" applyFill="true">
      <alignment horizontal="center" vertical="center"/>
    </xf>
    <xf fontId="1698" applyFont="true" borderId="8" applyBorder="true" applyNumberFormat="true" numFmtId="2" fillId="22" applyFill="true">
      <alignment horizontal="center" vertical="center"/>
    </xf>
    <xf fontId="1699" applyFont="true" borderId="8" applyBorder="true" applyNumberFormat="true" numFmtId="2" fillId="22" applyFill="true">
      <alignment horizontal="center" vertical="center"/>
    </xf>
    <xf fontId="1700" applyFont="true" borderId="8" applyBorder="true" applyNumberFormat="true" numFmtId="2" fillId="22" applyFill="true">
      <alignment horizontal="center" vertical="center"/>
    </xf>
    <xf fontId="1701" applyFont="true" borderId="8" applyBorder="true" applyNumberFormat="true" numFmtId="2" fillId="22" applyFill="true">
      <alignment horizontal="center" vertical="center"/>
    </xf>
    <xf fontId="1702" applyFont="true" borderId="8" applyBorder="true" applyNumberFormat="true" numFmtId="2" fillId="22" applyFill="true">
      <alignment horizontal="center" vertical="center"/>
    </xf>
    <xf fontId="1703" applyFont="true" borderId="8" applyBorder="true" applyNumberFormat="true" numFmtId="2" fillId="22" applyFill="true">
      <alignment horizontal="center" vertical="center"/>
    </xf>
    <xf fontId="1704" applyFont="true" borderId="8" applyBorder="true" applyNumberFormat="true" numFmtId="2" fillId="22" applyFill="true">
      <alignment horizontal="center" vertical="center"/>
    </xf>
    <xf fontId="1705" applyFont="true" borderId="8" applyBorder="true" applyNumberFormat="true" numFmtId="2" fillId="22" applyFill="true">
      <alignment horizontal="center" vertical="center"/>
    </xf>
    <xf fontId="1706" applyFont="true" borderId="8" applyBorder="true" applyNumberFormat="true" numFmtId="2" fillId="22" applyFill="true">
      <alignment horizontal="center" vertical="center"/>
    </xf>
    <xf fontId="1707" applyFont="true" borderId="8" applyBorder="true" applyNumberFormat="true" numFmtId="2" fillId="22" applyFill="true">
      <alignment horizontal="center" vertical="center"/>
    </xf>
    <xf fontId="1708" applyFont="true" borderId="8" applyBorder="true" applyNumberFormat="true" numFmtId="2" fillId="22" applyFill="true">
      <alignment horizontal="center" vertical="center"/>
    </xf>
    <xf fontId="1709" applyFont="true" borderId="8" applyBorder="true" applyNumberFormat="true" numFmtId="2" fillId="22" applyFill="true">
      <alignment horizontal="center" vertical="center"/>
    </xf>
    <xf fontId="1710" applyFont="true" borderId="8" applyBorder="true" applyNumberFormat="true" numFmtId="2" fillId="22" applyFill="true">
      <alignment horizontal="center" vertical="center"/>
    </xf>
    <xf fontId="1711" applyFont="true" borderId="8" applyBorder="true" applyNumberFormat="true" numFmtId="2" fillId="22" applyFill="true">
      <alignment horizontal="center" vertical="center"/>
    </xf>
    <xf fontId="1712" applyFont="true" borderId="8" applyBorder="true" applyNumberFormat="true" numFmtId="2" fillId="22" applyFill="true">
      <alignment horizontal="center" vertical="center"/>
    </xf>
    <xf fontId="1713" applyFont="true" borderId="8" applyBorder="true" applyNumberFormat="true" numFmtId="2" fillId="22" applyFill="true">
      <alignment horizontal="center" vertical="center"/>
    </xf>
    <xf fontId="1714" applyFont="true" borderId="8" applyBorder="true" applyNumberFormat="true" numFmtId="2" fillId="22" applyFill="true">
      <alignment horizontal="center" vertical="center"/>
    </xf>
    <xf fontId="1715" applyFont="true" borderId="8" applyBorder="true" applyNumberFormat="true" numFmtId="2" fillId="22" applyFill="true">
      <alignment horizontal="center" vertical="center"/>
    </xf>
    <xf fontId="1716" applyFont="true" borderId="8" applyBorder="true" applyNumberFormat="true" numFmtId="2" fillId="22" applyFill="true">
      <alignment horizontal="center" vertical="center"/>
    </xf>
    <xf fontId="1717" applyFont="true" borderId="8" applyBorder="true" applyNumberFormat="true" numFmtId="165" fillId="19" applyFill="true">
      <alignment horizontal="left" vertical="center"/>
    </xf>
    <xf fontId="1718" applyFont="true" borderId="8" applyBorder="true" applyNumberFormat="true" numFmtId="165" fillId="22" applyFill="true">
      <alignment horizontal="center" vertical="center"/>
    </xf>
    <xf fontId="1719" applyFont="true" borderId="8" applyBorder="true" applyNumberFormat="true" numFmtId="166" fillId="22" applyFill="true">
      <alignment horizontal="center" vertical="center"/>
    </xf>
    <xf fontId="1720" applyFont="true" borderId="8" applyBorder="true" applyNumberFormat="true" numFmtId="1" fillId="22" applyFill="true">
      <alignment horizontal="center" vertical="center"/>
    </xf>
    <xf fontId="1721" applyFont="true" borderId="8" applyBorder="true" applyNumberFormat="true" numFmtId="1" fillId="22" applyFill="true">
      <alignment horizontal="center" vertical="center"/>
    </xf>
    <xf fontId="1722" applyFont="true" borderId="8" applyBorder="true" applyNumberFormat="true" numFmtId="1" fillId="22" applyFill="true">
      <alignment horizontal="center" vertical="center"/>
    </xf>
    <xf fontId="1723" applyFont="true" borderId="8" applyBorder="true" applyNumberFormat="true" numFmtId="1" fillId="22" applyFill="true">
      <alignment horizontal="center" vertical="center"/>
    </xf>
    <xf fontId="1724" applyFont="true" borderId="8" applyBorder="true" applyNumberFormat="true" numFmtId="1" fillId="22" applyFill="true">
      <alignment horizontal="center" vertical="center"/>
    </xf>
    <xf fontId="1725" applyFont="true" borderId="8" applyBorder="true" applyNumberFormat="true" numFmtId="1" fillId="22" applyFill="true">
      <alignment horizontal="center" vertical="center"/>
    </xf>
    <xf fontId="1726" applyFont="true" borderId="8" applyBorder="true" applyNumberFormat="true" numFmtId="1" fillId="22" applyFill="true">
      <alignment horizontal="center" vertical="center"/>
    </xf>
    <xf fontId="1727" applyFont="true" borderId="8" applyBorder="true" applyNumberFormat="true" numFmtId="165" fillId="22" applyFill="true">
      <alignment horizontal="center" vertical="center"/>
    </xf>
    <xf fontId="1728" applyFont="true" borderId="8" applyBorder="true" applyNumberFormat="true" numFmtId="165" fillId="22" applyFill="true">
      <alignment horizontal="center" vertical="center"/>
    </xf>
    <xf fontId="1729" applyFont="true" borderId="8" applyBorder="true" applyNumberFormat="true" numFmtId="1" fillId="22" applyFill="true">
      <alignment horizontal="center" vertical="center"/>
    </xf>
    <xf fontId="1730" applyFont="true" borderId="8" applyBorder="true" applyNumberFormat="true" numFmtId="1" fillId="22" applyFill="true">
      <alignment horizontal="center" vertical="center"/>
    </xf>
    <xf fontId="1731" applyFont="true" borderId="8" applyBorder="true" applyNumberFormat="true" numFmtId="1" fillId="22" applyFill="true">
      <alignment horizontal="center" vertical="center"/>
    </xf>
    <xf fontId="1732" applyFont="true" borderId="8" applyBorder="true" applyNumberFormat="true" numFmtId="167" fillId="22" applyFill="true">
      <alignment horizontal="center" vertical="center"/>
    </xf>
    <xf fontId="1733" applyFont="true" borderId="8" applyBorder="true" applyNumberFormat="true" numFmtId="1" fillId="22" applyFill="true">
      <alignment horizontal="center" vertical="center"/>
    </xf>
    <xf fontId="1734" applyFont="true" borderId="8" applyBorder="true" applyNumberFormat="true" numFmtId="167" fillId="22" applyFill="true">
      <alignment horizontal="center" vertical="center"/>
    </xf>
    <xf fontId="1735" applyFont="true" borderId="8" applyBorder="true" applyNumberFormat="true" numFmtId="1" fillId="22" applyFill="true">
      <alignment horizontal="center" vertical="center"/>
    </xf>
    <xf fontId="1736" applyFont="true" borderId="8" applyBorder="true" applyNumberFormat="true" numFmtId="167" fillId="22" applyFill="true">
      <alignment horizontal="center" vertical="center"/>
    </xf>
    <xf fontId="1737" applyFont="true" borderId="8" applyBorder="true" applyNumberFormat="true" numFmtId="1" fillId="22" applyFill="true">
      <alignment horizontal="center" vertical="center"/>
    </xf>
    <xf fontId="1738" applyFont="true" borderId="8" applyBorder="true" applyNumberFormat="true" numFmtId="167" fillId="22" applyFill="true">
      <alignment horizontal="center" vertical="center"/>
    </xf>
    <xf fontId="1739" applyFont="true" borderId="8" applyBorder="true" applyNumberFormat="true" numFmtId="167" fillId="22" applyFill="true">
      <alignment horizontal="center" vertical="center"/>
    </xf>
    <xf fontId="1740" applyFont="true" borderId="8" applyBorder="true" applyNumberFormat="true" numFmtId="1" fillId="22" applyFill="true">
      <alignment horizontal="center" vertical="center"/>
    </xf>
    <xf fontId="1741" applyFont="true" borderId="8" applyBorder="true" applyNumberFormat="true" numFmtId="1" fillId="22" applyFill="true">
      <alignment horizontal="center" vertical="center"/>
    </xf>
    <xf fontId="1742" applyFont="true" borderId="8" applyBorder="true" applyNumberFormat="true" numFmtId="1" fillId="22" applyFill="true">
      <alignment horizontal="center" vertical="center"/>
    </xf>
    <xf fontId="1743" applyFont="true" borderId="8" applyBorder="true" applyNumberFormat="true" numFmtId="167" fillId="22" applyFill="true">
      <alignment horizontal="center" vertical="center"/>
    </xf>
    <xf fontId="1744" applyFont="true" borderId="8" applyBorder="true" applyNumberFormat="true" numFmtId="166" fillId="22" applyFill="true">
      <alignment horizontal="center" vertical="center"/>
    </xf>
    <xf fontId="1745" applyFont="true" borderId="8" applyBorder="true" applyNumberFormat="true" numFmtId="166" fillId="22" applyFill="true">
      <alignment horizontal="center" vertical="center"/>
    </xf>
    <xf fontId="1746" applyFont="true" borderId="8" applyBorder="true" applyNumberFormat="true" numFmtId="1" fillId="22" applyFill="true">
      <alignment horizontal="center" vertical="center"/>
    </xf>
    <xf fontId="1747" applyFont="true" borderId="8" applyBorder="true" applyNumberFormat="true" numFmtId="1" fillId="22" applyFill="true">
      <alignment horizontal="center" vertical="center"/>
    </xf>
    <xf fontId="1748" applyFont="true" borderId="8" applyBorder="true" applyNumberFormat="true" numFmtId="1" fillId="22" applyFill="true">
      <alignment horizontal="center" vertical="center"/>
    </xf>
    <xf fontId="1749" applyFont="true" borderId="8" applyBorder="true" applyNumberFormat="true" numFmtId="167" fillId="22" applyFill="true">
      <alignment horizontal="center" vertical="center"/>
    </xf>
    <xf fontId="1750" applyFont="true" borderId="8" applyBorder="true" applyNumberFormat="true" numFmtId="1" fillId="22" applyFill="true">
      <alignment horizontal="center" vertical="center"/>
    </xf>
    <xf fontId="1751" applyFont="true" borderId="8" applyBorder="true" applyNumberFormat="true" numFmtId="167" fillId="22" applyFill="true">
      <alignment horizontal="center" vertical="center"/>
    </xf>
    <xf fontId="1752" applyFont="true" borderId="8" applyBorder="true" applyNumberFormat="true" numFmtId="1" fillId="22" applyFill="true">
      <alignment horizontal="center" vertical="center"/>
    </xf>
    <xf fontId="1753" applyFont="true" borderId="8" applyBorder="true" applyNumberFormat="true" numFmtId="1" fillId="22" applyFill="true">
      <alignment horizontal="center" vertical="center"/>
    </xf>
    <xf fontId="1754" applyFont="true" borderId="8" applyBorder="true" applyNumberFormat="true" numFmtId="1" fillId="22" applyFill="true">
      <alignment horizontal="center" vertical="center"/>
    </xf>
    <xf fontId="1755" applyFont="true" borderId="8" applyBorder="true" applyNumberFormat="true" numFmtId="1" fillId="22" applyFill="true">
      <alignment horizontal="center" vertical="center"/>
    </xf>
    <xf fontId="1756" applyFont="true" borderId="8" applyBorder="true" applyNumberFormat="true" numFmtId="167" fillId="22" applyFill="true">
      <alignment horizontal="center" vertical="center"/>
    </xf>
    <xf fontId="1757" applyFont="true" borderId="8" applyBorder="true" applyNumberFormat="true" numFmtId="1" fillId="22" applyFill="true">
      <alignment horizontal="center" vertical="center"/>
    </xf>
    <xf fontId="1758" applyFont="true" borderId="8" applyBorder="true" applyNumberFormat="true" numFmtId="167" fillId="22" applyFill="true">
      <alignment horizontal="center" vertical="center"/>
    </xf>
    <xf fontId="1759" applyFont="true" borderId="8" applyBorder="true" applyNumberFormat="true" numFmtId="1" fillId="22" applyFill="true">
      <alignment horizontal="center" vertical="center"/>
    </xf>
    <xf fontId="1760" applyFont="true" borderId="8" applyBorder="true" applyNumberFormat="true" numFmtId="167" fillId="22" applyFill="true">
      <alignment horizontal="center" vertical="center"/>
    </xf>
    <xf fontId="1761" applyFont="true" borderId="8" applyBorder="true" applyNumberFormat="true" numFmtId="2" fillId="22" applyFill="true">
      <alignment horizontal="center" vertical="center"/>
    </xf>
    <xf fontId="1762" applyFont="true" borderId="8" applyBorder="true" applyNumberFormat="true" numFmtId="2" fillId="22" applyFill="true">
      <alignment horizontal="center" vertical="center"/>
    </xf>
    <xf fontId="1763" applyFont="true" borderId="8" applyBorder="true" applyNumberFormat="true" numFmtId="2" fillId="22" applyFill="true">
      <alignment horizontal="center" vertical="center"/>
    </xf>
    <xf fontId="1764" applyFont="true" borderId="8" applyBorder="true" applyNumberFormat="true" numFmtId="2" fillId="22" applyFill="true">
      <alignment horizontal="center" vertical="center"/>
    </xf>
    <xf fontId="1765" applyFont="true" borderId="8" applyBorder="true" applyNumberFormat="true" numFmtId="2" fillId="22" applyFill="true">
      <alignment horizontal="center" vertical="center"/>
    </xf>
    <xf fontId="1766" applyFont="true" borderId="8" applyBorder="true" applyNumberFormat="true" numFmtId="2" fillId="22" applyFill="true">
      <alignment horizontal="center" vertical="center"/>
    </xf>
    <xf fontId="1767" applyFont="true" borderId="8" applyBorder="true" applyNumberFormat="true" numFmtId="2" fillId="22" applyFill="true">
      <alignment horizontal="center" vertical="center"/>
    </xf>
    <xf fontId="1768" applyFont="true" borderId="8" applyBorder="true" applyNumberFormat="true" numFmtId="2" fillId="22" applyFill="true">
      <alignment horizontal="center" vertical="center"/>
    </xf>
    <xf fontId="1769" applyFont="true" borderId="8" applyBorder="true" applyNumberFormat="true" numFmtId="2" fillId="22" applyFill="true">
      <alignment horizontal="center" vertical="center"/>
    </xf>
    <xf fontId="1770" applyFont="true" borderId="8" applyBorder="true" applyNumberFormat="true" numFmtId="2" fillId="22" applyFill="true">
      <alignment horizontal="center" vertical="center"/>
    </xf>
    <xf fontId="1771" applyFont="true" borderId="8" applyBorder="true" applyNumberFormat="true" numFmtId="2" fillId="22" applyFill="true">
      <alignment horizontal="center" vertical="center"/>
    </xf>
    <xf fontId="1772" applyFont="true" borderId="8" applyBorder="true" applyNumberFormat="true" numFmtId="2" fillId="22" applyFill="true">
      <alignment horizontal="center" vertical="center"/>
    </xf>
    <xf fontId="1773" applyFont="true" borderId="8" applyBorder="true" applyNumberFormat="true" numFmtId="2" fillId="22" applyFill="true">
      <alignment horizontal="center" vertical="center"/>
    </xf>
    <xf fontId="1774" applyFont="true" borderId="8" applyBorder="true" applyNumberFormat="true" numFmtId="2" fillId="22" applyFill="true">
      <alignment horizontal="center" vertical="center"/>
    </xf>
    <xf fontId="1775" applyFont="true" borderId="8" applyBorder="true" applyNumberFormat="true" numFmtId="2" fillId="22" applyFill="true">
      <alignment horizontal="center" vertical="center"/>
    </xf>
    <xf fontId="1776" applyFont="true" borderId="8" applyBorder="true" applyNumberFormat="true" numFmtId="2" fillId="22" applyFill="true">
      <alignment horizontal="center" vertical="center"/>
    </xf>
    <xf fontId="1777" applyFont="true" borderId="8" applyBorder="true" applyNumberFormat="true" numFmtId="2" fillId="22" applyFill="true">
      <alignment horizontal="center" vertical="center"/>
    </xf>
    <xf fontId="1778" applyFont="true" borderId="8" applyBorder="true" applyNumberFormat="true" numFmtId="2" fillId="22" applyFill="true">
      <alignment horizontal="center" vertical="center"/>
    </xf>
    <xf fontId="1779" applyFont="true" borderId="8" applyBorder="true" applyNumberFormat="true" numFmtId="2" fillId="22" applyFill="true">
      <alignment horizontal="center" vertical="center"/>
    </xf>
    <xf fontId="1780" applyFont="true" borderId="8" applyBorder="true" applyNumberFormat="true" numFmtId="2" fillId="22" applyFill="true">
      <alignment horizontal="center" vertical="center"/>
    </xf>
    <xf fontId="1781" applyFont="true" borderId="8" applyBorder="true" applyNumberFormat="true" numFmtId="2" fillId="22" applyFill="true">
      <alignment horizontal="center" vertical="center"/>
    </xf>
    <xf fontId="1782" applyFont="true" borderId="8" applyBorder="true" applyNumberFormat="true" numFmtId="2" fillId="22" applyFill="true">
      <alignment horizontal="center" vertical="center"/>
    </xf>
    <xf fontId="1783" applyFont="true" borderId="8" applyBorder="true" applyNumberFormat="true" numFmtId="2" fillId="22" applyFill="true">
      <alignment horizontal="center" vertical="center"/>
    </xf>
    <xf fontId="1784" applyFont="true" borderId="8" applyBorder="true" applyNumberFormat="true" numFmtId="2" fillId="22" applyFill="true">
      <alignment horizontal="center" vertical="center"/>
    </xf>
    <xf fontId="1785" applyFont="true" borderId="8" applyBorder="true" applyNumberFormat="true" numFmtId="2" fillId="22" applyFill="true">
      <alignment horizontal="center" vertical="center"/>
    </xf>
    <xf fontId="1786" applyFont="true" borderId="8" applyBorder="true" applyNumberFormat="true" numFmtId="2" fillId="22" applyFill="true">
      <alignment horizontal="center" vertical="center"/>
    </xf>
    <xf fontId="1787" applyFont="true" borderId="8" applyBorder="true" applyNumberFormat="true" numFmtId="2" fillId="22" applyFill="true">
      <alignment horizontal="center" vertical="center"/>
    </xf>
    <xf fontId="1788" applyFont="true" borderId="8" applyBorder="true" applyNumberFormat="true" numFmtId="2" fillId="22" applyFill="true">
      <alignment horizontal="center" vertical="center"/>
    </xf>
    <xf fontId="1789" applyFont="true" borderId="8" applyBorder="true" applyNumberFormat="true" numFmtId="2" fillId="22" applyFill="true">
      <alignment horizontal="center" vertical="center"/>
    </xf>
    <xf fontId="1790" applyFont="true" borderId="8" applyBorder="true" applyNumberFormat="true" numFmtId="2" fillId="22" applyFill="true">
      <alignment horizontal="center" vertical="center"/>
    </xf>
    <xf fontId="1791" applyFont="true" borderId="8" applyBorder="true" applyNumberFormat="true" numFmtId="2" fillId="22" applyFill="true">
      <alignment horizontal="center" vertical="center"/>
    </xf>
    <xf fontId="1792" applyFont="true" borderId="8" applyBorder="true" applyNumberFormat="true" numFmtId="2" fillId="22" applyFill="true">
      <alignment horizontal="center" vertical="center"/>
    </xf>
    <xf fontId="1793" applyFont="true" borderId="8" applyBorder="true" applyNumberFormat="true" numFmtId="2" fillId="22" applyFill="true">
      <alignment horizontal="center" vertical="center"/>
    </xf>
    <xf fontId="1794" applyFont="true" borderId="8" applyBorder="true" applyNumberFormat="true" numFmtId="2" fillId="22" applyFill="true">
      <alignment horizontal="center" vertical="center"/>
    </xf>
    <xf fontId="1795" applyFont="true" borderId="8" applyBorder="true" applyNumberFormat="true" numFmtId="165" fillId="19" applyFill="true">
      <alignment horizontal="left" vertical="center"/>
    </xf>
    <xf fontId="1796" applyFont="true" borderId="8" applyBorder="true" applyNumberFormat="true" numFmtId="165" fillId="22" applyFill="true">
      <alignment horizontal="center" vertical="center"/>
    </xf>
    <xf fontId="1797" applyFont="true" borderId="8" applyBorder="true" applyNumberFormat="true" numFmtId="166" fillId="22" applyFill="true">
      <alignment horizontal="center" vertical="center"/>
    </xf>
    <xf fontId="1798" applyFont="true" borderId="8" applyBorder="true" applyNumberFormat="true" numFmtId="1" fillId="22" applyFill="true">
      <alignment horizontal="center" vertical="center"/>
    </xf>
    <xf fontId="1799" applyFont="true" borderId="8" applyBorder="true" applyNumberFormat="true" numFmtId="1" fillId="22" applyFill="true">
      <alignment horizontal="center" vertical="center"/>
    </xf>
    <xf fontId="1800" applyFont="true" borderId="8" applyBorder="true" applyNumberFormat="true" numFmtId="1" fillId="22" applyFill="true">
      <alignment horizontal="center" vertical="center"/>
    </xf>
    <xf fontId="1801" applyFont="true" borderId="8" applyBorder="true" applyNumberFormat="true" numFmtId="1" fillId="22" applyFill="true">
      <alignment horizontal="center" vertical="center"/>
    </xf>
    <xf fontId="1802" applyFont="true" borderId="8" applyBorder="true" applyNumberFormat="true" numFmtId="1" fillId="22" applyFill="true">
      <alignment horizontal="center" vertical="center"/>
    </xf>
    <xf fontId="1803" applyFont="true" borderId="8" applyBorder="true" applyNumberFormat="true" numFmtId="1" fillId="22" applyFill="true">
      <alignment horizontal="center" vertical="center"/>
    </xf>
    <xf fontId="1804" applyFont="true" borderId="8" applyBorder="true" applyNumberFormat="true" numFmtId="1" fillId="22" applyFill="true">
      <alignment horizontal="center" vertical="center"/>
    </xf>
    <xf fontId="1805" applyFont="true" borderId="8" applyBorder="true" applyNumberFormat="true" numFmtId="165" fillId="22" applyFill="true">
      <alignment horizontal="center" vertical="center"/>
    </xf>
    <xf fontId="1806" applyFont="true" borderId="8" applyBorder="true" applyNumberFormat="true" numFmtId="165" fillId="22" applyFill="true">
      <alignment horizontal="center" vertical="center"/>
    </xf>
    <xf fontId="1807" applyFont="true" borderId="8" applyBorder="true" applyNumberFormat="true" numFmtId="1" fillId="22" applyFill="true">
      <alignment horizontal="center" vertical="center"/>
    </xf>
    <xf fontId="1808" applyFont="true" borderId="8" applyBorder="true" applyNumberFormat="true" numFmtId="1" fillId="22" applyFill="true">
      <alignment horizontal="center" vertical="center"/>
    </xf>
    <xf fontId="1809" applyFont="true" borderId="8" applyBorder="true" applyNumberFormat="true" numFmtId="1" fillId="22" applyFill="true">
      <alignment horizontal="center" vertical="center"/>
    </xf>
    <xf fontId="1810" applyFont="true" borderId="8" applyBorder="true" applyNumberFormat="true" numFmtId="167" fillId="22" applyFill="true">
      <alignment horizontal="center" vertical="center"/>
    </xf>
    <xf fontId="1811" applyFont="true" borderId="8" applyBorder="true" applyNumberFormat="true" numFmtId="1" fillId="22" applyFill="true">
      <alignment horizontal="center" vertical="center"/>
    </xf>
    <xf fontId="1812" applyFont="true" borderId="8" applyBorder="true" applyNumberFormat="true" numFmtId="167" fillId="22" applyFill="true">
      <alignment horizontal="center" vertical="center"/>
    </xf>
    <xf fontId="1813" applyFont="true" borderId="8" applyBorder="true" applyNumberFormat="true" numFmtId="1" fillId="22" applyFill="true">
      <alignment horizontal="center" vertical="center"/>
    </xf>
    <xf fontId="1814" applyFont="true" borderId="8" applyBorder="true" applyNumberFormat="true" numFmtId="167" fillId="22" applyFill="true">
      <alignment horizontal="center" vertical="center"/>
    </xf>
    <xf fontId="1815" applyFont="true" borderId="8" applyBorder="true" applyNumberFormat="true" numFmtId="1" fillId="22" applyFill="true">
      <alignment horizontal="center" vertical="center"/>
    </xf>
    <xf fontId="1816" applyFont="true" borderId="8" applyBorder="true" applyNumberFormat="true" numFmtId="167" fillId="22" applyFill="true">
      <alignment horizontal="center" vertical="center"/>
    </xf>
    <xf fontId="1817" applyFont="true" borderId="8" applyBorder="true" applyNumberFormat="true" numFmtId="167" fillId="22" applyFill="true">
      <alignment horizontal="center" vertical="center"/>
    </xf>
    <xf fontId="1818" applyFont="true" borderId="8" applyBorder="true" applyNumberFormat="true" numFmtId="1" fillId="22" applyFill="true">
      <alignment horizontal="center" vertical="center"/>
    </xf>
    <xf fontId="1819" applyFont="true" borderId="8" applyBorder="true" applyNumberFormat="true" numFmtId="1" fillId="22" applyFill="true">
      <alignment horizontal="center" vertical="center"/>
    </xf>
    <xf fontId="1820" applyFont="true" borderId="8" applyBorder="true" applyNumberFormat="true" numFmtId="1" fillId="22" applyFill="true">
      <alignment horizontal="center" vertical="center"/>
    </xf>
    <xf fontId="1821" applyFont="true" borderId="8" applyBorder="true" applyNumberFormat="true" numFmtId="167" fillId="22" applyFill="true">
      <alignment horizontal="center" vertical="center"/>
    </xf>
    <xf fontId="1822" applyFont="true" borderId="8" applyBorder="true" applyNumberFormat="true" numFmtId="166" fillId="22" applyFill="true">
      <alignment horizontal="center" vertical="center"/>
    </xf>
    <xf fontId="1823" applyFont="true" borderId="8" applyBorder="true" applyNumberFormat="true" numFmtId="166" fillId="22" applyFill="true">
      <alignment horizontal="center" vertical="center"/>
    </xf>
    <xf fontId="1824" applyFont="true" borderId="8" applyBorder="true" applyNumberFormat="true" numFmtId="1" fillId="22" applyFill="true">
      <alignment horizontal="center" vertical="center"/>
    </xf>
    <xf fontId="1825" applyFont="true" borderId="8" applyBorder="true" applyNumberFormat="true" numFmtId="1" fillId="22" applyFill="true">
      <alignment horizontal="center" vertical="center"/>
    </xf>
    <xf fontId="1826" applyFont="true" borderId="8" applyBorder="true" applyNumberFormat="true" numFmtId="1" fillId="22" applyFill="true">
      <alignment horizontal="center" vertical="center"/>
    </xf>
    <xf fontId="1827" applyFont="true" borderId="8" applyBorder="true" applyNumberFormat="true" numFmtId="167" fillId="22" applyFill="true">
      <alignment horizontal="center" vertical="center"/>
    </xf>
    <xf fontId="1828" applyFont="true" borderId="8" applyBorder="true" applyNumberFormat="true" numFmtId="1" fillId="22" applyFill="true">
      <alignment horizontal="center" vertical="center"/>
    </xf>
    <xf fontId="1829" applyFont="true" borderId="8" applyBorder="true" applyNumberFormat="true" numFmtId="167" fillId="22" applyFill="true">
      <alignment horizontal="center" vertical="center"/>
    </xf>
    <xf fontId="1830" applyFont="true" borderId="8" applyBorder="true" applyNumberFormat="true" numFmtId="1" fillId="22" applyFill="true">
      <alignment horizontal="center" vertical="center"/>
    </xf>
    <xf fontId="1831" applyFont="true" borderId="8" applyBorder="true" applyNumberFormat="true" numFmtId="1" fillId="22" applyFill="true">
      <alignment horizontal="center" vertical="center"/>
    </xf>
    <xf fontId="1832" applyFont="true" borderId="8" applyBorder="true" applyNumberFormat="true" numFmtId="1" fillId="22" applyFill="true">
      <alignment horizontal="center" vertical="center"/>
    </xf>
    <xf fontId="1833" applyFont="true" borderId="8" applyBorder="true" applyNumberFormat="true" numFmtId="1" fillId="22" applyFill="true">
      <alignment horizontal="center" vertical="center"/>
    </xf>
    <xf fontId="1834" applyFont="true" borderId="8" applyBorder="true" applyNumberFormat="true" numFmtId="167" fillId="22" applyFill="true">
      <alignment horizontal="center" vertical="center"/>
    </xf>
    <xf fontId="1835" applyFont="true" borderId="8" applyBorder="true" applyNumberFormat="true" numFmtId="1" fillId="22" applyFill="true">
      <alignment horizontal="center" vertical="center"/>
    </xf>
    <xf fontId="1836" applyFont="true" borderId="8" applyBorder="true" applyNumberFormat="true" numFmtId="167" fillId="22" applyFill="true">
      <alignment horizontal="center" vertical="center"/>
    </xf>
    <xf fontId="1837" applyFont="true" borderId="8" applyBorder="true" applyNumberFormat="true" numFmtId="1" fillId="22" applyFill="true">
      <alignment horizontal="center" vertical="center"/>
    </xf>
    <xf fontId="1838" applyFont="true" borderId="8" applyBorder="true" applyNumberFormat="true" numFmtId="167" fillId="22" applyFill="true">
      <alignment horizontal="center" vertical="center"/>
    </xf>
    <xf fontId="1839" applyFont="true" borderId="8" applyBorder="true" applyNumberFormat="true" numFmtId="2" fillId="22" applyFill="true">
      <alignment horizontal="center" vertical="center"/>
    </xf>
    <xf fontId="1840" applyFont="true" borderId="8" applyBorder="true" applyNumberFormat="true" numFmtId="2" fillId="22" applyFill="true">
      <alignment horizontal="center" vertical="center"/>
    </xf>
    <xf fontId="1841" applyFont="true" borderId="8" applyBorder="true" applyNumberFormat="true" numFmtId="2" fillId="22" applyFill="true">
      <alignment horizontal="center" vertical="center"/>
    </xf>
    <xf fontId="1842" applyFont="true" borderId="8" applyBorder="true" applyNumberFormat="true" numFmtId="2" fillId="22" applyFill="true">
      <alignment horizontal="center" vertical="center"/>
    </xf>
    <xf fontId="1843" applyFont="true" borderId="8" applyBorder="true" applyNumberFormat="true" numFmtId="2" fillId="22" applyFill="true">
      <alignment horizontal="center" vertical="center"/>
    </xf>
    <xf fontId="1844" applyFont="true" borderId="8" applyBorder="true" applyNumberFormat="true" numFmtId="2" fillId="22" applyFill="true">
      <alignment horizontal="center" vertical="center"/>
    </xf>
    <xf fontId="1845" applyFont="true" borderId="8" applyBorder="true" applyNumberFormat="true" numFmtId="2" fillId="22" applyFill="true">
      <alignment horizontal="center" vertical="center"/>
    </xf>
    <xf fontId="1846" applyFont="true" borderId="8" applyBorder="true" applyNumberFormat="true" numFmtId="2" fillId="22" applyFill="true">
      <alignment horizontal="center" vertical="center"/>
    </xf>
    <xf fontId="1847" applyFont="true" borderId="8" applyBorder="true" applyNumberFormat="true" numFmtId="2" fillId="22" applyFill="true">
      <alignment horizontal="center" vertical="center"/>
    </xf>
    <xf fontId="1848" applyFont="true" borderId="8" applyBorder="true" applyNumberFormat="true" numFmtId="2" fillId="22" applyFill="true">
      <alignment horizontal="center" vertical="center"/>
    </xf>
    <xf fontId="1849" applyFont="true" borderId="8" applyBorder="true" applyNumberFormat="true" numFmtId="2" fillId="22" applyFill="true">
      <alignment horizontal="center" vertical="center"/>
    </xf>
    <xf fontId="1850" applyFont="true" borderId="8" applyBorder="true" applyNumberFormat="true" numFmtId="2" fillId="22" applyFill="true">
      <alignment horizontal="center" vertical="center"/>
    </xf>
    <xf fontId="1851" applyFont="true" borderId="8" applyBorder="true" applyNumberFormat="true" numFmtId="2" fillId="22" applyFill="true">
      <alignment horizontal="center" vertical="center"/>
    </xf>
    <xf fontId="1852" applyFont="true" borderId="8" applyBorder="true" applyNumberFormat="true" numFmtId="2" fillId="22" applyFill="true">
      <alignment horizontal="center" vertical="center"/>
    </xf>
    <xf fontId="1853" applyFont="true" borderId="8" applyBorder="true" applyNumberFormat="true" numFmtId="2" fillId="22" applyFill="true">
      <alignment horizontal="center" vertical="center"/>
    </xf>
    <xf fontId="1854" applyFont="true" borderId="8" applyBorder="true" applyNumberFormat="true" numFmtId="2" fillId="22" applyFill="true">
      <alignment horizontal="center" vertical="center"/>
    </xf>
    <xf fontId="1855" applyFont="true" borderId="8" applyBorder="true" applyNumberFormat="true" numFmtId="2" fillId="22" applyFill="true">
      <alignment horizontal="center" vertical="center"/>
    </xf>
    <xf fontId="1856" applyFont="true" borderId="8" applyBorder="true" applyNumberFormat="true" numFmtId="2" fillId="22" applyFill="true">
      <alignment horizontal="center" vertical="center"/>
    </xf>
    <xf fontId="1857" applyFont="true" borderId="8" applyBorder="true" applyNumberFormat="true" numFmtId="2" fillId="22" applyFill="true">
      <alignment horizontal="center" vertical="center"/>
    </xf>
    <xf fontId="1858" applyFont="true" borderId="8" applyBorder="true" applyNumberFormat="true" numFmtId="2" fillId="22" applyFill="true">
      <alignment horizontal="center" vertical="center"/>
    </xf>
    <xf fontId="1859" applyFont="true" borderId="8" applyBorder="true" applyNumberFormat="true" numFmtId="2" fillId="22" applyFill="true">
      <alignment horizontal="center" vertical="center"/>
    </xf>
    <xf fontId="1860" applyFont="true" borderId="8" applyBorder="true" applyNumberFormat="true" numFmtId="2" fillId="22" applyFill="true">
      <alignment horizontal="center" vertical="center"/>
    </xf>
    <xf fontId="1861" applyFont="true" borderId="8" applyBorder="true" applyNumberFormat="true" numFmtId="2" fillId="22" applyFill="true">
      <alignment horizontal="center" vertical="center"/>
    </xf>
    <xf fontId="1862" applyFont="true" borderId="8" applyBorder="true" applyNumberFormat="true" numFmtId="2" fillId="22" applyFill="true">
      <alignment horizontal="center" vertical="center"/>
    </xf>
    <xf fontId="1863" applyFont="true" borderId="8" applyBorder="true" applyNumberFormat="true" numFmtId="2" fillId="22" applyFill="true">
      <alignment horizontal="center" vertical="center"/>
    </xf>
    <xf fontId="1864" applyFont="true" borderId="8" applyBorder="true" applyNumberFormat="true" numFmtId="2" fillId="22" applyFill="true">
      <alignment horizontal="center" vertical="center"/>
    </xf>
    <xf fontId="1865" applyFont="true" borderId="8" applyBorder="true" applyNumberFormat="true" numFmtId="2" fillId="22" applyFill="true">
      <alignment horizontal="center" vertical="center"/>
    </xf>
    <xf fontId="1866" applyFont="true" borderId="8" applyBorder="true" applyNumberFormat="true" numFmtId="2" fillId="22" applyFill="true">
      <alignment horizontal="center" vertical="center"/>
    </xf>
    <xf fontId="1867" applyFont="true" borderId="8" applyBorder="true" applyNumberFormat="true" numFmtId="2" fillId="22" applyFill="true">
      <alignment horizontal="center" vertical="center"/>
    </xf>
    <xf fontId="1868" applyFont="true" borderId="8" applyBorder="true" applyNumberFormat="true" numFmtId="2" fillId="22" applyFill="true">
      <alignment horizontal="center" vertical="center"/>
    </xf>
    <xf fontId="1869" applyFont="true" borderId="8" applyBorder="true" applyNumberFormat="true" numFmtId="2" fillId="22" applyFill="true">
      <alignment horizontal="center" vertical="center"/>
    </xf>
    <xf fontId="1870" applyFont="true" borderId="8" applyBorder="true" applyNumberFormat="true" numFmtId="2" fillId="22" applyFill="true">
      <alignment horizontal="center" vertical="center"/>
    </xf>
    <xf fontId="1871" applyFont="true" borderId="8" applyBorder="true" applyNumberFormat="true" numFmtId="2" fillId="22" applyFill="true">
      <alignment horizontal="center" vertical="center"/>
    </xf>
    <xf fontId="1872" applyFont="true" borderId="8" applyBorder="true" applyNumberFormat="true" numFmtId="2" fillId="22" applyFill="true">
      <alignment horizontal="center" vertical="center"/>
    </xf>
    <xf fontId="1873" applyFont="true" borderId="8" applyBorder="true" applyNumberFormat="true" numFmtId="165" fillId="19" applyFill="true">
      <alignment horizontal="left" vertical="center"/>
    </xf>
    <xf fontId="1874" applyFont="true" borderId="8" applyBorder="true" applyNumberFormat="true" numFmtId="165" fillId="22" applyFill="true">
      <alignment horizontal="center" vertical="center"/>
    </xf>
    <xf fontId="1875" applyFont="true" borderId="8" applyBorder="true" applyNumberFormat="true" numFmtId="166" fillId="22" applyFill="true">
      <alignment horizontal="center" vertical="center"/>
    </xf>
    <xf fontId="1876" applyFont="true" borderId="8" applyBorder="true" applyNumberFormat="true" numFmtId="1" fillId="22" applyFill="true">
      <alignment horizontal="center" vertical="center"/>
    </xf>
    <xf fontId="1877" applyFont="true" borderId="8" applyBorder="true" applyNumberFormat="true" numFmtId="1" fillId="22" applyFill="true">
      <alignment horizontal="center" vertical="center"/>
    </xf>
    <xf fontId="1878" applyFont="true" borderId="8" applyBorder="true" applyNumberFormat="true" numFmtId="1" fillId="22" applyFill="true">
      <alignment horizontal="center" vertical="center"/>
    </xf>
    <xf fontId="1879" applyFont="true" borderId="8" applyBorder="true" applyNumberFormat="true" numFmtId="1" fillId="22" applyFill="true">
      <alignment horizontal="center" vertical="center"/>
    </xf>
    <xf fontId="1880" applyFont="true" borderId="8" applyBorder="true" applyNumberFormat="true" numFmtId="1" fillId="22" applyFill="true">
      <alignment horizontal="center" vertical="center"/>
    </xf>
    <xf fontId="1881" applyFont="true" borderId="8" applyBorder="true" applyNumberFormat="true" numFmtId="1" fillId="22" applyFill="true">
      <alignment horizontal="center" vertical="center"/>
    </xf>
    <xf fontId="1882" applyFont="true" borderId="8" applyBorder="true" applyNumberFormat="true" numFmtId="1" fillId="22" applyFill="true">
      <alignment horizontal="center" vertical="center"/>
    </xf>
    <xf fontId="1883" applyFont="true" borderId="8" applyBorder="true" applyNumberFormat="true" numFmtId="165" fillId="22" applyFill="true">
      <alignment horizontal="center" vertical="center"/>
    </xf>
    <xf fontId="1884" applyFont="true" borderId="8" applyBorder="true" applyNumberFormat="true" numFmtId="165" fillId="22" applyFill="true">
      <alignment horizontal="center" vertical="center"/>
    </xf>
    <xf fontId="1885" applyFont="true" borderId="8" applyBorder="true" applyNumberFormat="true" numFmtId="1" fillId="22" applyFill="true">
      <alignment horizontal="center" vertical="center"/>
    </xf>
    <xf fontId="1886" applyFont="true" borderId="8" applyBorder="true" applyNumberFormat="true" numFmtId="1" fillId="22" applyFill="true">
      <alignment horizontal="center" vertical="center"/>
    </xf>
    <xf fontId="1887" applyFont="true" borderId="8" applyBorder="true" applyNumberFormat="true" numFmtId="1" fillId="22" applyFill="true">
      <alignment horizontal="center" vertical="center"/>
    </xf>
    <xf fontId="1888" applyFont="true" borderId="8" applyBorder="true" applyNumberFormat="true" numFmtId="167" fillId="22" applyFill="true">
      <alignment horizontal="center" vertical="center"/>
    </xf>
    <xf fontId="1889" applyFont="true" borderId="8" applyBorder="true" applyNumberFormat="true" numFmtId="1" fillId="22" applyFill="true">
      <alignment horizontal="center" vertical="center"/>
    </xf>
    <xf fontId="1890" applyFont="true" borderId="8" applyBorder="true" applyNumberFormat="true" numFmtId="167" fillId="22" applyFill="true">
      <alignment horizontal="center" vertical="center"/>
    </xf>
    <xf fontId="1891" applyFont="true" borderId="8" applyBorder="true" applyNumberFormat="true" numFmtId="1" fillId="22" applyFill="true">
      <alignment horizontal="center" vertical="center"/>
    </xf>
    <xf fontId="1892" applyFont="true" borderId="8" applyBorder="true" applyNumberFormat="true" numFmtId="167" fillId="22" applyFill="true">
      <alignment horizontal="center" vertical="center"/>
    </xf>
    <xf fontId="1893" applyFont="true" borderId="8" applyBorder="true" applyNumberFormat="true" numFmtId="1" fillId="22" applyFill="true">
      <alignment horizontal="center" vertical="center"/>
    </xf>
    <xf fontId="1894" applyFont="true" borderId="8" applyBorder="true" applyNumberFormat="true" numFmtId="167" fillId="22" applyFill="true">
      <alignment horizontal="center" vertical="center"/>
    </xf>
    <xf fontId="1895" applyFont="true" borderId="8" applyBorder="true" applyNumberFormat="true" numFmtId="167" fillId="22" applyFill="true">
      <alignment horizontal="center" vertical="center"/>
    </xf>
    <xf fontId="1896" applyFont="true" borderId="8" applyBorder="true" applyNumberFormat="true" numFmtId="1" fillId="22" applyFill="true">
      <alignment horizontal="center" vertical="center"/>
    </xf>
    <xf fontId="1897" applyFont="true" borderId="8" applyBorder="true" applyNumberFormat="true" numFmtId="1" fillId="22" applyFill="true">
      <alignment horizontal="center" vertical="center"/>
    </xf>
    <xf fontId="1898" applyFont="true" borderId="8" applyBorder="true" applyNumberFormat="true" numFmtId="1" fillId="22" applyFill="true">
      <alignment horizontal="center" vertical="center"/>
    </xf>
    <xf fontId="1899" applyFont="true" borderId="8" applyBorder="true" applyNumberFormat="true" numFmtId="167" fillId="22" applyFill="true">
      <alignment horizontal="center" vertical="center"/>
    </xf>
    <xf fontId="1900" applyFont="true" borderId="8" applyBorder="true" applyNumberFormat="true" numFmtId="166" fillId="22" applyFill="true">
      <alignment horizontal="center" vertical="center"/>
    </xf>
    <xf fontId="1901" applyFont="true" borderId="8" applyBorder="true" applyNumberFormat="true" numFmtId="166" fillId="22" applyFill="true">
      <alignment horizontal="center" vertical="center"/>
    </xf>
    <xf fontId="1902" applyFont="true" borderId="8" applyBorder="true" applyNumberFormat="true" numFmtId="1" fillId="22" applyFill="true">
      <alignment horizontal="center" vertical="center"/>
    </xf>
    <xf fontId="1903" applyFont="true" borderId="8" applyBorder="true" applyNumberFormat="true" numFmtId="1" fillId="22" applyFill="true">
      <alignment horizontal="center" vertical="center"/>
    </xf>
    <xf fontId="1904" applyFont="true" borderId="8" applyBorder="true" applyNumberFormat="true" numFmtId="1" fillId="22" applyFill="true">
      <alignment horizontal="center" vertical="center"/>
    </xf>
    <xf fontId="1905" applyFont="true" borderId="8" applyBorder="true" applyNumberFormat="true" numFmtId="167" fillId="22" applyFill="true">
      <alignment horizontal="center" vertical="center"/>
    </xf>
    <xf fontId="1906" applyFont="true" borderId="8" applyBorder="true" applyNumberFormat="true" numFmtId="1" fillId="22" applyFill="true">
      <alignment horizontal="center" vertical="center"/>
    </xf>
    <xf fontId="1907" applyFont="true" borderId="8" applyBorder="true" applyNumberFormat="true" numFmtId="167" fillId="22" applyFill="true">
      <alignment horizontal="center" vertical="center"/>
    </xf>
    <xf fontId="1908" applyFont="true" borderId="8" applyBorder="true" applyNumberFormat="true" numFmtId="1" fillId="22" applyFill="true">
      <alignment horizontal="center" vertical="center"/>
    </xf>
    <xf fontId="1909" applyFont="true" borderId="8" applyBorder="true" applyNumberFormat="true" numFmtId="1" fillId="22" applyFill="true">
      <alignment horizontal="center" vertical="center"/>
    </xf>
    <xf fontId="1910" applyFont="true" borderId="8" applyBorder="true" applyNumberFormat="true" numFmtId="1" fillId="22" applyFill="true">
      <alignment horizontal="center" vertical="center"/>
    </xf>
    <xf fontId="1911" applyFont="true" borderId="8" applyBorder="true" applyNumberFormat="true" numFmtId="1" fillId="22" applyFill="true">
      <alignment horizontal="center" vertical="center"/>
    </xf>
    <xf fontId="1912" applyFont="true" borderId="8" applyBorder="true" applyNumberFormat="true" numFmtId="167" fillId="22" applyFill="true">
      <alignment horizontal="center" vertical="center"/>
    </xf>
    <xf fontId="1913" applyFont="true" borderId="8" applyBorder="true" applyNumberFormat="true" numFmtId="1" fillId="22" applyFill="true">
      <alignment horizontal="center" vertical="center"/>
    </xf>
    <xf fontId="1914" applyFont="true" borderId="8" applyBorder="true" applyNumberFormat="true" numFmtId="167" fillId="22" applyFill="true">
      <alignment horizontal="center" vertical="center"/>
    </xf>
    <xf fontId="1915" applyFont="true" borderId="8" applyBorder="true" applyNumberFormat="true" numFmtId="1" fillId="22" applyFill="true">
      <alignment horizontal="center" vertical="center"/>
    </xf>
    <xf fontId="1916" applyFont="true" borderId="8" applyBorder="true" applyNumberFormat="true" numFmtId="167" fillId="22" applyFill="true">
      <alignment horizontal="center" vertical="center"/>
    </xf>
    <xf fontId="1917" applyFont="true" borderId="8" applyBorder="true" applyNumberFormat="true" numFmtId="2" fillId="22" applyFill="true">
      <alignment horizontal="center" vertical="center"/>
    </xf>
    <xf fontId="1918" applyFont="true" borderId="8" applyBorder="true" applyNumberFormat="true" numFmtId="2" fillId="22" applyFill="true">
      <alignment horizontal="center" vertical="center"/>
    </xf>
    <xf fontId="1919" applyFont="true" borderId="8" applyBorder="true" applyNumberFormat="true" numFmtId="2" fillId="22" applyFill="true">
      <alignment horizontal="center" vertical="center"/>
    </xf>
    <xf fontId="1920" applyFont="true" borderId="8" applyBorder="true" applyNumberFormat="true" numFmtId="2" fillId="22" applyFill="true">
      <alignment horizontal="center" vertical="center"/>
    </xf>
    <xf fontId="1921" applyFont="true" borderId="8" applyBorder="true" applyNumberFormat="true" numFmtId="2" fillId="22" applyFill="true">
      <alignment horizontal="center" vertical="center"/>
    </xf>
    <xf fontId="1922" applyFont="true" borderId="8" applyBorder="true" applyNumberFormat="true" numFmtId="2" fillId="22" applyFill="true">
      <alignment horizontal="center" vertical="center"/>
    </xf>
    <xf fontId="1923" applyFont="true" borderId="8" applyBorder="true" applyNumberFormat="true" numFmtId="2" fillId="22" applyFill="true">
      <alignment horizontal="center" vertical="center"/>
    </xf>
    <xf fontId="1924" applyFont="true" borderId="8" applyBorder="true" applyNumberFormat="true" numFmtId="2" fillId="22" applyFill="true">
      <alignment horizontal="center" vertical="center"/>
    </xf>
    <xf fontId="1925" applyFont="true" borderId="8" applyBorder="true" applyNumberFormat="true" numFmtId="2" fillId="22" applyFill="true">
      <alignment horizontal="center" vertical="center"/>
    </xf>
    <xf fontId="1926" applyFont="true" borderId="8" applyBorder="true" applyNumberFormat="true" numFmtId="2" fillId="22" applyFill="true">
      <alignment horizontal="center" vertical="center"/>
    </xf>
    <xf fontId="1927" applyFont="true" borderId="8" applyBorder="true" applyNumberFormat="true" numFmtId="2" fillId="22" applyFill="true">
      <alignment horizontal="center" vertical="center"/>
    </xf>
    <xf fontId="1928" applyFont="true" borderId="8" applyBorder="true" applyNumberFormat="true" numFmtId="2" fillId="22" applyFill="true">
      <alignment horizontal="center" vertical="center"/>
    </xf>
    <xf fontId="1929" applyFont="true" borderId="8" applyBorder="true" applyNumberFormat="true" numFmtId="2" fillId="22" applyFill="true">
      <alignment horizontal="center" vertical="center"/>
    </xf>
    <xf fontId="1930" applyFont="true" borderId="8" applyBorder="true" applyNumberFormat="true" numFmtId="2" fillId="22" applyFill="true">
      <alignment horizontal="center" vertical="center"/>
    </xf>
    <xf fontId="1931" applyFont="true" borderId="8" applyBorder="true" applyNumberFormat="true" numFmtId="2" fillId="22" applyFill="true">
      <alignment horizontal="center" vertical="center"/>
    </xf>
    <xf fontId="1932" applyFont="true" borderId="8" applyBorder="true" applyNumberFormat="true" numFmtId="2" fillId="22" applyFill="true">
      <alignment horizontal="center" vertical="center"/>
    </xf>
    <xf fontId="1933" applyFont="true" borderId="8" applyBorder="true" applyNumberFormat="true" numFmtId="2" fillId="22" applyFill="true">
      <alignment horizontal="center" vertical="center"/>
    </xf>
    <xf fontId="1934" applyFont="true" borderId="8" applyBorder="true" applyNumberFormat="true" numFmtId="2" fillId="22" applyFill="true">
      <alignment horizontal="center" vertical="center"/>
    </xf>
    <xf fontId="1935" applyFont="true" borderId="8" applyBorder="true" applyNumberFormat="true" numFmtId="2" fillId="22" applyFill="true">
      <alignment horizontal="center" vertical="center"/>
    </xf>
    <xf fontId="1936" applyFont="true" borderId="8" applyBorder="true" applyNumberFormat="true" numFmtId="2" fillId="22" applyFill="true">
      <alignment horizontal="center" vertical="center"/>
    </xf>
    <xf fontId="1937" applyFont="true" borderId="8" applyBorder="true" applyNumberFormat="true" numFmtId="2" fillId="22" applyFill="true">
      <alignment horizontal="center" vertical="center"/>
    </xf>
    <xf fontId="1938" applyFont="true" borderId="8" applyBorder="true" applyNumberFormat="true" numFmtId="2" fillId="22" applyFill="true">
      <alignment horizontal="center" vertical="center"/>
    </xf>
    <xf fontId="1939" applyFont="true" borderId="8" applyBorder="true" applyNumberFormat="true" numFmtId="2" fillId="22" applyFill="true">
      <alignment horizontal="center" vertical="center"/>
    </xf>
    <xf fontId="1940" applyFont="true" borderId="8" applyBorder="true" applyNumberFormat="true" numFmtId="2" fillId="22" applyFill="true">
      <alignment horizontal="center" vertical="center"/>
    </xf>
    <xf fontId="1941" applyFont="true" borderId="8" applyBorder="true" applyNumberFormat="true" numFmtId="2" fillId="22" applyFill="true">
      <alignment horizontal="center" vertical="center"/>
    </xf>
    <xf fontId="1942" applyFont="true" borderId="8" applyBorder="true" applyNumberFormat="true" numFmtId="2" fillId="22" applyFill="true">
      <alignment horizontal="center" vertical="center"/>
    </xf>
    <xf fontId="1943" applyFont="true" borderId="8" applyBorder="true" applyNumberFormat="true" numFmtId="2" fillId="22" applyFill="true">
      <alignment horizontal="center" vertical="center"/>
    </xf>
    <xf fontId="1944" applyFont="true" borderId="8" applyBorder="true" applyNumberFormat="true" numFmtId="2" fillId="22" applyFill="true">
      <alignment horizontal="center" vertical="center"/>
    </xf>
    <xf fontId="1945" applyFont="true" borderId="8" applyBorder="true" applyNumberFormat="true" numFmtId="2" fillId="22" applyFill="true">
      <alignment horizontal="center" vertical="center"/>
    </xf>
    <xf fontId="1946" applyFont="true" borderId="8" applyBorder="true" applyNumberFormat="true" numFmtId="2" fillId="22" applyFill="true">
      <alignment horizontal="center" vertical="center"/>
    </xf>
    <xf fontId="1947" applyFont="true" borderId="8" applyBorder="true" applyNumberFormat="true" numFmtId="2" fillId="22" applyFill="true">
      <alignment horizontal="center" vertical="center"/>
    </xf>
    <xf fontId="1948" applyFont="true" borderId="8" applyBorder="true" applyNumberFormat="true" numFmtId="2" fillId="22" applyFill="true">
      <alignment horizontal="center" vertical="center"/>
    </xf>
    <xf fontId="1949" applyFont="true" borderId="8" applyBorder="true" applyNumberFormat="true" numFmtId="2" fillId="22" applyFill="true">
      <alignment horizontal="center" vertical="center"/>
    </xf>
    <xf fontId="1950" applyFont="true" borderId="8" applyBorder="true" applyNumberFormat="true" numFmtId="2" fillId="22" applyFill="true">
      <alignment horizontal="center" vertical="center"/>
    </xf>
    <xf fontId="1951" applyFont="true" borderId="8" applyBorder="true" applyNumberFormat="true" numFmtId="165" fillId="19" applyFill="true">
      <alignment horizontal="left" vertical="center"/>
    </xf>
    <xf fontId="1952" applyFont="true" borderId="8" applyBorder="true" applyNumberFormat="true" numFmtId="165" fillId="22" applyFill="true">
      <alignment horizontal="center" vertical="center"/>
    </xf>
    <xf fontId="1953" applyFont="true" borderId="8" applyBorder="true" applyNumberFormat="true" numFmtId="166" fillId="22" applyFill="true">
      <alignment horizontal="center" vertical="center"/>
    </xf>
    <xf fontId="1954" applyFont="true" borderId="8" applyBorder="true" applyNumberFormat="true" numFmtId="1" fillId="22" applyFill="true">
      <alignment horizontal="center" vertical="center"/>
    </xf>
    <xf fontId="1955" applyFont="true" borderId="8" applyBorder="true" applyNumberFormat="true" numFmtId="1" fillId="22" applyFill="true">
      <alignment horizontal="center" vertical="center"/>
    </xf>
    <xf fontId="1956" applyFont="true" borderId="8" applyBorder="true" applyNumberFormat="true" numFmtId="1" fillId="22" applyFill="true">
      <alignment horizontal="center" vertical="center"/>
    </xf>
    <xf fontId="1957" applyFont="true" borderId="8" applyBorder="true" applyNumberFormat="true" numFmtId="1" fillId="22" applyFill="true">
      <alignment horizontal="center" vertical="center"/>
    </xf>
    <xf fontId="1958" applyFont="true" borderId="8" applyBorder="true" applyNumberFormat="true" numFmtId="1" fillId="22" applyFill="true">
      <alignment horizontal="center" vertical="center"/>
    </xf>
    <xf fontId="1959" applyFont="true" borderId="8" applyBorder="true" applyNumberFormat="true" numFmtId="1" fillId="22" applyFill="true">
      <alignment horizontal="center" vertical="center"/>
    </xf>
    <xf fontId="1960" applyFont="true" borderId="8" applyBorder="true" applyNumberFormat="true" numFmtId="1" fillId="22" applyFill="true">
      <alignment horizontal="center" vertical="center"/>
    </xf>
    <xf fontId="1961" applyFont="true" borderId="8" applyBorder="true" applyNumberFormat="true" numFmtId="165" fillId="22" applyFill="true">
      <alignment horizontal="center" vertical="center"/>
    </xf>
    <xf fontId="1962" applyFont="true" borderId="8" applyBorder="true" applyNumberFormat="true" numFmtId="165" fillId="22" applyFill="true">
      <alignment horizontal="center" vertical="center"/>
    </xf>
    <xf fontId="1963" applyFont="true" borderId="8" applyBorder="true" applyNumberFormat="true" numFmtId="1" fillId="22" applyFill="true">
      <alignment horizontal="center" vertical="center"/>
    </xf>
    <xf fontId="1964" applyFont="true" borderId="8" applyBorder="true" applyNumberFormat="true" numFmtId="1" fillId="22" applyFill="true">
      <alignment horizontal="center" vertical="center"/>
    </xf>
    <xf fontId="1965" applyFont="true" borderId="8" applyBorder="true" applyNumberFormat="true" numFmtId="1" fillId="22" applyFill="true">
      <alignment horizontal="center" vertical="center"/>
    </xf>
    <xf fontId="1966" applyFont="true" borderId="8" applyBorder="true" applyNumberFormat="true" numFmtId="167" fillId="22" applyFill="true">
      <alignment horizontal="center" vertical="center"/>
    </xf>
    <xf fontId="1967" applyFont="true" borderId="8" applyBorder="true" applyNumberFormat="true" numFmtId="1" fillId="22" applyFill="true">
      <alignment horizontal="center" vertical="center"/>
    </xf>
    <xf fontId="1968" applyFont="true" borderId="8" applyBorder="true" applyNumberFormat="true" numFmtId="167" fillId="22" applyFill="true">
      <alignment horizontal="center" vertical="center"/>
    </xf>
    <xf fontId="1969" applyFont="true" borderId="8" applyBorder="true" applyNumberFormat="true" numFmtId="1" fillId="22" applyFill="true">
      <alignment horizontal="center" vertical="center"/>
    </xf>
    <xf fontId="1970" applyFont="true" borderId="8" applyBorder="true" applyNumberFormat="true" numFmtId="167" fillId="22" applyFill="true">
      <alignment horizontal="center" vertical="center"/>
    </xf>
    <xf fontId="1971" applyFont="true" borderId="8" applyBorder="true" applyNumberFormat="true" numFmtId="1" fillId="22" applyFill="true">
      <alignment horizontal="center" vertical="center"/>
    </xf>
    <xf fontId="1972" applyFont="true" borderId="8" applyBorder="true" applyNumberFormat="true" numFmtId="167" fillId="22" applyFill="true">
      <alignment horizontal="center" vertical="center"/>
    </xf>
    <xf fontId="1973" applyFont="true" borderId="8" applyBorder="true" applyNumberFormat="true" numFmtId="167" fillId="22" applyFill="true">
      <alignment horizontal="center" vertical="center"/>
    </xf>
    <xf fontId="1974" applyFont="true" borderId="8" applyBorder="true" applyNumberFormat="true" numFmtId="1" fillId="22" applyFill="true">
      <alignment horizontal="center" vertical="center"/>
    </xf>
    <xf fontId="1975" applyFont="true" borderId="8" applyBorder="true" applyNumberFormat="true" numFmtId="1" fillId="22" applyFill="true">
      <alignment horizontal="center" vertical="center"/>
    </xf>
    <xf fontId="1976" applyFont="true" borderId="8" applyBorder="true" applyNumberFormat="true" numFmtId="1" fillId="22" applyFill="true">
      <alignment horizontal="center" vertical="center"/>
    </xf>
    <xf fontId="1977" applyFont="true" borderId="8" applyBorder="true" applyNumberFormat="true" numFmtId="167" fillId="22" applyFill="true">
      <alignment horizontal="center" vertical="center"/>
    </xf>
    <xf fontId="1978" applyFont="true" borderId="8" applyBorder="true" applyNumberFormat="true" numFmtId="166" fillId="22" applyFill="true">
      <alignment horizontal="center" vertical="center"/>
    </xf>
    <xf fontId="1979" applyFont="true" borderId="8" applyBorder="true" applyNumberFormat="true" numFmtId="166" fillId="22" applyFill="true">
      <alignment horizontal="center" vertical="center"/>
    </xf>
    <xf fontId="1980" applyFont="true" borderId="8" applyBorder="true" applyNumberFormat="true" numFmtId="1" fillId="22" applyFill="true">
      <alignment horizontal="center" vertical="center"/>
    </xf>
    <xf fontId="1981" applyFont="true" borderId="8" applyBorder="true" applyNumberFormat="true" numFmtId="1" fillId="22" applyFill="true">
      <alignment horizontal="center" vertical="center"/>
    </xf>
    <xf fontId="1982" applyFont="true" borderId="8" applyBorder="true" applyNumberFormat="true" numFmtId="1" fillId="22" applyFill="true">
      <alignment horizontal="center" vertical="center"/>
    </xf>
    <xf fontId="1983" applyFont="true" borderId="8" applyBorder="true" applyNumberFormat="true" numFmtId="167" fillId="22" applyFill="true">
      <alignment horizontal="center" vertical="center"/>
    </xf>
    <xf fontId="1984" applyFont="true" borderId="8" applyBorder="true" applyNumberFormat="true" numFmtId="1" fillId="22" applyFill="true">
      <alignment horizontal="center" vertical="center"/>
    </xf>
    <xf fontId="1985" applyFont="true" borderId="8" applyBorder="true" applyNumberFormat="true" numFmtId="167" fillId="22" applyFill="true">
      <alignment horizontal="center" vertical="center"/>
    </xf>
    <xf fontId="1986" applyFont="true" borderId="8" applyBorder="true" applyNumberFormat="true" numFmtId="1" fillId="22" applyFill="true">
      <alignment horizontal="center" vertical="center"/>
    </xf>
    <xf fontId="1987" applyFont="true" borderId="8" applyBorder="true" applyNumberFormat="true" numFmtId="1" fillId="22" applyFill="true">
      <alignment horizontal="center" vertical="center"/>
    </xf>
    <xf fontId="1988" applyFont="true" borderId="8" applyBorder="true" applyNumberFormat="true" numFmtId="1" fillId="22" applyFill="true">
      <alignment horizontal="center" vertical="center"/>
    </xf>
    <xf fontId="1989" applyFont="true" borderId="8" applyBorder="true" applyNumberFormat="true" numFmtId="1" fillId="22" applyFill="true">
      <alignment horizontal="center" vertical="center"/>
    </xf>
    <xf fontId="1990" applyFont="true" borderId="8" applyBorder="true" applyNumberFormat="true" numFmtId="167" fillId="22" applyFill="true">
      <alignment horizontal="center" vertical="center"/>
    </xf>
    <xf fontId="1991" applyFont="true" borderId="8" applyBorder="true" applyNumberFormat="true" numFmtId="1" fillId="22" applyFill="true">
      <alignment horizontal="center" vertical="center"/>
    </xf>
    <xf fontId="1992" applyFont="true" borderId="8" applyBorder="true" applyNumberFormat="true" numFmtId="167" fillId="22" applyFill="true">
      <alignment horizontal="center" vertical="center"/>
    </xf>
    <xf fontId="1993" applyFont="true" borderId="8" applyBorder="true" applyNumberFormat="true" numFmtId="1" fillId="22" applyFill="true">
      <alignment horizontal="center" vertical="center"/>
    </xf>
    <xf fontId="1994" applyFont="true" borderId="8" applyBorder="true" applyNumberFormat="true" numFmtId="167" fillId="22" applyFill="true">
      <alignment horizontal="center" vertical="center"/>
    </xf>
    <xf fontId="1995" applyFont="true" borderId="8" applyBorder="true" applyNumberFormat="true" numFmtId="2" fillId="22" applyFill="true">
      <alignment horizontal="center" vertical="center"/>
    </xf>
    <xf fontId="1996" applyFont="true" borderId="8" applyBorder="true" applyNumberFormat="true" numFmtId="2" fillId="22" applyFill="true">
      <alignment horizontal="center" vertical="center"/>
    </xf>
    <xf fontId="1997" applyFont="true" borderId="8" applyBorder="true" applyNumberFormat="true" numFmtId="2" fillId="22" applyFill="true">
      <alignment horizontal="center" vertical="center"/>
    </xf>
    <xf fontId="1998" applyFont="true" borderId="8" applyBorder="true" applyNumberFormat="true" numFmtId="2" fillId="22" applyFill="true">
      <alignment horizontal="center" vertical="center"/>
    </xf>
    <xf fontId="1999" applyFont="true" borderId="8" applyBorder="true" applyNumberFormat="true" numFmtId="2" fillId="22" applyFill="true">
      <alignment horizontal="center" vertical="center"/>
    </xf>
    <xf fontId="2000" applyFont="true" borderId="8" applyBorder="true" applyNumberFormat="true" numFmtId="2" fillId="22" applyFill="true">
      <alignment horizontal="center" vertical="center"/>
    </xf>
    <xf fontId="2001" applyFont="true" borderId="8" applyBorder="true" applyNumberFormat="true" numFmtId="2" fillId="22" applyFill="true">
      <alignment horizontal="center" vertical="center"/>
    </xf>
    <xf fontId="2002" applyFont="true" borderId="8" applyBorder="true" applyNumberFormat="true" numFmtId="2" fillId="22" applyFill="true">
      <alignment horizontal="center" vertical="center"/>
    </xf>
    <xf fontId="2003" applyFont="true" borderId="8" applyBorder="true" applyNumberFormat="true" numFmtId="2" fillId="22" applyFill="true">
      <alignment horizontal="center" vertical="center"/>
    </xf>
    <xf fontId="2004" applyFont="true" borderId="8" applyBorder="true" applyNumberFormat="true" numFmtId="2" fillId="22" applyFill="true">
      <alignment horizontal="center" vertical="center"/>
    </xf>
    <xf fontId="2005" applyFont="true" borderId="8" applyBorder="true" applyNumberFormat="true" numFmtId="2" fillId="22" applyFill="true">
      <alignment horizontal="center" vertical="center"/>
    </xf>
    <xf fontId="2006" applyFont="true" borderId="8" applyBorder="true" applyNumberFormat="true" numFmtId="2" fillId="22" applyFill="true">
      <alignment horizontal="center" vertical="center"/>
    </xf>
    <xf fontId="2007" applyFont="true" borderId="8" applyBorder="true" applyNumberFormat="true" numFmtId="2" fillId="22" applyFill="true">
      <alignment horizontal="center" vertical="center"/>
    </xf>
    <xf fontId="2008" applyFont="true" borderId="8" applyBorder="true" applyNumberFormat="true" numFmtId="2" fillId="22" applyFill="true">
      <alignment horizontal="center" vertical="center"/>
    </xf>
    <xf fontId="2009" applyFont="true" borderId="8" applyBorder="true" applyNumberFormat="true" numFmtId="2" fillId="22" applyFill="true">
      <alignment horizontal="center" vertical="center"/>
    </xf>
    <xf fontId="2010" applyFont="true" borderId="8" applyBorder="true" applyNumberFormat="true" numFmtId="2" fillId="22" applyFill="true">
      <alignment horizontal="center" vertical="center"/>
    </xf>
    <xf fontId="2011" applyFont="true" borderId="8" applyBorder="true" applyNumberFormat="true" numFmtId="2" fillId="22" applyFill="true">
      <alignment horizontal="center" vertical="center"/>
    </xf>
    <xf fontId="2012" applyFont="true" borderId="8" applyBorder="true" applyNumberFormat="true" numFmtId="2" fillId="22" applyFill="true">
      <alignment horizontal="center" vertical="center"/>
    </xf>
    <xf fontId="2013" applyFont="true" borderId="8" applyBorder="true" applyNumberFormat="true" numFmtId="2" fillId="22" applyFill="true">
      <alignment horizontal="center" vertical="center"/>
    </xf>
    <xf fontId="2014" applyFont="true" borderId="8" applyBorder="true" applyNumberFormat="true" numFmtId="2" fillId="22" applyFill="true">
      <alignment horizontal="center" vertical="center"/>
    </xf>
    <xf fontId="2015" applyFont="true" borderId="8" applyBorder="true" applyNumberFormat="true" numFmtId="2" fillId="22" applyFill="true">
      <alignment horizontal="center" vertical="center"/>
    </xf>
    <xf fontId="2016" applyFont="true" borderId="8" applyBorder="true" applyNumberFormat="true" numFmtId="2" fillId="22" applyFill="true">
      <alignment horizontal="center" vertical="center"/>
    </xf>
    <xf fontId="2017" applyFont="true" borderId="8" applyBorder="true" applyNumberFormat="true" numFmtId="2" fillId="22" applyFill="true">
      <alignment horizontal="center" vertical="center"/>
    </xf>
    <xf fontId="2018" applyFont="true" borderId="8" applyBorder="true" applyNumberFormat="true" numFmtId="2" fillId="22" applyFill="true">
      <alignment horizontal="center" vertical="center"/>
    </xf>
    <xf fontId="2019" applyFont="true" borderId="8" applyBorder="true" applyNumberFormat="true" numFmtId="2" fillId="22" applyFill="true">
      <alignment horizontal="center" vertical="center"/>
    </xf>
    <xf fontId="2020" applyFont="true" borderId="8" applyBorder="true" applyNumberFormat="true" numFmtId="2" fillId="22" applyFill="true">
      <alignment horizontal="center" vertical="center"/>
    </xf>
    <xf fontId="2021" applyFont="true" borderId="8" applyBorder="true" applyNumberFormat="true" numFmtId="2" fillId="22" applyFill="true">
      <alignment horizontal="center" vertical="center"/>
    </xf>
    <xf fontId="2022" applyFont="true" borderId="8" applyBorder="true" applyNumberFormat="true" numFmtId="2" fillId="22" applyFill="true">
      <alignment horizontal="center" vertical="center"/>
    </xf>
    <xf fontId="2023" applyFont="true" borderId="8" applyBorder="true" applyNumberFormat="true" numFmtId="2" fillId="22" applyFill="true">
      <alignment horizontal="center" vertical="center"/>
    </xf>
    <xf fontId="2024" applyFont="true" borderId="8" applyBorder="true" applyNumberFormat="true" numFmtId="2" fillId="22" applyFill="true">
      <alignment horizontal="center" vertical="center"/>
    </xf>
    <xf fontId="2025" applyFont="true" borderId="8" applyBorder="true" applyNumberFormat="true" numFmtId="2" fillId="22" applyFill="true">
      <alignment horizontal="center" vertical="center"/>
    </xf>
    <xf fontId="2026" applyFont="true" borderId="8" applyBorder="true" applyNumberFormat="true" numFmtId="2" fillId="22" applyFill="true">
      <alignment horizontal="center" vertical="center"/>
    </xf>
    <xf fontId="2027" applyFont="true" borderId="8" applyBorder="true" applyNumberFormat="true" numFmtId="2" fillId="22" applyFill="true">
      <alignment horizontal="center" vertical="center"/>
    </xf>
    <xf fontId="2028" applyFont="true" borderId="8" applyBorder="true" applyNumberFormat="true" numFmtId="2" fillId="22" applyFill="true">
      <alignment horizontal="center" vertical="center"/>
    </xf>
    <xf fontId="2029" applyFont="true" borderId="8" applyBorder="true" applyNumberFormat="true" numFmtId="165" fillId="19" applyFill="true">
      <alignment horizontal="left" vertical="center"/>
    </xf>
    <xf fontId="2030" applyFont="true" borderId="8" applyBorder="true" applyNumberFormat="true" numFmtId="165" fillId="22" applyFill="true">
      <alignment horizontal="center" vertical="center"/>
    </xf>
    <xf fontId="2031" applyFont="true" borderId="8" applyBorder="true" applyNumberFormat="true" numFmtId="166" fillId="22" applyFill="true">
      <alignment horizontal="center" vertical="center"/>
    </xf>
    <xf fontId="2032" applyFont="true" borderId="8" applyBorder="true" applyNumberFormat="true" numFmtId="1" fillId="22" applyFill="true">
      <alignment horizontal="center" vertical="center"/>
    </xf>
    <xf fontId="2033" applyFont="true" borderId="8" applyBorder="true" applyNumberFormat="true" numFmtId="1" fillId="22" applyFill="true">
      <alignment horizontal="center" vertical="center"/>
    </xf>
    <xf fontId="2034" applyFont="true" borderId="8" applyBorder="true" applyNumberFormat="true" numFmtId="1" fillId="22" applyFill="true">
      <alignment horizontal="center" vertical="center"/>
    </xf>
    <xf fontId="2035" applyFont="true" borderId="8" applyBorder="true" applyNumberFormat="true" numFmtId="1" fillId="22" applyFill="true">
      <alignment horizontal="center" vertical="center"/>
    </xf>
    <xf fontId="2036" applyFont="true" borderId="8" applyBorder="true" applyNumberFormat="true" numFmtId="1" fillId="22" applyFill="true">
      <alignment horizontal="center" vertical="center"/>
    </xf>
    <xf fontId="2037" applyFont="true" borderId="8" applyBorder="true" applyNumberFormat="true" numFmtId="1" fillId="22" applyFill="true">
      <alignment horizontal="center" vertical="center"/>
    </xf>
    <xf fontId="2038" applyFont="true" borderId="8" applyBorder="true" applyNumberFormat="true" numFmtId="1" fillId="22" applyFill="true">
      <alignment horizontal="center" vertical="center"/>
    </xf>
    <xf fontId="2039" applyFont="true" borderId="8" applyBorder="true" applyNumberFormat="true" numFmtId="165" fillId="22" applyFill="true">
      <alignment horizontal="center" vertical="center"/>
    </xf>
    <xf fontId="2040" applyFont="true" borderId="8" applyBorder="true" applyNumberFormat="true" numFmtId="165" fillId="22" applyFill="true">
      <alignment horizontal="center" vertical="center"/>
    </xf>
    <xf fontId="2041" applyFont="true" borderId="8" applyBorder="true" applyNumberFormat="true" numFmtId="1" fillId="22" applyFill="true">
      <alignment horizontal="center" vertical="center"/>
    </xf>
    <xf fontId="2042" applyFont="true" borderId="8" applyBorder="true" applyNumberFormat="true" numFmtId="1" fillId="22" applyFill="true">
      <alignment horizontal="center" vertical="center"/>
    </xf>
    <xf fontId="2043" applyFont="true" borderId="8" applyBorder="true" applyNumberFormat="true" numFmtId="1" fillId="22" applyFill="true">
      <alignment horizontal="center" vertical="center"/>
    </xf>
    <xf fontId="2044" applyFont="true" borderId="8" applyBorder="true" applyNumberFormat="true" numFmtId="167" fillId="22" applyFill="true">
      <alignment horizontal="center" vertical="center"/>
    </xf>
    <xf fontId="2045" applyFont="true" borderId="8" applyBorder="true" applyNumberFormat="true" numFmtId="1" fillId="22" applyFill="true">
      <alignment horizontal="center" vertical="center"/>
    </xf>
    <xf fontId="2046" applyFont="true" borderId="8" applyBorder="true" applyNumberFormat="true" numFmtId="167" fillId="22" applyFill="true">
      <alignment horizontal="center" vertical="center"/>
    </xf>
    <xf fontId="2047" applyFont="true" borderId="8" applyBorder="true" applyNumberFormat="true" numFmtId="1" fillId="22" applyFill="true">
      <alignment horizontal="center" vertical="center"/>
    </xf>
    <xf fontId="2048" applyFont="true" borderId="8" applyBorder="true" applyNumberFormat="true" numFmtId="167" fillId="22" applyFill="true">
      <alignment horizontal="center" vertical="center"/>
    </xf>
    <xf fontId="2049" applyFont="true" borderId="8" applyBorder="true" applyNumberFormat="true" numFmtId="1" fillId="22" applyFill="true">
      <alignment horizontal="center" vertical="center"/>
    </xf>
    <xf fontId="2050" applyFont="true" borderId="8" applyBorder="true" applyNumberFormat="true" numFmtId="167" fillId="22" applyFill="true">
      <alignment horizontal="center" vertical="center"/>
    </xf>
    <xf fontId="2051" applyFont="true" borderId="8" applyBorder="true" applyNumberFormat="true" numFmtId="167" fillId="22" applyFill="true">
      <alignment horizontal="center" vertical="center"/>
    </xf>
    <xf fontId="2052" applyFont="true" borderId="8" applyBorder="true" applyNumberFormat="true" numFmtId="1" fillId="22" applyFill="true">
      <alignment horizontal="center" vertical="center"/>
    </xf>
    <xf fontId="2053" applyFont="true" borderId="8" applyBorder="true" applyNumberFormat="true" numFmtId="1" fillId="22" applyFill="true">
      <alignment horizontal="center" vertical="center"/>
    </xf>
    <xf fontId="2054" applyFont="true" borderId="8" applyBorder="true" applyNumberFormat="true" numFmtId="1" fillId="22" applyFill="true">
      <alignment horizontal="center" vertical="center"/>
    </xf>
    <xf fontId="2055" applyFont="true" borderId="8" applyBorder="true" applyNumberFormat="true" numFmtId="167" fillId="22" applyFill="true">
      <alignment horizontal="center" vertical="center"/>
    </xf>
    <xf fontId="2056" applyFont="true" borderId="8" applyBorder="true" applyNumberFormat="true" numFmtId="166" fillId="22" applyFill="true">
      <alignment horizontal="center" vertical="center"/>
    </xf>
    <xf fontId="2057" applyFont="true" borderId="8" applyBorder="true" applyNumberFormat="true" numFmtId="166" fillId="22" applyFill="true">
      <alignment horizontal="center" vertical="center"/>
    </xf>
    <xf fontId="2058" applyFont="true" borderId="8" applyBorder="true" applyNumberFormat="true" numFmtId="1" fillId="22" applyFill="true">
      <alignment horizontal="center" vertical="center"/>
    </xf>
    <xf fontId="2059" applyFont="true" borderId="8" applyBorder="true" applyNumberFormat="true" numFmtId="1" fillId="22" applyFill="true">
      <alignment horizontal="center" vertical="center"/>
    </xf>
    <xf fontId="2060" applyFont="true" borderId="8" applyBorder="true" applyNumberFormat="true" numFmtId="1" fillId="22" applyFill="true">
      <alignment horizontal="center" vertical="center"/>
    </xf>
    <xf fontId="2061" applyFont="true" borderId="8" applyBorder="true" applyNumberFormat="true" numFmtId="167" fillId="22" applyFill="true">
      <alignment horizontal="center" vertical="center"/>
    </xf>
    <xf fontId="2062" applyFont="true" borderId="8" applyBorder="true" applyNumberFormat="true" numFmtId="1" fillId="22" applyFill="true">
      <alignment horizontal="center" vertical="center"/>
    </xf>
    <xf fontId="2063" applyFont="true" borderId="8" applyBorder="true" applyNumberFormat="true" numFmtId="167" fillId="22" applyFill="true">
      <alignment horizontal="center" vertical="center"/>
    </xf>
    <xf fontId="2064" applyFont="true" borderId="8" applyBorder="true" applyNumberFormat="true" numFmtId="1" fillId="22" applyFill="true">
      <alignment horizontal="center" vertical="center"/>
    </xf>
    <xf fontId="2065" applyFont="true" borderId="8" applyBorder="true" applyNumberFormat="true" numFmtId="1" fillId="22" applyFill="true">
      <alignment horizontal="center" vertical="center"/>
    </xf>
    <xf fontId="2066" applyFont="true" borderId="8" applyBorder="true" applyNumberFormat="true" numFmtId="1" fillId="22" applyFill="true">
      <alignment horizontal="center" vertical="center"/>
    </xf>
    <xf fontId="2067" applyFont="true" borderId="8" applyBorder="true" applyNumberFormat="true" numFmtId="1" fillId="22" applyFill="true">
      <alignment horizontal="center" vertical="center"/>
    </xf>
    <xf fontId="2068" applyFont="true" borderId="8" applyBorder="true" applyNumberFormat="true" numFmtId="167" fillId="22" applyFill="true">
      <alignment horizontal="center" vertical="center"/>
    </xf>
    <xf fontId="2069" applyFont="true" borderId="8" applyBorder="true" applyNumberFormat="true" numFmtId="1" fillId="22" applyFill="true">
      <alignment horizontal="center" vertical="center"/>
    </xf>
    <xf fontId="2070" applyFont="true" borderId="8" applyBorder="true" applyNumberFormat="true" numFmtId="167" fillId="22" applyFill="true">
      <alignment horizontal="center" vertical="center"/>
    </xf>
    <xf fontId="2071" applyFont="true" borderId="8" applyBorder="true" applyNumberFormat="true" numFmtId="1" fillId="22" applyFill="true">
      <alignment horizontal="center" vertical="center"/>
    </xf>
    <xf fontId="2072" applyFont="true" borderId="8" applyBorder="true" applyNumberFormat="true" numFmtId="167" fillId="22" applyFill="true">
      <alignment horizontal="center" vertical="center"/>
    </xf>
    <xf fontId="2073" applyFont="true" borderId="8" applyBorder="true" applyNumberFormat="true" numFmtId="2" fillId="22" applyFill="true">
      <alignment horizontal="center" vertical="center"/>
    </xf>
    <xf fontId="2074" applyFont="true" borderId="8" applyBorder="true" applyNumberFormat="true" numFmtId="2" fillId="22" applyFill="true">
      <alignment horizontal="center" vertical="center"/>
    </xf>
    <xf fontId="2075" applyFont="true" borderId="8" applyBorder="true" applyNumberFormat="true" numFmtId="2" fillId="22" applyFill="true">
      <alignment horizontal="center" vertical="center"/>
    </xf>
    <xf fontId="2076" applyFont="true" borderId="8" applyBorder="true" applyNumberFormat="true" numFmtId="2" fillId="22" applyFill="true">
      <alignment horizontal="center" vertical="center"/>
    </xf>
    <xf fontId="2077" applyFont="true" borderId="8" applyBorder="true" applyNumberFormat="true" numFmtId="2" fillId="22" applyFill="true">
      <alignment horizontal="center" vertical="center"/>
    </xf>
    <xf fontId="2078" applyFont="true" borderId="8" applyBorder="true" applyNumberFormat="true" numFmtId="2" fillId="22" applyFill="true">
      <alignment horizontal="center" vertical="center"/>
    </xf>
    <xf fontId="2079" applyFont="true" borderId="8" applyBorder="true" applyNumberFormat="true" numFmtId="2" fillId="22" applyFill="true">
      <alignment horizontal="center" vertical="center"/>
    </xf>
    <xf fontId="2080" applyFont="true" borderId="8" applyBorder="true" applyNumberFormat="true" numFmtId="2" fillId="22" applyFill="true">
      <alignment horizontal="center" vertical="center"/>
    </xf>
    <xf fontId="2081" applyFont="true" borderId="8" applyBorder="true" applyNumberFormat="true" numFmtId="2" fillId="22" applyFill="true">
      <alignment horizontal="center" vertical="center"/>
    </xf>
    <xf fontId="2082" applyFont="true" borderId="8" applyBorder="true" applyNumberFormat="true" numFmtId="2" fillId="22" applyFill="true">
      <alignment horizontal="center" vertical="center"/>
    </xf>
    <xf fontId="2083" applyFont="true" borderId="8" applyBorder="true" applyNumberFormat="true" numFmtId="2" fillId="22" applyFill="true">
      <alignment horizontal="center" vertical="center"/>
    </xf>
    <xf fontId="2084" applyFont="true" borderId="8" applyBorder="true" applyNumberFormat="true" numFmtId="2" fillId="22" applyFill="true">
      <alignment horizontal="center" vertical="center"/>
    </xf>
    <xf fontId="2085" applyFont="true" borderId="8" applyBorder="true" applyNumberFormat="true" numFmtId="2" fillId="22" applyFill="true">
      <alignment horizontal="center" vertical="center"/>
    </xf>
    <xf fontId="2086" applyFont="true" borderId="8" applyBorder="true" applyNumberFormat="true" numFmtId="2" fillId="22" applyFill="true">
      <alignment horizontal="center" vertical="center"/>
    </xf>
    <xf fontId="2087" applyFont="true" borderId="8" applyBorder="true" applyNumberFormat="true" numFmtId="2" fillId="22" applyFill="true">
      <alignment horizontal="center" vertical="center"/>
    </xf>
    <xf fontId="2088" applyFont="true" borderId="8" applyBorder="true" applyNumberFormat="true" numFmtId="2" fillId="22" applyFill="true">
      <alignment horizontal="center" vertical="center"/>
    </xf>
    <xf fontId="2089" applyFont="true" borderId="8" applyBorder="true" applyNumberFormat="true" numFmtId="2" fillId="22" applyFill="true">
      <alignment horizontal="center" vertical="center"/>
    </xf>
    <xf fontId="2090" applyFont="true" borderId="8" applyBorder="true" applyNumberFormat="true" numFmtId="2" fillId="22" applyFill="true">
      <alignment horizontal="center" vertical="center"/>
    </xf>
    <xf fontId="2091" applyFont="true" borderId="8" applyBorder="true" applyNumberFormat="true" numFmtId="2" fillId="22" applyFill="true">
      <alignment horizontal="center" vertical="center"/>
    </xf>
    <xf fontId="2092" applyFont="true" borderId="8" applyBorder="true" applyNumberFormat="true" numFmtId="2" fillId="22" applyFill="true">
      <alignment horizontal="center" vertical="center"/>
    </xf>
    <xf fontId="2093" applyFont="true" borderId="8" applyBorder="true" applyNumberFormat="true" numFmtId="2" fillId="22" applyFill="true">
      <alignment horizontal="center" vertical="center"/>
    </xf>
    <xf fontId="2094" applyFont="true" borderId="8" applyBorder="true" applyNumberFormat="true" numFmtId="2" fillId="22" applyFill="true">
      <alignment horizontal="center" vertical="center"/>
    </xf>
    <xf fontId="2095" applyFont="true" borderId="8" applyBorder="true" applyNumberFormat="true" numFmtId="2" fillId="22" applyFill="true">
      <alignment horizontal="center" vertical="center"/>
    </xf>
    <xf fontId="2096" applyFont="true" borderId="8" applyBorder="true" applyNumberFormat="true" numFmtId="2" fillId="22" applyFill="true">
      <alignment horizontal="center" vertical="center"/>
    </xf>
    <xf fontId="2097" applyFont="true" borderId="8" applyBorder="true" applyNumberFormat="true" numFmtId="2" fillId="22" applyFill="true">
      <alignment horizontal="center" vertical="center"/>
    </xf>
    <xf fontId="2098" applyFont="true" borderId="8" applyBorder="true" applyNumberFormat="true" numFmtId="2" fillId="22" applyFill="true">
      <alignment horizontal="center" vertical="center"/>
    </xf>
    <xf fontId="2099" applyFont="true" borderId="8" applyBorder="true" applyNumberFormat="true" numFmtId="2" fillId="22" applyFill="true">
      <alignment horizontal="center" vertical="center"/>
    </xf>
    <xf fontId="2100" applyFont="true" borderId="8" applyBorder="true" applyNumberFormat="true" numFmtId="2" fillId="22" applyFill="true">
      <alignment horizontal="center" vertical="center"/>
    </xf>
    <xf fontId="2101" applyFont="true" borderId="8" applyBorder="true" applyNumberFormat="true" numFmtId="2" fillId="22" applyFill="true">
      <alignment horizontal="center" vertical="center"/>
    </xf>
    <xf fontId="2102" applyFont="true" borderId="8" applyBorder="true" applyNumberFormat="true" numFmtId="2" fillId="22" applyFill="true">
      <alignment horizontal="center" vertical="center"/>
    </xf>
    <xf fontId="2103" applyFont="true" borderId="8" applyBorder="true" applyNumberFormat="true" numFmtId="2" fillId="22" applyFill="true">
      <alignment horizontal="center" vertical="center"/>
    </xf>
    <xf fontId="2104" applyFont="true" borderId="8" applyBorder="true" applyNumberFormat="true" numFmtId="2" fillId="22" applyFill="true">
      <alignment horizontal="center" vertical="center"/>
    </xf>
    <xf fontId="2105" applyFont="true" borderId="8" applyBorder="true" applyNumberFormat="true" numFmtId="2" fillId="22" applyFill="true">
      <alignment horizontal="center" vertical="center"/>
    </xf>
    <xf fontId="2106" applyFont="true" borderId="8" applyBorder="true" applyNumberFormat="true" numFmtId="2" fillId="22" applyFill="true">
      <alignment horizontal="center" vertical="center"/>
    </xf>
    <xf fontId="2107" applyFont="true" borderId="8" applyBorder="true" applyNumberFormat="true" numFmtId="165" fillId="19" applyFill="true">
      <alignment horizontal="left" vertical="center"/>
    </xf>
    <xf fontId="2108" applyFont="true" borderId="8" applyBorder="true" applyNumberFormat="true" numFmtId="165" fillId="22" applyFill="true">
      <alignment horizontal="center" vertical="center"/>
    </xf>
    <xf fontId="2109" applyFont="true" borderId="8" applyBorder="true" applyNumberFormat="true" numFmtId="166" fillId="22" applyFill="true">
      <alignment horizontal="center" vertical="center"/>
    </xf>
    <xf fontId="2110" applyFont="true" borderId="8" applyBorder="true" applyNumberFormat="true" numFmtId="1" fillId="22" applyFill="true">
      <alignment horizontal="center" vertical="center"/>
    </xf>
    <xf fontId="2111" applyFont="true" borderId="8" applyBorder="true" applyNumberFormat="true" numFmtId="1" fillId="22" applyFill="true">
      <alignment horizontal="center" vertical="center"/>
    </xf>
    <xf fontId="2112" applyFont="true" borderId="8" applyBorder="true" applyNumberFormat="true" numFmtId="1" fillId="22" applyFill="true">
      <alignment horizontal="center" vertical="center"/>
    </xf>
    <xf fontId="2113" applyFont="true" borderId="8" applyBorder="true" applyNumberFormat="true" numFmtId="1" fillId="22" applyFill="true">
      <alignment horizontal="center" vertical="center"/>
    </xf>
    <xf fontId="2114" applyFont="true" borderId="8" applyBorder="true" applyNumberFormat="true" numFmtId="1" fillId="22" applyFill="true">
      <alignment horizontal="center" vertical="center"/>
    </xf>
    <xf fontId="2115" applyFont="true" borderId="8" applyBorder="true" applyNumberFormat="true" numFmtId="1" fillId="22" applyFill="true">
      <alignment horizontal="center" vertical="center"/>
    </xf>
    <xf fontId="2116" applyFont="true" borderId="8" applyBorder="true" applyNumberFormat="true" numFmtId="1" fillId="22" applyFill="true">
      <alignment horizontal="center" vertical="center"/>
    </xf>
    <xf fontId="2117" applyFont="true" borderId="8" applyBorder="true" applyNumberFormat="true" numFmtId="165" fillId="22" applyFill="true">
      <alignment horizontal="center" vertical="center"/>
    </xf>
    <xf fontId="2118" applyFont="true" borderId="8" applyBorder="true" applyNumberFormat="true" numFmtId="165" fillId="22" applyFill="true">
      <alignment horizontal="center" vertical="center"/>
    </xf>
    <xf fontId="2119" applyFont="true" borderId="8" applyBorder="true" applyNumberFormat="true" numFmtId="1" fillId="22" applyFill="true">
      <alignment horizontal="center" vertical="center"/>
    </xf>
    <xf fontId="2120" applyFont="true" borderId="8" applyBorder="true" applyNumberFormat="true" numFmtId="1" fillId="22" applyFill="true">
      <alignment horizontal="center" vertical="center"/>
    </xf>
    <xf fontId="2121" applyFont="true" borderId="8" applyBorder="true" applyNumberFormat="true" numFmtId="1" fillId="22" applyFill="true">
      <alignment horizontal="center" vertical="center"/>
    </xf>
    <xf fontId="2122" applyFont="true" borderId="8" applyBorder="true" applyNumberFormat="true" numFmtId="167" fillId="22" applyFill="true">
      <alignment horizontal="center" vertical="center"/>
    </xf>
    <xf fontId="2123" applyFont="true" borderId="8" applyBorder="true" applyNumberFormat="true" numFmtId="1" fillId="22" applyFill="true">
      <alignment horizontal="center" vertical="center"/>
    </xf>
    <xf fontId="2124" applyFont="true" borderId="8" applyBorder="true" applyNumberFormat="true" numFmtId="167" fillId="22" applyFill="true">
      <alignment horizontal="center" vertical="center"/>
    </xf>
    <xf fontId="2125" applyFont="true" borderId="8" applyBorder="true" applyNumberFormat="true" numFmtId="1" fillId="22" applyFill="true">
      <alignment horizontal="center" vertical="center"/>
    </xf>
    <xf fontId="2126" applyFont="true" borderId="8" applyBorder="true" applyNumberFormat="true" numFmtId="167" fillId="22" applyFill="true">
      <alignment horizontal="center" vertical="center"/>
    </xf>
    <xf fontId="2127" applyFont="true" borderId="8" applyBorder="true" applyNumberFormat="true" numFmtId="1" fillId="22" applyFill="true">
      <alignment horizontal="center" vertical="center"/>
    </xf>
    <xf fontId="2128" applyFont="true" borderId="8" applyBorder="true" applyNumberFormat="true" numFmtId="167" fillId="22" applyFill="true">
      <alignment horizontal="center" vertical="center"/>
    </xf>
    <xf fontId="2129" applyFont="true" borderId="8" applyBorder="true" applyNumberFormat="true" numFmtId="167" fillId="22" applyFill="true">
      <alignment horizontal="center" vertical="center"/>
    </xf>
    <xf fontId="2130" applyFont="true" borderId="8" applyBorder="true" applyNumberFormat="true" numFmtId="1" fillId="22" applyFill="true">
      <alignment horizontal="center" vertical="center"/>
    </xf>
    <xf fontId="2131" applyFont="true" borderId="8" applyBorder="true" applyNumberFormat="true" numFmtId="1" fillId="22" applyFill="true">
      <alignment horizontal="center" vertical="center"/>
    </xf>
    <xf fontId="2132" applyFont="true" borderId="8" applyBorder="true" applyNumberFormat="true" numFmtId="1" fillId="22" applyFill="true">
      <alignment horizontal="center" vertical="center"/>
    </xf>
    <xf fontId="2133" applyFont="true" borderId="8" applyBorder="true" applyNumberFormat="true" numFmtId="167" fillId="22" applyFill="true">
      <alignment horizontal="center" vertical="center"/>
    </xf>
    <xf fontId="2134" applyFont="true" borderId="8" applyBorder="true" applyNumberFormat="true" numFmtId="166" fillId="22" applyFill="true">
      <alignment horizontal="center" vertical="center"/>
    </xf>
    <xf fontId="2135" applyFont="true" borderId="8" applyBorder="true" applyNumberFormat="true" numFmtId="166" fillId="22" applyFill="true">
      <alignment horizontal="center" vertical="center"/>
    </xf>
    <xf fontId="2136" applyFont="true" borderId="8" applyBorder="true" applyNumberFormat="true" numFmtId="1" fillId="22" applyFill="true">
      <alignment horizontal="center" vertical="center"/>
    </xf>
    <xf fontId="2137" applyFont="true" borderId="8" applyBorder="true" applyNumberFormat="true" numFmtId="1" fillId="22" applyFill="true">
      <alignment horizontal="center" vertical="center"/>
    </xf>
    <xf fontId="2138" applyFont="true" borderId="8" applyBorder="true" applyNumberFormat="true" numFmtId="1" fillId="22" applyFill="true">
      <alignment horizontal="center" vertical="center"/>
    </xf>
    <xf fontId="2139" applyFont="true" borderId="8" applyBorder="true" applyNumberFormat="true" numFmtId="167" fillId="22" applyFill="true">
      <alignment horizontal="center" vertical="center"/>
    </xf>
    <xf fontId="2140" applyFont="true" borderId="8" applyBorder="true" applyNumberFormat="true" numFmtId="1" fillId="22" applyFill="true">
      <alignment horizontal="center" vertical="center"/>
    </xf>
    <xf fontId="2141" applyFont="true" borderId="8" applyBorder="true" applyNumberFormat="true" numFmtId="167" fillId="22" applyFill="true">
      <alignment horizontal="center" vertical="center"/>
    </xf>
    <xf fontId="2142" applyFont="true" borderId="8" applyBorder="true" applyNumberFormat="true" numFmtId="1" fillId="22" applyFill="true">
      <alignment horizontal="center" vertical="center"/>
    </xf>
    <xf fontId="2143" applyFont="true" borderId="8" applyBorder="true" applyNumberFormat="true" numFmtId="1" fillId="22" applyFill="true">
      <alignment horizontal="center" vertical="center"/>
    </xf>
    <xf fontId="2144" applyFont="true" borderId="8" applyBorder="true" applyNumberFormat="true" numFmtId="1" fillId="22" applyFill="true">
      <alignment horizontal="center" vertical="center"/>
    </xf>
    <xf fontId="2145" applyFont="true" borderId="8" applyBorder="true" applyNumberFormat="true" numFmtId="1" fillId="22" applyFill="true">
      <alignment horizontal="center" vertical="center"/>
    </xf>
    <xf fontId="2146" applyFont="true" borderId="8" applyBorder="true" applyNumberFormat="true" numFmtId="167" fillId="22" applyFill="true">
      <alignment horizontal="center" vertical="center"/>
    </xf>
    <xf fontId="2147" applyFont="true" borderId="8" applyBorder="true" applyNumberFormat="true" numFmtId="1" fillId="22" applyFill="true">
      <alignment horizontal="center" vertical="center"/>
    </xf>
    <xf fontId="2148" applyFont="true" borderId="8" applyBorder="true" applyNumberFormat="true" numFmtId="167" fillId="22" applyFill="true">
      <alignment horizontal="center" vertical="center"/>
    </xf>
    <xf fontId="2149" applyFont="true" borderId="8" applyBorder="true" applyNumberFormat="true" numFmtId="1" fillId="22" applyFill="true">
      <alignment horizontal="center" vertical="center"/>
    </xf>
    <xf fontId="2150" applyFont="true" borderId="8" applyBorder="true" applyNumberFormat="true" numFmtId="167" fillId="22" applyFill="true">
      <alignment horizontal="center" vertical="center"/>
    </xf>
    <xf fontId="2151" applyFont="true" borderId="8" applyBorder="true" applyNumberFormat="true" numFmtId="2" fillId="22" applyFill="true">
      <alignment horizontal="center" vertical="center"/>
    </xf>
    <xf fontId="2152" applyFont="true" borderId="8" applyBorder="true" applyNumberFormat="true" numFmtId="2" fillId="22" applyFill="true">
      <alignment horizontal="center" vertical="center"/>
    </xf>
    <xf fontId="2153" applyFont="true" borderId="8" applyBorder="true" applyNumberFormat="true" numFmtId="2" fillId="22" applyFill="true">
      <alignment horizontal="center" vertical="center"/>
    </xf>
    <xf fontId="2154" applyFont="true" borderId="8" applyBorder="true" applyNumberFormat="true" numFmtId="2" fillId="22" applyFill="true">
      <alignment horizontal="center" vertical="center"/>
    </xf>
    <xf fontId="2155" applyFont="true" borderId="8" applyBorder="true" applyNumberFormat="true" numFmtId="2" fillId="22" applyFill="true">
      <alignment horizontal="center" vertical="center"/>
    </xf>
    <xf fontId="2156" applyFont="true" borderId="8" applyBorder="true" applyNumberFormat="true" numFmtId="2" fillId="22" applyFill="true">
      <alignment horizontal="center" vertical="center"/>
    </xf>
    <xf fontId="2157" applyFont="true" borderId="8" applyBorder="true" applyNumberFormat="true" numFmtId="2" fillId="22" applyFill="true">
      <alignment horizontal="center" vertical="center"/>
    </xf>
    <xf fontId="2158" applyFont="true" borderId="8" applyBorder="true" applyNumberFormat="true" numFmtId="2" fillId="22" applyFill="true">
      <alignment horizontal="center" vertical="center"/>
    </xf>
    <xf fontId="2159" applyFont="true" borderId="8" applyBorder="true" applyNumberFormat="true" numFmtId="2" fillId="22" applyFill="true">
      <alignment horizontal="center" vertical="center"/>
    </xf>
    <xf fontId="2160" applyFont="true" borderId="8" applyBorder="true" applyNumberFormat="true" numFmtId="2" fillId="22" applyFill="true">
      <alignment horizontal="center" vertical="center"/>
    </xf>
    <xf fontId="2161" applyFont="true" borderId="8" applyBorder="true" applyNumberFormat="true" numFmtId="2" fillId="22" applyFill="true">
      <alignment horizontal="center" vertical="center"/>
    </xf>
    <xf fontId="2162" applyFont="true" borderId="8" applyBorder="true" applyNumberFormat="true" numFmtId="2" fillId="22" applyFill="true">
      <alignment horizontal="center" vertical="center"/>
    </xf>
    <xf fontId="2163" applyFont="true" borderId="8" applyBorder="true" applyNumberFormat="true" numFmtId="2" fillId="22" applyFill="true">
      <alignment horizontal="center" vertical="center"/>
    </xf>
    <xf fontId="2164" applyFont="true" borderId="8" applyBorder="true" applyNumberFormat="true" numFmtId="2" fillId="22" applyFill="true">
      <alignment horizontal="center" vertical="center"/>
    </xf>
    <xf fontId="2165" applyFont="true" borderId="8" applyBorder="true" applyNumberFormat="true" numFmtId="2" fillId="22" applyFill="true">
      <alignment horizontal="center" vertical="center"/>
    </xf>
    <xf fontId="2166" applyFont="true" borderId="8" applyBorder="true" applyNumberFormat="true" numFmtId="2" fillId="22" applyFill="true">
      <alignment horizontal="center" vertical="center"/>
    </xf>
    <xf fontId="2167" applyFont="true" borderId="8" applyBorder="true" applyNumberFormat="true" numFmtId="2" fillId="22" applyFill="true">
      <alignment horizontal="center" vertical="center"/>
    </xf>
    <xf fontId="2168" applyFont="true" borderId="8" applyBorder="true" applyNumberFormat="true" numFmtId="2" fillId="22" applyFill="true">
      <alignment horizontal="center" vertical="center"/>
    </xf>
    <xf fontId="2169" applyFont="true" borderId="8" applyBorder="true" applyNumberFormat="true" numFmtId="2" fillId="22" applyFill="true">
      <alignment horizontal="center" vertical="center"/>
    </xf>
    <xf fontId="2170" applyFont="true" borderId="8" applyBorder="true" applyNumberFormat="true" numFmtId="2" fillId="22" applyFill="true">
      <alignment horizontal="center" vertical="center"/>
    </xf>
    <xf fontId="2171" applyFont="true" borderId="8" applyBorder="true" applyNumberFormat="true" numFmtId="2" fillId="22" applyFill="true">
      <alignment horizontal="center" vertical="center"/>
    </xf>
    <xf fontId="2172" applyFont="true" borderId="8" applyBorder="true" applyNumberFormat="true" numFmtId="2" fillId="22" applyFill="true">
      <alignment horizontal="center" vertical="center"/>
    </xf>
    <xf fontId="2173" applyFont="true" borderId="8" applyBorder="true" applyNumberFormat="true" numFmtId="2" fillId="22" applyFill="true">
      <alignment horizontal="center" vertical="center"/>
    </xf>
    <xf fontId="2174" applyFont="true" borderId="8" applyBorder="true" applyNumberFormat="true" numFmtId="2" fillId="22" applyFill="true">
      <alignment horizontal="center" vertical="center"/>
    </xf>
    <xf fontId="2175" applyFont="true" borderId="8" applyBorder="true" applyNumberFormat="true" numFmtId="2" fillId="22" applyFill="true">
      <alignment horizontal="center" vertical="center"/>
    </xf>
    <xf fontId="2176" applyFont="true" borderId="8" applyBorder="true" applyNumberFormat="true" numFmtId="2" fillId="22" applyFill="true">
      <alignment horizontal="center" vertical="center"/>
    </xf>
    <xf fontId="2177" applyFont="true" borderId="8" applyBorder="true" applyNumberFormat="true" numFmtId="2" fillId="22" applyFill="true">
      <alignment horizontal="center" vertical="center"/>
    </xf>
    <xf fontId="2178" applyFont="true" borderId="8" applyBorder="true" applyNumberFormat="true" numFmtId="2" fillId="22" applyFill="true">
      <alignment horizontal="center" vertical="center"/>
    </xf>
    <xf fontId="2179" applyFont="true" borderId="8" applyBorder="true" applyNumberFormat="true" numFmtId="2" fillId="22" applyFill="true">
      <alignment horizontal="center" vertical="center"/>
    </xf>
    <xf fontId="2180" applyFont="true" borderId="8" applyBorder="true" applyNumberFormat="true" numFmtId="2" fillId="22" applyFill="true">
      <alignment horizontal="center" vertical="center"/>
    </xf>
    <xf fontId="2181" applyFont="true" borderId="8" applyBorder="true" applyNumberFormat="true" numFmtId="2" fillId="22" applyFill="true">
      <alignment horizontal="center" vertical="center"/>
    </xf>
    <xf fontId="2182" applyFont="true" borderId="8" applyBorder="true" applyNumberFormat="true" numFmtId="2" fillId="22" applyFill="true">
      <alignment horizontal="center" vertical="center"/>
    </xf>
    <xf fontId="2183" applyFont="true" borderId="8" applyBorder="true" applyNumberFormat="true" numFmtId="2" fillId="22" applyFill="true">
      <alignment horizontal="center" vertical="center"/>
    </xf>
    <xf fontId="2184" applyFont="true" borderId="8" applyBorder="true" applyNumberFormat="true" numFmtId="2" fillId="22" applyFill="true">
      <alignment horizontal="center" vertical="center"/>
    </xf>
    <xf fontId="2185" applyFont="true" borderId="8" applyBorder="true" applyNumberFormat="true" numFmtId="165" fillId="19" applyFill="true">
      <alignment horizontal="left" vertical="center"/>
    </xf>
    <xf fontId="2186" applyFont="true" borderId="8" applyBorder="true" applyNumberFormat="true" numFmtId="165" fillId="22" applyFill="true">
      <alignment horizontal="center" vertical="center"/>
    </xf>
    <xf fontId="2187" applyFont="true" borderId="8" applyBorder="true" applyNumberFormat="true" numFmtId="166" fillId="22" applyFill="true">
      <alignment horizontal="center" vertical="center"/>
    </xf>
    <xf fontId="2188" applyFont="true" borderId="8" applyBorder="true" applyNumberFormat="true" numFmtId="1" fillId="22" applyFill="true">
      <alignment horizontal="center" vertical="center"/>
    </xf>
    <xf fontId="2189" applyFont="true" borderId="8" applyBorder="true" applyNumberFormat="true" numFmtId="1" fillId="22" applyFill="true">
      <alignment horizontal="center" vertical="center"/>
    </xf>
    <xf fontId="2190" applyFont="true" borderId="8" applyBorder="true" applyNumberFormat="true" numFmtId="1" fillId="22" applyFill="true">
      <alignment horizontal="center" vertical="center"/>
    </xf>
    <xf fontId="2191" applyFont="true" borderId="8" applyBorder="true" applyNumberFormat="true" numFmtId="1" fillId="22" applyFill="true">
      <alignment horizontal="center" vertical="center"/>
    </xf>
    <xf fontId="2192" applyFont="true" borderId="8" applyBorder="true" applyNumberFormat="true" numFmtId="1" fillId="22" applyFill="true">
      <alignment horizontal="center" vertical="center"/>
    </xf>
    <xf fontId="2193" applyFont="true" borderId="8" applyBorder="true" applyNumberFormat="true" numFmtId="1" fillId="22" applyFill="true">
      <alignment horizontal="center" vertical="center"/>
    </xf>
    <xf fontId="2194" applyFont="true" borderId="8" applyBorder="true" applyNumberFormat="true" numFmtId="1" fillId="22" applyFill="true">
      <alignment horizontal="center" vertical="center"/>
    </xf>
    <xf fontId="2195" applyFont="true" borderId="8" applyBorder="true" applyNumberFormat="true" numFmtId="165" fillId="22" applyFill="true">
      <alignment horizontal="center" vertical="center"/>
    </xf>
    <xf fontId="2196" applyFont="true" borderId="8" applyBorder="true" applyNumberFormat="true" numFmtId="165" fillId="22" applyFill="true">
      <alignment horizontal="center" vertical="center"/>
    </xf>
    <xf fontId="2197" applyFont="true" borderId="8" applyBorder="true" applyNumberFormat="true" numFmtId="1" fillId="22" applyFill="true">
      <alignment horizontal="center" vertical="center"/>
    </xf>
    <xf fontId="2198" applyFont="true" borderId="8" applyBorder="true" applyNumberFormat="true" numFmtId="1" fillId="22" applyFill="true">
      <alignment horizontal="center" vertical="center"/>
    </xf>
    <xf fontId="2199" applyFont="true" borderId="8" applyBorder="true" applyNumberFormat="true" numFmtId="1" fillId="22" applyFill="true">
      <alignment horizontal="center" vertical="center"/>
    </xf>
    <xf fontId="2200" applyFont="true" borderId="8" applyBorder="true" applyNumberFormat="true" numFmtId="167" fillId="22" applyFill="true">
      <alignment horizontal="center" vertical="center"/>
    </xf>
    <xf fontId="2201" applyFont="true" borderId="8" applyBorder="true" applyNumberFormat="true" numFmtId="1" fillId="22" applyFill="true">
      <alignment horizontal="center" vertical="center"/>
    </xf>
    <xf fontId="2202" applyFont="true" borderId="8" applyBorder="true" applyNumberFormat="true" numFmtId="167" fillId="22" applyFill="true">
      <alignment horizontal="center" vertical="center"/>
    </xf>
    <xf fontId="2203" applyFont="true" borderId="8" applyBorder="true" applyNumberFormat="true" numFmtId="1" fillId="22" applyFill="true">
      <alignment horizontal="center" vertical="center"/>
    </xf>
    <xf fontId="2204" applyFont="true" borderId="8" applyBorder="true" applyNumberFormat="true" numFmtId="167" fillId="22" applyFill="true">
      <alignment horizontal="center" vertical="center"/>
    </xf>
    <xf fontId="2205" applyFont="true" borderId="8" applyBorder="true" applyNumberFormat="true" numFmtId="1" fillId="22" applyFill="true">
      <alignment horizontal="center" vertical="center"/>
    </xf>
    <xf fontId="2206" applyFont="true" borderId="8" applyBorder="true" applyNumberFormat="true" numFmtId="167" fillId="22" applyFill="true">
      <alignment horizontal="center" vertical="center"/>
    </xf>
    <xf fontId="2207" applyFont="true" borderId="8" applyBorder="true" applyNumberFormat="true" numFmtId="167" fillId="22" applyFill="true">
      <alignment horizontal="center" vertical="center"/>
    </xf>
    <xf fontId="2208" applyFont="true" borderId="8" applyBorder="true" applyNumberFormat="true" numFmtId="1" fillId="22" applyFill="true">
      <alignment horizontal="center" vertical="center"/>
    </xf>
    <xf fontId="2209" applyFont="true" borderId="8" applyBorder="true" applyNumberFormat="true" numFmtId="1" fillId="22" applyFill="true">
      <alignment horizontal="center" vertical="center"/>
    </xf>
    <xf fontId="2210" applyFont="true" borderId="8" applyBorder="true" applyNumberFormat="true" numFmtId="1" fillId="22" applyFill="true">
      <alignment horizontal="center" vertical="center"/>
    </xf>
    <xf fontId="2211" applyFont="true" borderId="8" applyBorder="true" applyNumberFormat="true" numFmtId="167" fillId="22" applyFill="true">
      <alignment horizontal="center" vertical="center"/>
    </xf>
    <xf fontId="2212" applyFont="true" borderId="8" applyBorder="true" applyNumberFormat="true" numFmtId="166" fillId="22" applyFill="true">
      <alignment horizontal="center" vertical="center"/>
    </xf>
    <xf fontId="2213" applyFont="true" borderId="8" applyBorder="true" applyNumberFormat="true" numFmtId="166" fillId="22" applyFill="true">
      <alignment horizontal="center" vertical="center"/>
    </xf>
    <xf fontId="2214" applyFont="true" borderId="8" applyBorder="true" applyNumberFormat="true" numFmtId="1" fillId="22" applyFill="true">
      <alignment horizontal="center" vertical="center"/>
    </xf>
    <xf fontId="2215" applyFont="true" borderId="8" applyBorder="true" applyNumberFormat="true" numFmtId="1" fillId="22" applyFill="true">
      <alignment horizontal="center" vertical="center"/>
    </xf>
    <xf fontId="2216" applyFont="true" borderId="8" applyBorder="true" applyNumberFormat="true" numFmtId="1" fillId="22" applyFill="true">
      <alignment horizontal="center" vertical="center"/>
    </xf>
    <xf fontId="2217" applyFont="true" borderId="8" applyBorder="true" applyNumberFormat="true" numFmtId="167" fillId="22" applyFill="true">
      <alignment horizontal="center" vertical="center"/>
    </xf>
    <xf fontId="2218" applyFont="true" borderId="8" applyBorder="true" applyNumberFormat="true" numFmtId="1" fillId="22" applyFill="true">
      <alignment horizontal="center" vertical="center"/>
    </xf>
    <xf fontId="2219" applyFont="true" borderId="8" applyBorder="true" applyNumberFormat="true" numFmtId="167" fillId="22" applyFill="true">
      <alignment horizontal="center" vertical="center"/>
    </xf>
    <xf fontId="2220" applyFont="true" borderId="8" applyBorder="true" applyNumberFormat="true" numFmtId="1" fillId="22" applyFill="true">
      <alignment horizontal="center" vertical="center"/>
    </xf>
    <xf fontId="2221" applyFont="true" borderId="8" applyBorder="true" applyNumberFormat="true" numFmtId="1" fillId="22" applyFill="true">
      <alignment horizontal="center" vertical="center"/>
    </xf>
    <xf fontId="2222" applyFont="true" borderId="8" applyBorder="true" applyNumberFormat="true" numFmtId="1" fillId="22" applyFill="true">
      <alignment horizontal="center" vertical="center"/>
    </xf>
    <xf fontId="2223" applyFont="true" borderId="8" applyBorder="true" applyNumberFormat="true" numFmtId="1" fillId="22" applyFill="true">
      <alignment horizontal="center" vertical="center"/>
    </xf>
    <xf fontId="2224" applyFont="true" borderId="8" applyBorder="true" applyNumberFormat="true" numFmtId="167" fillId="22" applyFill="true">
      <alignment horizontal="center" vertical="center"/>
    </xf>
    <xf fontId="2225" applyFont="true" borderId="8" applyBorder="true" applyNumberFormat="true" numFmtId="1" fillId="22" applyFill="true">
      <alignment horizontal="center" vertical="center"/>
    </xf>
    <xf fontId="2226" applyFont="true" borderId="8" applyBorder="true" applyNumberFormat="true" numFmtId="167" fillId="22" applyFill="true">
      <alignment horizontal="center" vertical="center"/>
    </xf>
    <xf fontId="2227" applyFont="true" borderId="8" applyBorder="true" applyNumberFormat="true" numFmtId="1" fillId="22" applyFill="true">
      <alignment horizontal="center" vertical="center"/>
    </xf>
    <xf fontId="2228" applyFont="true" borderId="8" applyBorder="true" applyNumberFormat="true" numFmtId="167" fillId="22" applyFill="true">
      <alignment horizontal="center" vertical="center"/>
    </xf>
    <xf fontId="2229" applyFont="true" borderId="8" applyBorder="true" applyNumberFormat="true" numFmtId="2" fillId="22" applyFill="true">
      <alignment horizontal="center" vertical="center"/>
    </xf>
    <xf fontId="2230" applyFont="true" borderId="8" applyBorder="true" applyNumberFormat="true" numFmtId="2" fillId="22" applyFill="true">
      <alignment horizontal="center" vertical="center"/>
    </xf>
    <xf fontId="2231" applyFont="true" borderId="8" applyBorder="true" applyNumberFormat="true" numFmtId="2" fillId="22" applyFill="true">
      <alignment horizontal="center" vertical="center"/>
    </xf>
    <xf fontId="2232" applyFont="true" borderId="8" applyBorder="true" applyNumberFormat="true" numFmtId="2" fillId="22" applyFill="true">
      <alignment horizontal="center" vertical="center"/>
    </xf>
    <xf fontId="2233" applyFont="true" borderId="8" applyBorder="true" applyNumberFormat="true" numFmtId="2" fillId="22" applyFill="true">
      <alignment horizontal="center" vertical="center"/>
    </xf>
    <xf fontId="2234" applyFont="true" borderId="8" applyBorder="true" applyNumberFormat="true" numFmtId="2" fillId="22" applyFill="true">
      <alignment horizontal="center" vertical="center"/>
    </xf>
    <xf fontId="2235" applyFont="true" borderId="8" applyBorder="true" applyNumberFormat="true" numFmtId="2" fillId="22" applyFill="true">
      <alignment horizontal="center" vertical="center"/>
    </xf>
    <xf fontId="2236" applyFont="true" borderId="8" applyBorder="true" applyNumberFormat="true" numFmtId="2" fillId="22" applyFill="true">
      <alignment horizontal="center" vertical="center"/>
    </xf>
    <xf fontId="2237" applyFont="true" borderId="8" applyBorder="true" applyNumberFormat="true" numFmtId="2" fillId="22" applyFill="true">
      <alignment horizontal="center" vertical="center"/>
    </xf>
    <xf fontId="2238" applyFont="true" borderId="8" applyBorder="true" applyNumberFormat="true" numFmtId="2" fillId="22" applyFill="true">
      <alignment horizontal="center" vertical="center"/>
    </xf>
    <xf fontId="2239" applyFont="true" borderId="8" applyBorder="true" applyNumberFormat="true" numFmtId="2" fillId="22" applyFill="true">
      <alignment horizontal="center" vertical="center"/>
    </xf>
    <xf fontId="2240" applyFont="true" borderId="8" applyBorder="true" applyNumberFormat="true" numFmtId="2" fillId="22" applyFill="true">
      <alignment horizontal="center" vertical="center"/>
    </xf>
    <xf fontId="2241" applyFont="true" borderId="8" applyBorder="true" applyNumberFormat="true" numFmtId="2" fillId="22" applyFill="true">
      <alignment horizontal="center" vertical="center"/>
    </xf>
    <xf fontId="2242" applyFont="true" borderId="8" applyBorder="true" applyNumberFormat="true" numFmtId="2" fillId="22" applyFill="true">
      <alignment horizontal="center" vertical="center"/>
    </xf>
    <xf fontId="2243" applyFont="true" borderId="8" applyBorder="true" applyNumberFormat="true" numFmtId="2" fillId="22" applyFill="true">
      <alignment horizontal="center" vertical="center"/>
    </xf>
    <xf fontId="2244" applyFont="true" borderId="8" applyBorder="true" applyNumberFormat="true" numFmtId="2" fillId="22" applyFill="true">
      <alignment horizontal="center" vertical="center"/>
    </xf>
    <xf fontId="2245" applyFont="true" borderId="8" applyBorder="true" applyNumberFormat="true" numFmtId="2" fillId="22" applyFill="true">
      <alignment horizontal="center" vertical="center"/>
    </xf>
    <xf fontId="2246" applyFont="true" borderId="8" applyBorder="true" applyNumberFormat="true" numFmtId="2" fillId="22" applyFill="true">
      <alignment horizontal="center" vertical="center"/>
    </xf>
    <xf fontId="2247" applyFont="true" borderId="8" applyBorder="true" applyNumberFormat="true" numFmtId="2" fillId="22" applyFill="true">
      <alignment horizontal="center" vertical="center"/>
    </xf>
    <xf fontId="2248" applyFont="true" borderId="8" applyBorder="true" applyNumberFormat="true" numFmtId="2" fillId="22" applyFill="true">
      <alignment horizontal="center" vertical="center"/>
    </xf>
    <xf fontId="2249" applyFont="true" borderId="8" applyBorder="true" applyNumberFormat="true" numFmtId="2" fillId="22" applyFill="true">
      <alignment horizontal="center" vertical="center"/>
    </xf>
    <xf fontId="2250" applyFont="true" borderId="8" applyBorder="true" applyNumberFormat="true" numFmtId="2" fillId="22" applyFill="true">
      <alignment horizontal="center" vertical="center"/>
    </xf>
    <xf fontId="2251" applyFont="true" borderId="8" applyBorder="true" applyNumberFormat="true" numFmtId="2" fillId="22" applyFill="true">
      <alignment horizontal="center" vertical="center"/>
    </xf>
    <xf fontId="2252" applyFont="true" borderId="8" applyBorder="true" applyNumberFormat="true" numFmtId="2" fillId="22" applyFill="true">
      <alignment horizontal="center" vertical="center"/>
    </xf>
    <xf fontId="2253" applyFont="true" borderId="8" applyBorder="true" applyNumberFormat="true" numFmtId="2" fillId="22" applyFill="true">
      <alignment horizontal="center" vertical="center"/>
    </xf>
    <xf fontId="2254" applyFont="true" borderId="8" applyBorder="true" applyNumberFormat="true" numFmtId="2" fillId="22" applyFill="true">
      <alignment horizontal="center" vertical="center"/>
    </xf>
    <xf fontId="2255" applyFont="true" borderId="8" applyBorder="true" applyNumberFormat="true" numFmtId="2" fillId="22" applyFill="true">
      <alignment horizontal="center" vertical="center"/>
    </xf>
    <xf fontId="2256" applyFont="true" borderId="8" applyBorder="true" applyNumberFormat="true" numFmtId="2" fillId="22" applyFill="true">
      <alignment horizontal="center" vertical="center"/>
    </xf>
    <xf fontId="2257" applyFont="true" borderId="8" applyBorder="true" applyNumberFormat="true" numFmtId="2" fillId="22" applyFill="true">
      <alignment horizontal="center" vertical="center"/>
    </xf>
    <xf fontId="2258" applyFont="true" borderId="8" applyBorder="true" applyNumberFormat="true" numFmtId="2" fillId="22" applyFill="true">
      <alignment horizontal="center" vertical="center"/>
    </xf>
    <xf fontId="2259" applyFont="true" borderId="8" applyBorder="true" applyNumberFormat="true" numFmtId="2" fillId="22" applyFill="true">
      <alignment horizontal="center" vertical="center"/>
    </xf>
    <xf fontId="2260" applyFont="true" borderId="8" applyBorder="true" applyNumberFormat="true" numFmtId="2" fillId="22" applyFill="true">
      <alignment horizontal="center" vertical="center"/>
    </xf>
    <xf fontId="2261" applyFont="true" borderId="8" applyBorder="true" applyNumberFormat="true" numFmtId="2" fillId="22" applyFill="true">
      <alignment horizontal="center" vertical="center"/>
    </xf>
    <xf fontId="2262" applyFont="true" borderId="8" applyBorder="true" applyNumberFormat="true" numFmtId="2" fillId="22" applyFill="true">
      <alignment horizontal="center" vertical="center"/>
    </xf>
    <xf fontId="2263" applyFont="true" borderId="8" applyBorder="true" applyNumberFormat="true" numFmtId="165" fillId="19" applyFill="true">
      <alignment horizontal="left" vertical="center"/>
    </xf>
    <xf fontId="2264" applyFont="true" borderId="8" applyBorder="true" applyNumberFormat="true" numFmtId="165" fillId="22" applyFill="true">
      <alignment horizontal="center" vertical="center"/>
    </xf>
    <xf fontId="2265" applyFont="true" borderId="8" applyBorder="true" applyNumberFormat="true" numFmtId="166" fillId="22" applyFill="true">
      <alignment horizontal="center" vertical="center"/>
    </xf>
    <xf fontId="2266" applyFont="true" borderId="8" applyBorder="true" applyNumberFormat="true" numFmtId="1" fillId="22" applyFill="true">
      <alignment horizontal="center" vertical="center"/>
    </xf>
    <xf fontId="2267" applyFont="true" borderId="8" applyBorder="true" applyNumberFormat="true" numFmtId="1" fillId="22" applyFill="true">
      <alignment horizontal="center" vertical="center"/>
    </xf>
    <xf fontId="2268" applyFont="true" borderId="8" applyBorder="true" applyNumberFormat="true" numFmtId="1" fillId="22" applyFill="true">
      <alignment horizontal="center" vertical="center"/>
    </xf>
    <xf fontId="2269" applyFont="true" borderId="8" applyBorder="true" applyNumberFormat="true" numFmtId="1" fillId="22" applyFill="true">
      <alignment horizontal="center" vertical="center"/>
    </xf>
    <xf fontId="2270" applyFont="true" borderId="8" applyBorder="true" applyNumberFormat="true" numFmtId="1" fillId="22" applyFill="true">
      <alignment horizontal="center" vertical="center"/>
    </xf>
    <xf fontId="2271" applyFont="true" borderId="8" applyBorder="true" applyNumberFormat="true" numFmtId="1" fillId="22" applyFill="true">
      <alignment horizontal="center" vertical="center"/>
    </xf>
    <xf fontId="2272" applyFont="true" borderId="8" applyBorder="true" applyNumberFormat="true" numFmtId="1" fillId="22" applyFill="true">
      <alignment horizontal="center" vertical="center"/>
    </xf>
    <xf fontId="2273" applyFont="true" borderId="8" applyBorder="true" applyNumberFormat="true" numFmtId="165" fillId="22" applyFill="true">
      <alignment horizontal="center" vertical="center"/>
    </xf>
    <xf fontId="2274" applyFont="true" borderId="8" applyBorder="true" applyNumberFormat="true" numFmtId="165" fillId="22" applyFill="true">
      <alignment horizontal="center" vertical="center"/>
    </xf>
    <xf fontId="2275" applyFont="true" borderId="8" applyBorder="true" applyNumberFormat="true" numFmtId="1" fillId="22" applyFill="true">
      <alignment horizontal="center" vertical="center"/>
    </xf>
    <xf fontId="2276" applyFont="true" borderId="8" applyBorder="true" applyNumberFormat="true" numFmtId="1" fillId="22" applyFill="true">
      <alignment horizontal="center" vertical="center"/>
    </xf>
    <xf fontId="2277" applyFont="true" borderId="8" applyBorder="true" applyNumberFormat="true" numFmtId="1" fillId="22" applyFill="true">
      <alignment horizontal="center" vertical="center"/>
    </xf>
    <xf fontId="2278" applyFont="true" borderId="8" applyBorder="true" applyNumberFormat="true" numFmtId="167" fillId="22" applyFill="true">
      <alignment horizontal="center" vertical="center"/>
    </xf>
    <xf fontId="2279" applyFont="true" borderId="8" applyBorder="true" applyNumberFormat="true" numFmtId="1" fillId="22" applyFill="true">
      <alignment horizontal="center" vertical="center"/>
    </xf>
    <xf fontId="2280" applyFont="true" borderId="8" applyBorder="true" applyNumberFormat="true" numFmtId="167" fillId="22" applyFill="true">
      <alignment horizontal="center" vertical="center"/>
    </xf>
    <xf fontId="2281" applyFont="true" borderId="8" applyBorder="true" applyNumberFormat="true" numFmtId="1" fillId="22" applyFill="true">
      <alignment horizontal="center" vertical="center"/>
    </xf>
    <xf fontId="2282" applyFont="true" borderId="8" applyBorder="true" applyNumberFormat="true" numFmtId="167" fillId="22" applyFill="true">
      <alignment horizontal="center" vertical="center"/>
    </xf>
    <xf fontId="2283" applyFont="true" borderId="8" applyBorder="true" applyNumberFormat="true" numFmtId="1" fillId="22" applyFill="true">
      <alignment horizontal="center" vertical="center"/>
    </xf>
    <xf fontId="2284" applyFont="true" borderId="8" applyBorder="true" applyNumberFormat="true" numFmtId="167" fillId="22" applyFill="true">
      <alignment horizontal="center" vertical="center"/>
    </xf>
    <xf fontId="2285" applyFont="true" borderId="8" applyBorder="true" applyNumberFormat="true" numFmtId="167" fillId="22" applyFill="true">
      <alignment horizontal="center" vertical="center"/>
    </xf>
    <xf fontId="2286" applyFont="true" borderId="8" applyBorder="true" applyNumberFormat="true" numFmtId="1" fillId="22" applyFill="true">
      <alignment horizontal="center" vertical="center"/>
    </xf>
    <xf fontId="2287" applyFont="true" borderId="8" applyBorder="true" applyNumberFormat="true" numFmtId="1" fillId="22" applyFill="true">
      <alignment horizontal="center" vertical="center"/>
    </xf>
    <xf fontId="2288" applyFont="true" borderId="8" applyBorder="true" applyNumberFormat="true" numFmtId="1" fillId="22" applyFill="true">
      <alignment horizontal="center" vertical="center"/>
    </xf>
    <xf fontId="2289" applyFont="true" borderId="8" applyBorder="true" applyNumberFormat="true" numFmtId="167" fillId="22" applyFill="true">
      <alignment horizontal="center" vertical="center"/>
    </xf>
    <xf fontId="2290" applyFont="true" borderId="8" applyBorder="true" applyNumberFormat="true" numFmtId="166" fillId="22" applyFill="true">
      <alignment horizontal="center" vertical="center"/>
    </xf>
    <xf fontId="2291" applyFont="true" borderId="8" applyBorder="true" applyNumberFormat="true" numFmtId="166" fillId="22" applyFill="true">
      <alignment horizontal="center" vertical="center"/>
    </xf>
    <xf fontId="2292" applyFont="true" borderId="8" applyBorder="true" applyNumberFormat="true" numFmtId="1" fillId="22" applyFill="true">
      <alignment horizontal="center" vertical="center"/>
    </xf>
    <xf fontId="2293" applyFont="true" borderId="8" applyBorder="true" applyNumberFormat="true" numFmtId="1" fillId="22" applyFill="true">
      <alignment horizontal="center" vertical="center"/>
    </xf>
    <xf fontId="2294" applyFont="true" borderId="8" applyBorder="true" applyNumberFormat="true" numFmtId="1" fillId="22" applyFill="true">
      <alignment horizontal="center" vertical="center"/>
    </xf>
    <xf fontId="2295" applyFont="true" borderId="8" applyBorder="true" applyNumberFormat="true" numFmtId="167" fillId="22" applyFill="true">
      <alignment horizontal="center" vertical="center"/>
    </xf>
    <xf fontId="2296" applyFont="true" borderId="8" applyBorder="true" applyNumberFormat="true" numFmtId="1" fillId="22" applyFill="true">
      <alignment horizontal="center" vertical="center"/>
    </xf>
    <xf fontId="2297" applyFont="true" borderId="8" applyBorder="true" applyNumberFormat="true" numFmtId="167" fillId="22" applyFill="true">
      <alignment horizontal="center" vertical="center"/>
    </xf>
    <xf fontId="2298" applyFont="true" borderId="8" applyBorder="true" applyNumberFormat="true" numFmtId="1" fillId="22" applyFill="true">
      <alignment horizontal="center" vertical="center"/>
    </xf>
    <xf fontId="2299" applyFont="true" borderId="8" applyBorder="true" applyNumberFormat="true" numFmtId="1" fillId="22" applyFill="true">
      <alignment horizontal="center" vertical="center"/>
    </xf>
    <xf fontId="2300" applyFont="true" borderId="8" applyBorder="true" applyNumberFormat="true" numFmtId="1" fillId="22" applyFill="true">
      <alignment horizontal="center" vertical="center"/>
    </xf>
    <xf fontId="2301" applyFont="true" borderId="8" applyBorder="true" applyNumberFormat="true" numFmtId="1" fillId="22" applyFill="true">
      <alignment horizontal="center" vertical="center"/>
    </xf>
    <xf fontId="2302" applyFont="true" borderId="8" applyBorder="true" applyNumberFormat="true" numFmtId="167" fillId="22" applyFill="true">
      <alignment horizontal="center" vertical="center"/>
    </xf>
    <xf fontId="2303" applyFont="true" borderId="8" applyBorder="true" applyNumberFormat="true" numFmtId="1" fillId="22" applyFill="true">
      <alignment horizontal="center" vertical="center"/>
    </xf>
    <xf fontId="2304" applyFont="true" borderId="8" applyBorder="true" applyNumberFormat="true" numFmtId="167" fillId="22" applyFill="true">
      <alignment horizontal="center" vertical="center"/>
    </xf>
    <xf fontId="2305" applyFont="true" borderId="8" applyBorder="true" applyNumberFormat="true" numFmtId="1" fillId="22" applyFill="true">
      <alignment horizontal="center" vertical="center"/>
    </xf>
    <xf fontId="2306" applyFont="true" borderId="8" applyBorder="true" applyNumberFormat="true" numFmtId="167" fillId="22" applyFill="true">
      <alignment horizontal="center" vertical="center"/>
    </xf>
    <xf fontId="2307" applyFont="true" borderId="8" applyBorder="true" applyNumberFormat="true" numFmtId="2" fillId="22" applyFill="true">
      <alignment horizontal="center" vertical="center"/>
    </xf>
    <xf fontId="2308" applyFont="true" borderId="8" applyBorder="true" applyNumberFormat="true" numFmtId="2" fillId="22" applyFill="true">
      <alignment horizontal="center" vertical="center"/>
    </xf>
    <xf fontId="2309" applyFont="true" borderId="8" applyBorder="true" applyNumberFormat="true" numFmtId="2" fillId="22" applyFill="true">
      <alignment horizontal="center" vertical="center"/>
    </xf>
    <xf fontId="2310" applyFont="true" borderId="8" applyBorder="true" applyNumberFormat="true" numFmtId="2" fillId="22" applyFill="true">
      <alignment horizontal="center" vertical="center"/>
    </xf>
    <xf fontId="2311" applyFont="true" borderId="8" applyBorder="true" applyNumberFormat="true" numFmtId="2" fillId="22" applyFill="true">
      <alignment horizontal="center" vertical="center"/>
    </xf>
    <xf fontId="2312" applyFont="true" borderId="8" applyBorder="true" applyNumberFormat="true" numFmtId="2" fillId="22" applyFill="true">
      <alignment horizontal="center" vertical="center"/>
    </xf>
    <xf fontId="2313" applyFont="true" borderId="8" applyBorder="true" applyNumberFormat="true" numFmtId="2" fillId="22" applyFill="true">
      <alignment horizontal="center" vertical="center"/>
    </xf>
    <xf fontId="2314" applyFont="true" borderId="8" applyBorder="true" applyNumberFormat="true" numFmtId="2" fillId="22" applyFill="true">
      <alignment horizontal="center" vertical="center"/>
    </xf>
    <xf fontId="2315" applyFont="true" borderId="8" applyBorder="true" applyNumberFormat="true" numFmtId="2" fillId="22" applyFill="true">
      <alignment horizontal="center" vertical="center"/>
    </xf>
    <xf fontId="2316" applyFont="true" borderId="8" applyBorder="true" applyNumberFormat="true" numFmtId="2" fillId="22" applyFill="true">
      <alignment horizontal="center" vertical="center"/>
    </xf>
    <xf fontId="2317" applyFont="true" borderId="8" applyBorder="true" applyNumberFormat="true" numFmtId="2" fillId="22" applyFill="true">
      <alignment horizontal="center" vertical="center"/>
    </xf>
    <xf fontId="2318" applyFont="true" borderId="8" applyBorder="true" applyNumberFormat="true" numFmtId="2" fillId="22" applyFill="true">
      <alignment horizontal="center" vertical="center"/>
    </xf>
    <xf fontId="2319" applyFont="true" borderId="8" applyBorder="true" applyNumberFormat="true" numFmtId="2" fillId="22" applyFill="true">
      <alignment horizontal="center" vertical="center"/>
    </xf>
    <xf fontId="2320" applyFont="true" borderId="8" applyBorder="true" applyNumberFormat="true" numFmtId="2" fillId="22" applyFill="true">
      <alignment horizontal="center" vertical="center"/>
    </xf>
    <xf fontId="2321" applyFont="true" borderId="8" applyBorder="true" applyNumberFormat="true" numFmtId="2" fillId="22" applyFill="true">
      <alignment horizontal="center" vertical="center"/>
    </xf>
    <xf fontId="2322" applyFont="true" borderId="8" applyBorder="true" applyNumberFormat="true" numFmtId="2" fillId="22" applyFill="true">
      <alignment horizontal="center" vertical="center"/>
    </xf>
    <xf fontId="2323" applyFont="true" borderId="8" applyBorder="true" applyNumberFormat="true" numFmtId="2" fillId="22" applyFill="true">
      <alignment horizontal="center" vertical="center"/>
    </xf>
    <xf fontId="2324" applyFont="true" borderId="8" applyBorder="true" applyNumberFormat="true" numFmtId="2" fillId="22" applyFill="true">
      <alignment horizontal="center" vertical="center"/>
    </xf>
    <xf fontId="2325" applyFont="true" borderId="8" applyBorder="true" applyNumberFormat="true" numFmtId="2" fillId="22" applyFill="true">
      <alignment horizontal="center" vertical="center"/>
    </xf>
    <xf fontId="2326" applyFont="true" borderId="8" applyBorder="true" applyNumberFormat="true" numFmtId="2" fillId="22" applyFill="true">
      <alignment horizontal="center" vertical="center"/>
    </xf>
    <xf fontId="2327" applyFont="true" borderId="8" applyBorder="true" applyNumberFormat="true" numFmtId="2" fillId="22" applyFill="true">
      <alignment horizontal="center" vertical="center"/>
    </xf>
    <xf fontId="2328" applyFont="true" borderId="8" applyBorder="true" applyNumberFormat="true" numFmtId="2" fillId="22" applyFill="true">
      <alignment horizontal="center" vertical="center"/>
    </xf>
    <xf fontId="2329" applyFont="true" borderId="8" applyBorder="true" applyNumberFormat="true" numFmtId="2" fillId="22" applyFill="true">
      <alignment horizontal="center" vertical="center"/>
    </xf>
    <xf fontId="2330" applyFont="true" borderId="8" applyBorder="true" applyNumberFormat="true" numFmtId="2" fillId="22" applyFill="true">
      <alignment horizontal="center" vertical="center"/>
    </xf>
    <xf fontId="2331" applyFont="true" borderId="8" applyBorder="true" applyNumberFormat="true" numFmtId="2" fillId="22" applyFill="true">
      <alignment horizontal="center" vertical="center"/>
    </xf>
    <xf fontId="2332" applyFont="true" borderId="8" applyBorder="true" applyNumberFormat="true" numFmtId="2" fillId="22" applyFill="true">
      <alignment horizontal="center" vertical="center"/>
    </xf>
    <xf fontId="2333" applyFont="true" borderId="8" applyBorder="true" applyNumberFormat="true" numFmtId="2" fillId="22" applyFill="true">
      <alignment horizontal="center" vertical="center"/>
    </xf>
    <xf fontId="2334" applyFont="true" borderId="8" applyBorder="true" applyNumberFormat="true" numFmtId="2" fillId="22" applyFill="true">
      <alignment horizontal="center" vertical="center"/>
    </xf>
    <xf fontId="2335" applyFont="true" borderId="8" applyBorder="true" applyNumberFormat="true" numFmtId="2" fillId="22" applyFill="true">
      <alignment horizontal="center" vertical="center"/>
    </xf>
    <xf fontId="2336" applyFont="true" borderId="8" applyBorder="true" applyNumberFormat="true" numFmtId="2" fillId="22" applyFill="true">
      <alignment horizontal="center" vertical="center"/>
    </xf>
    <xf fontId="2337" applyFont="true" borderId="8" applyBorder="true" applyNumberFormat="true" numFmtId="2" fillId="22" applyFill="true">
      <alignment horizontal="center" vertical="center"/>
    </xf>
    <xf fontId="2338" applyFont="true" borderId="8" applyBorder="true" applyNumberFormat="true" numFmtId="2" fillId="22" applyFill="true">
      <alignment horizontal="center" vertical="center"/>
    </xf>
    <xf fontId="2339" applyFont="true" borderId="8" applyBorder="true" applyNumberFormat="true" numFmtId="2" fillId="22" applyFill="true">
      <alignment horizontal="center" vertical="center"/>
    </xf>
    <xf fontId="2340" applyFont="true" borderId="8" applyBorder="true" applyNumberFormat="true" numFmtId="2" fillId="22" applyFill="true">
      <alignment horizontal="center" vertical="center"/>
    </xf>
    <xf fontId="2341" applyFont="true" borderId="8" applyBorder="true" applyNumberFormat="true" numFmtId="165" fillId="19" applyFill="true">
      <alignment horizontal="left" vertical="center"/>
    </xf>
    <xf fontId="2342" applyFont="true" borderId="8" applyBorder="true" applyNumberFormat="true" numFmtId="165" fillId="22" applyFill="true">
      <alignment horizontal="center" vertical="center"/>
    </xf>
    <xf fontId="2343" applyFont="true" borderId="8" applyBorder="true" applyNumberFormat="true" numFmtId="166" fillId="22" applyFill="true">
      <alignment horizontal="center" vertical="center"/>
    </xf>
    <xf fontId="2344" applyFont="true" borderId="8" applyBorder="true" applyNumberFormat="true" numFmtId="1" fillId="22" applyFill="true">
      <alignment horizontal="center" vertical="center"/>
    </xf>
    <xf fontId="2345" applyFont="true" borderId="8" applyBorder="true" applyNumberFormat="true" numFmtId="1" fillId="22" applyFill="true">
      <alignment horizontal="center" vertical="center"/>
    </xf>
    <xf fontId="2346" applyFont="true" borderId="8" applyBorder="true" applyNumberFormat="true" numFmtId="1" fillId="22" applyFill="true">
      <alignment horizontal="center" vertical="center"/>
    </xf>
    <xf fontId="2347" applyFont="true" borderId="8" applyBorder="true" applyNumberFormat="true" numFmtId="1" fillId="22" applyFill="true">
      <alignment horizontal="center" vertical="center"/>
    </xf>
    <xf fontId="2348" applyFont="true" borderId="8" applyBorder="true" applyNumberFormat="true" numFmtId="1" fillId="22" applyFill="true">
      <alignment horizontal="center" vertical="center"/>
    </xf>
    <xf fontId="2349" applyFont="true" borderId="8" applyBorder="true" applyNumberFormat="true" numFmtId="1" fillId="22" applyFill="true">
      <alignment horizontal="center" vertical="center"/>
    </xf>
    <xf fontId="2350" applyFont="true" borderId="8" applyBorder="true" applyNumberFormat="true" numFmtId="1" fillId="22" applyFill="true">
      <alignment horizontal="center" vertical="center"/>
    </xf>
    <xf fontId="2351" applyFont="true" borderId="8" applyBorder="true" applyNumberFormat="true" numFmtId="165" fillId="22" applyFill="true">
      <alignment horizontal="center" vertical="center"/>
    </xf>
    <xf fontId="2352" applyFont="true" borderId="8" applyBorder="true" applyNumberFormat="true" numFmtId="165" fillId="22" applyFill="true">
      <alignment horizontal="center" vertical="center"/>
    </xf>
    <xf fontId="2353" applyFont="true" borderId="8" applyBorder="true" applyNumberFormat="true" numFmtId="1" fillId="22" applyFill="true">
      <alignment horizontal="center" vertical="center"/>
    </xf>
    <xf fontId="2354" applyFont="true" borderId="8" applyBorder="true" applyNumberFormat="true" numFmtId="1" fillId="22" applyFill="true">
      <alignment horizontal="center" vertical="center"/>
    </xf>
    <xf fontId="2355" applyFont="true" borderId="8" applyBorder="true" applyNumberFormat="true" numFmtId="1" fillId="22" applyFill="true">
      <alignment horizontal="center" vertical="center"/>
    </xf>
    <xf fontId="2356" applyFont="true" borderId="8" applyBorder="true" applyNumberFormat="true" numFmtId="167" fillId="22" applyFill="true">
      <alignment horizontal="center" vertical="center"/>
    </xf>
    <xf fontId="2357" applyFont="true" borderId="8" applyBorder="true" applyNumberFormat="true" numFmtId="1" fillId="22" applyFill="true">
      <alignment horizontal="center" vertical="center"/>
    </xf>
    <xf fontId="2358" applyFont="true" borderId="8" applyBorder="true" applyNumberFormat="true" numFmtId="167" fillId="22" applyFill="true">
      <alignment horizontal="center" vertical="center"/>
    </xf>
    <xf fontId="2359" applyFont="true" borderId="8" applyBorder="true" applyNumberFormat="true" numFmtId="1" fillId="22" applyFill="true">
      <alignment horizontal="center" vertical="center"/>
    </xf>
    <xf fontId="2360" applyFont="true" borderId="8" applyBorder="true" applyNumberFormat="true" numFmtId="167" fillId="22" applyFill="true">
      <alignment horizontal="center" vertical="center"/>
    </xf>
    <xf fontId="2361" applyFont="true" borderId="8" applyBorder="true" applyNumberFormat="true" numFmtId="1" fillId="22" applyFill="true">
      <alignment horizontal="center" vertical="center"/>
    </xf>
    <xf fontId="2362" applyFont="true" borderId="8" applyBorder="true" applyNumberFormat="true" numFmtId="167" fillId="22" applyFill="true">
      <alignment horizontal="center" vertical="center"/>
    </xf>
    <xf fontId="2363" applyFont="true" borderId="8" applyBorder="true" applyNumberFormat="true" numFmtId="167" fillId="22" applyFill="true">
      <alignment horizontal="center" vertical="center"/>
    </xf>
    <xf fontId="2364" applyFont="true" borderId="8" applyBorder="true" applyNumberFormat="true" numFmtId="1" fillId="22" applyFill="true">
      <alignment horizontal="center" vertical="center"/>
    </xf>
    <xf fontId="2365" applyFont="true" borderId="8" applyBorder="true" applyNumberFormat="true" numFmtId="1" fillId="22" applyFill="true">
      <alignment horizontal="center" vertical="center"/>
    </xf>
    <xf fontId="2366" applyFont="true" borderId="8" applyBorder="true" applyNumberFormat="true" numFmtId="1" fillId="22" applyFill="true">
      <alignment horizontal="center" vertical="center"/>
    </xf>
    <xf fontId="2367" applyFont="true" borderId="8" applyBorder="true" applyNumberFormat="true" numFmtId="167" fillId="22" applyFill="true">
      <alignment horizontal="center" vertical="center"/>
    </xf>
    <xf fontId="2368" applyFont="true" borderId="8" applyBorder="true" applyNumberFormat="true" numFmtId="166" fillId="22" applyFill="true">
      <alignment horizontal="center" vertical="center"/>
    </xf>
    <xf fontId="2369" applyFont="true" borderId="8" applyBorder="true" applyNumberFormat="true" numFmtId="166" fillId="22" applyFill="true">
      <alignment horizontal="center" vertical="center"/>
    </xf>
    <xf fontId="2370" applyFont="true" borderId="8" applyBorder="true" applyNumberFormat="true" numFmtId="1" fillId="22" applyFill="true">
      <alignment horizontal="center" vertical="center"/>
    </xf>
    <xf fontId="2371" applyFont="true" borderId="8" applyBorder="true" applyNumberFormat="true" numFmtId="1" fillId="22" applyFill="true">
      <alignment horizontal="center" vertical="center"/>
    </xf>
    <xf fontId="2372" applyFont="true" borderId="8" applyBorder="true" applyNumberFormat="true" numFmtId="1" fillId="22" applyFill="true">
      <alignment horizontal="center" vertical="center"/>
    </xf>
    <xf fontId="2373" applyFont="true" borderId="8" applyBorder="true" applyNumberFormat="true" numFmtId="167" fillId="22" applyFill="true">
      <alignment horizontal="center" vertical="center"/>
    </xf>
    <xf fontId="2374" applyFont="true" borderId="8" applyBorder="true" applyNumberFormat="true" numFmtId="1" fillId="22" applyFill="true">
      <alignment horizontal="center" vertical="center"/>
    </xf>
    <xf fontId="2375" applyFont="true" borderId="8" applyBorder="true" applyNumberFormat="true" numFmtId="167" fillId="22" applyFill="true">
      <alignment horizontal="center" vertical="center"/>
    </xf>
    <xf fontId="2376" applyFont="true" borderId="8" applyBorder="true" applyNumberFormat="true" numFmtId="1" fillId="22" applyFill="true">
      <alignment horizontal="center" vertical="center"/>
    </xf>
    <xf fontId="2377" applyFont="true" borderId="8" applyBorder="true" applyNumberFormat="true" numFmtId="1" fillId="22" applyFill="true">
      <alignment horizontal="center" vertical="center"/>
    </xf>
    <xf fontId="2378" applyFont="true" borderId="8" applyBorder="true" applyNumberFormat="true" numFmtId="1" fillId="22" applyFill="true">
      <alignment horizontal="center" vertical="center"/>
    </xf>
    <xf fontId="2379" applyFont="true" borderId="8" applyBorder="true" applyNumberFormat="true" numFmtId="1" fillId="22" applyFill="true">
      <alignment horizontal="center" vertical="center"/>
    </xf>
    <xf fontId="2380" applyFont="true" borderId="8" applyBorder="true" applyNumberFormat="true" numFmtId="167" fillId="22" applyFill="true">
      <alignment horizontal="center" vertical="center"/>
    </xf>
    <xf fontId="2381" applyFont="true" borderId="8" applyBorder="true" applyNumberFormat="true" numFmtId="1" fillId="22" applyFill="true">
      <alignment horizontal="center" vertical="center"/>
    </xf>
    <xf fontId="2382" applyFont="true" borderId="8" applyBorder="true" applyNumberFormat="true" numFmtId="167" fillId="22" applyFill="true">
      <alignment horizontal="center" vertical="center"/>
    </xf>
    <xf fontId="2383" applyFont="true" borderId="8" applyBorder="true" applyNumberFormat="true" numFmtId="1" fillId="22" applyFill="true">
      <alignment horizontal="center" vertical="center"/>
    </xf>
    <xf fontId="2384" applyFont="true" borderId="8" applyBorder="true" applyNumberFormat="true" numFmtId="167" fillId="22" applyFill="true">
      <alignment horizontal="center" vertical="center"/>
    </xf>
    <xf fontId="2385" applyFont="true" borderId="8" applyBorder="true" applyNumberFormat="true" numFmtId="2" fillId="22" applyFill="true">
      <alignment horizontal="center" vertical="center"/>
    </xf>
    <xf fontId="2386" applyFont="true" borderId="8" applyBorder="true" applyNumberFormat="true" numFmtId="2" fillId="22" applyFill="true">
      <alignment horizontal="center" vertical="center"/>
    </xf>
    <xf fontId="2387" applyFont="true" borderId="8" applyBorder="true" applyNumberFormat="true" numFmtId="2" fillId="22" applyFill="true">
      <alignment horizontal="center" vertical="center"/>
    </xf>
    <xf fontId="2388" applyFont="true" borderId="8" applyBorder="true" applyNumberFormat="true" numFmtId="2" fillId="22" applyFill="true">
      <alignment horizontal="center" vertical="center"/>
    </xf>
    <xf fontId="2389" applyFont="true" borderId="8" applyBorder="true" applyNumberFormat="true" numFmtId="2" fillId="22" applyFill="true">
      <alignment horizontal="center" vertical="center"/>
    </xf>
    <xf fontId="2390" applyFont="true" borderId="8" applyBorder="true" applyNumberFormat="true" numFmtId="2" fillId="22" applyFill="true">
      <alignment horizontal="center" vertical="center"/>
    </xf>
    <xf fontId="2391" applyFont="true" borderId="8" applyBorder="true" applyNumberFormat="true" numFmtId="2" fillId="22" applyFill="true">
      <alignment horizontal="center" vertical="center"/>
    </xf>
    <xf fontId="2392" applyFont="true" borderId="8" applyBorder="true" applyNumberFormat="true" numFmtId="2" fillId="22" applyFill="true">
      <alignment horizontal="center" vertical="center"/>
    </xf>
    <xf fontId="2393" applyFont="true" borderId="8" applyBorder="true" applyNumberFormat="true" numFmtId="2" fillId="22" applyFill="true">
      <alignment horizontal="center" vertical="center"/>
    </xf>
    <xf fontId="2394" applyFont="true" borderId="8" applyBorder="true" applyNumberFormat="true" numFmtId="2" fillId="22" applyFill="true">
      <alignment horizontal="center" vertical="center"/>
    </xf>
    <xf fontId="2395" applyFont="true" borderId="8" applyBorder="true" applyNumberFormat="true" numFmtId="2" fillId="22" applyFill="true">
      <alignment horizontal="center" vertical="center"/>
    </xf>
    <xf fontId="2396" applyFont="true" borderId="8" applyBorder="true" applyNumberFormat="true" numFmtId="2" fillId="22" applyFill="true">
      <alignment horizontal="center" vertical="center"/>
    </xf>
    <xf fontId="2397" applyFont="true" borderId="8" applyBorder="true" applyNumberFormat="true" numFmtId="2" fillId="22" applyFill="true">
      <alignment horizontal="center" vertical="center"/>
    </xf>
    <xf fontId="2398" applyFont="true" borderId="8" applyBorder="true" applyNumberFormat="true" numFmtId="2" fillId="22" applyFill="true">
      <alignment horizontal="center" vertical="center"/>
    </xf>
    <xf fontId="2399" applyFont="true" borderId="8" applyBorder="true" applyNumberFormat="true" numFmtId="2" fillId="22" applyFill="true">
      <alignment horizontal="center" vertical="center"/>
    </xf>
    <xf fontId="2400" applyFont="true" borderId="8" applyBorder="true" applyNumberFormat="true" numFmtId="2" fillId="22" applyFill="true">
      <alignment horizontal="center" vertical="center"/>
    </xf>
    <xf fontId="2401" applyFont="true" borderId="8" applyBorder="true" applyNumberFormat="true" numFmtId="2" fillId="22" applyFill="true">
      <alignment horizontal="center" vertical="center"/>
    </xf>
    <xf fontId="2402" applyFont="true" borderId="8" applyBorder="true" applyNumberFormat="true" numFmtId="2" fillId="22" applyFill="true">
      <alignment horizontal="center" vertical="center"/>
    </xf>
    <xf fontId="2403" applyFont="true" borderId="8" applyBorder="true" applyNumberFormat="true" numFmtId="2" fillId="22" applyFill="true">
      <alignment horizontal="center" vertical="center"/>
    </xf>
    <xf fontId="2404" applyFont="true" borderId="8" applyBorder="true" applyNumberFormat="true" numFmtId="2" fillId="22" applyFill="true">
      <alignment horizontal="center" vertical="center"/>
    </xf>
    <xf fontId="2405" applyFont="true" borderId="8" applyBorder="true" applyNumberFormat="true" numFmtId="2" fillId="22" applyFill="true">
      <alignment horizontal="center" vertical="center"/>
    </xf>
    <xf fontId="2406" applyFont="true" borderId="8" applyBorder="true" applyNumberFormat="true" numFmtId="2" fillId="22" applyFill="true">
      <alignment horizontal="center" vertical="center"/>
    </xf>
    <xf fontId="2407" applyFont="true" borderId="8" applyBorder="true" applyNumberFormat="true" numFmtId="2" fillId="22" applyFill="true">
      <alignment horizontal="center" vertical="center"/>
    </xf>
    <xf fontId="2408" applyFont="true" borderId="8" applyBorder="true" applyNumberFormat="true" numFmtId="2" fillId="22" applyFill="true">
      <alignment horizontal="center" vertical="center"/>
    </xf>
    <xf fontId="2409" applyFont="true" borderId="8" applyBorder="true" applyNumberFormat="true" numFmtId="2" fillId="22" applyFill="true">
      <alignment horizontal="center" vertical="center"/>
    </xf>
    <xf fontId="2410" applyFont="true" borderId="8" applyBorder="true" applyNumberFormat="true" numFmtId="2" fillId="22" applyFill="true">
      <alignment horizontal="center" vertical="center"/>
    </xf>
    <xf fontId="2411" applyFont="true" borderId="8" applyBorder="true" applyNumberFormat="true" numFmtId="2" fillId="22" applyFill="true">
      <alignment horizontal="center" vertical="center"/>
    </xf>
    <xf fontId="2412" applyFont="true" borderId="8" applyBorder="true" applyNumberFormat="true" numFmtId="2" fillId="22" applyFill="true">
      <alignment horizontal="center" vertical="center"/>
    </xf>
    <xf fontId="2413" applyFont="true" borderId="8" applyBorder="true" applyNumberFormat="true" numFmtId="2" fillId="22" applyFill="true">
      <alignment horizontal="center" vertical="center"/>
    </xf>
    <xf fontId="2414" applyFont="true" borderId="8" applyBorder="true" applyNumberFormat="true" numFmtId="2" fillId="22" applyFill="true">
      <alignment horizontal="center" vertical="center"/>
    </xf>
    <xf fontId="2415" applyFont="true" borderId="8" applyBorder="true" applyNumberFormat="true" numFmtId="2" fillId="22" applyFill="true">
      <alignment horizontal="center" vertical="center"/>
    </xf>
    <xf fontId="2416" applyFont="true" borderId="8" applyBorder="true" applyNumberFormat="true" numFmtId="2" fillId="22" applyFill="true">
      <alignment horizontal="center" vertical="center"/>
    </xf>
    <xf fontId="2417" applyFont="true" borderId="8" applyBorder="true" applyNumberFormat="true" numFmtId="2" fillId="22" applyFill="true">
      <alignment horizontal="center" vertical="center"/>
    </xf>
    <xf fontId="2418" applyFont="true" borderId="8" applyBorder="true" applyNumberFormat="true" numFmtId="2" fillId="22" applyFill="true">
      <alignment horizontal="center" vertical="center"/>
    </xf>
    <xf fontId="2419" applyFont="true" borderId="8" applyBorder="true" applyNumberFormat="true" numFmtId="165" fillId="19" applyFill="true">
      <alignment horizontal="left" vertical="center"/>
    </xf>
    <xf fontId="2420" applyFont="true" borderId="8" applyBorder="true" applyNumberFormat="true" numFmtId="165" fillId="22" applyFill="true">
      <alignment horizontal="center" vertical="center"/>
    </xf>
    <xf fontId="2421" applyFont="true" borderId="8" applyBorder="true" applyNumberFormat="true" numFmtId="166" fillId="22" applyFill="true">
      <alignment horizontal="center" vertical="center"/>
    </xf>
    <xf fontId="2422" applyFont="true" borderId="8" applyBorder="true" applyNumberFormat="true" numFmtId="1" fillId="22" applyFill="true">
      <alignment horizontal="center" vertical="center"/>
    </xf>
    <xf fontId="2423" applyFont="true" borderId="8" applyBorder="true" applyNumberFormat="true" numFmtId="1" fillId="22" applyFill="true">
      <alignment horizontal="center" vertical="center"/>
    </xf>
    <xf fontId="2424" applyFont="true" borderId="8" applyBorder="true" applyNumberFormat="true" numFmtId="1" fillId="22" applyFill="true">
      <alignment horizontal="center" vertical="center"/>
    </xf>
    <xf fontId="2425" applyFont="true" borderId="8" applyBorder="true" applyNumberFormat="true" numFmtId="1" fillId="22" applyFill="true">
      <alignment horizontal="center" vertical="center"/>
    </xf>
    <xf fontId="2426" applyFont="true" borderId="8" applyBorder="true" applyNumberFormat="true" numFmtId="1" fillId="22" applyFill="true">
      <alignment horizontal="center" vertical="center"/>
    </xf>
    <xf fontId="2427" applyFont="true" borderId="8" applyBorder="true" applyNumberFormat="true" numFmtId="1" fillId="22" applyFill="true">
      <alignment horizontal="center" vertical="center"/>
    </xf>
    <xf fontId="2428" applyFont="true" borderId="8" applyBorder="true" applyNumberFormat="true" numFmtId="1" fillId="22" applyFill="true">
      <alignment horizontal="center" vertical="center"/>
    </xf>
    <xf fontId="2429" applyFont="true" borderId="8" applyBorder="true" applyNumberFormat="true" numFmtId="165" fillId="22" applyFill="true">
      <alignment horizontal="center" vertical="center"/>
    </xf>
    <xf fontId="2430" applyFont="true" borderId="8" applyBorder="true" applyNumberFormat="true" numFmtId="165" fillId="22" applyFill="true">
      <alignment horizontal="center" vertical="center"/>
    </xf>
    <xf fontId="2431" applyFont="true" borderId="8" applyBorder="true" applyNumberFormat="true" numFmtId="1" fillId="22" applyFill="true">
      <alignment horizontal="center" vertical="center"/>
    </xf>
    <xf fontId="2432" applyFont="true" borderId="8" applyBorder="true" applyNumberFormat="true" numFmtId="1" fillId="22" applyFill="true">
      <alignment horizontal="center" vertical="center"/>
    </xf>
    <xf fontId="2433" applyFont="true" borderId="8" applyBorder="true" applyNumberFormat="true" numFmtId="1" fillId="22" applyFill="true">
      <alignment horizontal="center" vertical="center"/>
    </xf>
    <xf fontId="2434" applyFont="true" borderId="8" applyBorder="true" applyNumberFormat="true" numFmtId="167" fillId="22" applyFill="true">
      <alignment horizontal="center" vertical="center"/>
    </xf>
    <xf fontId="2435" applyFont="true" borderId="8" applyBorder="true" applyNumberFormat="true" numFmtId="1" fillId="22" applyFill="true">
      <alignment horizontal="center" vertical="center"/>
    </xf>
    <xf fontId="2436" applyFont="true" borderId="8" applyBorder="true" applyNumberFormat="true" numFmtId="167" fillId="22" applyFill="true">
      <alignment horizontal="center" vertical="center"/>
    </xf>
    <xf fontId="2437" applyFont="true" borderId="8" applyBorder="true" applyNumberFormat="true" numFmtId="1" fillId="22" applyFill="true">
      <alignment horizontal="center" vertical="center"/>
    </xf>
    <xf fontId="2438" applyFont="true" borderId="8" applyBorder="true" applyNumberFormat="true" numFmtId="167" fillId="22" applyFill="true">
      <alignment horizontal="center" vertical="center"/>
    </xf>
    <xf fontId="2439" applyFont="true" borderId="8" applyBorder="true" applyNumberFormat="true" numFmtId="1" fillId="22" applyFill="true">
      <alignment horizontal="center" vertical="center"/>
    </xf>
    <xf fontId="2440" applyFont="true" borderId="8" applyBorder="true" applyNumberFormat="true" numFmtId="167" fillId="22" applyFill="true">
      <alignment horizontal="center" vertical="center"/>
    </xf>
    <xf fontId="2441" applyFont="true" borderId="8" applyBorder="true" applyNumberFormat="true" numFmtId="167" fillId="22" applyFill="true">
      <alignment horizontal="center" vertical="center"/>
    </xf>
    <xf fontId="2442" applyFont="true" borderId="8" applyBorder="true" applyNumberFormat="true" numFmtId="1" fillId="22" applyFill="true">
      <alignment horizontal="center" vertical="center"/>
    </xf>
    <xf fontId="2443" applyFont="true" borderId="8" applyBorder="true" applyNumberFormat="true" numFmtId="1" fillId="22" applyFill="true">
      <alignment horizontal="center" vertical="center"/>
    </xf>
    <xf fontId="2444" applyFont="true" borderId="8" applyBorder="true" applyNumberFormat="true" numFmtId="1" fillId="22" applyFill="true">
      <alignment horizontal="center" vertical="center"/>
    </xf>
    <xf fontId="2445" applyFont="true" borderId="8" applyBorder="true" applyNumberFormat="true" numFmtId="167" fillId="22" applyFill="true">
      <alignment horizontal="center" vertical="center"/>
    </xf>
    <xf fontId="2446" applyFont="true" borderId="8" applyBorder="true" applyNumberFormat="true" numFmtId="166" fillId="22" applyFill="true">
      <alignment horizontal="center" vertical="center"/>
    </xf>
    <xf fontId="2447" applyFont="true" borderId="8" applyBorder="true" applyNumberFormat="true" numFmtId="166" fillId="22" applyFill="true">
      <alignment horizontal="center" vertical="center"/>
    </xf>
    <xf fontId="2448" applyFont="true" borderId="8" applyBorder="true" applyNumberFormat="true" numFmtId="1" fillId="22" applyFill="true">
      <alignment horizontal="center" vertical="center"/>
    </xf>
    <xf fontId="2449" applyFont="true" borderId="8" applyBorder="true" applyNumberFormat="true" numFmtId="1" fillId="22" applyFill="true">
      <alignment horizontal="center" vertical="center"/>
    </xf>
    <xf fontId="2450" applyFont="true" borderId="8" applyBorder="true" applyNumberFormat="true" numFmtId="1" fillId="22" applyFill="true">
      <alignment horizontal="center" vertical="center"/>
    </xf>
    <xf fontId="2451" applyFont="true" borderId="8" applyBorder="true" applyNumberFormat="true" numFmtId="167" fillId="22" applyFill="true">
      <alignment horizontal="center" vertical="center"/>
    </xf>
    <xf fontId="2452" applyFont="true" borderId="8" applyBorder="true" applyNumberFormat="true" numFmtId="1" fillId="22" applyFill="true">
      <alignment horizontal="center" vertical="center"/>
    </xf>
    <xf fontId="2453" applyFont="true" borderId="8" applyBorder="true" applyNumberFormat="true" numFmtId="167" fillId="22" applyFill="true">
      <alignment horizontal="center" vertical="center"/>
    </xf>
    <xf fontId="2454" applyFont="true" borderId="8" applyBorder="true" applyNumberFormat="true" numFmtId="1" fillId="22" applyFill="true">
      <alignment horizontal="center" vertical="center"/>
    </xf>
    <xf fontId="2455" applyFont="true" borderId="8" applyBorder="true" applyNumberFormat="true" numFmtId="1" fillId="22" applyFill="true">
      <alignment horizontal="center" vertical="center"/>
    </xf>
    <xf fontId="2456" applyFont="true" borderId="8" applyBorder="true" applyNumberFormat="true" numFmtId="1" fillId="22" applyFill="true">
      <alignment horizontal="center" vertical="center"/>
    </xf>
    <xf fontId="2457" applyFont="true" borderId="8" applyBorder="true" applyNumberFormat="true" numFmtId="1" fillId="22" applyFill="true">
      <alignment horizontal="center" vertical="center"/>
    </xf>
    <xf fontId="2458" applyFont="true" borderId="8" applyBorder="true" applyNumberFormat="true" numFmtId="167" fillId="22" applyFill="true">
      <alignment horizontal="center" vertical="center"/>
    </xf>
    <xf fontId="2459" applyFont="true" borderId="8" applyBorder="true" applyNumberFormat="true" numFmtId="1" fillId="22" applyFill="true">
      <alignment horizontal="center" vertical="center"/>
    </xf>
    <xf fontId="2460" applyFont="true" borderId="8" applyBorder="true" applyNumberFormat="true" numFmtId="167" fillId="22" applyFill="true">
      <alignment horizontal="center" vertical="center"/>
    </xf>
    <xf fontId="2461" applyFont="true" borderId="8" applyBorder="true" applyNumberFormat="true" numFmtId="1" fillId="22" applyFill="true">
      <alignment horizontal="center" vertical="center"/>
    </xf>
    <xf fontId="2462" applyFont="true" borderId="8" applyBorder="true" applyNumberFormat="true" numFmtId="167" fillId="22" applyFill="true">
      <alignment horizontal="center" vertical="center"/>
    </xf>
    <xf fontId="2463" applyFont="true" borderId="8" applyBorder="true" applyNumberFormat="true" numFmtId="2" fillId="22" applyFill="true">
      <alignment horizontal="center" vertical="center"/>
    </xf>
    <xf fontId="2464" applyFont="true" borderId="8" applyBorder="true" applyNumberFormat="true" numFmtId="2" fillId="22" applyFill="true">
      <alignment horizontal="center" vertical="center"/>
    </xf>
    <xf fontId="2465" applyFont="true" borderId="8" applyBorder="true" applyNumberFormat="true" numFmtId="2" fillId="22" applyFill="true">
      <alignment horizontal="center" vertical="center"/>
    </xf>
    <xf fontId="2466" applyFont="true" borderId="8" applyBorder="true" applyNumberFormat="true" numFmtId="2" fillId="22" applyFill="true">
      <alignment horizontal="center" vertical="center"/>
    </xf>
    <xf fontId="2467" applyFont="true" borderId="8" applyBorder="true" applyNumberFormat="true" numFmtId="2" fillId="22" applyFill="true">
      <alignment horizontal="center" vertical="center"/>
    </xf>
    <xf fontId="2468" applyFont="true" borderId="8" applyBorder="true" applyNumberFormat="true" numFmtId="2" fillId="22" applyFill="true">
      <alignment horizontal="center" vertical="center"/>
    </xf>
    <xf fontId="2469" applyFont="true" borderId="8" applyBorder="true" applyNumberFormat="true" numFmtId="2" fillId="22" applyFill="true">
      <alignment horizontal="center" vertical="center"/>
    </xf>
    <xf fontId="2470" applyFont="true" borderId="8" applyBorder="true" applyNumberFormat="true" numFmtId="2" fillId="22" applyFill="true">
      <alignment horizontal="center" vertical="center"/>
    </xf>
    <xf fontId="2471" applyFont="true" borderId="8" applyBorder="true" applyNumberFormat="true" numFmtId="2" fillId="22" applyFill="true">
      <alignment horizontal="center" vertical="center"/>
    </xf>
    <xf fontId="2472" applyFont="true" borderId="8" applyBorder="true" applyNumberFormat="true" numFmtId="2" fillId="22" applyFill="true">
      <alignment horizontal="center" vertical="center"/>
    </xf>
    <xf fontId="2473" applyFont="true" borderId="8" applyBorder="true" applyNumberFormat="true" numFmtId="2" fillId="22" applyFill="true">
      <alignment horizontal="center" vertical="center"/>
    </xf>
    <xf fontId="2474" applyFont="true" borderId="8" applyBorder="true" applyNumberFormat="true" numFmtId="2" fillId="22" applyFill="true">
      <alignment horizontal="center" vertical="center"/>
    </xf>
    <xf fontId="2475" applyFont="true" borderId="8" applyBorder="true" applyNumberFormat="true" numFmtId="2" fillId="22" applyFill="true">
      <alignment horizontal="center" vertical="center"/>
    </xf>
    <xf fontId="2476" applyFont="true" borderId="8" applyBorder="true" applyNumberFormat="true" numFmtId="2" fillId="22" applyFill="true">
      <alignment horizontal="center" vertical="center"/>
    </xf>
    <xf fontId="2477" applyFont="true" borderId="8" applyBorder="true" applyNumberFormat="true" numFmtId="2" fillId="22" applyFill="true">
      <alignment horizontal="center" vertical="center"/>
    </xf>
    <xf fontId="2478" applyFont="true" borderId="8" applyBorder="true" applyNumberFormat="true" numFmtId="2" fillId="22" applyFill="true">
      <alignment horizontal="center" vertical="center"/>
    </xf>
    <xf fontId="2479" applyFont="true" borderId="8" applyBorder="true" applyNumberFormat="true" numFmtId="2" fillId="22" applyFill="true">
      <alignment horizontal="center" vertical="center"/>
    </xf>
    <xf fontId="2480" applyFont="true" borderId="8" applyBorder="true" applyNumberFormat="true" numFmtId="2" fillId="22" applyFill="true">
      <alignment horizontal="center" vertical="center"/>
    </xf>
    <xf fontId="2481" applyFont="true" borderId="8" applyBorder="true" applyNumberFormat="true" numFmtId="2" fillId="22" applyFill="true">
      <alignment horizontal="center" vertical="center"/>
    </xf>
    <xf fontId="2482" applyFont="true" borderId="8" applyBorder="true" applyNumberFormat="true" numFmtId="2" fillId="22" applyFill="true">
      <alignment horizontal="center" vertical="center"/>
    </xf>
    <xf fontId="2483" applyFont="true" borderId="8" applyBorder="true" applyNumberFormat="true" numFmtId="2" fillId="22" applyFill="true">
      <alignment horizontal="center" vertical="center"/>
    </xf>
    <xf fontId="2484" applyFont="true" borderId="8" applyBorder="true" applyNumberFormat="true" numFmtId="2" fillId="22" applyFill="true">
      <alignment horizontal="center" vertical="center"/>
    </xf>
    <xf fontId="2485" applyFont="true" borderId="8" applyBorder="true" applyNumberFormat="true" numFmtId="2" fillId="22" applyFill="true">
      <alignment horizontal="center" vertical="center"/>
    </xf>
    <xf fontId="2486" applyFont="true" borderId="8" applyBorder="true" applyNumberFormat="true" numFmtId="2" fillId="22" applyFill="true">
      <alignment horizontal="center" vertical="center"/>
    </xf>
    <xf fontId="2487" applyFont="true" borderId="8" applyBorder="true" applyNumberFormat="true" numFmtId="2" fillId="22" applyFill="true">
      <alignment horizontal="center" vertical="center"/>
    </xf>
    <xf fontId="2488" applyFont="true" borderId="8" applyBorder="true" applyNumberFormat="true" numFmtId="2" fillId="22" applyFill="true">
      <alignment horizontal="center" vertical="center"/>
    </xf>
    <xf fontId="2489" applyFont="true" borderId="8" applyBorder="true" applyNumberFormat="true" numFmtId="2" fillId="22" applyFill="true">
      <alignment horizontal="center" vertical="center"/>
    </xf>
    <xf fontId="2490" applyFont="true" borderId="8" applyBorder="true" applyNumberFormat="true" numFmtId="2" fillId="22" applyFill="true">
      <alignment horizontal="center" vertical="center"/>
    </xf>
    <xf fontId="2491" applyFont="true" borderId="8" applyBorder="true" applyNumberFormat="true" numFmtId="2" fillId="22" applyFill="true">
      <alignment horizontal="center" vertical="center"/>
    </xf>
    <xf fontId="2492" applyFont="true" borderId="8" applyBorder="true" applyNumberFormat="true" numFmtId="2" fillId="22" applyFill="true">
      <alignment horizontal="center" vertical="center"/>
    </xf>
    <xf fontId="2493" applyFont="true" borderId="8" applyBorder="true" applyNumberFormat="true" numFmtId="2" fillId="22" applyFill="true">
      <alignment horizontal="center" vertical="center"/>
    </xf>
    <xf fontId="2494" applyFont="true" borderId="8" applyBorder="true" applyNumberFormat="true" numFmtId="2" fillId="22" applyFill="true">
      <alignment horizontal="center" vertical="center"/>
    </xf>
    <xf fontId="2495" applyFont="true" borderId="8" applyBorder="true" applyNumberFormat="true" numFmtId="2" fillId="22" applyFill="true">
      <alignment horizontal="center" vertical="center"/>
    </xf>
    <xf fontId="2496" applyFont="true" borderId="8" applyBorder="true" applyNumberFormat="true" numFmtId="2" fillId="22" applyFill="true">
      <alignment horizontal="center" vertical="center"/>
    </xf>
    <xf fontId="2497" applyFont="true" borderId="8" applyBorder="true" applyNumberFormat="true" numFmtId="165" fillId="19" applyFill="true">
      <alignment horizontal="left" vertical="center"/>
    </xf>
    <xf fontId="2498" applyFont="true" borderId="8" applyBorder="true" applyNumberFormat="true" numFmtId="165" fillId="22" applyFill="true">
      <alignment horizontal="center" vertical="center"/>
    </xf>
    <xf fontId="2499" applyFont="true" borderId="8" applyBorder="true" applyNumberFormat="true" numFmtId="166" fillId="22" applyFill="true">
      <alignment horizontal="center" vertical="center"/>
    </xf>
    <xf fontId="2500" applyFont="true" borderId="8" applyBorder="true" applyNumberFormat="true" numFmtId="1" fillId="22" applyFill="true">
      <alignment horizontal="center" vertical="center"/>
    </xf>
    <xf fontId="2501" applyFont="true" borderId="8" applyBorder="true" applyNumberFormat="true" numFmtId="1" fillId="22" applyFill="true">
      <alignment horizontal="center" vertical="center"/>
    </xf>
    <xf fontId="2502" applyFont="true" borderId="8" applyBorder="true" applyNumberFormat="true" numFmtId="1" fillId="22" applyFill="true">
      <alignment horizontal="center" vertical="center"/>
    </xf>
    <xf fontId="2503" applyFont="true" borderId="8" applyBorder="true" applyNumberFormat="true" numFmtId="1" fillId="22" applyFill="true">
      <alignment horizontal="center" vertical="center"/>
    </xf>
    <xf fontId="2504" applyFont="true" borderId="8" applyBorder="true" applyNumberFormat="true" numFmtId="1" fillId="22" applyFill="true">
      <alignment horizontal="center" vertical="center"/>
    </xf>
    <xf fontId="2505" applyFont="true" borderId="8" applyBorder="true" applyNumberFormat="true" numFmtId="1" fillId="22" applyFill="true">
      <alignment horizontal="center" vertical="center"/>
    </xf>
    <xf fontId="2506" applyFont="true" borderId="8" applyBorder="true" applyNumberFormat="true" numFmtId="1" fillId="22" applyFill="true">
      <alignment horizontal="center" vertical="center"/>
    </xf>
    <xf fontId="2507" applyFont="true" borderId="8" applyBorder="true" applyNumberFormat="true" numFmtId="165" fillId="22" applyFill="true">
      <alignment horizontal="center" vertical="center"/>
    </xf>
    <xf fontId="2508" applyFont="true" borderId="8" applyBorder="true" applyNumberFormat="true" numFmtId="165" fillId="22" applyFill="true">
      <alignment horizontal="center" vertical="center"/>
    </xf>
    <xf fontId="2509" applyFont="true" borderId="8" applyBorder="true" applyNumberFormat="true" numFmtId="1" fillId="22" applyFill="true">
      <alignment horizontal="center" vertical="center"/>
    </xf>
    <xf fontId="2510" applyFont="true" borderId="8" applyBorder="true" applyNumberFormat="true" numFmtId="1" fillId="22" applyFill="true">
      <alignment horizontal="center" vertical="center"/>
    </xf>
    <xf fontId="2511" applyFont="true" borderId="8" applyBorder="true" applyNumberFormat="true" numFmtId="1" fillId="22" applyFill="true">
      <alignment horizontal="center" vertical="center"/>
    </xf>
    <xf fontId="2512" applyFont="true" borderId="8" applyBorder="true" applyNumberFormat="true" numFmtId="167" fillId="22" applyFill="true">
      <alignment horizontal="center" vertical="center"/>
    </xf>
    <xf fontId="2513" applyFont="true" borderId="8" applyBorder="true" applyNumberFormat="true" numFmtId="1" fillId="22" applyFill="true">
      <alignment horizontal="center" vertical="center"/>
    </xf>
    <xf fontId="2514" applyFont="true" borderId="8" applyBorder="true" applyNumberFormat="true" numFmtId="167" fillId="22" applyFill="true">
      <alignment horizontal="center" vertical="center"/>
    </xf>
    <xf fontId="2515" applyFont="true" borderId="8" applyBorder="true" applyNumberFormat="true" numFmtId="1" fillId="22" applyFill="true">
      <alignment horizontal="center" vertical="center"/>
    </xf>
    <xf fontId="2516" applyFont="true" borderId="8" applyBorder="true" applyNumberFormat="true" numFmtId="167" fillId="22" applyFill="true">
      <alignment horizontal="center" vertical="center"/>
    </xf>
    <xf fontId="2517" applyFont="true" borderId="8" applyBorder="true" applyNumberFormat="true" numFmtId="1" fillId="22" applyFill="true">
      <alignment horizontal="center" vertical="center"/>
    </xf>
    <xf fontId="2518" applyFont="true" borderId="8" applyBorder="true" applyNumberFormat="true" numFmtId="167" fillId="22" applyFill="true">
      <alignment horizontal="center" vertical="center"/>
    </xf>
    <xf fontId="2519" applyFont="true" borderId="8" applyBorder="true" applyNumberFormat="true" numFmtId="167" fillId="22" applyFill="true">
      <alignment horizontal="center" vertical="center"/>
    </xf>
    <xf fontId="2520" applyFont="true" borderId="8" applyBorder="true" applyNumberFormat="true" numFmtId="1" fillId="22" applyFill="true">
      <alignment horizontal="center" vertical="center"/>
    </xf>
    <xf fontId="2521" applyFont="true" borderId="8" applyBorder="true" applyNumberFormat="true" numFmtId="1" fillId="22" applyFill="true">
      <alignment horizontal="center" vertical="center"/>
    </xf>
    <xf fontId="2522" applyFont="true" borderId="8" applyBorder="true" applyNumberFormat="true" numFmtId="1" fillId="22" applyFill="true">
      <alignment horizontal="center" vertical="center"/>
    </xf>
    <xf fontId="2523" applyFont="true" borderId="8" applyBorder="true" applyNumberFormat="true" numFmtId="167" fillId="22" applyFill="true">
      <alignment horizontal="center" vertical="center"/>
    </xf>
    <xf fontId="2524" applyFont="true" borderId="8" applyBorder="true" applyNumberFormat="true" numFmtId="166" fillId="22" applyFill="true">
      <alignment horizontal="center" vertical="center"/>
    </xf>
    <xf fontId="2525" applyFont="true" borderId="8" applyBorder="true" applyNumberFormat="true" numFmtId="166" fillId="22" applyFill="true">
      <alignment horizontal="center" vertical="center"/>
    </xf>
    <xf fontId="2526" applyFont="true" borderId="8" applyBorder="true" applyNumberFormat="true" numFmtId="1" fillId="22" applyFill="true">
      <alignment horizontal="center" vertical="center"/>
    </xf>
    <xf fontId="2527" applyFont="true" borderId="8" applyBorder="true" applyNumberFormat="true" numFmtId="1" fillId="22" applyFill="true">
      <alignment horizontal="center" vertical="center"/>
    </xf>
    <xf fontId="2528" applyFont="true" borderId="8" applyBorder="true" applyNumberFormat="true" numFmtId="1" fillId="22" applyFill="true">
      <alignment horizontal="center" vertical="center"/>
    </xf>
    <xf fontId="2529" applyFont="true" borderId="8" applyBorder="true" applyNumberFormat="true" numFmtId="167" fillId="22" applyFill="true">
      <alignment horizontal="center" vertical="center"/>
    </xf>
    <xf fontId="2530" applyFont="true" borderId="8" applyBorder="true" applyNumberFormat="true" numFmtId="1" fillId="22" applyFill="true">
      <alignment horizontal="center" vertical="center"/>
    </xf>
    <xf fontId="2531" applyFont="true" borderId="8" applyBorder="true" applyNumberFormat="true" numFmtId="167" fillId="22" applyFill="true">
      <alignment horizontal="center" vertical="center"/>
    </xf>
    <xf fontId="2532" applyFont="true" borderId="8" applyBorder="true" applyNumberFormat="true" numFmtId="1" fillId="22" applyFill="true">
      <alignment horizontal="center" vertical="center"/>
    </xf>
    <xf fontId="2533" applyFont="true" borderId="8" applyBorder="true" applyNumberFormat="true" numFmtId="1" fillId="22" applyFill="true">
      <alignment horizontal="center" vertical="center"/>
    </xf>
    <xf fontId="2534" applyFont="true" borderId="8" applyBorder="true" applyNumberFormat="true" numFmtId="1" fillId="22" applyFill="true">
      <alignment horizontal="center" vertical="center"/>
    </xf>
    <xf fontId="2535" applyFont="true" borderId="8" applyBorder="true" applyNumberFormat="true" numFmtId="1" fillId="22" applyFill="true">
      <alignment horizontal="center" vertical="center"/>
    </xf>
    <xf fontId="2536" applyFont="true" borderId="8" applyBorder="true" applyNumberFormat="true" numFmtId="167" fillId="22" applyFill="true">
      <alignment horizontal="center" vertical="center"/>
    </xf>
    <xf fontId="2537" applyFont="true" borderId="8" applyBorder="true" applyNumberFormat="true" numFmtId="1" fillId="22" applyFill="true">
      <alignment horizontal="center" vertical="center"/>
    </xf>
    <xf fontId="2538" applyFont="true" borderId="8" applyBorder="true" applyNumberFormat="true" numFmtId="167" fillId="22" applyFill="true">
      <alignment horizontal="center" vertical="center"/>
    </xf>
    <xf fontId="2539" applyFont="true" borderId="8" applyBorder="true" applyNumberFormat="true" numFmtId="1" fillId="22" applyFill="true">
      <alignment horizontal="center" vertical="center"/>
    </xf>
    <xf fontId="2540" applyFont="true" borderId="8" applyBorder="true" applyNumberFormat="true" numFmtId="167" fillId="22" applyFill="true">
      <alignment horizontal="center" vertical="center"/>
    </xf>
    <xf fontId="2541" applyFont="true" borderId="8" applyBorder="true" applyNumberFormat="true" numFmtId="2" fillId="22" applyFill="true">
      <alignment horizontal="center" vertical="center"/>
    </xf>
    <xf fontId="2542" applyFont="true" borderId="8" applyBorder="true" applyNumberFormat="true" numFmtId="2" fillId="22" applyFill="true">
      <alignment horizontal="center" vertical="center"/>
    </xf>
    <xf fontId="2543" applyFont="true" borderId="8" applyBorder="true" applyNumberFormat="true" numFmtId="2" fillId="22" applyFill="true">
      <alignment horizontal="center" vertical="center"/>
    </xf>
    <xf fontId="2544" applyFont="true" borderId="8" applyBorder="true" applyNumberFormat="true" numFmtId="2" fillId="22" applyFill="true">
      <alignment horizontal="center" vertical="center"/>
    </xf>
    <xf fontId="2545" applyFont="true" borderId="8" applyBorder="true" applyNumberFormat="true" numFmtId="2" fillId="22" applyFill="true">
      <alignment horizontal="center" vertical="center"/>
    </xf>
    <xf fontId="2546" applyFont="true" borderId="8" applyBorder="true" applyNumberFormat="true" numFmtId="2" fillId="22" applyFill="true">
      <alignment horizontal="center" vertical="center"/>
    </xf>
    <xf fontId="2547" applyFont="true" borderId="8" applyBorder="true" applyNumberFormat="true" numFmtId="2" fillId="22" applyFill="true">
      <alignment horizontal="center" vertical="center"/>
    </xf>
    <xf fontId="2548" applyFont="true" borderId="8" applyBorder="true" applyNumberFormat="true" numFmtId="2" fillId="22" applyFill="true">
      <alignment horizontal="center" vertical="center"/>
    </xf>
    <xf fontId="2549" applyFont="true" borderId="8" applyBorder="true" applyNumberFormat="true" numFmtId="2" fillId="22" applyFill="true">
      <alignment horizontal="center" vertical="center"/>
    </xf>
    <xf fontId="2550" applyFont="true" borderId="8" applyBorder="true" applyNumberFormat="true" numFmtId="2" fillId="22" applyFill="true">
      <alignment horizontal="center" vertical="center"/>
    </xf>
    <xf fontId="2551" applyFont="true" borderId="8" applyBorder="true" applyNumberFormat="true" numFmtId="2" fillId="22" applyFill="true">
      <alignment horizontal="center" vertical="center"/>
    </xf>
    <xf fontId="2552" applyFont="true" borderId="8" applyBorder="true" applyNumberFormat="true" numFmtId="2" fillId="22" applyFill="true">
      <alignment horizontal="center" vertical="center"/>
    </xf>
    <xf fontId="2553" applyFont="true" borderId="8" applyBorder="true" applyNumberFormat="true" numFmtId="2" fillId="22" applyFill="true">
      <alignment horizontal="center" vertical="center"/>
    </xf>
    <xf fontId="2554" applyFont="true" borderId="8" applyBorder="true" applyNumberFormat="true" numFmtId="2" fillId="22" applyFill="true">
      <alignment horizontal="center" vertical="center"/>
    </xf>
    <xf fontId="2555" applyFont="true" borderId="8" applyBorder="true" applyNumberFormat="true" numFmtId="2" fillId="22" applyFill="true">
      <alignment horizontal="center" vertical="center"/>
    </xf>
    <xf fontId="2556" applyFont="true" borderId="8" applyBorder="true" applyNumberFormat="true" numFmtId="2" fillId="22" applyFill="true">
      <alignment horizontal="center" vertical="center"/>
    </xf>
    <xf fontId="2557" applyFont="true" borderId="8" applyBorder="true" applyNumberFormat="true" numFmtId="2" fillId="22" applyFill="true">
      <alignment horizontal="center" vertical="center"/>
    </xf>
    <xf fontId="2558" applyFont="true" borderId="8" applyBorder="true" applyNumberFormat="true" numFmtId="2" fillId="22" applyFill="true">
      <alignment horizontal="center" vertical="center"/>
    </xf>
    <xf fontId="2559" applyFont="true" borderId="8" applyBorder="true" applyNumberFormat="true" numFmtId="2" fillId="22" applyFill="true">
      <alignment horizontal="center" vertical="center"/>
    </xf>
    <xf fontId="2560" applyFont="true" borderId="8" applyBorder="true" applyNumberFormat="true" numFmtId="2" fillId="22" applyFill="true">
      <alignment horizontal="center" vertical="center"/>
    </xf>
    <xf fontId="2561" applyFont="true" borderId="8" applyBorder="true" applyNumberFormat="true" numFmtId="2" fillId="22" applyFill="true">
      <alignment horizontal="center" vertical="center"/>
    </xf>
    <xf fontId="2562" applyFont="true" borderId="8" applyBorder="true" applyNumberFormat="true" numFmtId="2" fillId="22" applyFill="true">
      <alignment horizontal="center" vertical="center"/>
    </xf>
    <xf fontId="2563" applyFont="true" borderId="8" applyBorder="true" applyNumberFormat="true" numFmtId="2" fillId="22" applyFill="true">
      <alignment horizontal="center" vertical="center"/>
    </xf>
    <xf fontId="2564" applyFont="true" borderId="8" applyBorder="true" applyNumberFormat="true" numFmtId="2" fillId="22" applyFill="true">
      <alignment horizontal="center" vertical="center"/>
    </xf>
    <xf fontId="2565" applyFont="true" borderId="8" applyBorder="true" applyNumberFormat="true" numFmtId="2" fillId="22" applyFill="true">
      <alignment horizontal="center" vertical="center"/>
    </xf>
    <xf fontId="2566" applyFont="true" borderId="8" applyBorder="true" applyNumberFormat="true" numFmtId="2" fillId="22" applyFill="true">
      <alignment horizontal="center" vertical="center"/>
    </xf>
    <xf fontId="2567" applyFont="true" borderId="8" applyBorder="true" applyNumberFormat="true" numFmtId="2" fillId="22" applyFill="true">
      <alignment horizontal="center" vertical="center"/>
    </xf>
    <xf fontId="2568" applyFont="true" borderId="8" applyBorder="true" applyNumberFormat="true" numFmtId="2" fillId="22" applyFill="true">
      <alignment horizontal="center" vertical="center"/>
    </xf>
    <xf fontId="2569" applyFont="true" borderId="8" applyBorder="true" applyNumberFormat="true" numFmtId="2" fillId="22" applyFill="true">
      <alignment horizontal="center" vertical="center"/>
    </xf>
    <xf fontId="2570" applyFont="true" borderId="8" applyBorder="true" applyNumberFormat="true" numFmtId="2" fillId="22" applyFill="true">
      <alignment horizontal="center" vertical="center"/>
    </xf>
    <xf fontId="2571" applyFont="true" borderId="8" applyBorder="true" applyNumberFormat="true" numFmtId="2" fillId="22" applyFill="true">
      <alignment horizontal="center" vertical="center"/>
    </xf>
    <xf fontId="2572" applyFont="true" borderId="8" applyBorder="true" applyNumberFormat="true" numFmtId="2" fillId="22" applyFill="true">
      <alignment horizontal="center" vertical="center"/>
    </xf>
    <xf fontId="2573" applyFont="true" borderId="8" applyBorder="true" applyNumberFormat="true" numFmtId="2" fillId="22" applyFill="true">
      <alignment horizontal="center" vertical="center"/>
    </xf>
    <xf fontId="2574" applyFont="true" borderId="8" applyBorder="true" applyNumberFormat="true" numFmtId="2" fillId="22" applyFill="true">
      <alignment horizontal="center" vertical="center"/>
    </xf>
    <xf fontId="2575" applyFont="true" borderId="8" applyBorder="true" applyNumberFormat="true" numFmtId="165" fillId="19" applyFill="true">
      <alignment horizontal="left" vertical="center"/>
    </xf>
    <xf fontId="2576" applyFont="true" borderId="8" applyBorder="true" applyNumberFormat="true" numFmtId="165" fillId="22" applyFill="true">
      <alignment horizontal="center" vertical="center"/>
    </xf>
    <xf fontId="2577" applyFont="true" borderId="8" applyBorder="true" applyNumberFormat="true" numFmtId="166" fillId="22" applyFill="true">
      <alignment horizontal="center" vertical="center"/>
    </xf>
    <xf fontId="2578" applyFont="true" borderId="8" applyBorder="true" applyNumberFormat="true" numFmtId="1" fillId="22" applyFill="true">
      <alignment horizontal="center" vertical="center"/>
    </xf>
    <xf fontId="2579" applyFont="true" borderId="8" applyBorder="true" applyNumberFormat="true" numFmtId="1" fillId="22" applyFill="true">
      <alignment horizontal="center" vertical="center"/>
    </xf>
    <xf fontId="2580" applyFont="true" borderId="8" applyBorder="true" applyNumberFormat="true" numFmtId="1" fillId="22" applyFill="true">
      <alignment horizontal="center" vertical="center"/>
    </xf>
    <xf fontId="2581" applyFont="true" borderId="8" applyBorder="true" applyNumberFormat="true" numFmtId="1" fillId="22" applyFill="true">
      <alignment horizontal="center" vertical="center"/>
    </xf>
    <xf fontId="2582" applyFont="true" borderId="8" applyBorder="true" applyNumberFormat="true" numFmtId="1" fillId="22" applyFill="true">
      <alignment horizontal="center" vertical="center"/>
    </xf>
    <xf fontId="2583" applyFont="true" borderId="8" applyBorder="true" applyNumberFormat="true" numFmtId="1" fillId="22" applyFill="true">
      <alignment horizontal="center" vertical="center"/>
    </xf>
    <xf fontId="2584" applyFont="true" borderId="8" applyBorder="true" applyNumberFormat="true" numFmtId="1" fillId="22" applyFill="true">
      <alignment horizontal="center" vertical="center"/>
    </xf>
    <xf fontId="2585" applyFont="true" borderId="8" applyBorder="true" applyNumberFormat="true" numFmtId="165" fillId="22" applyFill="true">
      <alignment horizontal="center" vertical="center"/>
    </xf>
    <xf fontId="2586" applyFont="true" borderId="8" applyBorder="true" applyNumberFormat="true" numFmtId="165" fillId="22" applyFill="true">
      <alignment horizontal="center" vertical="center"/>
    </xf>
    <xf fontId="2587" applyFont="true" borderId="8" applyBorder="true" applyNumberFormat="true" numFmtId="1" fillId="22" applyFill="true">
      <alignment horizontal="center" vertical="center"/>
    </xf>
    <xf fontId="2588" applyFont="true" borderId="8" applyBorder="true" applyNumberFormat="true" numFmtId="1" fillId="22" applyFill="true">
      <alignment horizontal="center" vertical="center"/>
    </xf>
    <xf fontId="2589" applyFont="true" borderId="8" applyBorder="true" applyNumberFormat="true" numFmtId="1" fillId="22" applyFill="true">
      <alignment horizontal="center" vertical="center"/>
    </xf>
    <xf fontId="2590" applyFont="true" borderId="8" applyBorder="true" applyNumberFormat="true" numFmtId="167" fillId="22" applyFill="true">
      <alignment horizontal="center" vertical="center"/>
    </xf>
    <xf fontId="2591" applyFont="true" borderId="8" applyBorder="true" applyNumberFormat="true" numFmtId="1" fillId="22" applyFill="true">
      <alignment horizontal="center" vertical="center"/>
    </xf>
    <xf fontId="2592" applyFont="true" borderId="8" applyBorder="true" applyNumberFormat="true" numFmtId="167" fillId="22" applyFill="true">
      <alignment horizontal="center" vertical="center"/>
    </xf>
    <xf fontId="2593" applyFont="true" borderId="8" applyBorder="true" applyNumberFormat="true" numFmtId="1" fillId="22" applyFill="true">
      <alignment horizontal="center" vertical="center"/>
    </xf>
    <xf fontId="2594" applyFont="true" borderId="8" applyBorder="true" applyNumberFormat="true" numFmtId="167" fillId="22" applyFill="true">
      <alignment horizontal="center" vertical="center"/>
    </xf>
    <xf fontId="2595" applyFont="true" borderId="8" applyBorder="true" applyNumberFormat="true" numFmtId="1" fillId="22" applyFill="true">
      <alignment horizontal="center" vertical="center"/>
    </xf>
    <xf fontId="2596" applyFont="true" borderId="8" applyBorder="true" applyNumberFormat="true" numFmtId="167" fillId="22" applyFill="true">
      <alignment horizontal="center" vertical="center"/>
    </xf>
    <xf fontId="2597" applyFont="true" borderId="8" applyBorder="true" applyNumberFormat="true" numFmtId="167" fillId="22" applyFill="true">
      <alignment horizontal="center" vertical="center"/>
    </xf>
    <xf fontId="2598" applyFont="true" borderId="8" applyBorder="true" applyNumberFormat="true" numFmtId="1" fillId="22" applyFill="true">
      <alignment horizontal="center" vertical="center"/>
    </xf>
    <xf fontId="2599" applyFont="true" borderId="8" applyBorder="true" applyNumberFormat="true" numFmtId="1" fillId="22" applyFill="true">
      <alignment horizontal="center" vertical="center"/>
    </xf>
    <xf fontId="2600" applyFont="true" borderId="8" applyBorder="true" applyNumberFormat="true" numFmtId="1" fillId="22" applyFill="true">
      <alignment horizontal="center" vertical="center"/>
    </xf>
    <xf fontId="2601" applyFont="true" borderId="8" applyBorder="true" applyNumberFormat="true" numFmtId="167" fillId="22" applyFill="true">
      <alignment horizontal="center" vertical="center"/>
    </xf>
    <xf fontId="2602" applyFont="true" borderId="8" applyBorder="true" applyNumberFormat="true" numFmtId="166" fillId="22" applyFill="true">
      <alignment horizontal="center" vertical="center"/>
    </xf>
    <xf fontId="2603" applyFont="true" borderId="8" applyBorder="true" applyNumberFormat="true" numFmtId="166" fillId="22" applyFill="true">
      <alignment horizontal="center" vertical="center"/>
    </xf>
    <xf fontId="2604" applyFont="true" borderId="8" applyBorder="true" applyNumberFormat="true" numFmtId="1" fillId="22" applyFill="true">
      <alignment horizontal="center" vertical="center"/>
    </xf>
    <xf fontId="2605" applyFont="true" borderId="8" applyBorder="true" applyNumberFormat="true" numFmtId="1" fillId="22" applyFill="true">
      <alignment horizontal="center" vertical="center"/>
    </xf>
    <xf fontId="2606" applyFont="true" borderId="8" applyBorder="true" applyNumberFormat="true" numFmtId="1" fillId="22" applyFill="true">
      <alignment horizontal="center" vertical="center"/>
    </xf>
    <xf fontId="2607" applyFont="true" borderId="8" applyBorder="true" applyNumberFormat="true" numFmtId="167" fillId="22" applyFill="true">
      <alignment horizontal="center" vertical="center"/>
    </xf>
    <xf fontId="2608" applyFont="true" borderId="8" applyBorder="true" applyNumberFormat="true" numFmtId="1" fillId="22" applyFill="true">
      <alignment horizontal="center" vertical="center"/>
    </xf>
    <xf fontId="2609" applyFont="true" borderId="8" applyBorder="true" applyNumberFormat="true" numFmtId="167" fillId="22" applyFill="true">
      <alignment horizontal="center" vertical="center"/>
    </xf>
    <xf fontId="2610" applyFont="true" borderId="8" applyBorder="true" applyNumberFormat="true" numFmtId="1" fillId="22" applyFill="true">
      <alignment horizontal="center" vertical="center"/>
    </xf>
    <xf fontId="2611" applyFont="true" borderId="8" applyBorder="true" applyNumberFormat="true" numFmtId="1" fillId="22" applyFill="true">
      <alignment horizontal="center" vertical="center"/>
    </xf>
    <xf fontId="2612" applyFont="true" borderId="8" applyBorder="true" applyNumberFormat="true" numFmtId="1" fillId="22" applyFill="true">
      <alignment horizontal="center" vertical="center"/>
    </xf>
    <xf fontId="2613" applyFont="true" borderId="8" applyBorder="true" applyNumberFormat="true" numFmtId="1" fillId="22" applyFill="true">
      <alignment horizontal="center" vertical="center"/>
    </xf>
    <xf fontId="2614" applyFont="true" borderId="8" applyBorder="true" applyNumberFormat="true" numFmtId="167" fillId="22" applyFill="true">
      <alignment horizontal="center" vertical="center"/>
    </xf>
    <xf fontId="2615" applyFont="true" borderId="8" applyBorder="true" applyNumberFormat="true" numFmtId="1" fillId="22" applyFill="true">
      <alignment horizontal="center" vertical="center"/>
    </xf>
    <xf fontId="2616" applyFont="true" borderId="8" applyBorder="true" applyNumberFormat="true" numFmtId="167" fillId="22" applyFill="true">
      <alignment horizontal="center" vertical="center"/>
    </xf>
    <xf fontId="2617" applyFont="true" borderId="8" applyBorder="true" applyNumberFormat="true" numFmtId="1" fillId="22" applyFill="true">
      <alignment horizontal="center" vertical="center"/>
    </xf>
    <xf fontId="2618" applyFont="true" borderId="8" applyBorder="true" applyNumberFormat="true" numFmtId="167" fillId="22" applyFill="true">
      <alignment horizontal="center" vertical="center"/>
    </xf>
    <xf fontId="2619" applyFont="true" borderId="8" applyBorder="true" applyNumberFormat="true" numFmtId="2" fillId="22" applyFill="true">
      <alignment horizontal="center" vertical="center"/>
    </xf>
    <xf fontId="2620" applyFont="true" borderId="8" applyBorder="true" applyNumberFormat="true" numFmtId="2" fillId="22" applyFill="true">
      <alignment horizontal="center" vertical="center"/>
    </xf>
    <xf fontId="2621" applyFont="true" borderId="8" applyBorder="true" applyNumberFormat="true" numFmtId="2" fillId="22" applyFill="true">
      <alignment horizontal="center" vertical="center"/>
    </xf>
    <xf fontId="2622" applyFont="true" borderId="8" applyBorder="true" applyNumberFormat="true" numFmtId="2" fillId="22" applyFill="true">
      <alignment horizontal="center" vertical="center"/>
    </xf>
    <xf fontId="2623" applyFont="true" borderId="8" applyBorder="true" applyNumberFormat="true" numFmtId="2" fillId="22" applyFill="true">
      <alignment horizontal="center" vertical="center"/>
    </xf>
    <xf fontId="2624" applyFont="true" borderId="8" applyBorder="true" applyNumberFormat="true" numFmtId="2" fillId="22" applyFill="true">
      <alignment horizontal="center" vertical="center"/>
    </xf>
    <xf fontId="2625" applyFont="true" borderId="8" applyBorder="true" applyNumberFormat="true" numFmtId="2" fillId="22" applyFill="true">
      <alignment horizontal="center" vertical="center"/>
    </xf>
    <xf fontId="2626" applyFont="true" borderId="8" applyBorder="true" applyNumberFormat="true" numFmtId="2" fillId="22" applyFill="true">
      <alignment horizontal="center" vertical="center"/>
    </xf>
    <xf fontId="2627" applyFont="true" borderId="8" applyBorder="true" applyNumberFormat="true" numFmtId="2" fillId="22" applyFill="true">
      <alignment horizontal="center" vertical="center"/>
    </xf>
    <xf fontId="2628" applyFont="true" borderId="8" applyBorder="true" applyNumberFormat="true" numFmtId="2" fillId="22" applyFill="true">
      <alignment horizontal="center" vertical="center"/>
    </xf>
    <xf fontId="2629" applyFont="true" borderId="8" applyBorder="true" applyNumberFormat="true" numFmtId="2" fillId="22" applyFill="true">
      <alignment horizontal="center" vertical="center"/>
    </xf>
    <xf fontId="2630" applyFont="true" borderId="8" applyBorder="true" applyNumberFormat="true" numFmtId="2" fillId="22" applyFill="true">
      <alignment horizontal="center" vertical="center"/>
    </xf>
    <xf fontId="2631" applyFont="true" borderId="8" applyBorder="true" applyNumberFormat="true" numFmtId="2" fillId="22" applyFill="true">
      <alignment horizontal="center" vertical="center"/>
    </xf>
    <xf fontId="2632" applyFont="true" borderId="8" applyBorder="true" applyNumberFormat="true" numFmtId="2" fillId="22" applyFill="true">
      <alignment horizontal="center" vertical="center"/>
    </xf>
    <xf fontId="2633" applyFont="true" borderId="8" applyBorder="true" applyNumberFormat="true" numFmtId="2" fillId="22" applyFill="true">
      <alignment horizontal="center" vertical="center"/>
    </xf>
    <xf fontId="2634" applyFont="true" borderId="8" applyBorder="true" applyNumberFormat="true" numFmtId="2" fillId="22" applyFill="true">
      <alignment horizontal="center" vertical="center"/>
    </xf>
    <xf fontId="2635" applyFont="true" borderId="8" applyBorder="true" applyNumberFormat="true" numFmtId="2" fillId="22" applyFill="true">
      <alignment horizontal="center" vertical="center"/>
    </xf>
    <xf fontId="2636" applyFont="true" borderId="8" applyBorder="true" applyNumberFormat="true" numFmtId="2" fillId="22" applyFill="true">
      <alignment horizontal="center" vertical="center"/>
    </xf>
    <xf fontId="2637" applyFont="true" borderId="8" applyBorder="true" applyNumberFormat="true" numFmtId="2" fillId="22" applyFill="true">
      <alignment horizontal="center" vertical="center"/>
    </xf>
    <xf fontId="2638" applyFont="true" borderId="8" applyBorder="true" applyNumberFormat="true" numFmtId="2" fillId="22" applyFill="true">
      <alignment horizontal="center" vertical="center"/>
    </xf>
    <xf fontId="2639" applyFont="true" borderId="8" applyBorder="true" applyNumberFormat="true" numFmtId="2" fillId="22" applyFill="true">
      <alignment horizontal="center" vertical="center"/>
    </xf>
    <xf fontId="2640" applyFont="true" borderId="8" applyBorder="true" applyNumberFormat="true" numFmtId="2" fillId="22" applyFill="true">
      <alignment horizontal="center" vertical="center"/>
    </xf>
    <xf fontId="2641" applyFont="true" borderId="8" applyBorder="true" applyNumberFormat="true" numFmtId="2" fillId="22" applyFill="true">
      <alignment horizontal="center" vertical="center"/>
    </xf>
    <xf fontId="2642" applyFont="true" borderId="8" applyBorder="true" applyNumberFormat="true" numFmtId="2" fillId="22" applyFill="true">
      <alignment horizontal="center" vertical="center"/>
    </xf>
    <xf fontId="2643" applyFont="true" borderId="8" applyBorder="true" applyNumberFormat="true" numFmtId="2" fillId="22" applyFill="true">
      <alignment horizontal="center" vertical="center"/>
    </xf>
    <xf fontId="2644" applyFont="true" borderId="8" applyBorder="true" applyNumberFormat="true" numFmtId="2" fillId="22" applyFill="true">
      <alignment horizontal="center" vertical="center"/>
    </xf>
    <xf fontId="2645" applyFont="true" borderId="8" applyBorder="true" applyNumberFormat="true" numFmtId="2" fillId="22" applyFill="true">
      <alignment horizontal="center" vertical="center"/>
    </xf>
    <xf fontId="2646" applyFont="true" borderId="8" applyBorder="true" applyNumberFormat="true" numFmtId="2" fillId="22" applyFill="true">
      <alignment horizontal="center" vertical="center"/>
    </xf>
    <xf fontId="2647" applyFont="true" borderId="8" applyBorder="true" applyNumberFormat="true" numFmtId="2" fillId="22" applyFill="true">
      <alignment horizontal="center" vertical="center"/>
    </xf>
    <xf fontId="2648" applyFont="true" borderId="8" applyBorder="true" applyNumberFormat="true" numFmtId="2" fillId="22" applyFill="true">
      <alignment horizontal="center" vertical="center"/>
    </xf>
    <xf fontId="2649" applyFont="true" borderId="8" applyBorder="true" applyNumberFormat="true" numFmtId="2" fillId="22" applyFill="true">
      <alignment horizontal="center" vertical="center"/>
    </xf>
    <xf fontId="2650" applyFont="true" borderId="8" applyBorder="true" applyNumberFormat="true" numFmtId="2" fillId="22" applyFill="true">
      <alignment horizontal="center" vertical="center"/>
    </xf>
    <xf fontId="2651" applyFont="true" borderId="8" applyBorder="true" applyNumberFormat="true" numFmtId="2" fillId="22" applyFill="true">
      <alignment horizontal="center" vertical="center"/>
    </xf>
    <xf fontId="2652" applyFont="true" borderId="8" applyBorder="true" applyNumberFormat="true" numFmtId="2" fillId="22" applyFill="true">
      <alignment horizontal="center" vertical="center"/>
    </xf>
    <xf fontId="2653" applyFont="true" borderId="8" applyBorder="true" applyNumberFormat="true" numFmtId="165" fillId="19" applyFill="true">
      <alignment horizontal="left" vertical="center"/>
    </xf>
    <xf fontId="2654" applyFont="true" borderId="8" applyBorder="true" applyNumberFormat="true" numFmtId="165" fillId="22" applyFill="true">
      <alignment horizontal="center" vertical="center"/>
    </xf>
    <xf fontId="2655" applyFont="true" borderId="8" applyBorder="true" applyNumberFormat="true" numFmtId="166" fillId="22" applyFill="true">
      <alignment horizontal="center" vertical="center"/>
    </xf>
    <xf fontId="2656" applyFont="true" borderId="8" applyBorder="true" applyNumberFormat="true" numFmtId="1" fillId="22" applyFill="true">
      <alignment horizontal="center" vertical="center"/>
    </xf>
    <xf fontId="2657" applyFont="true" borderId="8" applyBorder="true" applyNumberFormat="true" numFmtId="1" fillId="22" applyFill="true">
      <alignment horizontal="center" vertical="center"/>
    </xf>
    <xf fontId="2658" applyFont="true" borderId="8" applyBorder="true" applyNumberFormat="true" numFmtId="1" fillId="22" applyFill="true">
      <alignment horizontal="center" vertical="center"/>
    </xf>
    <xf fontId="2659" applyFont="true" borderId="8" applyBorder="true" applyNumberFormat="true" numFmtId="1" fillId="22" applyFill="true">
      <alignment horizontal="center" vertical="center"/>
    </xf>
    <xf fontId="2660" applyFont="true" borderId="8" applyBorder="true" applyNumberFormat="true" numFmtId="1" fillId="22" applyFill="true">
      <alignment horizontal="center" vertical="center"/>
    </xf>
    <xf fontId="2661" applyFont="true" borderId="8" applyBorder="true" applyNumberFormat="true" numFmtId="1" fillId="22" applyFill="true">
      <alignment horizontal="center" vertical="center"/>
    </xf>
    <xf fontId="2662" applyFont="true" borderId="8" applyBorder="true" applyNumberFormat="true" numFmtId="1" fillId="22" applyFill="true">
      <alignment horizontal="center" vertical="center"/>
    </xf>
    <xf fontId="2663" applyFont="true" borderId="8" applyBorder="true" applyNumberFormat="true" numFmtId="165" fillId="22" applyFill="true">
      <alignment horizontal="center" vertical="center"/>
    </xf>
    <xf fontId="2664" applyFont="true" borderId="8" applyBorder="true" applyNumberFormat="true" numFmtId="165" fillId="22" applyFill="true">
      <alignment horizontal="center" vertical="center"/>
    </xf>
    <xf fontId="2665" applyFont="true" borderId="8" applyBorder="true" applyNumberFormat="true" numFmtId="1" fillId="22" applyFill="true">
      <alignment horizontal="center" vertical="center"/>
    </xf>
    <xf fontId="2666" applyFont="true" borderId="8" applyBorder="true" applyNumberFormat="true" numFmtId="1" fillId="22" applyFill="true">
      <alignment horizontal="center" vertical="center"/>
    </xf>
    <xf fontId="2667" applyFont="true" borderId="8" applyBorder="true" applyNumberFormat="true" numFmtId="1" fillId="22" applyFill="true">
      <alignment horizontal="center" vertical="center"/>
    </xf>
    <xf fontId="2668" applyFont="true" borderId="8" applyBorder="true" applyNumberFormat="true" numFmtId="167" fillId="22" applyFill="true">
      <alignment horizontal="center" vertical="center"/>
    </xf>
    <xf fontId="2669" applyFont="true" borderId="8" applyBorder="true" applyNumberFormat="true" numFmtId="1" fillId="22" applyFill="true">
      <alignment horizontal="center" vertical="center"/>
    </xf>
    <xf fontId="2670" applyFont="true" borderId="8" applyBorder="true" applyNumberFormat="true" numFmtId="167" fillId="22" applyFill="true">
      <alignment horizontal="center" vertical="center"/>
    </xf>
    <xf fontId="2671" applyFont="true" borderId="8" applyBorder="true" applyNumberFormat="true" numFmtId="1" fillId="22" applyFill="true">
      <alignment horizontal="center" vertical="center"/>
    </xf>
    <xf fontId="2672" applyFont="true" borderId="8" applyBorder="true" applyNumberFormat="true" numFmtId="167" fillId="22" applyFill="true">
      <alignment horizontal="center" vertical="center"/>
    </xf>
    <xf fontId="2673" applyFont="true" borderId="8" applyBorder="true" applyNumberFormat="true" numFmtId="1" fillId="22" applyFill="true">
      <alignment horizontal="center" vertical="center"/>
    </xf>
    <xf fontId="2674" applyFont="true" borderId="8" applyBorder="true" applyNumberFormat="true" numFmtId="167" fillId="22" applyFill="true">
      <alignment horizontal="center" vertical="center"/>
    </xf>
    <xf fontId="2675" applyFont="true" borderId="8" applyBorder="true" applyNumberFormat="true" numFmtId="167" fillId="22" applyFill="true">
      <alignment horizontal="center" vertical="center"/>
    </xf>
    <xf fontId="2676" applyFont="true" borderId="8" applyBorder="true" applyNumberFormat="true" numFmtId="1" fillId="22" applyFill="true">
      <alignment horizontal="center" vertical="center"/>
    </xf>
    <xf fontId="2677" applyFont="true" borderId="8" applyBorder="true" applyNumberFormat="true" numFmtId="1" fillId="22" applyFill="true">
      <alignment horizontal="center" vertical="center"/>
    </xf>
    <xf fontId="2678" applyFont="true" borderId="8" applyBorder="true" applyNumberFormat="true" numFmtId="1" fillId="22" applyFill="true">
      <alignment horizontal="center" vertical="center"/>
    </xf>
    <xf fontId="2679" applyFont="true" borderId="8" applyBorder="true" applyNumberFormat="true" numFmtId="167" fillId="22" applyFill="true">
      <alignment horizontal="center" vertical="center"/>
    </xf>
    <xf fontId="2680" applyFont="true" borderId="8" applyBorder="true" applyNumberFormat="true" numFmtId="166" fillId="22" applyFill="true">
      <alignment horizontal="center" vertical="center"/>
    </xf>
    <xf fontId="2681" applyFont="true" borderId="8" applyBorder="true" applyNumberFormat="true" numFmtId="166" fillId="22" applyFill="true">
      <alignment horizontal="center" vertical="center"/>
    </xf>
    <xf fontId="2682" applyFont="true" borderId="8" applyBorder="true" applyNumberFormat="true" numFmtId="1" fillId="22" applyFill="true">
      <alignment horizontal="center" vertical="center"/>
    </xf>
    <xf fontId="2683" applyFont="true" borderId="8" applyBorder="true" applyNumberFormat="true" numFmtId="1" fillId="22" applyFill="true">
      <alignment horizontal="center" vertical="center"/>
    </xf>
    <xf fontId="2684" applyFont="true" borderId="8" applyBorder="true" applyNumberFormat="true" numFmtId="1" fillId="22" applyFill="true">
      <alignment horizontal="center" vertical="center"/>
    </xf>
    <xf fontId="2685" applyFont="true" borderId="8" applyBorder="true" applyNumberFormat="true" numFmtId="167" fillId="22" applyFill="true">
      <alignment horizontal="center" vertical="center"/>
    </xf>
    <xf fontId="2686" applyFont="true" borderId="8" applyBorder="true" applyNumberFormat="true" numFmtId="1" fillId="22" applyFill="true">
      <alignment horizontal="center" vertical="center"/>
    </xf>
    <xf fontId="2687" applyFont="true" borderId="8" applyBorder="true" applyNumberFormat="true" numFmtId="167" fillId="22" applyFill="true">
      <alignment horizontal="center" vertical="center"/>
    </xf>
    <xf fontId="2688" applyFont="true" borderId="8" applyBorder="true" applyNumberFormat="true" numFmtId="1" fillId="22" applyFill="true">
      <alignment horizontal="center" vertical="center"/>
    </xf>
    <xf fontId="2689" applyFont="true" borderId="8" applyBorder="true" applyNumberFormat="true" numFmtId="1" fillId="22" applyFill="true">
      <alignment horizontal="center" vertical="center"/>
    </xf>
    <xf fontId="2690" applyFont="true" borderId="8" applyBorder="true" applyNumberFormat="true" numFmtId="1" fillId="22" applyFill="true">
      <alignment horizontal="center" vertical="center"/>
    </xf>
    <xf fontId="2691" applyFont="true" borderId="8" applyBorder="true" applyNumberFormat="true" numFmtId="1" fillId="22" applyFill="true">
      <alignment horizontal="center" vertical="center"/>
    </xf>
    <xf fontId="2692" applyFont="true" borderId="8" applyBorder="true" applyNumberFormat="true" numFmtId="167" fillId="22" applyFill="true">
      <alignment horizontal="center" vertical="center"/>
    </xf>
    <xf fontId="2693" applyFont="true" borderId="8" applyBorder="true" applyNumberFormat="true" numFmtId="1" fillId="22" applyFill="true">
      <alignment horizontal="center" vertical="center"/>
    </xf>
    <xf fontId="2694" applyFont="true" borderId="8" applyBorder="true" applyNumberFormat="true" numFmtId="167" fillId="22" applyFill="true">
      <alignment horizontal="center" vertical="center"/>
    </xf>
    <xf fontId="2695" applyFont="true" borderId="8" applyBorder="true" applyNumberFormat="true" numFmtId="1" fillId="22" applyFill="true">
      <alignment horizontal="center" vertical="center"/>
    </xf>
    <xf fontId="2696" applyFont="true" borderId="8" applyBorder="true" applyNumberFormat="true" numFmtId="167" fillId="22" applyFill="true">
      <alignment horizontal="center" vertical="center"/>
    </xf>
    <xf fontId="2697" applyFont="true" borderId="8" applyBorder="true" applyNumberFormat="true" numFmtId="2" fillId="22" applyFill="true">
      <alignment horizontal="center" vertical="center"/>
    </xf>
    <xf fontId="2698" applyFont="true" borderId="8" applyBorder="true" applyNumberFormat="true" numFmtId="2" fillId="22" applyFill="true">
      <alignment horizontal="center" vertical="center"/>
    </xf>
    <xf fontId="2699" applyFont="true" borderId="8" applyBorder="true" applyNumberFormat="true" numFmtId="2" fillId="22" applyFill="true">
      <alignment horizontal="center" vertical="center"/>
    </xf>
    <xf fontId="2700" applyFont="true" borderId="8" applyBorder="true" applyNumberFormat="true" numFmtId="2" fillId="22" applyFill="true">
      <alignment horizontal="center" vertical="center"/>
    </xf>
    <xf fontId="2701" applyFont="true" borderId="8" applyBorder="true" applyNumberFormat="true" numFmtId="2" fillId="22" applyFill="true">
      <alignment horizontal="center" vertical="center"/>
    </xf>
    <xf fontId="2702" applyFont="true" borderId="8" applyBorder="true" applyNumberFormat="true" numFmtId="2" fillId="22" applyFill="true">
      <alignment horizontal="center" vertical="center"/>
    </xf>
    <xf fontId="2703" applyFont="true" borderId="8" applyBorder="true" applyNumberFormat="true" numFmtId="2" fillId="22" applyFill="true">
      <alignment horizontal="center" vertical="center"/>
    </xf>
    <xf fontId="2704" applyFont="true" borderId="8" applyBorder="true" applyNumberFormat="true" numFmtId="2" fillId="22" applyFill="true">
      <alignment horizontal="center" vertical="center"/>
    </xf>
    <xf fontId="2705" applyFont="true" borderId="8" applyBorder="true" applyNumberFormat="true" numFmtId="2" fillId="22" applyFill="true">
      <alignment horizontal="center" vertical="center"/>
    </xf>
    <xf fontId="2706" applyFont="true" borderId="8" applyBorder="true" applyNumberFormat="true" numFmtId="2" fillId="22" applyFill="true">
      <alignment horizontal="center" vertical="center"/>
    </xf>
    <xf fontId="2707" applyFont="true" borderId="8" applyBorder="true" applyNumberFormat="true" numFmtId="2" fillId="22" applyFill="true">
      <alignment horizontal="center" vertical="center"/>
    </xf>
    <xf fontId="2708" applyFont="true" borderId="8" applyBorder="true" applyNumberFormat="true" numFmtId="2" fillId="22" applyFill="true">
      <alignment horizontal="center" vertical="center"/>
    </xf>
    <xf fontId="2709" applyFont="true" borderId="8" applyBorder="true" applyNumberFormat="true" numFmtId="2" fillId="22" applyFill="true">
      <alignment horizontal="center" vertical="center"/>
    </xf>
    <xf fontId="2710" applyFont="true" borderId="8" applyBorder="true" applyNumberFormat="true" numFmtId="2" fillId="22" applyFill="true">
      <alignment horizontal="center" vertical="center"/>
    </xf>
    <xf fontId="2711" applyFont="true" borderId="8" applyBorder="true" applyNumberFormat="true" numFmtId="2" fillId="22" applyFill="true">
      <alignment horizontal="center" vertical="center"/>
    </xf>
    <xf fontId="2712" applyFont="true" borderId="8" applyBorder="true" applyNumberFormat="true" numFmtId="2" fillId="22" applyFill="true">
      <alignment horizontal="center" vertical="center"/>
    </xf>
    <xf fontId="2713" applyFont="true" borderId="8" applyBorder="true" applyNumberFormat="true" numFmtId="2" fillId="22" applyFill="true">
      <alignment horizontal="center" vertical="center"/>
    </xf>
    <xf fontId="2714" applyFont="true" borderId="8" applyBorder="true" applyNumberFormat="true" numFmtId="2" fillId="22" applyFill="true">
      <alignment horizontal="center" vertical="center"/>
    </xf>
    <xf fontId="2715" applyFont="true" borderId="8" applyBorder="true" applyNumberFormat="true" numFmtId="2" fillId="22" applyFill="true">
      <alignment horizontal="center" vertical="center"/>
    </xf>
    <xf fontId="2716" applyFont="true" borderId="8" applyBorder="true" applyNumberFormat="true" numFmtId="2" fillId="22" applyFill="true">
      <alignment horizontal="center" vertical="center"/>
    </xf>
    <xf fontId="2717" applyFont="true" borderId="8" applyBorder="true" applyNumberFormat="true" numFmtId="2" fillId="22" applyFill="true">
      <alignment horizontal="center" vertical="center"/>
    </xf>
    <xf fontId="2718" applyFont="true" borderId="8" applyBorder="true" applyNumberFormat="true" numFmtId="2" fillId="22" applyFill="true">
      <alignment horizontal="center" vertical="center"/>
    </xf>
    <xf fontId="2719" applyFont="true" borderId="8" applyBorder="true" applyNumberFormat="true" numFmtId="2" fillId="22" applyFill="true">
      <alignment horizontal="center" vertical="center"/>
    </xf>
    <xf fontId="2720" applyFont="true" borderId="8" applyBorder="true" applyNumberFormat="true" numFmtId="2" fillId="22" applyFill="true">
      <alignment horizontal="center" vertical="center"/>
    </xf>
    <xf fontId="2721" applyFont="true" borderId="8" applyBorder="true" applyNumberFormat="true" numFmtId="2" fillId="22" applyFill="true">
      <alignment horizontal="center" vertical="center"/>
    </xf>
    <xf fontId="2722" applyFont="true" borderId="8" applyBorder="true" applyNumberFormat="true" numFmtId="2" fillId="22" applyFill="true">
      <alignment horizontal="center" vertical="center"/>
    </xf>
    <xf fontId="2723" applyFont="true" borderId="8" applyBorder="true" applyNumberFormat="true" numFmtId="2" fillId="22" applyFill="true">
      <alignment horizontal="center" vertical="center"/>
    </xf>
    <xf fontId="2724" applyFont="true" borderId="8" applyBorder="true" applyNumberFormat="true" numFmtId="2" fillId="22" applyFill="true">
      <alignment horizontal="center" vertical="center"/>
    </xf>
    <xf fontId="2725" applyFont="true" borderId="8" applyBorder="true" applyNumberFormat="true" numFmtId="2" fillId="22" applyFill="true">
      <alignment horizontal="center" vertical="center"/>
    </xf>
    <xf fontId="2726" applyFont="true" borderId="8" applyBorder="true" applyNumberFormat="true" numFmtId="2" fillId="22" applyFill="true">
      <alignment horizontal="center" vertical="center"/>
    </xf>
    <xf fontId="2727" applyFont="true" borderId="8" applyBorder="true" applyNumberFormat="true" numFmtId="2" fillId="22" applyFill="true">
      <alignment horizontal="center" vertical="center"/>
    </xf>
    <xf fontId="2728" applyFont="true" borderId="8" applyBorder="true" applyNumberFormat="true" numFmtId="2" fillId="22" applyFill="true">
      <alignment horizontal="center" vertical="center"/>
    </xf>
    <xf fontId="2729" applyFont="true" borderId="8" applyBorder="true" applyNumberFormat="true" numFmtId="2" fillId="22" applyFill="true">
      <alignment horizontal="center" vertical="center"/>
    </xf>
    <xf fontId="2730" applyFont="true" borderId="8" applyBorder="true" applyNumberFormat="true" numFmtId="2" fillId="22" applyFill="true">
      <alignment horizontal="center" vertical="center"/>
    </xf>
    <xf fontId="2731" applyFont="true" borderId="8" applyBorder="true" applyNumberFormat="true" numFmtId="165" fillId="19" applyFill="true">
      <alignment horizontal="left" vertical="center"/>
    </xf>
    <xf fontId="2732" applyFont="true" borderId="8" applyBorder="true" applyNumberFormat="true" numFmtId="165" fillId="22" applyFill="true">
      <alignment horizontal="center" vertical="center"/>
    </xf>
    <xf fontId="2733" applyFont="true" borderId="8" applyBorder="true" applyNumberFormat="true" numFmtId="166" fillId="22" applyFill="true">
      <alignment horizontal="center" vertical="center"/>
    </xf>
    <xf fontId="2734" applyFont="true" borderId="8" applyBorder="true" applyNumberFormat="true" numFmtId="1" fillId="22" applyFill="true">
      <alignment horizontal="center" vertical="center"/>
    </xf>
    <xf fontId="2735" applyFont="true" borderId="8" applyBorder="true" applyNumberFormat="true" numFmtId="1" fillId="22" applyFill="true">
      <alignment horizontal="center" vertical="center"/>
    </xf>
    <xf fontId="2736" applyFont="true" borderId="8" applyBorder="true" applyNumberFormat="true" numFmtId="1" fillId="22" applyFill="true">
      <alignment horizontal="center" vertical="center"/>
    </xf>
    <xf fontId="2737" applyFont="true" borderId="8" applyBorder="true" applyNumberFormat="true" numFmtId="1" fillId="22" applyFill="true">
      <alignment horizontal="center" vertical="center"/>
    </xf>
    <xf fontId="2738" applyFont="true" borderId="8" applyBorder="true" applyNumberFormat="true" numFmtId="1" fillId="22" applyFill="true">
      <alignment horizontal="center" vertical="center"/>
    </xf>
    <xf fontId="2739" applyFont="true" borderId="8" applyBorder="true" applyNumberFormat="true" numFmtId="1" fillId="22" applyFill="true">
      <alignment horizontal="center" vertical="center"/>
    </xf>
    <xf fontId="2740" applyFont="true" borderId="8" applyBorder="true" applyNumberFormat="true" numFmtId="1" fillId="22" applyFill="true">
      <alignment horizontal="center" vertical="center"/>
    </xf>
    <xf fontId="2741" applyFont="true" borderId="8" applyBorder="true" applyNumberFormat="true" numFmtId="165" fillId="22" applyFill="true">
      <alignment horizontal="center" vertical="center"/>
    </xf>
    <xf fontId="2742" applyFont="true" borderId="8" applyBorder="true" applyNumberFormat="true" numFmtId="165" fillId="22" applyFill="true">
      <alignment horizontal="center" vertical="center"/>
    </xf>
    <xf fontId="2743" applyFont="true" borderId="8" applyBorder="true" applyNumberFormat="true" numFmtId="1" fillId="22" applyFill="true">
      <alignment horizontal="center" vertical="center"/>
    </xf>
    <xf fontId="2744" applyFont="true" borderId="8" applyBorder="true" applyNumberFormat="true" numFmtId="1" fillId="22" applyFill="true">
      <alignment horizontal="center" vertical="center"/>
    </xf>
    <xf fontId="2745" applyFont="true" borderId="8" applyBorder="true" applyNumberFormat="true" numFmtId="1" fillId="22" applyFill="true">
      <alignment horizontal="center" vertical="center"/>
    </xf>
    <xf fontId="2746" applyFont="true" borderId="8" applyBorder="true" applyNumberFormat="true" numFmtId="167" fillId="22" applyFill="true">
      <alignment horizontal="center" vertical="center"/>
    </xf>
    <xf fontId="2747" applyFont="true" borderId="8" applyBorder="true" applyNumberFormat="true" numFmtId="1" fillId="22" applyFill="true">
      <alignment horizontal="center" vertical="center"/>
    </xf>
    <xf fontId="2748" applyFont="true" borderId="8" applyBorder="true" applyNumberFormat="true" numFmtId="167" fillId="22" applyFill="true">
      <alignment horizontal="center" vertical="center"/>
    </xf>
    <xf fontId="2749" applyFont="true" borderId="8" applyBorder="true" applyNumberFormat="true" numFmtId="1" fillId="22" applyFill="true">
      <alignment horizontal="center" vertical="center"/>
    </xf>
    <xf fontId="2750" applyFont="true" borderId="8" applyBorder="true" applyNumberFormat="true" numFmtId="167" fillId="22" applyFill="true">
      <alignment horizontal="center" vertical="center"/>
    </xf>
    <xf fontId="2751" applyFont="true" borderId="8" applyBorder="true" applyNumberFormat="true" numFmtId="1" fillId="22" applyFill="true">
      <alignment horizontal="center" vertical="center"/>
    </xf>
    <xf fontId="2752" applyFont="true" borderId="8" applyBorder="true" applyNumberFormat="true" numFmtId="167" fillId="22" applyFill="true">
      <alignment horizontal="center" vertical="center"/>
    </xf>
    <xf fontId="2753" applyFont="true" borderId="8" applyBorder="true" applyNumberFormat="true" numFmtId="167" fillId="22" applyFill="true">
      <alignment horizontal="center" vertical="center"/>
    </xf>
    <xf fontId="2754" applyFont="true" borderId="8" applyBorder="true" applyNumberFormat="true" numFmtId="1" fillId="22" applyFill="true">
      <alignment horizontal="center" vertical="center"/>
    </xf>
    <xf fontId="2755" applyFont="true" borderId="8" applyBorder="true" applyNumberFormat="true" numFmtId="1" fillId="22" applyFill="true">
      <alignment horizontal="center" vertical="center"/>
    </xf>
    <xf fontId="2756" applyFont="true" borderId="8" applyBorder="true" applyNumberFormat="true" numFmtId="1" fillId="22" applyFill="true">
      <alignment horizontal="center" vertical="center"/>
    </xf>
    <xf fontId="2757" applyFont="true" borderId="8" applyBorder="true" applyNumberFormat="true" numFmtId="167" fillId="22" applyFill="true">
      <alignment horizontal="center" vertical="center"/>
    </xf>
    <xf fontId="2758" applyFont="true" borderId="8" applyBorder="true" applyNumberFormat="true" numFmtId="166" fillId="22" applyFill="true">
      <alignment horizontal="center" vertical="center"/>
    </xf>
    <xf fontId="2759" applyFont="true" borderId="8" applyBorder="true" applyNumberFormat="true" numFmtId="166" fillId="22" applyFill="true">
      <alignment horizontal="center" vertical="center"/>
    </xf>
    <xf fontId="2760" applyFont="true" borderId="8" applyBorder="true" applyNumberFormat="true" numFmtId="1" fillId="22" applyFill="true">
      <alignment horizontal="center" vertical="center"/>
    </xf>
    <xf fontId="2761" applyFont="true" borderId="8" applyBorder="true" applyNumberFormat="true" numFmtId="1" fillId="22" applyFill="true">
      <alignment horizontal="center" vertical="center"/>
    </xf>
    <xf fontId="2762" applyFont="true" borderId="8" applyBorder="true" applyNumberFormat="true" numFmtId="1" fillId="22" applyFill="true">
      <alignment horizontal="center" vertical="center"/>
    </xf>
    <xf fontId="2763" applyFont="true" borderId="8" applyBorder="true" applyNumberFormat="true" numFmtId="167" fillId="22" applyFill="true">
      <alignment horizontal="center" vertical="center"/>
    </xf>
    <xf fontId="2764" applyFont="true" borderId="8" applyBorder="true" applyNumberFormat="true" numFmtId="1" fillId="22" applyFill="true">
      <alignment horizontal="center" vertical="center"/>
    </xf>
    <xf fontId="2765" applyFont="true" borderId="8" applyBorder="true" applyNumberFormat="true" numFmtId="167" fillId="22" applyFill="true">
      <alignment horizontal="center" vertical="center"/>
    </xf>
    <xf fontId="2766" applyFont="true" borderId="8" applyBorder="true" applyNumberFormat="true" numFmtId="1" fillId="22" applyFill="true">
      <alignment horizontal="center" vertical="center"/>
    </xf>
    <xf fontId="2767" applyFont="true" borderId="8" applyBorder="true" applyNumberFormat="true" numFmtId="1" fillId="22" applyFill="true">
      <alignment horizontal="center" vertical="center"/>
    </xf>
    <xf fontId="2768" applyFont="true" borderId="8" applyBorder="true" applyNumberFormat="true" numFmtId="1" fillId="22" applyFill="true">
      <alignment horizontal="center" vertical="center"/>
    </xf>
    <xf fontId="2769" applyFont="true" borderId="8" applyBorder="true" applyNumberFormat="true" numFmtId="1" fillId="22" applyFill="true">
      <alignment horizontal="center" vertical="center"/>
    </xf>
    <xf fontId="2770" applyFont="true" borderId="8" applyBorder="true" applyNumberFormat="true" numFmtId="167" fillId="22" applyFill="true">
      <alignment horizontal="center" vertical="center"/>
    </xf>
    <xf fontId="2771" applyFont="true" borderId="8" applyBorder="true" applyNumberFormat="true" numFmtId="1" fillId="22" applyFill="true">
      <alignment horizontal="center" vertical="center"/>
    </xf>
    <xf fontId="2772" applyFont="true" borderId="8" applyBorder="true" applyNumberFormat="true" numFmtId="167" fillId="22" applyFill="true">
      <alignment horizontal="center" vertical="center"/>
    </xf>
    <xf fontId="2773" applyFont="true" borderId="8" applyBorder="true" applyNumberFormat="true" numFmtId="1" fillId="22" applyFill="true">
      <alignment horizontal="center" vertical="center"/>
    </xf>
    <xf fontId="2774" applyFont="true" borderId="8" applyBorder="true" applyNumberFormat="true" numFmtId="167" fillId="22" applyFill="true">
      <alignment horizontal="center" vertical="center"/>
    </xf>
    <xf fontId="2775" applyFont="true" borderId="8" applyBorder="true" applyNumberFormat="true" numFmtId="2" fillId="22" applyFill="true">
      <alignment horizontal="center" vertical="center"/>
    </xf>
    <xf fontId="2776" applyFont="true" borderId="8" applyBorder="true" applyNumberFormat="true" numFmtId="2" fillId="22" applyFill="true">
      <alignment horizontal="center" vertical="center"/>
    </xf>
    <xf fontId="2777" applyFont="true" borderId="8" applyBorder="true" applyNumberFormat="true" numFmtId="2" fillId="22" applyFill="true">
      <alignment horizontal="center" vertical="center"/>
    </xf>
    <xf fontId="2778" applyFont="true" borderId="8" applyBorder="true" applyNumberFormat="true" numFmtId="2" fillId="22" applyFill="true">
      <alignment horizontal="center" vertical="center"/>
    </xf>
    <xf fontId="2779" applyFont="true" borderId="8" applyBorder="true" applyNumberFormat="true" numFmtId="2" fillId="22" applyFill="true">
      <alignment horizontal="center" vertical="center"/>
    </xf>
    <xf fontId="2780" applyFont="true" borderId="8" applyBorder="true" applyNumberFormat="true" numFmtId="2" fillId="22" applyFill="true">
      <alignment horizontal="center" vertical="center"/>
    </xf>
    <xf fontId="2781" applyFont="true" borderId="8" applyBorder="true" applyNumberFormat="true" numFmtId="2" fillId="22" applyFill="true">
      <alignment horizontal="center" vertical="center"/>
    </xf>
    <xf fontId="2782" applyFont="true" borderId="8" applyBorder="true" applyNumberFormat="true" numFmtId="2" fillId="22" applyFill="true">
      <alignment horizontal="center" vertical="center"/>
    </xf>
    <xf fontId="2783" applyFont="true" borderId="8" applyBorder="true" applyNumberFormat="true" numFmtId="2" fillId="22" applyFill="true">
      <alignment horizontal="center" vertical="center"/>
    </xf>
    <xf fontId="2784" applyFont="true" borderId="8" applyBorder="true" applyNumberFormat="true" numFmtId="2" fillId="22" applyFill="true">
      <alignment horizontal="center" vertical="center"/>
    </xf>
    <xf fontId="2785" applyFont="true" borderId="8" applyBorder="true" applyNumberFormat="true" numFmtId="2" fillId="22" applyFill="true">
      <alignment horizontal="center" vertical="center"/>
    </xf>
    <xf fontId="2786" applyFont="true" borderId="8" applyBorder="true" applyNumberFormat="true" numFmtId="2" fillId="22" applyFill="true">
      <alignment horizontal="center" vertical="center"/>
    </xf>
    <xf fontId="2787" applyFont="true" borderId="8" applyBorder="true" applyNumberFormat="true" numFmtId="2" fillId="22" applyFill="true">
      <alignment horizontal="center" vertical="center"/>
    </xf>
    <xf fontId="2788" applyFont="true" borderId="8" applyBorder="true" applyNumberFormat="true" numFmtId="2" fillId="22" applyFill="true">
      <alignment horizontal="center" vertical="center"/>
    </xf>
    <xf fontId="2789" applyFont="true" borderId="8" applyBorder="true" applyNumberFormat="true" numFmtId="2" fillId="22" applyFill="true">
      <alignment horizontal="center" vertical="center"/>
    </xf>
    <xf fontId="2790" applyFont="true" borderId="8" applyBorder="true" applyNumberFormat="true" numFmtId="2" fillId="22" applyFill="true">
      <alignment horizontal="center" vertical="center"/>
    </xf>
    <xf fontId="2791" applyFont="true" borderId="8" applyBorder="true" applyNumberFormat="true" numFmtId="2" fillId="22" applyFill="true">
      <alignment horizontal="center" vertical="center"/>
    </xf>
    <xf fontId="2792" applyFont="true" borderId="8" applyBorder="true" applyNumberFormat="true" numFmtId="2" fillId="22" applyFill="true">
      <alignment horizontal="center" vertical="center"/>
    </xf>
    <xf fontId="2793" applyFont="true" borderId="8" applyBorder="true" applyNumberFormat="true" numFmtId="2" fillId="22" applyFill="true">
      <alignment horizontal="center" vertical="center"/>
    </xf>
    <xf fontId="2794" applyFont="true" borderId="8" applyBorder="true" applyNumberFormat="true" numFmtId="2" fillId="22" applyFill="true">
      <alignment horizontal="center" vertical="center"/>
    </xf>
    <xf fontId="2795" applyFont="true" borderId="8" applyBorder="true" applyNumberFormat="true" numFmtId="2" fillId="22" applyFill="true">
      <alignment horizontal="center" vertical="center"/>
    </xf>
    <xf fontId="2796" applyFont="true" borderId="8" applyBorder="true" applyNumberFormat="true" numFmtId="2" fillId="22" applyFill="true">
      <alignment horizontal="center" vertical="center"/>
    </xf>
    <xf fontId="2797" applyFont="true" borderId="8" applyBorder="true" applyNumberFormat="true" numFmtId="2" fillId="22" applyFill="true">
      <alignment horizontal="center" vertical="center"/>
    </xf>
    <xf fontId="2798" applyFont="true" borderId="8" applyBorder="true" applyNumberFormat="true" numFmtId="2" fillId="22" applyFill="true">
      <alignment horizontal="center" vertical="center"/>
    </xf>
    <xf fontId="2799" applyFont="true" borderId="8" applyBorder="true" applyNumberFormat="true" numFmtId="2" fillId="22" applyFill="true">
      <alignment horizontal="center" vertical="center"/>
    </xf>
    <xf fontId="2800" applyFont="true" borderId="8" applyBorder="true" applyNumberFormat="true" numFmtId="2" fillId="22" applyFill="true">
      <alignment horizontal="center" vertical="center"/>
    </xf>
    <xf fontId="2801" applyFont="true" borderId="8" applyBorder="true" applyNumberFormat="true" numFmtId="2" fillId="22" applyFill="true">
      <alignment horizontal="center" vertical="center"/>
    </xf>
    <xf fontId="2802" applyFont="true" borderId="8" applyBorder="true" applyNumberFormat="true" numFmtId="2" fillId="22" applyFill="true">
      <alignment horizontal="center" vertical="center"/>
    </xf>
    <xf fontId="2803" applyFont="true" borderId="8" applyBorder="true" applyNumberFormat="true" numFmtId="2" fillId="22" applyFill="true">
      <alignment horizontal="center" vertical="center"/>
    </xf>
    <xf fontId="2804" applyFont="true" borderId="8" applyBorder="true" applyNumberFormat="true" numFmtId="2" fillId="22" applyFill="true">
      <alignment horizontal="center" vertical="center"/>
    </xf>
    <xf fontId="2805" applyFont="true" borderId="8" applyBorder="true" applyNumberFormat="true" numFmtId="2" fillId="22" applyFill="true">
      <alignment horizontal="center" vertical="center"/>
    </xf>
    <xf fontId="2806" applyFont="true" borderId="8" applyBorder="true" applyNumberFormat="true" numFmtId="2" fillId="22" applyFill="true">
      <alignment horizontal="center" vertical="center"/>
    </xf>
    <xf fontId="2807" applyFont="true" borderId="8" applyBorder="true" applyNumberFormat="true" numFmtId="2" fillId="22" applyFill="true">
      <alignment horizontal="center" vertical="center"/>
    </xf>
    <xf fontId="2808" applyFont="true" borderId="8" applyBorder="true" applyNumberFormat="true" numFmtId="2" fillId="22" applyFill="true">
      <alignment horizontal="center" vertical="center"/>
    </xf>
    <xf fontId="2809" applyFont="true" borderId="8" applyBorder="true" applyNumberFormat="true" numFmtId="165" fillId="19" applyFill="true">
      <alignment horizontal="left" vertical="center"/>
    </xf>
    <xf fontId="2810" applyFont="true" borderId="8" applyBorder="true" applyNumberFormat="true" numFmtId="165" fillId="22" applyFill="true">
      <alignment horizontal="center" vertical="center"/>
    </xf>
    <xf fontId="2811" applyFont="true" borderId="8" applyBorder="true" applyNumberFormat="true" numFmtId="166" fillId="22" applyFill="true">
      <alignment horizontal="center" vertical="center"/>
    </xf>
    <xf fontId="2812" applyFont="true" borderId="8" applyBorder="true" applyNumberFormat="true" numFmtId="1" fillId="22" applyFill="true">
      <alignment horizontal="center" vertical="center"/>
    </xf>
    <xf fontId="2813" applyFont="true" borderId="8" applyBorder="true" applyNumberFormat="true" numFmtId="1" fillId="22" applyFill="true">
      <alignment horizontal="center" vertical="center"/>
    </xf>
    <xf fontId="2814" applyFont="true" borderId="8" applyBorder="true" applyNumberFormat="true" numFmtId="1" fillId="22" applyFill="true">
      <alignment horizontal="center" vertical="center"/>
    </xf>
    <xf fontId="2815" applyFont="true" borderId="8" applyBorder="true" applyNumberFormat="true" numFmtId="1" fillId="22" applyFill="true">
      <alignment horizontal="center" vertical="center"/>
    </xf>
    <xf fontId="2816" applyFont="true" borderId="8" applyBorder="true" applyNumberFormat="true" numFmtId="1" fillId="22" applyFill="true">
      <alignment horizontal="center" vertical="center"/>
    </xf>
    <xf fontId="2817" applyFont="true" borderId="8" applyBorder="true" applyNumberFormat="true" numFmtId="1" fillId="22" applyFill="true">
      <alignment horizontal="center" vertical="center"/>
    </xf>
    <xf fontId="2818" applyFont="true" borderId="8" applyBorder="true" applyNumberFormat="true" numFmtId="1" fillId="22" applyFill="true">
      <alignment horizontal="center" vertical="center"/>
    </xf>
    <xf fontId="2819" applyFont="true" borderId="8" applyBorder="true" applyNumberFormat="true" numFmtId="165" fillId="22" applyFill="true">
      <alignment horizontal="center" vertical="center"/>
    </xf>
    <xf fontId="2820" applyFont="true" borderId="8" applyBorder="true" applyNumberFormat="true" numFmtId="165" fillId="22" applyFill="true">
      <alignment horizontal="center" vertical="center"/>
    </xf>
    <xf fontId="2821" applyFont="true" borderId="8" applyBorder="true" applyNumberFormat="true" numFmtId="1" fillId="22" applyFill="true">
      <alignment horizontal="center" vertical="center"/>
    </xf>
    <xf fontId="2822" applyFont="true" borderId="8" applyBorder="true" applyNumberFormat="true" numFmtId="1" fillId="22" applyFill="true">
      <alignment horizontal="center" vertical="center"/>
    </xf>
    <xf fontId="2823" applyFont="true" borderId="8" applyBorder="true" applyNumberFormat="true" numFmtId="1" fillId="22" applyFill="true">
      <alignment horizontal="center" vertical="center"/>
    </xf>
    <xf fontId="2824" applyFont="true" borderId="8" applyBorder="true" applyNumberFormat="true" numFmtId="167" fillId="22" applyFill="true">
      <alignment horizontal="center" vertical="center"/>
    </xf>
    <xf fontId="2825" applyFont="true" borderId="8" applyBorder="true" applyNumberFormat="true" numFmtId="1" fillId="22" applyFill="true">
      <alignment horizontal="center" vertical="center"/>
    </xf>
    <xf fontId="2826" applyFont="true" borderId="8" applyBorder="true" applyNumberFormat="true" numFmtId="167" fillId="22" applyFill="true">
      <alignment horizontal="center" vertical="center"/>
    </xf>
    <xf fontId="2827" applyFont="true" borderId="8" applyBorder="true" applyNumberFormat="true" numFmtId="1" fillId="22" applyFill="true">
      <alignment horizontal="center" vertical="center"/>
    </xf>
    <xf fontId="2828" applyFont="true" borderId="8" applyBorder="true" applyNumberFormat="true" numFmtId="167" fillId="22" applyFill="true">
      <alignment horizontal="center" vertical="center"/>
    </xf>
    <xf fontId="2829" applyFont="true" borderId="8" applyBorder="true" applyNumberFormat="true" numFmtId="1" fillId="22" applyFill="true">
      <alignment horizontal="center" vertical="center"/>
    </xf>
    <xf fontId="2830" applyFont="true" borderId="8" applyBorder="true" applyNumberFormat="true" numFmtId="167" fillId="22" applyFill="true">
      <alignment horizontal="center" vertical="center"/>
    </xf>
    <xf fontId="2831" applyFont="true" borderId="8" applyBorder="true" applyNumberFormat="true" numFmtId="167" fillId="22" applyFill="true">
      <alignment horizontal="center" vertical="center"/>
    </xf>
    <xf fontId="2832" applyFont="true" borderId="8" applyBorder="true" applyNumberFormat="true" numFmtId="1" fillId="22" applyFill="true">
      <alignment horizontal="center" vertical="center"/>
    </xf>
    <xf fontId="2833" applyFont="true" borderId="8" applyBorder="true" applyNumberFormat="true" numFmtId="1" fillId="22" applyFill="true">
      <alignment horizontal="center" vertical="center"/>
    </xf>
    <xf fontId="2834" applyFont="true" borderId="8" applyBorder="true" applyNumberFormat="true" numFmtId="1" fillId="22" applyFill="true">
      <alignment horizontal="center" vertical="center"/>
    </xf>
    <xf fontId="2835" applyFont="true" borderId="8" applyBorder="true" applyNumberFormat="true" numFmtId="167" fillId="22" applyFill="true">
      <alignment horizontal="center" vertical="center"/>
    </xf>
    <xf fontId="2836" applyFont="true" borderId="8" applyBorder="true" applyNumberFormat="true" numFmtId="166" fillId="22" applyFill="true">
      <alignment horizontal="center" vertical="center"/>
    </xf>
    <xf fontId="2837" applyFont="true" borderId="8" applyBorder="true" applyNumberFormat="true" numFmtId="166" fillId="22" applyFill="true">
      <alignment horizontal="center" vertical="center"/>
    </xf>
    <xf fontId="2838" applyFont="true" borderId="8" applyBorder="true" applyNumberFormat="true" numFmtId="1" fillId="22" applyFill="true">
      <alignment horizontal="center" vertical="center"/>
    </xf>
    <xf fontId="2839" applyFont="true" borderId="8" applyBorder="true" applyNumberFormat="true" numFmtId="1" fillId="22" applyFill="true">
      <alignment horizontal="center" vertical="center"/>
    </xf>
    <xf fontId="2840" applyFont="true" borderId="8" applyBorder="true" applyNumberFormat="true" numFmtId="1" fillId="22" applyFill="true">
      <alignment horizontal="center" vertical="center"/>
    </xf>
    <xf fontId="2841" applyFont="true" borderId="8" applyBorder="true" applyNumberFormat="true" numFmtId="167" fillId="22" applyFill="true">
      <alignment horizontal="center" vertical="center"/>
    </xf>
    <xf fontId="2842" applyFont="true" borderId="8" applyBorder="true" applyNumberFormat="true" numFmtId="1" fillId="22" applyFill="true">
      <alignment horizontal="center" vertical="center"/>
    </xf>
    <xf fontId="2843" applyFont="true" borderId="8" applyBorder="true" applyNumberFormat="true" numFmtId="167" fillId="22" applyFill="true">
      <alignment horizontal="center" vertical="center"/>
    </xf>
    <xf fontId="2844" applyFont="true" borderId="8" applyBorder="true" applyNumberFormat="true" numFmtId="1" fillId="22" applyFill="true">
      <alignment horizontal="center" vertical="center"/>
    </xf>
    <xf fontId="2845" applyFont="true" borderId="8" applyBorder="true" applyNumberFormat="true" numFmtId="1" fillId="22" applyFill="true">
      <alignment horizontal="center" vertical="center"/>
    </xf>
    <xf fontId="2846" applyFont="true" borderId="8" applyBorder="true" applyNumberFormat="true" numFmtId="1" fillId="22" applyFill="true">
      <alignment horizontal="center" vertical="center"/>
    </xf>
    <xf fontId="2847" applyFont="true" borderId="8" applyBorder="true" applyNumberFormat="true" numFmtId="1" fillId="22" applyFill="true">
      <alignment horizontal="center" vertical="center"/>
    </xf>
    <xf fontId="2848" applyFont="true" borderId="8" applyBorder="true" applyNumberFormat="true" numFmtId="167" fillId="22" applyFill="true">
      <alignment horizontal="center" vertical="center"/>
    </xf>
    <xf fontId="2849" applyFont="true" borderId="8" applyBorder="true" applyNumberFormat="true" numFmtId="1" fillId="22" applyFill="true">
      <alignment horizontal="center" vertical="center"/>
    </xf>
    <xf fontId="2850" applyFont="true" borderId="8" applyBorder="true" applyNumberFormat="true" numFmtId="167" fillId="22" applyFill="true">
      <alignment horizontal="center" vertical="center"/>
    </xf>
    <xf fontId="2851" applyFont="true" borderId="8" applyBorder="true" applyNumberFormat="true" numFmtId="1" fillId="22" applyFill="true">
      <alignment horizontal="center" vertical="center"/>
    </xf>
    <xf fontId="2852" applyFont="true" borderId="8" applyBorder="true" applyNumberFormat="true" numFmtId="167" fillId="22" applyFill="true">
      <alignment horizontal="center" vertical="center"/>
    </xf>
    <xf fontId="2853" applyFont="true" borderId="8" applyBorder="true" applyNumberFormat="true" numFmtId="2" fillId="22" applyFill="true">
      <alignment horizontal="center" vertical="center"/>
    </xf>
    <xf fontId="2854" applyFont="true" borderId="8" applyBorder="true" applyNumberFormat="true" numFmtId="2" fillId="22" applyFill="true">
      <alignment horizontal="center" vertical="center"/>
    </xf>
    <xf fontId="2855" applyFont="true" borderId="8" applyBorder="true" applyNumberFormat="true" numFmtId="2" fillId="22" applyFill="true">
      <alignment horizontal="center" vertical="center"/>
    </xf>
    <xf fontId="2856" applyFont="true" borderId="8" applyBorder="true" applyNumberFormat="true" numFmtId="2" fillId="22" applyFill="true">
      <alignment horizontal="center" vertical="center"/>
    </xf>
    <xf fontId="2857" applyFont="true" borderId="8" applyBorder="true" applyNumberFormat="true" numFmtId="2" fillId="22" applyFill="true">
      <alignment horizontal="center" vertical="center"/>
    </xf>
    <xf fontId="2858" applyFont="true" borderId="8" applyBorder="true" applyNumberFormat="true" numFmtId="2" fillId="22" applyFill="true">
      <alignment horizontal="center" vertical="center"/>
    </xf>
    <xf fontId="2859" applyFont="true" borderId="8" applyBorder="true" applyNumberFormat="true" numFmtId="2" fillId="22" applyFill="true">
      <alignment horizontal="center" vertical="center"/>
    </xf>
    <xf fontId="2860" applyFont="true" borderId="8" applyBorder="true" applyNumberFormat="true" numFmtId="2" fillId="22" applyFill="true">
      <alignment horizontal="center" vertical="center"/>
    </xf>
    <xf fontId="2861" applyFont="true" borderId="8" applyBorder="true" applyNumberFormat="true" numFmtId="2" fillId="22" applyFill="true">
      <alignment horizontal="center" vertical="center"/>
    </xf>
    <xf fontId="2862" applyFont="true" borderId="8" applyBorder="true" applyNumberFormat="true" numFmtId="2" fillId="22" applyFill="true">
      <alignment horizontal="center" vertical="center"/>
    </xf>
    <xf fontId="2863" applyFont="true" borderId="8" applyBorder="true" applyNumberFormat="true" numFmtId="2" fillId="22" applyFill="true">
      <alignment horizontal="center" vertical="center"/>
    </xf>
    <xf fontId="2864" applyFont="true" borderId="8" applyBorder="true" applyNumberFormat="true" numFmtId="2" fillId="22" applyFill="true">
      <alignment horizontal="center" vertical="center"/>
    </xf>
    <xf fontId="2865" applyFont="true" borderId="8" applyBorder="true" applyNumberFormat="true" numFmtId="2" fillId="22" applyFill="true">
      <alignment horizontal="center" vertical="center"/>
    </xf>
    <xf fontId="2866" applyFont="true" borderId="8" applyBorder="true" applyNumberFormat="true" numFmtId="2" fillId="22" applyFill="true">
      <alignment horizontal="center" vertical="center"/>
    </xf>
    <xf fontId="2867" applyFont="true" borderId="8" applyBorder="true" applyNumberFormat="true" numFmtId="2" fillId="22" applyFill="true">
      <alignment horizontal="center" vertical="center"/>
    </xf>
    <xf fontId="2868" applyFont="true" borderId="8" applyBorder="true" applyNumberFormat="true" numFmtId="2" fillId="22" applyFill="true">
      <alignment horizontal="center" vertical="center"/>
    </xf>
    <xf fontId="2869" applyFont="true" borderId="8" applyBorder="true" applyNumberFormat="true" numFmtId="2" fillId="22" applyFill="true">
      <alignment horizontal="center" vertical="center"/>
    </xf>
    <xf fontId="2870" applyFont="true" borderId="8" applyBorder="true" applyNumberFormat="true" numFmtId="2" fillId="22" applyFill="true">
      <alignment horizontal="center" vertical="center"/>
    </xf>
    <xf fontId="2871" applyFont="true" borderId="8" applyBorder="true" applyNumberFormat="true" numFmtId="2" fillId="22" applyFill="true">
      <alignment horizontal="center" vertical="center"/>
    </xf>
    <xf fontId="2872" applyFont="true" borderId="8" applyBorder="true" applyNumberFormat="true" numFmtId="2" fillId="22" applyFill="true">
      <alignment horizontal="center" vertical="center"/>
    </xf>
    <xf fontId="2873" applyFont="true" borderId="8" applyBorder="true" applyNumberFormat="true" numFmtId="2" fillId="22" applyFill="true">
      <alignment horizontal="center" vertical="center"/>
    </xf>
    <xf fontId="2874" applyFont="true" borderId="8" applyBorder="true" applyNumberFormat="true" numFmtId="2" fillId="22" applyFill="true">
      <alignment horizontal="center" vertical="center"/>
    </xf>
    <xf fontId="2875" applyFont="true" borderId="8" applyBorder="true" applyNumberFormat="true" numFmtId="2" fillId="22" applyFill="true">
      <alignment horizontal="center" vertical="center"/>
    </xf>
    <xf fontId="2876" applyFont="true" borderId="8" applyBorder="true" applyNumberFormat="true" numFmtId="2" fillId="22" applyFill="true">
      <alignment horizontal="center" vertical="center"/>
    </xf>
    <xf fontId="2877" applyFont="true" borderId="8" applyBorder="true" applyNumberFormat="true" numFmtId="2" fillId="22" applyFill="true">
      <alignment horizontal="center" vertical="center"/>
    </xf>
    <xf fontId="2878" applyFont="true" borderId="8" applyBorder="true" applyNumberFormat="true" numFmtId="2" fillId="22" applyFill="true">
      <alignment horizontal="center" vertical="center"/>
    </xf>
    <xf fontId="2879" applyFont="true" borderId="8" applyBorder="true" applyNumberFormat="true" numFmtId="2" fillId="22" applyFill="true">
      <alignment horizontal="center" vertical="center"/>
    </xf>
    <xf fontId="2880" applyFont="true" borderId="8" applyBorder="true" applyNumberFormat="true" numFmtId="2" fillId="22" applyFill="true">
      <alignment horizontal="center" vertical="center"/>
    </xf>
    <xf fontId="2881" applyFont="true" borderId="8" applyBorder="true" applyNumberFormat="true" numFmtId="2" fillId="22" applyFill="true">
      <alignment horizontal="center" vertical="center"/>
    </xf>
    <xf fontId="2882" applyFont="true" borderId="8" applyBorder="true" applyNumberFormat="true" numFmtId="2" fillId="22" applyFill="true">
      <alignment horizontal="center" vertical="center"/>
    </xf>
    <xf fontId="2883" applyFont="true" borderId="8" applyBorder="true" applyNumberFormat="true" numFmtId="2" fillId="22" applyFill="true">
      <alignment horizontal="center" vertical="center"/>
    </xf>
    <xf fontId="2884" applyFont="true" borderId="8" applyBorder="true" applyNumberFormat="true" numFmtId="2" fillId="22" applyFill="true">
      <alignment horizontal="center" vertical="center"/>
    </xf>
    <xf fontId="2885" applyFont="true" borderId="8" applyBorder="true" applyNumberFormat="true" numFmtId="2" fillId="22" applyFill="true">
      <alignment horizontal="center" vertical="center"/>
    </xf>
    <xf fontId="2886" applyFont="true" borderId="8" applyBorder="true" applyNumberFormat="true" numFmtId="2" fillId="22" applyFill="true">
      <alignment horizontal="center" vertical="center"/>
    </xf>
    <xf fontId="2887" applyFont="true" borderId="8" applyBorder="true" applyNumberFormat="true" numFmtId="165" fillId="19" applyFill="true">
      <alignment horizontal="left" vertical="center"/>
    </xf>
    <xf fontId="2888" applyFont="true" borderId="8" applyBorder="true" applyNumberFormat="true" numFmtId="165" fillId="22" applyFill="true">
      <alignment horizontal="center" vertical="center"/>
    </xf>
    <xf fontId="2889" applyFont="true" borderId="8" applyBorder="true" applyNumberFormat="true" numFmtId="166" fillId="22" applyFill="true">
      <alignment horizontal="center" vertical="center"/>
    </xf>
    <xf fontId="2890" applyFont="true" borderId="8" applyBorder="true" applyNumberFormat="true" numFmtId="1" fillId="22" applyFill="true">
      <alignment horizontal="center" vertical="center"/>
    </xf>
    <xf fontId="2891" applyFont="true" borderId="8" applyBorder="true" applyNumberFormat="true" numFmtId="1" fillId="22" applyFill="true">
      <alignment horizontal="center" vertical="center"/>
    </xf>
    <xf fontId="2892" applyFont="true" borderId="8" applyBorder="true" applyNumberFormat="true" numFmtId="1" fillId="22" applyFill="true">
      <alignment horizontal="center" vertical="center"/>
    </xf>
    <xf fontId="2893" applyFont="true" borderId="8" applyBorder="true" applyNumberFormat="true" numFmtId="1" fillId="22" applyFill="true">
      <alignment horizontal="center" vertical="center"/>
    </xf>
    <xf fontId="2894" applyFont="true" borderId="8" applyBorder="true" applyNumberFormat="true" numFmtId="1" fillId="22" applyFill="true">
      <alignment horizontal="center" vertical="center"/>
    </xf>
    <xf fontId="2895" applyFont="true" borderId="8" applyBorder="true" applyNumberFormat="true" numFmtId="1" fillId="22" applyFill="true">
      <alignment horizontal="center" vertical="center"/>
    </xf>
    <xf fontId="2896" applyFont="true" borderId="8" applyBorder="true" applyNumberFormat="true" numFmtId="1" fillId="22" applyFill="true">
      <alignment horizontal="center" vertical="center"/>
    </xf>
    <xf fontId="2897" applyFont="true" borderId="8" applyBorder="true" applyNumberFormat="true" numFmtId="165" fillId="22" applyFill="true">
      <alignment horizontal="center" vertical="center"/>
    </xf>
    <xf fontId="2898" applyFont="true" borderId="8" applyBorder="true" applyNumberFormat="true" numFmtId="165" fillId="22" applyFill="true">
      <alignment horizontal="center" vertical="center"/>
    </xf>
    <xf fontId="2899" applyFont="true" borderId="8" applyBorder="true" applyNumberFormat="true" numFmtId="1" fillId="22" applyFill="true">
      <alignment horizontal="center" vertical="center"/>
    </xf>
    <xf fontId="2900" applyFont="true" borderId="8" applyBorder="true" applyNumberFormat="true" numFmtId="1" fillId="22" applyFill="true">
      <alignment horizontal="center" vertical="center"/>
    </xf>
    <xf fontId="2901" applyFont="true" borderId="8" applyBorder="true" applyNumberFormat="true" numFmtId="1" fillId="22" applyFill="true">
      <alignment horizontal="center" vertical="center"/>
    </xf>
    <xf fontId="2902" applyFont="true" borderId="8" applyBorder="true" applyNumberFormat="true" numFmtId="167" fillId="22" applyFill="true">
      <alignment horizontal="center" vertical="center"/>
    </xf>
    <xf fontId="2903" applyFont="true" borderId="8" applyBorder="true" applyNumberFormat="true" numFmtId="1" fillId="22" applyFill="true">
      <alignment horizontal="center" vertical="center"/>
    </xf>
    <xf fontId="2904" applyFont="true" borderId="8" applyBorder="true" applyNumberFormat="true" numFmtId="167" fillId="22" applyFill="true">
      <alignment horizontal="center" vertical="center"/>
    </xf>
    <xf fontId="2905" applyFont="true" borderId="8" applyBorder="true" applyNumberFormat="true" numFmtId="1" fillId="22" applyFill="true">
      <alignment horizontal="center" vertical="center"/>
    </xf>
    <xf fontId="2906" applyFont="true" borderId="8" applyBorder="true" applyNumberFormat="true" numFmtId="167" fillId="22" applyFill="true">
      <alignment horizontal="center" vertical="center"/>
    </xf>
    <xf fontId="2907" applyFont="true" borderId="8" applyBorder="true" applyNumberFormat="true" numFmtId="1" fillId="22" applyFill="true">
      <alignment horizontal="center" vertical="center"/>
    </xf>
    <xf fontId="2908" applyFont="true" borderId="8" applyBorder="true" applyNumberFormat="true" numFmtId="167" fillId="22" applyFill="true">
      <alignment horizontal="center" vertical="center"/>
    </xf>
    <xf fontId="2909" applyFont="true" borderId="8" applyBorder="true" applyNumberFormat="true" numFmtId="167" fillId="22" applyFill="true">
      <alignment horizontal="center" vertical="center"/>
    </xf>
    <xf fontId="2910" applyFont="true" borderId="8" applyBorder="true" applyNumberFormat="true" numFmtId="1" fillId="22" applyFill="true">
      <alignment horizontal="center" vertical="center"/>
    </xf>
    <xf fontId="2911" applyFont="true" borderId="8" applyBorder="true" applyNumberFormat="true" numFmtId="1" fillId="22" applyFill="true">
      <alignment horizontal="center" vertical="center"/>
    </xf>
    <xf fontId="2912" applyFont="true" borderId="8" applyBorder="true" applyNumberFormat="true" numFmtId="1" fillId="22" applyFill="true">
      <alignment horizontal="center" vertical="center"/>
    </xf>
    <xf fontId="2913" applyFont="true" borderId="8" applyBorder="true" applyNumberFormat="true" numFmtId="167" fillId="22" applyFill="true">
      <alignment horizontal="center" vertical="center"/>
    </xf>
    <xf fontId="2914" applyFont="true" borderId="8" applyBorder="true" applyNumberFormat="true" numFmtId="166" fillId="22" applyFill="true">
      <alignment horizontal="center" vertical="center"/>
    </xf>
    <xf fontId="2915" applyFont="true" borderId="8" applyBorder="true" applyNumberFormat="true" numFmtId="166" fillId="22" applyFill="true">
      <alignment horizontal="center" vertical="center"/>
    </xf>
    <xf fontId="2916" applyFont="true" borderId="8" applyBorder="true" applyNumberFormat="true" numFmtId="1" fillId="22" applyFill="true">
      <alignment horizontal="center" vertical="center"/>
    </xf>
    <xf fontId="2917" applyFont="true" borderId="8" applyBorder="true" applyNumberFormat="true" numFmtId="1" fillId="22" applyFill="true">
      <alignment horizontal="center" vertical="center"/>
    </xf>
    <xf fontId="2918" applyFont="true" borderId="8" applyBorder="true" applyNumberFormat="true" numFmtId="1" fillId="22" applyFill="true">
      <alignment horizontal="center" vertical="center"/>
    </xf>
    <xf fontId="2919" applyFont="true" borderId="8" applyBorder="true" applyNumberFormat="true" numFmtId="167" fillId="22" applyFill="true">
      <alignment horizontal="center" vertical="center"/>
    </xf>
    <xf fontId="2920" applyFont="true" borderId="8" applyBorder="true" applyNumberFormat="true" numFmtId="1" fillId="22" applyFill="true">
      <alignment horizontal="center" vertical="center"/>
    </xf>
    <xf fontId="2921" applyFont="true" borderId="8" applyBorder="true" applyNumberFormat="true" numFmtId="167" fillId="22" applyFill="true">
      <alignment horizontal="center" vertical="center"/>
    </xf>
    <xf fontId="2922" applyFont="true" borderId="8" applyBorder="true" applyNumberFormat="true" numFmtId="1" fillId="22" applyFill="true">
      <alignment horizontal="center" vertical="center"/>
    </xf>
    <xf fontId="2923" applyFont="true" borderId="8" applyBorder="true" applyNumberFormat="true" numFmtId="1" fillId="22" applyFill="true">
      <alignment horizontal="center" vertical="center"/>
    </xf>
    <xf fontId="2924" applyFont="true" borderId="8" applyBorder="true" applyNumberFormat="true" numFmtId="1" fillId="22" applyFill="true">
      <alignment horizontal="center" vertical="center"/>
    </xf>
    <xf fontId="2925" applyFont="true" borderId="8" applyBorder="true" applyNumberFormat="true" numFmtId="1" fillId="22" applyFill="true">
      <alignment horizontal="center" vertical="center"/>
    </xf>
    <xf fontId="2926" applyFont="true" borderId="8" applyBorder="true" applyNumberFormat="true" numFmtId="167" fillId="22" applyFill="true">
      <alignment horizontal="center" vertical="center"/>
    </xf>
    <xf fontId="2927" applyFont="true" borderId="8" applyBorder="true" applyNumberFormat="true" numFmtId="1" fillId="22" applyFill="true">
      <alignment horizontal="center" vertical="center"/>
    </xf>
    <xf fontId="2928" applyFont="true" borderId="8" applyBorder="true" applyNumberFormat="true" numFmtId="167" fillId="22" applyFill="true">
      <alignment horizontal="center" vertical="center"/>
    </xf>
    <xf fontId="2929" applyFont="true" borderId="8" applyBorder="true" applyNumberFormat="true" numFmtId="1" fillId="22" applyFill="true">
      <alignment horizontal="center" vertical="center"/>
    </xf>
    <xf fontId="2930" applyFont="true" borderId="8" applyBorder="true" applyNumberFormat="true" numFmtId="167" fillId="22" applyFill="true">
      <alignment horizontal="center" vertical="center"/>
    </xf>
    <xf fontId="2931" applyFont="true" borderId="8" applyBorder="true" applyNumberFormat="true" numFmtId="2" fillId="22" applyFill="true">
      <alignment horizontal="center" vertical="center"/>
    </xf>
    <xf fontId="2932" applyFont="true" borderId="8" applyBorder="true" applyNumberFormat="true" numFmtId="2" fillId="22" applyFill="true">
      <alignment horizontal="center" vertical="center"/>
    </xf>
    <xf fontId="2933" applyFont="true" borderId="8" applyBorder="true" applyNumberFormat="true" numFmtId="2" fillId="22" applyFill="true">
      <alignment horizontal="center" vertical="center"/>
    </xf>
    <xf fontId="2934" applyFont="true" borderId="8" applyBorder="true" applyNumberFormat="true" numFmtId="2" fillId="22" applyFill="true">
      <alignment horizontal="center" vertical="center"/>
    </xf>
    <xf fontId="2935" applyFont="true" borderId="8" applyBorder="true" applyNumberFormat="true" numFmtId="2" fillId="22" applyFill="true">
      <alignment horizontal="center" vertical="center"/>
    </xf>
    <xf fontId="2936" applyFont="true" borderId="8" applyBorder="true" applyNumberFormat="true" numFmtId="2" fillId="22" applyFill="true">
      <alignment horizontal="center" vertical="center"/>
    </xf>
    <xf fontId="2937" applyFont="true" borderId="8" applyBorder="true" applyNumberFormat="true" numFmtId="2" fillId="22" applyFill="true">
      <alignment horizontal="center" vertical="center"/>
    </xf>
    <xf fontId="2938" applyFont="true" borderId="8" applyBorder="true" applyNumberFormat="true" numFmtId="2" fillId="22" applyFill="true">
      <alignment horizontal="center" vertical="center"/>
    </xf>
    <xf fontId="2939" applyFont="true" borderId="8" applyBorder="true" applyNumberFormat="true" numFmtId="2" fillId="22" applyFill="true">
      <alignment horizontal="center" vertical="center"/>
    </xf>
    <xf fontId="2940" applyFont="true" borderId="8" applyBorder="true" applyNumberFormat="true" numFmtId="2" fillId="22" applyFill="true">
      <alignment horizontal="center" vertical="center"/>
    </xf>
    <xf fontId="2941" applyFont="true" borderId="8" applyBorder="true" applyNumberFormat="true" numFmtId="2" fillId="22" applyFill="true">
      <alignment horizontal="center" vertical="center"/>
    </xf>
    <xf fontId="2942" applyFont="true" borderId="8" applyBorder="true" applyNumberFormat="true" numFmtId="2" fillId="22" applyFill="true">
      <alignment horizontal="center" vertical="center"/>
    </xf>
    <xf fontId="2943" applyFont="true" borderId="8" applyBorder="true" applyNumberFormat="true" numFmtId="2" fillId="22" applyFill="true">
      <alignment horizontal="center" vertical="center"/>
    </xf>
    <xf fontId="2944" applyFont="true" borderId="8" applyBorder="true" applyNumberFormat="true" numFmtId="2" fillId="22" applyFill="true">
      <alignment horizontal="center" vertical="center"/>
    </xf>
    <xf fontId="2945" applyFont="true" borderId="8" applyBorder="true" applyNumberFormat="true" numFmtId="2" fillId="22" applyFill="true">
      <alignment horizontal="center" vertical="center"/>
    </xf>
    <xf fontId="2946" applyFont="true" borderId="8" applyBorder="true" applyNumberFormat="true" numFmtId="2" fillId="22" applyFill="true">
      <alignment horizontal="center" vertical="center"/>
    </xf>
    <xf fontId="2947" applyFont="true" borderId="8" applyBorder="true" applyNumberFormat="true" numFmtId="2" fillId="22" applyFill="true">
      <alignment horizontal="center" vertical="center"/>
    </xf>
    <xf fontId="2948" applyFont="true" borderId="8" applyBorder="true" applyNumberFormat="true" numFmtId="2" fillId="22" applyFill="true">
      <alignment horizontal="center" vertical="center"/>
    </xf>
    <xf fontId="2949" applyFont="true" borderId="8" applyBorder="true" applyNumberFormat="true" numFmtId="2" fillId="22" applyFill="true">
      <alignment horizontal="center" vertical="center"/>
    </xf>
    <xf fontId="2950" applyFont="true" borderId="8" applyBorder="true" applyNumberFormat="true" numFmtId="2" fillId="22" applyFill="true">
      <alignment horizontal="center" vertical="center"/>
    </xf>
    <xf fontId="2951" applyFont="true" borderId="8" applyBorder="true" applyNumberFormat="true" numFmtId="2" fillId="22" applyFill="true">
      <alignment horizontal="center" vertical="center"/>
    </xf>
    <xf fontId="2952" applyFont="true" borderId="8" applyBorder="true" applyNumberFormat="true" numFmtId="2" fillId="22" applyFill="true">
      <alignment horizontal="center" vertical="center"/>
    </xf>
    <xf fontId="2953" applyFont="true" borderId="8" applyBorder="true" applyNumberFormat="true" numFmtId="2" fillId="22" applyFill="true">
      <alignment horizontal="center" vertical="center"/>
    </xf>
    <xf fontId="2954" applyFont="true" borderId="8" applyBorder="true" applyNumberFormat="true" numFmtId="2" fillId="22" applyFill="true">
      <alignment horizontal="center" vertical="center"/>
    </xf>
    <xf fontId="2955" applyFont="true" borderId="8" applyBorder="true" applyNumberFormat="true" numFmtId="2" fillId="22" applyFill="true">
      <alignment horizontal="center" vertical="center"/>
    </xf>
    <xf fontId="2956" applyFont="true" borderId="8" applyBorder="true" applyNumberFormat="true" numFmtId="2" fillId="22" applyFill="true">
      <alignment horizontal="center" vertical="center"/>
    </xf>
    <xf fontId="2957" applyFont="true" borderId="8" applyBorder="true" applyNumberFormat="true" numFmtId="2" fillId="22" applyFill="true">
      <alignment horizontal="center" vertical="center"/>
    </xf>
    <xf fontId="2958" applyFont="true" borderId="8" applyBorder="true" applyNumberFormat="true" numFmtId="2" fillId="22" applyFill="true">
      <alignment horizontal="center" vertical="center"/>
    </xf>
    <xf fontId="2959" applyFont="true" borderId="8" applyBorder="true" applyNumberFormat="true" numFmtId="2" fillId="22" applyFill="true">
      <alignment horizontal="center" vertical="center"/>
    </xf>
    <xf fontId="2960" applyFont="true" borderId="8" applyBorder="true" applyNumberFormat="true" numFmtId="2" fillId="22" applyFill="true">
      <alignment horizontal="center" vertical="center"/>
    </xf>
    <xf fontId="2961" applyFont="true" borderId="8" applyBorder="true" applyNumberFormat="true" numFmtId="2" fillId="22" applyFill="true">
      <alignment horizontal="center" vertical="center"/>
    </xf>
    <xf fontId="2962" applyFont="true" borderId="8" applyBorder="true" applyNumberFormat="true" numFmtId="2" fillId="22" applyFill="true">
      <alignment horizontal="center" vertical="center"/>
    </xf>
    <xf fontId="2963" applyFont="true" borderId="8" applyBorder="true" applyNumberFormat="true" numFmtId="2" fillId="22" applyFill="true">
      <alignment horizontal="center" vertical="center"/>
    </xf>
    <xf fontId="2964" applyFont="true" borderId="8" applyBorder="true" applyNumberFormat="true" numFmtId="2" fillId="22" applyFill="true">
      <alignment horizontal="center" vertical="center"/>
    </xf>
    <xf fontId="2965" applyFont="true" borderId="8" applyBorder="true" applyNumberFormat="true" numFmtId="165" fillId="19" applyFill="true">
      <alignment horizontal="left" vertical="center"/>
    </xf>
    <xf fontId="2966" applyFont="true" borderId="8" applyBorder="true" applyNumberFormat="true" numFmtId="165" fillId="22" applyFill="true">
      <alignment horizontal="center" vertical="center"/>
    </xf>
    <xf fontId="2967" applyFont="true" borderId="8" applyBorder="true" applyNumberFormat="true" numFmtId="166" fillId="22" applyFill="true">
      <alignment horizontal="center" vertical="center"/>
    </xf>
    <xf fontId="2968" applyFont="true" borderId="8" applyBorder="true" applyNumberFormat="true" numFmtId="1" fillId="22" applyFill="true">
      <alignment horizontal="center" vertical="center"/>
    </xf>
    <xf fontId="2969" applyFont="true" borderId="8" applyBorder="true" applyNumberFormat="true" numFmtId="1" fillId="22" applyFill="true">
      <alignment horizontal="center" vertical="center"/>
    </xf>
    <xf fontId="2970" applyFont="true" borderId="8" applyBorder="true" applyNumberFormat="true" numFmtId="1" fillId="22" applyFill="true">
      <alignment horizontal="center" vertical="center"/>
    </xf>
    <xf fontId="2971" applyFont="true" borderId="8" applyBorder="true" applyNumberFormat="true" numFmtId="1" fillId="22" applyFill="true">
      <alignment horizontal="center" vertical="center"/>
    </xf>
    <xf fontId="2972" applyFont="true" borderId="8" applyBorder="true" applyNumberFormat="true" numFmtId="1" fillId="22" applyFill="true">
      <alignment horizontal="center" vertical="center"/>
    </xf>
    <xf fontId="2973" applyFont="true" borderId="8" applyBorder="true" applyNumberFormat="true" numFmtId="1" fillId="22" applyFill="true">
      <alignment horizontal="center" vertical="center"/>
    </xf>
    <xf fontId="2974" applyFont="true" borderId="8" applyBorder="true" applyNumberFormat="true" numFmtId="1" fillId="22" applyFill="true">
      <alignment horizontal="center" vertical="center"/>
    </xf>
    <xf fontId="2975" applyFont="true" borderId="8" applyBorder="true" applyNumberFormat="true" numFmtId="165" fillId="22" applyFill="true">
      <alignment horizontal="center" vertical="center"/>
    </xf>
    <xf fontId="2976" applyFont="true" borderId="8" applyBorder="true" applyNumberFormat="true" numFmtId="165" fillId="22" applyFill="true">
      <alignment horizontal="center" vertical="center"/>
    </xf>
    <xf fontId="2977" applyFont="true" borderId="8" applyBorder="true" applyNumberFormat="true" numFmtId="1" fillId="22" applyFill="true">
      <alignment horizontal="center" vertical="center"/>
    </xf>
    <xf fontId="2978" applyFont="true" borderId="8" applyBorder="true" applyNumberFormat="true" numFmtId="1" fillId="22" applyFill="true">
      <alignment horizontal="center" vertical="center"/>
    </xf>
    <xf fontId="2979" applyFont="true" borderId="8" applyBorder="true" applyNumberFormat="true" numFmtId="1" fillId="22" applyFill="true">
      <alignment horizontal="center" vertical="center"/>
    </xf>
    <xf fontId="2980" applyFont="true" borderId="8" applyBorder="true" applyNumberFormat="true" numFmtId="167" fillId="22" applyFill="true">
      <alignment horizontal="center" vertical="center"/>
    </xf>
    <xf fontId="2981" applyFont="true" borderId="8" applyBorder="true" applyNumberFormat="true" numFmtId="1" fillId="22" applyFill="true">
      <alignment horizontal="center" vertical="center"/>
    </xf>
    <xf fontId="2982" applyFont="true" borderId="8" applyBorder="true" applyNumberFormat="true" numFmtId="167" fillId="22" applyFill="true">
      <alignment horizontal="center" vertical="center"/>
    </xf>
    <xf fontId="2983" applyFont="true" borderId="8" applyBorder="true" applyNumberFormat="true" numFmtId="1" fillId="22" applyFill="true">
      <alignment horizontal="center" vertical="center"/>
    </xf>
    <xf fontId="2984" applyFont="true" borderId="8" applyBorder="true" applyNumberFormat="true" numFmtId="167" fillId="22" applyFill="true">
      <alignment horizontal="center" vertical="center"/>
    </xf>
    <xf fontId="2985" applyFont="true" borderId="8" applyBorder="true" applyNumberFormat="true" numFmtId="1" fillId="22" applyFill="true">
      <alignment horizontal="center" vertical="center"/>
    </xf>
    <xf fontId="2986" applyFont="true" borderId="8" applyBorder="true" applyNumberFormat="true" numFmtId="167" fillId="22" applyFill="true">
      <alignment horizontal="center" vertical="center"/>
    </xf>
    <xf fontId="2987" applyFont="true" borderId="8" applyBorder="true" applyNumberFormat="true" numFmtId="167" fillId="22" applyFill="true">
      <alignment horizontal="center" vertical="center"/>
    </xf>
    <xf fontId="2988" applyFont="true" borderId="8" applyBorder="true" applyNumberFormat="true" numFmtId="1" fillId="22" applyFill="true">
      <alignment horizontal="center" vertical="center"/>
    </xf>
    <xf fontId="2989" applyFont="true" borderId="8" applyBorder="true" applyNumberFormat="true" numFmtId="1" fillId="22" applyFill="true">
      <alignment horizontal="center" vertical="center"/>
    </xf>
    <xf fontId="2990" applyFont="true" borderId="8" applyBorder="true" applyNumberFormat="true" numFmtId="1" fillId="22" applyFill="true">
      <alignment horizontal="center" vertical="center"/>
    </xf>
    <xf fontId="2991" applyFont="true" borderId="8" applyBorder="true" applyNumberFormat="true" numFmtId="167" fillId="22" applyFill="true">
      <alignment horizontal="center" vertical="center"/>
    </xf>
    <xf fontId="2992" applyFont="true" borderId="8" applyBorder="true" applyNumberFormat="true" numFmtId="166" fillId="22" applyFill="true">
      <alignment horizontal="center" vertical="center"/>
    </xf>
    <xf fontId="2993" applyFont="true" borderId="8" applyBorder="true" applyNumberFormat="true" numFmtId="166" fillId="22" applyFill="true">
      <alignment horizontal="center" vertical="center"/>
    </xf>
    <xf fontId="2994" applyFont="true" borderId="8" applyBorder="true" applyNumberFormat="true" numFmtId="1" fillId="22" applyFill="true">
      <alignment horizontal="center" vertical="center"/>
    </xf>
    <xf fontId="2995" applyFont="true" borderId="8" applyBorder="true" applyNumberFormat="true" numFmtId="1" fillId="22" applyFill="true">
      <alignment horizontal="center" vertical="center"/>
    </xf>
    <xf fontId="2996" applyFont="true" borderId="8" applyBorder="true" applyNumberFormat="true" numFmtId="1" fillId="22" applyFill="true">
      <alignment horizontal="center" vertical="center"/>
    </xf>
    <xf fontId="2997" applyFont="true" borderId="8" applyBorder="true" applyNumberFormat="true" numFmtId="167" fillId="22" applyFill="true">
      <alignment horizontal="center" vertical="center"/>
    </xf>
    <xf fontId="2998" applyFont="true" borderId="8" applyBorder="true" applyNumberFormat="true" numFmtId="1" fillId="22" applyFill="true">
      <alignment horizontal="center" vertical="center"/>
    </xf>
    <xf fontId="2999" applyFont="true" borderId="8" applyBorder="true" applyNumberFormat="true" numFmtId="167" fillId="22" applyFill="true">
      <alignment horizontal="center" vertical="center"/>
    </xf>
    <xf fontId="3000" applyFont="true" borderId="8" applyBorder="true" applyNumberFormat="true" numFmtId="1" fillId="22" applyFill="true">
      <alignment horizontal="center" vertical="center"/>
    </xf>
    <xf fontId="3001" applyFont="true" borderId="8" applyBorder="true" applyNumberFormat="true" numFmtId="1" fillId="22" applyFill="true">
      <alignment horizontal="center" vertical="center"/>
    </xf>
    <xf fontId="3002" applyFont="true" borderId="8" applyBorder="true" applyNumberFormat="true" numFmtId="1" fillId="22" applyFill="true">
      <alignment horizontal="center" vertical="center"/>
    </xf>
    <xf fontId="3003" applyFont="true" borderId="8" applyBorder="true" applyNumberFormat="true" numFmtId="1" fillId="22" applyFill="true">
      <alignment horizontal="center" vertical="center"/>
    </xf>
    <xf fontId="3004" applyFont="true" borderId="8" applyBorder="true" applyNumberFormat="true" numFmtId="167" fillId="22" applyFill="true">
      <alignment horizontal="center" vertical="center"/>
    </xf>
    <xf fontId="3005" applyFont="true" borderId="8" applyBorder="true" applyNumberFormat="true" numFmtId="1" fillId="22" applyFill="true">
      <alignment horizontal="center" vertical="center"/>
    </xf>
    <xf fontId="3006" applyFont="true" borderId="8" applyBorder="true" applyNumberFormat="true" numFmtId="167" fillId="22" applyFill="true">
      <alignment horizontal="center" vertical="center"/>
    </xf>
    <xf fontId="3007" applyFont="true" borderId="8" applyBorder="true" applyNumberFormat="true" numFmtId="1" fillId="22" applyFill="true">
      <alignment horizontal="center" vertical="center"/>
    </xf>
    <xf fontId="3008" applyFont="true" borderId="8" applyBorder="true" applyNumberFormat="true" numFmtId="167" fillId="22" applyFill="true">
      <alignment horizontal="center" vertical="center"/>
    </xf>
    <xf fontId="3009" applyFont="true" borderId="8" applyBorder="true" applyNumberFormat="true" numFmtId="2" fillId="22" applyFill="true">
      <alignment horizontal="center" vertical="center"/>
    </xf>
    <xf fontId="3010" applyFont="true" borderId="8" applyBorder="true" applyNumberFormat="true" numFmtId="2" fillId="22" applyFill="true">
      <alignment horizontal="center" vertical="center"/>
    </xf>
    <xf fontId="3011" applyFont="true" borderId="8" applyBorder="true" applyNumberFormat="true" numFmtId="2" fillId="22" applyFill="true">
      <alignment horizontal="center" vertical="center"/>
    </xf>
    <xf fontId="3012" applyFont="true" borderId="8" applyBorder="true" applyNumberFormat="true" numFmtId="2" fillId="22" applyFill="true">
      <alignment horizontal="center" vertical="center"/>
    </xf>
    <xf fontId="3013" applyFont="true" borderId="8" applyBorder="true" applyNumberFormat="true" numFmtId="2" fillId="22" applyFill="true">
      <alignment horizontal="center" vertical="center"/>
    </xf>
    <xf fontId="3014" applyFont="true" borderId="8" applyBorder="true" applyNumberFormat="true" numFmtId="2" fillId="22" applyFill="true">
      <alignment horizontal="center" vertical="center"/>
    </xf>
    <xf fontId="3015" applyFont="true" borderId="8" applyBorder="true" applyNumberFormat="true" numFmtId="2" fillId="22" applyFill="true">
      <alignment horizontal="center" vertical="center"/>
    </xf>
    <xf fontId="3016" applyFont="true" borderId="8" applyBorder="true" applyNumberFormat="true" numFmtId="2" fillId="22" applyFill="true">
      <alignment horizontal="center" vertical="center"/>
    </xf>
    <xf fontId="3017" applyFont="true" borderId="8" applyBorder="true" applyNumberFormat="true" numFmtId="2" fillId="22" applyFill="true">
      <alignment horizontal="center" vertical="center"/>
    </xf>
    <xf fontId="3018" applyFont="true" borderId="8" applyBorder="true" applyNumberFormat="true" numFmtId="2" fillId="22" applyFill="true">
      <alignment horizontal="center" vertical="center"/>
    </xf>
    <xf fontId="3019" applyFont="true" borderId="8" applyBorder="true" applyNumberFormat="true" numFmtId="2" fillId="22" applyFill="true">
      <alignment horizontal="center" vertical="center"/>
    </xf>
    <xf fontId="3020" applyFont="true" borderId="8" applyBorder="true" applyNumberFormat="true" numFmtId="2" fillId="22" applyFill="true">
      <alignment horizontal="center" vertical="center"/>
    </xf>
    <xf fontId="3021" applyFont="true" borderId="8" applyBorder="true" applyNumberFormat="true" numFmtId="2" fillId="22" applyFill="true">
      <alignment horizontal="center" vertical="center"/>
    </xf>
    <xf fontId="3022" applyFont="true" borderId="8" applyBorder="true" applyNumberFormat="true" numFmtId="2" fillId="22" applyFill="true">
      <alignment horizontal="center" vertical="center"/>
    </xf>
    <xf fontId="3023" applyFont="true" borderId="8" applyBorder="true" applyNumberFormat="true" numFmtId="2" fillId="22" applyFill="true">
      <alignment horizontal="center" vertical="center"/>
    </xf>
    <xf fontId="3024" applyFont="true" borderId="8" applyBorder="true" applyNumberFormat="true" numFmtId="2" fillId="22" applyFill="true">
      <alignment horizontal="center" vertical="center"/>
    </xf>
    <xf fontId="3025" applyFont="true" borderId="8" applyBorder="true" applyNumberFormat="true" numFmtId="2" fillId="22" applyFill="true">
      <alignment horizontal="center" vertical="center"/>
    </xf>
    <xf fontId="3026" applyFont="true" borderId="8" applyBorder="true" applyNumberFormat="true" numFmtId="2" fillId="22" applyFill="true">
      <alignment horizontal="center" vertical="center"/>
    </xf>
    <xf fontId="3027" applyFont="true" borderId="8" applyBorder="true" applyNumberFormat="true" numFmtId="2" fillId="22" applyFill="true">
      <alignment horizontal="center" vertical="center"/>
    </xf>
    <xf fontId="3028" applyFont="true" borderId="8" applyBorder="true" applyNumberFormat="true" numFmtId="2" fillId="22" applyFill="true">
      <alignment horizontal="center" vertical="center"/>
    </xf>
    <xf fontId="3029" applyFont="true" borderId="8" applyBorder="true" applyNumberFormat="true" numFmtId="2" fillId="22" applyFill="true">
      <alignment horizontal="center" vertical="center"/>
    </xf>
    <xf fontId="3030" applyFont="true" borderId="8" applyBorder="true" applyNumberFormat="true" numFmtId="2" fillId="22" applyFill="true">
      <alignment horizontal="center" vertical="center"/>
    </xf>
    <xf fontId="3031" applyFont="true" borderId="8" applyBorder="true" applyNumberFormat="true" numFmtId="2" fillId="22" applyFill="true">
      <alignment horizontal="center" vertical="center"/>
    </xf>
    <xf fontId="3032" applyFont="true" borderId="8" applyBorder="true" applyNumberFormat="true" numFmtId="2" fillId="22" applyFill="true">
      <alignment horizontal="center" vertical="center"/>
    </xf>
    <xf fontId="3033" applyFont="true" borderId="8" applyBorder="true" applyNumberFormat="true" numFmtId="2" fillId="22" applyFill="true">
      <alignment horizontal="center" vertical="center"/>
    </xf>
    <xf fontId="3034" applyFont="true" borderId="8" applyBorder="true" applyNumberFormat="true" numFmtId="2" fillId="22" applyFill="true">
      <alignment horizontal="center" vertical="center"/>
    </xf>
    <xf fontId="3035" applyFont="true" borderId="8" applyBorder="true" applyNumberFormat="true" numFmtId="2" fillId="22" applyFill="true">
      <alignment horizontal="center" vertical="center"/>
    </xf>
    <xf fontId="3036" applyFont="true" borderId="8" applyBorder="true" applyNumberFormat="true" numFmtId="2" fillId="22" applyFill="true">
      <alignment horizontal="center" vertical="center"/>
    </xf>
    <xf fontId="3037" applyFont="true" borderId="8" applyBorder="true" applyNumberFormat="true" numFmtId="2" fillId="22" applyFill="true">
      <alignment horizontal="center" vertical="center"/>
    </xf>
    <xf fontId="3038" applyFont="true" borderId="8" applyBorder="true" applyNumberFormat="true" numFmtId="2" fillId="22" applyFill="true">
      <alignment horizontal="center" vertical="center"/>
    </xf>
    <xf fontId="3039" applyFont="true" borderId="8" applyBorder="true" applyNumberFormat="true" numFmtId="2" fillId="22" applyFill="true">
      <alignment horizontal="center" vertical="center"/>
    </xf>
    <xf fontId="3040" applyFont="true" borderId="8" applyBorder="true" applyNumberFormat="true" numFmtId="2" fillId="22" applyFill="true">
      <alignment horizontal="center" vertical="center"/>
    </xf>
    <xf fontId="3041" applyFont="true" borderId="8" applyBorder="true" applyNumberFormat="true" numFmtId="2" fillId="22" applyFill="true">
      <alignment horizontal="center" vertical="center"/>
    </xf>
    <xf fontId="3042" applyFont="true" borderId="8" applyBorder="true" applyNumberFormat="true" numFmtId="2" fillId="22" applyFill="true">
      <alignment horizontal="center" vertical="center"/>
    </xf>
    <xf fontId="3043" applyFont="true" borderId="8" applyBorder="true" applyNumberFormat="true" numFmtId="165" fillId="19" applyFill="true">
      <alignment horizontal="left" vertical="center"/>
    </xf>
    <xf fontId="3044" applyFont="true" borderId="8" applyBorder="true" applyNumberFormat="true" numFmtId="165" fillId="22" applyFill="true">
      <alignment horizontal="center" vertical="center"/>
    </xf>
    <xf fontId="3045" applyFont="true" borderId="8" applyBorder="true" applyNumberFormat="true" numFmtId="166" fillId="22" applyFill="true">
      <alignment horizontal="center" vertical="center"/>
    </xf>
    <xf fontId="3046" applyFont="true" borderId="8" applyBorder="true" applyNumberFormat="true" numFmtId="1" fillId="22" applyFill="true">
      <alignment horizontal="center" vertical="center"/>
    </xf>
    <xf fontId="3047" applyFont="true" borderId="8" applyBorder="true" applyNumberFormat="true" numFmtId="1" fillId="22" applyFill="true">
      <alignment horizontal="center" vertical="center"/>
    </xf>
    <xf fontId="3048" applyFont="true" borderId="8" applyBorder="true" applyNumberFormat="true" numFmtId="1" fillId="22" applyFill="true">
      <alignment horizontal="center" vertical="center"/>
    </xf>
    <xf fontId="3049" applyFont="true" borderId="8" applyBorder="true" applyNumberFormat="true" numFmtId="1" fillId="22" applyFill="true">
      <alignment horizontal="center" vertical="center"/>
    </xf>
    <xf fontId="3050" applyFont="true" borderId="8" applyBorder="true" applyNumberFormat="true" numFmtId="1" fillId="22" applyFill="true">
      <alignment horizontal="center" vertical="center"/>
    </xf>
    <xf fontId="3051" applyFont="true" borderId="8" applyBorder="true" applyNumberFormat="true" numFmtId="1" fillId="22" applyFill="true">
      <alignment horizontal="center" vertical="center"/>
    </xf>
    <xf fontId="3052" applyFont="true" borderId="8" applyBorder="true" applyNumberFormat="true" numFmtId="1" fillId="22" applyFill="true">
      <alignment horizontal="center" vertical="center"/>
    </xf>
    <xf fontId="3053" applyFont="true" borderId="8" applyBorder="true" applyNumberFormat="true" numFmtId="165" fillId="22" applyFill="true">
      <alignment horizontal="center" vertical="center"/>
    </xf>
    <xf fontId="3054" applyFont="true" borderId="8" applyBorder="true" applyNumberFormat="true" numFmtId="165" fillId="22" applyFill="true">
      <alignment horizontal="center" vertical="center"/>
    </xf>
    <xf fontId="3055" applyFont="true" borderId="8" applyBorder="true" applyNumberFormat="true" numFmtId="1" fillId="22" applyFill="true">
      <alignment horizontal="center" vertical="center"/>
    </xf>
    <xf fontId="3056" applyFont="true" borderId="8" applyBorder="true" applyNumberFormat="true" numFmtId="1" fillId="22" applyFill="true">
      <alignment horizontal="center" vertical="center"/>
    </xf>
    <xf fontId="3057" applyFont="true" borderId="8" applyBorder="true" applyNumberFormat="true" numFmtId="1" fillId="22" applyFill="true">
      <alignment horizontal="center" vertical="center"/>
    </xf>
    <xf fontId="3058" applyFont="true" borderId="8" applyBorder="true" applyNumberFormat="true" numFmtId="167" fillId="22" applyFill="true">
      <alignment horizontal="center" vertical="center"/>
    </xf>
    <xf fontId="3059" applyFont="true" borderId="8" applyBorder="true" applyNumberFormat="true" numFmtId="1" fillId="22" applyFill="true">
      <alignment horizontal="center" vertical="center"/>
    </xf>
    <xf fontId="3060" applyFont="true" borderId="8" applyBorder="true" applyNumberFormat="true" numFmtId="167" fillId="22" applyFill="true">
      <alignment horizontal="center" vertical="center"/>
    </xf>
    <xf fontId="3061" applyFont="true" borderId="8" applyBorder="true" applyNumberFormat="true" numFmtId="1" fillId="22" applyFill="true">
      <alignment horizontal="center" vertical="center"/>
    </xf>
    <xf fontId="3062" applyFont="true" borderId="8" applyBorder="true" applyNumberFormat="true" numFmtId="167" fillId="22" applyFill="true">
      <alignment horizontal="center" vertical="center"/>
    </xf>
    <xf fontId="3063" applyFont="true" borderId="8" applyBorder="true" applyNumberFormat="true" numFmtId="1" fillId="22" applyFill="true">
      <alignment horizontal="center" vertical="center"/>
    </xf>
    <xf fontId="3064" applyFont="true" borderId="8" applyBorder="true" applyNumberFormat="true" numFmtId="167" fillId="22" applyFill="true">
      <alignment horizontal="center" vertical="center"/>
    </xf>
    <xf fontId="3065" applyFont="true" borderId="8" applyBorder="true" applyNumberFormat="true" numFmtId="167" fillId="22" applyFill="true">
      <alignment horizontal="center" vertical="center"/>
    </xf>
    <xf fontId="3066" applyFont="true" borderId="8" applyBorder="true" applyNumberFormat="true" numFmtId="1" fillId="22" applyFill="true">
      <alignment horizontal="center" vertical="center"/>
    </xf>
    <xf fontId="3067" applyFont="true" borderId="8" applyBorder="true" applyNumberFormat="true" numFmtId="1" fillId="22" applyFill="true">
      <alignment horizontal="center" vertical="center"/>
    </xf>
    <xf fontId="3068" applyFont="true" borderId="8" applyBorder="true" applyNumberFormat="true" numFmtId="1" fillId="22" applyFill="true">
      <alignment horizontal="center" vertical="center"/>
    </xf>
    <xf fontId="3069" applyFont="true" borderId="8" applyBorder="true" applyNumberFormat="true" numFmtId="167" fillId="22" applyFill="true">
      <alignment horizontal="center" vertical="center"/>
    </xf>
    <xf fontId="3070" applyFont="true" borderId="8" applyBorder="true" applyNumberFormat="true" numFmtId="166" fillId="22" applyFill="true">
      <alignment horizontal="center" vertical="center"/>
    </xf>
    <xf fontId="3071" applyFont="true" borderId="8" applyBorder="true" applyNumberFormat="true" numFmtId="166" fillId="22" applyFill="true">
      <alignment horizontal="center" vertical="center"/>
    </xf>
    <xf fontId="3072" applyFont="true" borderId="8" applyBorder="true" applyNumberFormat="true" numFmtId="1" fillId="22" applyFill="true">
      <alignment horizontal="center" vertical="center"/>
    </xf>
    <xf fontId="3073" applyFont="true" borderId="8" applyBorder="true" applyNumberFormat="true" numFmtId="1" fillId="22" applyFill="true">
      <alignment horizontal="center" vertical="center"/>
    </xf>
    <xf fontId="3074" applyFont="true" borderId="8" applyBorder="true" applyNumberFormat="true" numFmtId="1" fillId="22" applyFill="true">
      <alignment horizontal="center" vertical="center"/>
    </xf>
    <xf fontId="3075" applyFont="true" borderId="8" applyBorder="true" applyNumberFormat="true" numFmtId="167" fillId="22" applyFill="true">
      <alignment horizontal="center" vertical="center"/>
    </xf>
    <xf fontId="3076" applyFont="true" borderId="8" applyBorder="true" applyNumberFormat="true" numFmtId="1" fillId="22" applyFill="true">
      <alignment horizontal="center" vertical="center"/>
    </xf>
    <xf fontId="3077" applyFont="true" borderId="8" applyBorder="true" applyNumberFormat="true" numFmtId="167" fillId="22" applyFill="true">
      <alignment horizontal="center" vertical="center"/>
    </xf>
    <xf fontId="3078" applyFont="true" borderId="8" applyBorder="true" applyNumberFormat="true" numFmtId="1" fillId="22" applyFill="true">
      <alignment horizontal="center" vertical="center"/>
    </xf>
    <xf fontId="3079" applyFont="true" borderId="8" applyBorder="true" applyNumberFormat="true" numFmtId="1" fillId="22" applyFill="true">
      <alignment horizontal="center" vertical="center"/>
    </xf>
    <xf fontId="3080" applyFont="true" borderId="8" applyBorder="true" applyNumberFormat="true" numFmtId="1" fillId="22" applyFill="true">
      <alignment horizontal="center" vertical="center"/>
    </xf>
    <xf fontId="3081" applyFont="true" borderId="8" applyBorder="true" applyNumberFormat="true" numFmtId="1" fillId="22" applyFill="true">
      <alignment horizontal="center" vertical="center"/>
    </xf>
    <xf fontId="3082" applyFont="true" borderId="8" applyBorder="true" applyNumberFormat="true" numFmtId="167" fillId="22" applyFill="true">
      <alignment horizontal="center" vertical="center"/>
    </xf>
    <xf fontId="3083" applyFont="true" borderId="8" applyBorder="true" applyNumberFormat="true" numFmtId="1" fillId="22" applyFill="true">
      <alignment horizontal="center" vertical="center"/>
    </xf>
    <xf fontId="3084" applyFont="true" borderId="8" applyBorder="true" applyNumberFormat="true" numFmtId="167" fillId="22" applyFill="true">
      <alignment horizontal="center" vertical="center"/>
    </xf>
    <xf fontId="3085" applyFont="true" borderId="8" applyBorder="true" applyNumberFormat="true" numFmtId="1" fillId="22" applyFill="true">
      <alignment horizontal="center" vertical="center"/>
    </xf>
    <xf fontId="3086" applyFont="true" borderId="8" applyBorder="true" applyNumberFormat="true" numFmtId="167" fillId="22" applyFill="true">
      <alignment horizontal="center" vertical="center"/>
    </xf>
    <xf fontId="3087" applyFont="true" borderId="8" applyBorder="true" applyNumberFormat="true" numFmtId="2" fillId="22" applyFill="true">
      <alignment horizontal="center" vertical="center"/>
    </xf>
    <xf fontId="3088" applyFont="true" borderId="8" applyBorder="true" applyNumberFormat="true" numFmtId="2" fillId="22" applyFill="true">
      <alignment horizontal="center" vertical="center"/>
    </xf>
    <xf fontId="3089" applyFont="true" borderId="8" applyBorder="true" applyNumberFormat="true" numFmtId="2" fillId="22" applyFill="true">
      <alignment horizontal="center" vertical="center"/>
    </xf>
    <xf fontId="3090" applyFont="true" borderId="8" applyBorder="true" applyNumberFormat="true" numFmtId="2" fillId="22" applyFill="true">
      <alignment horizontal="center" vertical="center"/>
    </xf>
    <xf fontId="3091" applyFont="true" borderId="8" applyBorder="true" applyNumberFormat="true" numFmtId="2" fillId="22" applyFill="true">
      <alignment horizontal="center" vertical="center"/>
    </xf>
    <xf fontId="3092" applyFont="true" borderId="8" applyBorder="true" applyNumberFormat="true" numFmtId="2" fillId="22" applyFill="true">
      <alignment horizontal="center" vertical="center"/>
    </xf>
    <xf fontId="3093" applyFont="true" borderId="8" applyBorder="true" applyNumberFormat="true" numFmtId="2" fillId="22" applyFill="true">
      <alignment horizontal="center" vertical="center"/>
    </xf>
    <xf fontId="3094" applyFont="true" borderId="8" applyBorder="true" applyNumberFormat="true" numFmtId="2" fillId="22" applyFill="true">
      <alignment horizontal="center" vertical="center"/>
    </xf>
    <xf fontId="3095" applyFont="true" borderId="8" applyBorder="true" applyNumberFormat="true" numFmtId="2" fillId="22" applyFill="true">
      <alignment horizontal="center" vertical="center"/>
    </xf>
    <xf fontId="3096" applyFont="true" borderId="8" applyBorder="true" applyNumberFormat="true" numFmtId="2" fillId="22" applyFill="true">
      <alignment horizontal="center" vertical="center"/>
    </xf>
    <xf fontId="3097" applyFont="true" borderId="8" applyBorder="true" applyNumberFormat="true" numFmtId="2" fillId="22" applyFill="true">
      <alignment horizontal="center" vertical="center"/>
    </xf>
    <xf fontId="3098" applyFont="true" borderId="8" applyBorder="true" applyNumberFormat="true" numFmtId="2" fillId="22" applyFill="true">
      <alignment horizontal="center" vertical="center"/>
    </xf>
    <xf fontId="3099" applyFont="true" borderId="8" applyBorder="true" applyNumberFormat="true" numFmtId="2" fillId="22" applyFill="true">
      <alignment horizontal="center" vertical="center"/>
    </xf>
    <xf fontId="3100" applyFont="true" borderId="8" applyBorder="true" applyNumberFormat="true" numFmtId="2" fillId="22" applyFill="true">
      <alignment horizontal="center" vertical="center"/>
    </xf>
    <xf fontId="3101" applyFont="true" borderId="8" applyBorder="true" applyNumberFormat="true" numFmtId="2" fillId="22" applyFill="true">
      <alignment horizontal="center" vertical="center"/>
    </xf>
    <xf fontId="3102" applyFont="true" borderId="8" applyBorder="true" applyNumberFormat="true" numFmtId="2" fillId="22" applyFill="true">
      <alignment horizontal="center" vertical="center"/>
    </xf>
    <xf fontId="3103" applyFont="true" borderId="8" applyBorder="true" applyNumberFormat="true" numFmtId="2" fillId="22" applyFill="true">
      <alignment horizontal="center" vertical="center"/>
    </xf>
    <xf fontId="3104" applyFont="true" borderId="8" applyBorder="true" applyNumberFormat="true" numFmtId="2" fillId="22" applyFill="true">
      <alignment horizontal="center" vertical="center"/>
    </xf>
    <xf fontId="3105" applyFont="true" borderId="8" applyBorder="true" applyNumberFormat="true" numFmtId="2" fillId="22" applyFill="true">
      <alignment horizontal="center" vertical="center"/>
    </xf>
    <xf fontId="3106" applyFont="true" borderId="8" applyBorder="true" applyNumberFormat="true" numFmtId="2" fillId="22" applyFill="true">
      <alignment horizontal="center" vertical="center"/>
    </xf>
    <xf fontId="3107" applyFont="true" borderId="8" applyBorder="true" applyNumberFormat="true" numFmtId="2" fillId="22" applyFill="true">
      <alignment horizontal="center" vertical="center"/>
    </xf>
    <xf fontId="3108" applyFont="true" borderId="8" applyBorder="true" applyNumberFormat="true" numFmtId="2" fillId="22" applyFill="true">
      <alignment horizontal="center" vertical="center"/>
    </xf>
    <xf fontId="3109" applyFont="true" borderId="8" applyBorder="true" applyNumberFormat="true" numFmtId="2" fillId="22" applyFill="true">
      <alignment horizontal="center" vertical="center"/>
    </xf>
    <xf fontId="3110" applyFont="true" borderId="8" applyBorder="true" applyNumberFormat="true" numFmtId="2" fillId="22" applyFill="true">
      <alignment horizontal="center" vertical="center"/>
    </xf>
    <xf fontId="3111" applyFont="true" borderId="8" applyBorder="true" applyNumberFormat="true" numFmtId="2" fillId="22" applyFill="true">
      <alignment horizontal="center" vertical="center"/>
    </xf>
    <xf fontId="3112" applyFont="true" borderId="8" applyBorder="true" applyNumberFormat="true" numFmtId="2" fillId="22" applyFill="true">
      <alignment horizontal="center" vertical="center"/>
    </xf>
    <xf fontId="3113" applyFont="true" borderId="8" applyBorder="true" applyNumberFormat="true" numFmtId="2" fillId="22" applyFill="true">
      <alignment horizontal="center" vertical="center"/>
    </xf>
    <xf fontId="3114" applyFont="true" borderId="8" applyBorder="true" applyNumberFormat="true" numFmtId="2" fillId="22" applyFill="true">
      <alignment horizontal="center" vertical="center"/>
    </xf>
    <xf fontId="3115" applyFont="true" borderId="8" applyBorder="true" applyNumberFormat="true" numFmtId="2" fillId="22" applyFill="true">
      <alignment horizontal="center" vertical="center"/>
    </xf>
    <xf fontId="3116" applyFont="true" borderId="8" applyBorder="true" applyNumberFormat="true" numFmtId="2" fillId="22" applyFill="true">
      <alignment horizontal="center" vertical="center"/>
    </xf>
    <xf fontId="3117" applyFont="true" borderId="8" applyBorder="true" applyNumberFormat="true" numFmtId="2" fillId="22" applyFill="true">
      <alignment horizontal="center" vertical="center"/>
    </xf>
    <xf fontId="3118" applyFont="true" borderId="8" applyBorder="true" applyNumberFormat="true" numFmtId="2" fillId="22" applyFill="true">
      <alignment horizontal="center" vertical="center"/>
    </xf>
    <xf fontId="3119" applyFont="true" borderId="8" applyBorder="true" applyNumberFormat="true" numFmtId="2" fillId="22" applyFill="true">
      <alignment horizontal="center" vertical="center"/>
    </xf>
    <xf fontId="3120" applyFont="true" borderId="8" applyBorder="true" applyNumberFormat="true" numFmtId="2" fillId="22" applyFill="true">
      <alignment horizontal="center" vertical="center"/>
    </xf>
    <xf fontId="3121" applyFont="true" borderId="8" applyBorder="true" applyNumberFormat="true" numFmtId="165" fillId="19" applyFill="true">
      <alignment horizontal="left" vertical="center"/>
    </xf>
    <xf fontId="3122" applyFont="true" borderId="8" applyBorder="true" applyNumberFormat="true" numFmtId="165" fillId="22" applyFill="true">
      <alignment horizontal="center" vertical="center"/>
    </xf>
    <xf fontId="3123" applyFont="true" borderId="8" applyBorder="true" applyNumberFormat="true" numFmtId="166" fillId="22" applyFill="true">
      <alignment horizontal="center" vertical="center"/>
    </xf>
    <xf fontId="3124" applyFont="true" borderId="8" applyBorder="true" applyNumberFormat="true" numFmtId="1" fillId="22" applyFill="true">
      <alignment horizontal="center" vertical="center"/>
    </xf>
    <xf fontId="3125" applyFont="true" borderId="8" applyBorder="true" applyNumberFormat="true" numFmtId="1" fillId="22" applyFill="true">
      <alignment horizontal="center" vertical="center"/>
    </xf>
    <xf fontId="3126" applyFont="true" borderId="8" applyBorder="true" applyNumberFormat="true" numFmtId="1" fillId="22" applyFill="true">
      <alignment horizontal="center" vertical="center"/>
    </xf>
    <xf fontId="3127" applyFont="true" borderId="8" applyBorder="true" applyNumberFormat="true" numFmtId="1" fillId="22" applyFill="true">
      <alignment horizontal="center" vertical="center"/>
    </xf>
    <xf fontId="3128" applyFont="true" borderId="8" applyBorder="true" applyNumberFormat="true" numFmtId="1" fillId="22" applyFill="true">
      <alignment horizontal="center" vertical="center"/>
    </xf>
    <xf fontId="3129" applyFont="true" borderId="8" applyBorder="true" applyNumberFormat="true" numFmtId="1" fillId="22" applyFill="true">
      <alignment horizontal="center" vertical="center"/>
    </xf>
    <xf fontId="3130" applyFont="true" borderId="8" applyBorder="true" applyNumberFormat="true" numFmtId="1" fillId="22" applyFill="true">
      <alignment horizontal="center" vertical="center"/>
    </xf>
    <xf fontId="3131" applyFont="true" borderId="8" applyBorder="true" applyNumberFormat="true" numFmtId="165" fillId="22" applyFill="true">
      <alignment horizontal="center" vertical="center"/>
    </xf>
    <xf fontId="3132" applyFont="true" borderId="8" applyBorder="true" applyNumberFormat="true" numFmtId="165" fillId="22" applyFill="true">
      <alignment horizontal="center" vertical="center"/>
    </xf>
    <xf fontId="3133" applyFont="true" borderId="8" applyBorder="true" applyNumberFormat="true" numFmtId="1" fillId="22" applyFill="true">
      <alignment horizontal="center" vertical="center"/>
    </xf>
    <xf fontId="3134" applyFont="true" borderId="8" applyBorder="true" applyNumberFormat="true" numFmtId="1" fillId="22" applyFill="true">
      <alignment horizontal="center" vertical="center"/>
    </xf>
    <xf fontId="3135" applyFont="true" borderId="8" applyBorder="true" applyNumberFormat="true" numFmtId="1" fillId="22" applyFill="true">
      <alignment horizontal="center" vertical="center"/>
    </xf>
    <xf fontId="3136" applyFont="true" borderId="8" applyBorder="true" applyNumberFormat="true" numFmtId="167" fillId="22" applyFill="true">
      <alignment horizontal="center" vertical="center"/>
    </xf>
    <xf fontId="3137" applyFont="true" borderId="8" applyBorder="true" applyNumberFormat="true" numFmtId="1" fillId="22" applyFill="true">
      <alignment horizontal="center" vertical="center"/>
    </xf>
    <xf fontId="3138" applyFont="true" borderId="8" applyBorder="true" applyNumberFormat="true" numFmtId="167" fillId="22" applyFill="true">
      <alignment horizontal="center" vertical="center"/>
    </xf>
    <xf fontId="3139" applyFont="true" borderId="8" applyBorder="true" applyNumberFormat="true" numFmtId="1" fillId="22" applyFill="true">
      <alignment horizontal="center" vertical="center"/>
    </xf>
    <xf fontId="3140" applyFont="true" borderId="8" applyBorder="true" applyNumberFormat="true" numFmtId="167" fillId="22" applyFill="true">
      <alignment horizontal="center" vertical="center"/>
    </xf>
    <xf fontId="3141" applyFont="true" borderId="8" applyBorder="true" applyNumberFormat="true" numFmtId="1" fillId="22" applyFill="true">
      <alignment horizontal="center" vertical="center"/>
    </xf>
    <xf fontId="3142" applyFont="true" borderId="8" applyBorder="true" applyNumberFormat="true" numFmtId="167" fillId="22" applyFill="true">
      <alignment horizontal="center" vertical="center"/>
    </xf>
    <xf fontId="3143" applyFont="true" borderId="8" applyBorder="true" applyNumberFormat="true" numFmtId="167" fillId="22" applyFill="true">
      <alignment horizontal="center" vertical="center"/>
    </xf>
    <xf fontId="3144" applyFont="true" borderId="8" applyBorder="true" applyNumberFormat="true" numFmtId="1" fillId="22" applyFill="true">
      <alignment horizontal="center" vertical="center"/>
    </xf>
    <xf fontId="3145" applyFont="true" borderId="8" applyBorder="true" applyNumberFormat="true" numFmtId="1" fillId="22" applyFill="true">
      <alignment horizontal="center" vertical="center"/>
    </xf>
    <xf fontId="3146" applyFont="true" borderId="8" applyBorder="true" applyNumberFormat="true" numFmtId="1" fillId="22" applyFill="true">
      <alignment horizontal="center" vertical="center"/>
    </xf>
    <xf fontId="3147" applyFont="true" borderId="8" applyBorder="true" applyNumberFormat="true" numFmtId="167" fillId="22" applyFill="true">
      <alignment horizontal="center" vertical="center"/>
    </xf>
    <xf fontId="3148" applyFont="true" borderId="8" applyBorder="true" applyNumberFormat="true" numFmtId="166" fillId="22" applyFill="true">
      <alignment horizontal="center" vertical="center"/>
    </xf>
    <xf fontId="3149" applyFont="true" borderId="8" applyBorder="true" applyNumberFormat="true" numFmtId="166" fillId="22" applyFill="true">
      <alignment horizontal="center" vertical="center"/>
    </xf>
    <xf fontId="3150" applyFont="true" borderId="8" applyBorder="true" applyNumberFormat="true" numFmtId="1" fillId="22" applyFill="true">
      <alignment horizontal="center" vertical="center"/>
    </xf>
    <xf fontId="3151" applyFont="true" borderId="8" applyBorder="true" applyNumberFormat="true" numFmtId="1" fillId="22" applyFill="true">
      <alignment horizontal="center" vertical="center"/>
    </xf>
    <xf fontId="3152" applyFont="true" borderId="8" applyBorder="true" applyNumberFormat="true" numFmtId="1" fillId="22" applyFill="true">
      <alignment horizontal="center" vertical="center"/>
    </xf>
    <xf fontId="3153" applyFont="true" borderId="8" applyBorder="true" applyNumberFormat="true" numFmtId="167" fillId="22" applyFill="true">
      <alignment horizontal="center" vertical="center"/>
    </xf>
    <xf fontId="3154" applyFont="true" borderId="8" applyBorder="true" applyNumberFormat="true" numFmtId="1" fillId="22" applyFill="true">
      <alignment horizontal="center" vertical="center"/>
    </xf>
    <xf fontId="3155" applyFont="true" borderId="8" applyBorder="true" applyNumberFormat="true" numFmtId="167" fillId="22" applyFill="true">
      <alignment horizontal="center" vertical="center"/>
    </xf>
    <xf fontId="3156" applyFont="true" borderId="8" applyBorder="true" applyNumberFormat="true" numFmtId="1" fillId="22" applyFill="true">
      <alignment horizontal="center" vertical="center"/>
    </xf>
    <xf fontId="3157" applyFont="true" borderId="8" applyBorder="true" applyNumberFormat="true" numFmtId="1" fillId="22" applyFill="true">
      <alignment horizontal="center" vertical="center"/>
    </xf>
    <xf fontId="3158" applyFont="true" borderId="8" applyBorder="true" applyNumberFormat="true" numFmtId="1" fillId="22" applyFill="true">
      <alignment horizontal="center" vertical="center"/>
    </xf>
    <xf fontId="3159" applyFont="true" borderId="8" applyBorder="true" applyNumberFormat="true" numFmtId="1" fillId="22" applyFill="true">
      <alignment horizontal="center" vertical="center"/>
    </xf>
    <xf fontId="3160" applyFont="true" borderId="8" applyBorder="true" applyNumberFormat="true" numFmtId="167" fillId="22" applyFill="true">
      <alignment horizontal="center" vertical="center"/>
    </xf>
    <xf fontId="3161" applyFont="true" borderId="8" applyBorder="true" applyNumberFormat="true" numFmtId="1" fillId="22" applyFill="true">
      <alignment horizontal="center" vertical="center"/>
    </xf>
    <xf fontId="3162" applyFont="true" borderId="8" applyBorder="true" applyNumberFormat="true" numFmtId="167" fillId="22" applyFill="true">
      <alignment horizontal="center" vertical="center"/>
    </xf>
    <xf fontId="3163" applyFont="true" borderId="8" applyBorder="true" applyNumberFormat="true" numFmtId="1" fillId="22" applyFill="true">
      <alignment horizontal="center" vertical="center"/>
    </xf>
    <xf fontId="3164" applyFont="true" borderId="8" applyBorder="true" applyNumberFormat="true" numFmtId="167" fillId="22" applyFill="true">
      <alignment horizontal="center" vertical="center"/>
    </xf>
    <xf fontId="3165" applyFont="true" borderId="8" applyBorder="true" applyNumberFormat="true" numFmtId="2" fillId="22" applyFill="true">
      <alignment horizontal="center" vertical="center"/>
    </xf>
    <xf fontId="3166" applyFont="true" borderId="8" applyBorder="true" applyNumberFormat="true" numFmtId="2" fillId="22" applyFill="true">
      <alignment horizontal="center" vertical="center"/>
    </xf>
    <xf fontId="3167" applyFont="true" borderId="8" applyBorder="true" applyNumberFormat="true" numFmtId="2" fillId="22" applyFill="true">
      <alignment horizontal="center" vertical="center"/>
    </xf>
    <xf fontId="3168" applyFont="true" borderId="8" applyBorder="true" applyNumberFormat="true" numFmtId="2" fillId="22" applyFill="true">
      <alignment horizontal="center" vertical="center"/>
    </xf>
    <xf fontId="3169" applyFont="true" borderId="8" applyBorder="true" applyNumberFormat="true" numFmtId="2" fillId="22" applyFill="true">
      <alignment horizontal="center" vertical="center"/>
    </xf>
    <xf fontId="3170" applyFont="true" borderId="8" applyBorder="true" applyNumberFormat="true" numFmtId="2" fillId="22" applyFill="true">
      <alignment horizontal="center" vertical="center"/>
    </xf>
    <xf fontId="3171" applyFont="true" borderId="8" applyBorder="true" applyNumberFormat="true" numFmtId="2" fillId="22" applyFill="true">
      <alignment horizontal="center" vertical="center"/>
    </xf>
    <xf fontId="3172" applyFont="true" borderId="8" applyBorder="true" applyNumberFormat="true" numFmtId="2" fillId="22" applyFill="true">
      <alignment horizontal="center" vertical="center"/>
    </xf>
    <xf fontId="3173" applyFont="true" borderId="8" applyBorder="true" applyNumberFormat="true" numFmtId="2" fillId="22" applyFill="true">
      <alignment horizontal="center" vertical="center"/>
    </xf>
    <xf fontId="3174" applyFont="true" borderId="8" applyBorder="true" applyNumberFormat="true" numFmtId="2" fillId="22" applyFill="true">
      <alignment horizontal="center" vertical="center"/>
    </xf>
    <xf fontId="3175" applyFont="true" borderId="8" applyBorder="true" applyNumberFormat="true" numFmtId="2" fillId="22" applyFill="true">
      <alignment horizontal="center" vertical="center"/>
    </xf>
    <xf fontId="3176" applyFont="true" borderId="8" applyBorder="true" applyNumberFormat="true" numFmtId="2" fillId="22" applyFill="true">
      <alignment horizontal="center" vertical="center"/>
    </xf>
    <xf fontId="3177" applyFont="true" borderId="8" applyBorder="true" applyNumberFormat="true" numFmtId="2" fillId="22" applyFill="true">
      <alignment horizontal="center" vertical="center"/>
    </xf>
    <xf fontId="3178" applyFont="true" borderId="8" applyBorder="true" applyNumberFormat="true" numFmtId="2" fillId="22" applyFill="true">
      <alignment horizontal="center" vertical="center"/>
    </xf>
    <xf fontId="3179" applyFont="true" borderId="8" applyBorder="true" applyNumberFormat="true" numFmtId="2" fillId="22" applyFill="true">
      <alignment horizontal="center" vertical="center"/>
    </xf>
    <xf fontId="3180" applyFont="true" borderId="8" applyBorder="true" applyNumberFormat="true" numFmtId="2" fillId="22" applyFill="true">
      <alignment horizontal="center" vertical="center"/>
    </xf>
    <xf fontId="3181" applyFont="true" borderId="8" applyBorder="true" applyNumberFormat="true" numFmtId="2" fillId="22" applyFill="true">
      <alignment horizontal="center" vertical="center"/>
    </xf>
    <xf fontId="3182" applyFont="true" borderId="8" applyBorder="true" applyNumberFormat="true" numFmtId="2" fillId="22" applyFill="true">
      <alignment horizontal="center" vertical="center"/>
    </xf>
    <xf fontId="3183" applyFont="true" borderId="8" applyBorder="true" applyNumberFormat="true" numFmtId="2" fillId="22" applyFill="true">
      <alignment horizontal="center" vertical="center"/>
    </xf>
    <xf fontId="3184" applyFont="true" borderId="8" applyBorder="true" applyNumberFormat="true" numFmtId="2" fillId="22" applyFill="true">
      <alignment horizontal="center" vertical="center"/>
    </xf>
    <xf fontId="3185" applyFont="true" borderId="8" applyBorder="true" applyNumberFormat="true" numFmtId="2" fillId="22" applyFill="true">
      <alignment horizontal="center" vertical="center"/>
    </xf>
    <xf fontId="3186" applyFont="true" borderId="8" applyBorder="true" applyNumberFormat="true" numFmtId="2" fillId="22" applyFill="true">
      <alignment horizontal="center" vertical="center"/>
    </xf>
    <xf fontId="3187" applyFont="true" borderId="8" applyBorder="true" applyNumberFormat="true" numFmtId="2" fillId="22" applyFill="true">
      <alignment horizontal="center" vertical="center"/>
    </xf>
    <xf fontId="3188" applyFont="true" borderId="8" applyBorder="true" applyNumberFormat="true" numFmtId="2" fillId="22" applyFill="true">
      <alignment horizontal="center" vertical="center"/>
    </xf>
    <xf fontId="3189" applyFont="true" borderId="8" applyBorder="true" applyNumberFormat="true" numFmtId="2" fillId="22" applyFill="true">
      <alignment horizontal="center" vertical="center"/>
    </xf>
    <xf fontId="3190" applyFont="true" borderId="8" applyBorder="true" applyNumberFormat="true" numFmtId="2" fillId="22" applyFill="true">
      <alignment horizontal="center" vertical="center"/>
    </xf>
    <xf fontId="3191" applyFont="true" borderId="8" applyBorder="true" applyNumberFormat="true" numFmtId="2" fillId="22" applyFill="true">
      <alignment horizontal="center" vertical="center"/>
    </xf>
    <xf fontId="3192" applyFont="true" borderId="8" applyBorder="true" applyNumberFormat="true" numFmtId="2" fillId="22" applyFill="true">
      <alignment horizontal="center" vertical="center"/>
    </xf>
    <xf fontId="3193" applyFont="true" borderId="8" applyBorder="true" applyNumberFormat="true" numFmtId="2" fillId="22" applyFill="true">
      <alignment horizontal="center" vertical="center"/>
    </xf>
    <xf fontId="3194" applyFont="true" borderId="8" applyBorder="true" applyNumberFormat="true" numFmtId="2" fillId="22" applyFill="true">
      <alignment horizontal="center" vertical="center"/>
    </xf>
    <xf fontId="3195" applyFont="true" borderId="8" applyBorder="true" applyNumberFormat="true" numFmtId="2" fillId="22" applyFill="true">
      <alignment horizontal="center" vertical="center"/>
    </xf>
    <xf fontId="3196" applyFont="true" borderId="8" applyBorder="true" applyNumberFormat="true" numFmtId="2" fillId="22" applyFill="true">
      <alignment horizontal="center" vertical="center"/>
    </xf>
    <xf fontId="3197" applyFont="true" borderId="8" applyBorder="true" applyNumberFormat="true" numFmtId="2" fillId="22" applyFill="true">
      <alignment horizontal="center" vertical="center"/>
    </xf>
    <xf fontId="3198" applyFont="true" borderId="8" applyBorder="true" applyNumberFormat="true" numFmtId="2" fillId="22" applyFill="true">
      <alignment horizontal="center" vertical="center"/>
    </xf>
    <xf fontId="3199" applyFont="true" borderId="8" applyBorder="true" applyNumberFormat="true" numFmtId="165" fillId="19" applyFill="true">
      <alignment horizontal="left" vertical="center"/>
    </xf>
    <xf fontId="3200" applyFont="true" borderId="8" applyBorder="true" applyNumberFormat="true" numFmtId="165" fillId="22" applyFill="true">
      <alignment horizontal="center" vertical="center"/>
    </xf>
    <xf fontId="3201" applyFont="true" borderId="8" applyBorder="true" applyNumberFormat="true" numFmtId="166" fillId="22" applyFill="true">
      <alignment horizontal="center" vertical="center"/>
    </xf>
    <xf fontId="3202" applyFont="true" borderId="8" applyBorder="true" applyNumberFormat="true" numFmtId="1" fillId="22" applyFill="true">
      <alignment horizontal="center" vertical="center"/>
    </xf>
    <xf fontId="3203" applyFont="true" borderId="8" applyBorder="true" applyNumberFormat="true" numFmtId="1" fillId="22" applyFill="true">
      <alignment horizontal="center" vertical="center"/>
    </xf>
    <xf fontId="3204" applyFont="true" borderId="8" applyBorder="true" applyNumberFormat="true" numFmtId="1" fillId="22" applyFill="true">
      <alignment horizontal="center" vertical="center"/>
    </xf>
    <xf fontId="3205" applyFont="true" borderId="8" applyBorder="true" applyNumberFormat="true" numFmtId="1" fillId="22" applyFill="true">
      <alignment horizontal="center" vertical="center"/>
    </xf>
    <xf fontId="3206" applyFont="true" borderId="8" applyBorder="true" applyNumberFormat="true" numFmtId="1" fillId="22" applyFill="true">
      <alignment horizontal="center" vertical="center"/>
    </xf>
    <xf fontId="3207" applyFont="true" borderId="8" applyBorder="true" applyNumberFormat="true" numFmtId="1" fillId="22" applyFill="true">
      <alignment horizontal="center" vertical="center"/>
    </xf>
    <xf fontId="3208" applyFont="true" borderId="8" applyBorder="true" applyNumberFormat="true" numFmtId="1" fillId="22" applyFill="true">
      <alignment horizontal="center" vertical="center"/>
    </xf>
    <xf fontId="3209" applyFont="true" borderId="8" applyBorder="true" applyNumberFormat="true" numFmtId="165" fillId="22" applyFill="true">
      <alignment horizontal="center" vertical="center"/>
    </xf>
    <xf fontId="3210" applyFont="true" borderId="8" applyBorder="true" applyNumberFormat="true" numFmtId="165" fillId="22" applyFill="true">
      <alignment horizontal="center" vertical="center"/>
    </xf>
    <xf fontId="3211" applyFont="true" borderId="8" applyBorder="true" applyNumberFormat="true" numFmtId="1" fillId="22" applyFill="true">
      <alignment horizontal="center" vertical="center"/>
    </xf>
    <xf fontId="3212" applyFont="true" borderId="8" applyBorder="true" applyNumberFormat="true" numFmtId="1" fillId="22" applyFill="true">
      <alignment horizontal="center" vertical="center"/>
    </xf>
    <xf fontId="3213" applyFont="true" borderId="8" applyBorder="true" applyNumberFormat="true" numFmtId="1" fillId="22" applyFill="true">
      <alignment horizontal="center" vertical="center"/>
    </xf>
    <xf fontId="3214" applyFont="true" borderId="8" applyBorder="true" applyNumberFormat="true" numFmtId="167" fillId="22" applyFill="true">
      <alignment horizontal="center" vertical="center"/>
    </xf>
    <xf fontId="3215" applyFont="true" borderId="8" applyBorder="true" applyNumberFormat="true" numFmtId="1" fillId="22" applyFill="true">
      <alignment horizontal="center" vertical="center"/>
    </xf>
    <xf fontId="3216" applyFont="true" borderId="8" applyBorder="true" applyNumberFormat="true" numFmtId="167" fillId="22" applyFill="true">
      <alignment horizontal="center" vertical="center"/>
    </xf>
    <xf fontId="3217" applyFont="true" borderId="8" applyBorder="true" applyNumberFormat="true" numFmtId="1" fillId="22" applyFill="true">
      <alignment horizontal="center" vertical="center"/>
    </xf>
    <xf fontId="3218" applyFont="true" borderId="8" applyBorder="true" applyNumberFormat="true" numFmtId="167" fillId="22" applyFill="true">
      <alignment horizontal="center" vertical="center"/>
    </xf>
    <xf fontId="3219" applyFont="true" borderId="8" applyBorder="true" applyNumberFormat="true" numFmtId="1" fillId="22" applyFill="true">
      <alignment horizontal="center" vertical="center"/>
    </xf>
    <xf fontId="3220" applyFont="true" borderId="8" applyBorder="true" applyNumberFormat="true" numFmtId="167" fillId="22" applyFill="true">
      <alignment horizontal="center" vertical="center"/>
    </xf>
    <xf fontId="3221" applyFont="true" borderId="8" applyBorder="true" applyNumberFormat="true" numFmtId="167" fillId="22" applyFill="true">
      <alignment horizontal="center" vertical="center"/>
    </xf>
    <xf fontId="3222" applyFont="true" borderId="8" applyBorder="true" applyNumberFormat="true" numFmtId="1" fillId="22" applyFill="true">
      <alignment horizontal="center" vertical="center"/>
    </xf>
    <xf fontId="3223" applyFont="true" borderId="8" applyBorder="true" applyNumberFormat="true" numFmtId="1" fillId="22" applyFill="true">
      <alignment horizontal="center" vertical="center"/>
    </xf>
    <xf fontId="3224" applyFont="true" borderId="8" applyBorder="true" applyNumberFormat="true" numFmtId="1" fillId="22" applyFill="true">
      <alignment horizontal="center" vertical="center"/>
    </xf>
    <xf fontId="3225" applyFont="true" borderId="8" applyBorder="true" applyNumberFormat="true" numFmtId="167" fillId="22" applyFill="true">
      <alignment horizontal="center" vertical="center"/>
    </xf>
    <xf fontId="3226" applyFont="true" borderId="8" applyBorder="true" applyNumberFormat="true" numFmtId="166" fillId="22" applyFill="true">
      <alignment horizontal="center" vertical="center"/>
    </xf>
    <xf fontId="3227" applyFont="true" borderId="8" applyBorder="true" applyNumberFormat="true" numFmtId="166" fillId="22" applyFill="true">
      <alignment horizontal="center" vertical="center"/>
    </xf>
    <xf fontId="3228" applyFont="true" borderId="8" applyBorder="true" applyNumberFormat="true" numFmtId="1" fillId="22" applyFill="true">
      <alignment horizontal="center" vertical="center"/>
    </xf>
    <xf fontId="3229" applyFont="true" borderId="8" applyBorder="true" applyNumberFormat="true" numFmtId="1" fillId="22" applyFill="true">
      <alignment horizontal="center" vertical="center"/>
    </xf>
    <xf fontId="3230" applyFont="true" borderId="8" applyBorder="true" applyNumberFormat="true" numFmtId="1" fillId="22" applyFill="true">
      <alignment horizontal="center" vertical="center"/>
    </xf>
    <xf fontId="3231" applyFont="true" borderId="8" applyBorder="true" applyNumberFormat="true" numFmtId="167" fillId="22" applyFill="true">
      <alignment horizontal="center" vertical="center"/>
    </xf>
    <xf fontId="3232" applyFont="true" borderId="8" applyBorder="true" applyNumberFormat="true" numFmtId="1" fillId="22" applyFill="true">
      <alignment horizontal="center" vertical="center"/>
    </xf>
    <xf fontId="3233" applyFont="true" borderId="8" applyBorder="true" applyNumberFormat="true" numFmtId="167" fillId="22" applyFill="true">
      <alignment horizontal="center" vertical="center"/>
    </xf>
    <xf fontId="3234" applyFont="true" borderId="8" applyBorder="true" applyNumberFormat="true" numFmtId="1" fillId="22" applyFill="true">
      <alignment horizontal="center" vertical="center"/>
    </xf>
    <xf fontId="3235" applyFont="true" borderId="8" applyBorder="true" applyNumberFormat="true" numFmtId="1" fillId="22" applyFill="true">
      <alignment horizontal="center" vertical="center"/>
    </xf>
    <xf fontId="3236" applyFont="true" borderId="8" applyBorder="true" applyNumberFormat="true" numFmtId="1" fillId="22" applyFill="true">
      <alignment horizontal="center" vertical="center"/>
    </xf>
    <xf fontId="3237" applyFont="true" borderId="8" applyBorder="true" applyNumberFormat="true" numFmtId="1" fillId="22" applyFill="true">
      <alignment horizontal="center" vertical="center"/>
    </xf>
    <xf fontId="3238" applyFont="true" borderId="8" applyBorder="true" applyNumberFormat="true" numFmtId="167" fillId="22" applyFill="true">
      <alignment horizontal="center" vertical="center"/>
    </xf>
    <xf fontId="3239" applyFont="true" borderId="8" applyBorder="true" applyNumberFormat="true" numFmtId="1" fillId="22" applyFill="true">
      <alignment horizontal="center" vertical="center"/>
    </xf>
    <xf fontId="3240" applyFont="true" borderId="8" applyBorder="true" applyNumberFormat="true" numFmtId="167" fillId="22" applyFill="true">
      <alignment horizontal="center" vertical="center"/>
    </xf>
    <xf fontId="3241" applyFont="true" borderId="8" applyBorder="true" applyNumberFormat="true" numFmtId="1" fillId="22" applyFill="true">
      <alignment horizontal="center" vertical="center"/>
    </xf>
    <xf fontId="3242" applyFont="true" borderId="8" applyBorder="true" applyNumberFormat="true" numFmtId="167" fillId="22" applyFill="true">
      <alignment horizontal="center" vertical="center"/>
    </xf>
    <xf fontId="3243" applyFont="true" borderId="8" applyBorder="true" applyNumberFormat="true" numFmtId="2" fillId="22" applyFill="true">
      <alignment horizontal="center" vertical="center"/>
    </xf>
    <xf fontId="3244" applyFont="true" borderId="8" applyBorder="true" applyNumberFormat="true" numFmtId="2" fillId="22" applyFill="true">
      <alignment horizontal="center" vertical="center"/>
    </xf>
    <xf fontId="3245" applyFont="true" borderId="8" applyBorder="true" applyNumberFormat="true" numFmtId="2" fillId="22" applyFill="true">
      <alignment horizontal="center" vertical="center"/>
    </xf>
    <xf fontId="3246" applyFont="true" borderId="8" applyBorder="true" applyNumberFormat="true" numFmtId="2" fillId="22" applyFill="true">
      <alignment horizontal="center" vertical="center"/>
    </xf>
    <xf fontId="3247" applyFont="true" borderId="8" applyBorder="true" applyNumberFormat="true" numFmtId="2" fillId="22" applyFill="true">
      <alignment horizontal="center" vertical="center"/>
    </xf>
    <xf fontId="3248" applyFont="true" borderId="8" applyBorder="true" applyNumberFormat="true" numFmtId="2" fillId="22" applyFill="true">
      <alignment horizontal="center" vertical="center"/>
    </xf>
    <xf fontId="3249" applyFont="true" borderId="8" applyBorder="true" applyNumberFormat="true" numFmtId="2" fillId="22" applyFill="true">
      <alignment horizontal="center" vertical="center"/>
    </xf>
    <xf fontId="3250" applyFont="true" borderId="8" applyBorder="true" applyNumberFormat="true" numFmtId="2" fillId="22" applyFill="true">
      <alignment horizontal="center" vertical="center"/>
    </xf>
    <xf fontId="3251" applyFont="true" borderId="8" applyBorder="true" applyNumberFormat="true" numFmtId="2" fillId="22" applyFill="true">
      <alignment horizontal="center" vertical="center"/>
    </xf>
    <xf fontId="3252" applyFont="true" borderId="8" applyBorder="true" applyNumberFormat="true" numFmtId="2" fillId="22" applyFill="true">
      <alignment horizontal="center" vertical="center"/>
    </xf>
    <xf fontId="3253" applyFont="true" borderId="8" applyBorder="true" applyNumberFormat="true" numFmtId="2" fillId="22" applyFill="true">
      <alignment horizontal="center" vertical="center"/>
    </xf>
    <xf fontId="3254" applyFont="true" borderId="8" applyBorder="true" applyNumberFormat="true" numFmtId="2" fillId="22" applyFill="true">
      <alignment horizontal="center" vertical="center"/>
    </xf>
    <xf fontId="3255" applyFont="true" borderId="8" applyBorder="true" applyNumberFormat="true" numFmtId="2" fillId="22" applyFill="true">
      <alignment horizontal="center" vertical="center"/>
    </xf>
    <xf fontId="3256" applyFont="true" borderId="8" applyBorder="true" applyNumberFormat="true" numFmtId="2" fillId="22" applyFill="true">
      <alignment horizontal="center" vertical="center"/>
    </xf>
    <xf fontId="3257" applyFont="true" borderId="8" applyBorder="true" applyNumberFormat="true" numFmtId="2" fillId="22" applyFill="true">
      <alignment horizontal="center" vertical="center"/>
    </xf>
    <xf fontId="3258" applyFont="true" borderId="8" applyBorder="true" applyNumberFormat="true" numFmtId="2" fillId="22" applyFill="true">
      <alignment horizontal="center" vertical="center"/>
    </xf>
    <xf fontId="3259" applyFont="true" borderId="8" applyBorder="true" applyNumberFormat="true" numFmtId="2" fillId="22" applyFill="true">
      <alignment horizontal="center" vertical="center"/>
    </xf>
    <xf fontId="3260" applyFont="true" borderId="8" applyBorder="true" applyNumberFormat="true" numFmtId="2" fillId="22" applyFill="true">
      <alignment horizontal="center" vertical="center"/>
    </xf>
    <xf fontId="3261" applyFont="true" borderId="8" applyBorder="true" applyNumberFormat="true" numFmtId="2" fillId="22" applyFill="true">
      <alignment horizontal="center" vertical="center"/>
    </xf>
    <xf fontId="3262" applyFont="true" borderId="8" applyBorder="true" applyNumberFormat="true" numFmtId="2" fillId="22" applyFill="true">
      <alignment horizontal="center" vertical="center"/>
    </xf>
    <xf fontId="3263" applyFont="true" borderId="8" applyBorder="true" applyNumberFormat="true" numFmtId="2" fillId="22" applyFill="true">
      <alignment horizontal="center" vertical="center"/>
    </xf>
    <xf fontId="3264" applyFont="true" borderId="8" applyBorder="true" applyNumberFormat="true" numFmtId="2" fillId="22" applyFill="true">
      <alignment horizontal="center" vertical="center"/>
    </xf>
    <xf fontId="3265" applyFont="true" borderId="8" applyBorder="true" applyNumberFormat="true" numFmtId="2" fillId="22" applyFill="true">
      <alignment horizontal="center" vertical="center"/>
    </xf>
    <xf fontId="3266" applyFont="true" borderId="8" applyBorder="true" applyNumberFormat="true" numFmtId="2" fillId="22" applyFill="true">
      <alignment horizontal="center" vertical="center"/>
    </xf>
    <xf fontId="3267" applyFont="true" borderId="8" applyBorder="true" applyNumberFormat="true" numFmtId="2" fillId="22" applyFill="true">
      <alignment horizontal="center" vertical="center"/>
    </xf>
    <xf fontId="3268" applyFont="true" borderId="8" applyBorder="true" applyNumberFormat="true" numFmtId="2" fillId="22" applyFill="true">
      <alignment horizontal="center" vertical="center"/>
    </xf>
    <xf fontId="3269" applyFont="true" borderId="8" applyBorder="true" applyNumberFormat="true" numFmtId="2" fillId="22" applyFill="true">
      <alignment horizontal="center" vertical="center"/>
    </xf>
    <xf fontId="3270" applyFont="true" borderId="8" applyBorder="true" applyNumberFormat="true" numFmtId="2" fillId="22" applyFill="true">
      <alignment horizontal="center" vertical="center"/>
    </xf>
    <xf fontId="3271" applyFont="true" borderId="8" applyBorder="true" applyNumberFormat="true" numFmtId="2" fillId="22" applyFill="true">
      <alignment horizontal="center" vertical="center"/>
    </xf>
    <xf fontId="3272" applyFont="true" borderId="8" applyBorder="true" applyNumberFormat="true" numFmtId="2" fillId="22" applyFill="true">
      <alignment horizontal="center" vertical="center"/>
    </xf>
    <xf fontId="3273" applyFont="true" borderId="8" applyBorder="true" applyNumberFormat="true" numFmtId="2" fillId="22" applyFill="true">
      <alignment horizontal="center" vertical="center"/>
    </xf>
    <xf fontId="3274" applyFont="true" borderId="8" applyBorder="true" applyNumberFormat="true" numFmtId="2" fillId="22" applyFill="true">
      <alignment horizontal="center" vertical="center"/>
    </xf>
    <xf fontId="3275" applyFont="true" borderId="8" applyBorder="true" applyNumberFormat="true" numFmtId="2" fillId="22" applyFill="true">
      <alignment horizontal="center" vertical="center"/>
    </xf>
    <xf fontId="3276" applyFont="true" borderId="8" applyBorder="true" applyNumberFormat="true" numFmtId="2" fillId="22" applyFill="true">
      <alignment horizontal="center" vertical="center"/>
    </xf>
    <xf fontId="3277" applyFont="true" borderId="8" applyBorder="true" applyNumberFormat="true" numFmtId="165" fillId="19" applyFill="true">
      <alignment horizontal="left" vertical="center"/>
    </xf>
    <xf fontId="3278" applyFont="true" borderId="8" applyBorder="true" applyNumberFormat="true" numFmtId="165" fillId="22" applyFill="true">
      <alignment horizontal="center" vertical="center"/>
    </xf>
    <xf fontId="3279" applyFont="true" borderId="8" applyBorder="true" applyNumberFormat="true" numFmtId="166" fillId="22" applyFill="true">
      <alignment horizontal="center" vertical="center"/>
    </xf>
    <xf fontId="3280" applyFont="true" borderId="8" applyBorder="true" applyNumberFormat="true" numFmtId="1" fillId="22" applyFill="true">
      <alignment horizontal="center" vertical="center"/>
    </xf>
    <xf fontId="3281" applyFont="true" borderId="8" applyBorder="true" applyNumberFormat="true" numFmtId="1" fillId="22" applyFill="true">
      <alignment horizontal="center" vertical="center"/>
    </xf>
    <xf fontId="3282" applyFont="true" borderId="8" applyBorder="true" applyNumberFormat="true" numFmtId="1" fillId="22" applyFill="true">
      <alignment horizontal="center" vertical="center"/>
    </xf>
    <xf fontId="3283" applyFont="true" borderId="8" applyBorder="true" applyNumberFormat="true" numFmtId="1" fillId="22" applyFill="true">
      <alignment horizontal="center" vertical="center"/>
    </xf>
    <xf fontId="3284" applyFont="true" borderId="8" applyBorder="true" applyNumberFormat="true" numFmtId="1" fillId="22" applyFill="true">
      <alignment horizontal="center" vertical="center"/>
    </xf>
    <xf fontId="3285" applyFont="true" borderId="8" applyBorder="true" applyNumberFormat="true" numFmtId="1" fillId="22" applyFill="true">
      <alignment horizontal="center" vertical="center"/>
    </xf>
    <xf fontId="3286" applyFont="true" borderId="8" applyBorder="true" applyNumberFormat="true" numFmtId="1" fillId="22" applyFill="true">
      <alignment horizontal="center" vertical="center"/>
    </xf>
    <xf fontId="3287" applyFont="true" borderId="8" applyBorder="true" applyNumberFormat="true" numFmtId="165" fillId="22" applyFill="true">
      <alignment horizontal="center" vertical="center"/>
    </xf>
    <xf fontId="3288" applyFont="true" borderId="8" applyBorder="true" applyNumberFormat="true" numFmtId="165" fillId="22" applyFill="true">
      <alignment horizontal="center" vertical="center"/>
    </xf>
    <xf fontId="3289" applyFont="true" borderId="8" applyBorder="true" applyNumberFormat="true" numFmtId="1" fillId="22" applyFill="true">
      <alignment horizontal="center" vertical="center"/>
    </xf>
    <xf fontId="3290" applyFont="true" borderId="8" applyBorder="true" applyNumberFormat="true" numFmtId="1" fillId="22" applyFill="true">
      <alignment horizontal="center" vertical="center"/>
    </xf>
    <xf fontId="3291" applyFont="true" borderId="8" applyBorder="true" applyNumberFormat="true" numFmtId="1" fillId="22" applyFill="true">
      <alignment horizontal="center" vertical="center"/>
    </xf>
    <xf fontId="3292" applyFont="true" borderId="8" applyBorder="true" applyNumberFormat="true" numFmtId="167" fillId="22" applyFill="true">
      <alignment horizontal="center" vertical="center"/>
    </xf>
    <xf fontId="3293" applyFont="true" borderId="8" applyBorder="true" applyNumberFormat="true" numFmtId="1" fillId="22" applyFill="true">
      <alignment horizontal="center" vertical="center"/>
    </xf>
    <xf fontId="3294" applyFont="true" borderId="8" applyBorder="true" applyNumberFormat="true" numFmtId="167" fillId="22" applyFill="true">
      <alignment horizontal="center" vertical="center"/>
    </xf>
    <xf fontId="3295" applyFont="true" borderId="8" applyBorder="true" applyNumberFormat="true" numFmtId="1" fillId="22" applyFill="true">
      <alignment horizontal="center" vertical="center"/>
    </xf>
    <xf fontId="3296" applyFont="true" borderId="8" applyBorder="true" applyNumberFormat="true" numFmtId="167" fillId="22" applyFill="true">
      <alignment horizontal="center" vertical="center"/>
    </xf>
    <xf fontId="3297" applyFont="true" borderId="8" applyBorder="true" applyNumberFormat="true" numFmtId="1" fillId="22" applyFill="true">
      <alignment horizontal="center" vertical="center"/>
    </xf>
    <xf fontId="3298" applyFont="true" borderId="8" applyBorder="true" applyNumberFormat="true" numFmtId="167" fillId="22" applyFill="true">
      <alignment horizontal="center" vertical="center"/>
    </xf>
    <xf fontId="3299" applyFont="true" borderId="8" applyBorder="true" applyNumberFormat="true" numFmtId="167" fillId="22" applyFill="true">
      <alignment horizontal="center" vertical="center"/>
    </xf>
    <xf fontId="3300" applyFont="true" borderId="8" applyBorder="true" applyNumberFormat="true" numFmtId="1" fillId="22" applyFill="true">
      <alignment horizontal="center" vertical="center"/>
    </xf>
    <xf fontId="3301" applyFont="true" borderId="8" applyBorder="true" applyNumberFormat="true" numFmtId="1" fillId="22" applyFill="true">
      <alignment horizontal="center" vertical="center"/>
    </xf>
    <xf fontId="3302" applyFont="true" borderId="8" applyBorder="true" applyNumberFormat="true" numFmtId="1" fillId="22" applyFill="true">
      <alignment horizontal="center" vertical="center"/>
    </xf>
    <xf fontId="3303" applyFont="true" borderId="8" applyBorder="true" applyNumberFormat="true" numFmtId="167" fillId="22" applyFill="true">
      <alignment horizontal="center" vertical="center"/>
    </xf>
    <xf fontId="3304" applyFont="true" borderId="8" applyBorder="true" applyNumberFormat="true" numFmtId="166" fillId="22" applyFill="true">
      <alignment horizontal="center" vertical="center"/>
    </xf>
    <xf fontId="3305" applyFont="true" borderId="8" applyBorder="true" applyNumberFormat="true" numFmtId="166" fillId="22" applyFill="true">
      <alignment horizontal="center" vertical="center"/>
    </xf>
    <xf fontId="3306" applyFont="true" borderId="8" applyBorder="true" applyNumberFormat="true" numFmtId="1" fillId="22" applyFill="true">
      <alignment horizontal="center" vertical="center"/>
    </xf>
    <xf fontId="3307" applyFont="true" borderId="8" applyBorder="true" applyNumberFormat="true" numFmtId="1" fillId="22" applyFill="true">
      <alignment horizontal="center" vertical="center"/>
    </xf>
    <xf fontId="3308" applyFont="true" borderId="8" applyBorder="true" applyNumberFormat="true" numFmtId="1" fillId="22" applyFill="true">
      <alignment horizontal="center" vertical="center"/>
    </xf>
    <xf fontId="3309" applyFont="true" borderId="8" applyBorder="true" applyNumberFormat="true" numFmtId="167" fillId="22" applyFill="true">
      <alignment horizontal="center" vertical="center"/>
    </xf>
    <xf fontId="3310" applyFont="true" borderId="8" applyBorder="true" applyNumberFormat="true" numFmtId="1" fillId="22" applyFill="true">
      <alignment horizontal="center" vertical="center"/>
    </xf>
    <xf fontId="3311" applyFont="true" borderId="8" applyBorder="true" applyNumberFormat="true" numFmtId="167" fillId="22" applyFill="true">
      <alignment horizontal="center" vertical="center"/>
    </xf>
    <xf fontId="3312" applyFont="true" borderId="8" applyBorder="true" applyNumberFormat="true" numFmtId="1" fillId="22" applyFill="true">
      <alignment horizontal="center" vertical="center"/>
    </xf>
    <xf fontId="3313" applyFont="true" borderId="8" applyBorder="true" applyNumberFormat="true" numFmtId="1" fillId="22" applyFill="true">
      <alignment horizontal="center" vertical="center"/>
    </xf>
    <xf fontId="3314" applyFont="true" borderId="8" applyBorder="true" applyNumberFormat="true" numFmtId="1" fillId="22" applyFill="true">
      <alignment horizontal="center" vertical="center"/>
    </xf>
    <xf fontId="3315" applyFont="true" borderId="8" applyBorder="true" applyNumberFormat="true" numFmtId="1" fillId="22" applyFill="true">
      <alignment horizontal="center" vertical="center"/>
    </xf>
    <xf fontId="3316" applyFont="true" borderId="8" applyBorder="true" applyNumberFormat="true" numFmtId="167" fillId="22" applyFill="true">
      <alignment horizontal="center" vertical="center"/>
    </xf>
    <xf fontId="3317" applyFont="true" borderId="8" applyBorder="true" applyNumberFormat="true" numFmtId="1" fillId="22" applyFill="true">
      <alignment horizontal="center" vertical="center"/>
    </xf>
    <xf fontId="3318" applyFont="true" borderId="8" applyBorder="true" applyNumberFormat="true" numFmtId="167" fillId="22" applyFill="true">
      <alignment horizontal="center" vertical="center"/>
    </xf>
    <xf fontId="3319" applyFont="true" borderId="8" applyBorder="true" applyNumberFormat="true" numFmtId="1" fillId="22" applyFill="true">
      <alignment horizontal="center" vertical="center"/>
    </xf>
    <xf fontId="3320" applyFont="true" borderId="8" applyBorder="true" applyNumberFormat="true" numFmtId="167" fillId="22" applyFill="true">
      <alignment horizontal="center" vertical="center"/>
    </xf>
    <xf fontId="3321" applyFont="true" borderId="8" applyBorder="true" applyNumberFormat="true" numFmtId="2" fillId="22" applyFill="true">
      <alignment horizontal="center" vertical="center"/>
    </xf>
    <xf fontId="3322" applyFont="true" borderId="8" applyBorder="true" applyNumberFormat="true" numFmtId="2" fillId="22" applyFill="true">
      <alignment horizontal="center" vertical="center"/>
    </xf>
    <xf fontId="3323" applyFont="true" borderId="8" applyBorder="true" applyNumberFormat="true" numFmtId="2" fillId="22" applyFill="true">
      <alignment horizontal="center" vertical="center"/>
    </xf>
    <xf fontId="3324" applyFont="true" borderId="8" applyBorder="true" applyNumberFormat="true" numFmtId="2" fillId="22" applyFill="true">
      <alignment horizontal="center" vertical="center"/>
    </xf>
    <xf fontId="3325" applyFont="true" borderId="8" applyBorder="true" applyNumberFormat="true" numFmtId="2" fillId="22" applyFill="true">
      <alignment horizontal="center" vertical="center"/>
    </xf>
    <xf fontId="3326" applyFont="true" borderId="8" applyBorder="true" applyNumberFormat="true" numFmtId="2" fillId="22" applyFill="true">
      <alignment horizontal="center" vertical="center"/>
    </xf>
    <xf fontId="3327" applyFont="true" borderId="8" applyBorder="true" applyNumberFormat="true" numFmtId="2" fillId="22" applyFill="true">
      <alignment horizontal="center" vertical="center"/>
    </xf>
    <xf fontId="3328" applyFont="true" borderId="8" applyBorder="true" applyNumberFormat="true" numFmtId="2" fillId="22" applyFill="true">
      <alignment horizontal="center" vertical="center"/>
    </xf>
    <xf fontId="3329" applyFont="true" borderId="8" applyBorder="true" applyNumberFormat="true" numFmtId="2" fillId="22" applyFill="true">
      <alignment horizontal="center" vertical="center"/>
    </xf>
    <xf fontId="3330" applyFont="true" borderId="8" applyBorder="true" applyNumberFormat="true" numFmtId="2" fillId="22" applyFill="true">
      <alignment horizontal="center" vertical="center"/>
    </xf>
    <xf fontId="3331" applyFont="true" borderId="8" applyBorder="true" applyNumberFormat="true" numFmtId="2" fillId="22" applyFill="true">
      <alignment horizontal="center" vertical="center"/>
    </xf>
    <xf fontId="3332" applyFont="true" borderId="8" applyBorder="true" applyNumberFormat="true" numFmtId="2" fillId="22" applyFill="true">
      <alignment horizontal="center" vertical="center"/>
    </xf>
    <xf fontId="3333" applyFont="true" borderId="8" applyBorder="true" applyNumberFormat="true" numFmtId="2" fillId="22" applyFill="true">
      <alignment horizontal="center" vertical="center"/>
    </xf>
    <xf fontId="3334" applyFont="true" borderId="8" applyBorder="true" applyNumberFormat="true" numFmtId="2" fillId="22" applyFill="true">
      <alignment horizontal="center" vertical="center"/>
    </xf>
    <xf fontId="3335" applyFont="true" borderId="8" applyBorder="true" applyNumberFormat="true" numFmtId="2" fillId="22" applyFill="true">
      <alignment horizontal="center" vertical="center"/>
    </xf>
    <xf fontId="3336" applyFont="true" borderId="8" applyBorder="true" applyNumberFormat="true" numFmtId="2" fillId="22" applyFill="true">
      <alignment horizontal="center" vertical="center"/>
    </xf>
    <xf fontId="3337" applyFont="true" borderId="8" applyBorder="true" applyNumberFormat="true" numFmtId="2" fillId="22" applyFill="true">
      <alignment horizontal="center" vertical="center"/>
    </xf>
    <xf fontId="3338" applyFont="true" borderId="8" applyBorder="true" applyNumberFormat="true" numFmtId="2" fillId="22" applyFill="true">
      <alignment horizontal="center" vertical="center"/>
    </xf>
    <xf fontId="3339" applyFont="true" borderId="8" applyBorder="true" applyNumberFormat="true" numFmtId="2" fillId="22" applyFill="true">
      <alignment horizontal="center" vertical="center"/>
    </xf>
    <xf fontId="3340" applyFont="true" borderId="8" applyBorder="true" applyNumberFormat="true" numFmtId="2" fillId="22" applyFill="true">
      <alignment horizontal="center" vertical="center"/>
    </xf>
    <xf fontId="3341" applyFont="true" borderId="8" applyBorder="true" applyNumberFormat="true" numFmtId="2" fillId="22" applyFill="true">
      <alignment horizontal="center" vertical="center"/>
    </xf>
    <xf fontId="3342" applyFont="true" borderId="8" applyBorder="true" applyNumberFormat="true" numFmtId="2" fillId="22" applyFill="true">
      <alignment horizontal="center" vertical="center"/>
    </xf>
    <xf fontId="3343" applyFont="true" borderId="8" applyBorder="true" applyNumberFormat="true" numFmtId="2" fillId="22" applyFill="true">
      <alignment horizontal="center" vertical="center"/>
    </xf>
    <xf fontId="3344" applyFont="true" borderId="8" applyBorder="true" applyNumberFormat="true" numFmtId="2" fillId="22" applyFill="true">
      <alignment horizontal="center" vertical="center"/>
    </xf>
    <xf fontId="3345" applyFont="true" borderId="8" applyBorder="true" applyNumberFormat="true" numFmtId="2" fillId="22" applyFill="true">
      <alignment horizontal="center" vertical="center"/>
    </xf>
    <xf fontId="3346" applyFont="true" borderId="8" applyBorder="true" applyNumberFormat="true" numFmtId="2" fillId="22" applyFill="true">
      <alignment horizontal="center" vertical="center"/>
    </xf>
    <xf fontId="3347" applyFont="true" borderId="8" applyBorder="true" applyNumberFormat="true" numFmtId="2" fillId="22" applyFill="true">
      <alignment horizontal="center" vertical="center"/>
    </xf>
    <xf fontId="3348" applyFont="true" borderId="8" applyBorder="true" applyNumberFormat="true" numFmtId="2" fillId="22" applyFill="true">
      <alignment horizontal="center" vertical="center"/>
    </xf>
    <xf fontId="3349" applyFont="true" borderId="8" applyBorder="true" applyNumberFormat="true" numFmtId="2" fillId="22" applyFill="true">
      <alignment horizontal="center" vertical="center"/>
    </xf>
    <xf fontId="3350" applyFont="true" borderId="8" applyBorder="true" applyNumberFormat="true" numFmtId="2" fillId="22" applyFill="true">
      <alignment horizontal="center" vertical="center"/>
    </xf>
    <xf fontId="3351" applyFont="true" borderId="8" applyBorder="true" applyNumberFormat="true" numFmtId="2" fillId="22" applyFill="true">
      <alignment horizontal="center" vertical="center"/>
    </xf>
    <xf fontId="3352" applyFont="true" borderId="8" applyBorder="true" applyNumberFormat="true" numFmtId="2" fillId="22" applyFill="true">
      <alignment horizontal="center" vertical="center"/>
    </xf>
    <xf fontId="3353" applyFont="true" borderId="8" applyBorder="true" applyNumberFormat="true" numFmtId="2" fillId="22" applyFill="true">
      <alignment horizontal="center" vertical="center"/>
    </xf>
    <xf fontId="3354" applyFont="true" borderId="8" applyBorder="true" applyNumberFormat="true" numFmtId="2" fillId="22" applyFill="true">
      <alignment horizontal="center" vertical="center"/>
    </xf>
    <xf fontId="3355" applyFont="true" borderId="8" applyBorder="true" applyNumberFormat="true" numFmtId="165" fillId="19" applyFill="true">
      <alignment horizontal="left" vertical="center"/>
    </xf>
    <xf fontId="3356" applyFont="true" borderId="8" applyBorder="true" applyNumberFormat="true" numFmtId="165" fillId="22" applyFill="true">
      <alignment horizontal="center" vertical="center"/>
    </xf>
    <xf fontId="3357" applyFont="true" borderId="8" applyBorder="true" applyNumberFormat="true" numFmtId="166" fillId="22" applyFill="true">
      <alignment horizontal="center" vertical="center"/>
    </xf>
    <xf fontId="3358" applyFont="true" borderId="8" applyBorder="true" applyNumberFormat="true" numFmtId="1" fillId="22" applyFill="true">
      <alignment horizontal="center" vertical="center"/>
    </xf>
    <xf fontId="3359" applyFont="true" borderId="8" applyBorder="true" applyNumberFormat="true" numFmtId="1" fillId="22" applyFill="true">
      <alignment horizontal="center" vertical="center"/>
    </xf>
    <xf fontId="3360" applyFont="true" borderId="8" applyBorder="true" applyNumberFormat="true" numFmtId="1" fillId="22" applyFill="true">
      <alignment horizontal="center" vertical="center"/>
    </xf>
    <xf fontId="3361" applyFont="true" borderId="8" applyBorder="true" applyNumberFormat="true" numFmtId="1" fillId="22" applyFill="true">
      <alignment horizontal="center" vertical="center"/>
    </xf>
    <xf fontId="3362" applyFont="true" borderId="8" applyBorder="true" applyNumberFormat="true" numFmtId="1" fillId="22" applyFill="true">
      <alignment horizontal="center" vertical="center"/>
    </xf>
    <xf fontId="3363" applyFont="true" borderId="8" applyBorder="true" applyNumberFormat="true" numFmtId="1" fillId="22" applyFill="true">
      <alignment horizontal="center" vertical="center"/>
    </xf>
    <xf fontId="3364" applyFont="true" borderId="8" applyBorder="true" applyNumberFormat="true" numFmtId="1" fillId="22" applyFill="true">
      <alignment horizontal="center" vertical="center"/>
    </xf>
    <xf fontId="3365" applyFont="true" borderId="8" applyBorder="true" applyNumberFormat="true" numFmtId="165" fillId="22" applyFill="true">
      <alignment horizontal="center" vertical="center"/>
    </xf>
    <xf fontId="3366" applyFont="true" borderId="8" applyBorder="true" applyNumberFormat="true" numFmtId="165" fillId="22" applyFill="true">
      <alignment horizontal="center" vertical="center"/>
    </xf>
    <xf fontId="3367" applyFont="true" borderId="8" applyBorder="true" applyNumberFormat="true" numFmtId="1" fillId="22" applyFill="true">
      <alignment horizontal="center" vertical="center"/>
    </xf>
    <xf fontId="3368" applyFont="true" borderId="8" applyBorder="true" applyNumberFormat="true" numFmtId="1" fillId="22" applyFill="true">
      <alignment horizontal="center" vertical="center"/>
    </xf>
    <xf fontId="3369" applyFont="true" borderId="8" applyBorder="true" applyNumberFormat="true" numFmtId="1" fillId="22" applyFill="true">
      <alignment horizontal="center" vertical="center"/>
    </xf>
    <xf fontId="3370" applyFont="true" borderId="8" applyBorder="true" applyNumberFormat="true" numFmtId="167" fillId="22" applyFill="true">
      <alignment horizontal="center" vertical="center"/>
    </xf>
    <xf fontId="3371" applyFont="true" borderId="8" applyBorder="true" applyNumberFormat="true" numFmtId="1" fillId="22" applyFill="true">
      <alignment horizontal="center" vertical="center"/>
    </xf>
    <xf fontId="3372" applyFont="true" borderId="8" applyBorder="true" applyNumberFormat="true" numFmtId="167" fillId="22" applyFill="true">
      <alignment horizontal="center" vertical="center"/>
    </xf>
    <xf fontId="3373" applyFont="true" borderId="8" applyBorder="true" applyNumberFormat="true" numFmtId="1" fillId="22" applyFill="true">
      <alignment horizontal="center" vertical="center"/>
    </xf>
    <xf fontId="3374" applyFont="true" borderId="8" applyBorder="true" applyNumberFormat="true" numFmtId="167" fillId="22" applyFill="true">
      <alignment horizontal="center" vertical="center"/>
    </xf>
    <xf fontId="3375" applyFont="true" borderId="8" applyBorder="true" applyNumberFormat="true" numFmtId="1" fillId="22" applyFill="true">
      <alignment horizontal="center" vertical="center"/>
    </xf>
    <xf fontId="3376" applyFont="true" borderId="8" applyBorder="true" applyNumberFormat="true" numFmtId="167" fillId="22" applyFill="true">
      <alignment horizontal="center" vertical="center"/>
    </xf>
    <xf fontId="3377" applyFont="true" borderId="8" applyBorder="true" applyNumberFormat="true" numFmtId="167" fillId="22" applyFill="true">
      <alignment horizontal="center" vertical="center"/>
    </xf>
    <xf fontId="3378" applyFont="true" borderId="8" applyBorder="true" applyNumberFormat="true" numFmtId="1" fillId="22" applyFill="true">
      <alignment horizontal="center" vertical="center"/>
    </xf>
    <xf fontId="3379" applyFont="true" borderId="8" applyBorder="true" applyNumberFormat="true" numFmtId="1" fillId="22" applyFill="true">
      <alignment horizontal="center" vertical="center"/>
    </xf>
    <xf fontId="3380" applyFont="true" borderId="8" applyBorder="true" applyNumberFormat="true" numFmtId="1" fillId="22" applyFill="true">
      <alignment horizontal="center" vertical="center"/>
    </xf>
    <xf fontId="3381" applyFont="true" borderId="8" applyBorder="true" applyNumberFormat="true" numFmtId="167" fillId="22" applyFill="true">
      <alignment horizontal="center" vertical="center"/>
    </xf>
    <xf fontId="3382" applyFont="true" borderId="8" applyBorder="true" applyNumberFormat="true" numFmtId="166" fillId="22" applyFill="true">
      <alignment horizontal="center" vertical="center"/>
    </xf>
    <xf fontId="3383" applyFont="true" borderId="8" applyBorder="true" applyNumberFormat="true" numFmtId="166" fillId="22" applyFill="true">
      <alignment horizontal="center" vertical="center"/>
    </xf>
    <xf fontId="3384" applyFont="true" borderId="8" applyBorder="true" applyNumberFormat="true" numFmtId="1" fillId="22" applyFill="true">
      <alignment horizontal="center" vertical="center"/>
    </xf>
    <xf fontId="3385" applyFont="true" borderId="8" applyBorder="true" applyNumberFormat="true" numFmtId="1" fillId="22" applyFill="true">
      <alignment horizontal="center" vertical="center"/>
    </xf>
    <xf fontId="3386" applyFont="true" borderId="8" applyBorder="true" applyNumberFormat="true" numFmtId="1" fillId="22" applyFill="true">
      <alignment horizontal="center" vertical="center"/>
    </xf>
    <xf fontId="3387" applyFont="true" borderId="8" applyBorder="true" applyNumberFormat="true" numFmtId="167" fillId="22" applyFill="true">
      <alignment horizontal="center" vertical="center"/>
    </xf>
    <xf fontId="3388" applyFont="true" borderId="8" applyBorder="true" applyNumberFormat="true" numFmtId="1" fillId="22" applyFill="true">
      <alignment horizontal="center" vertical="center"/>
    </xf>
    <xf fontId="3389" applyFont="true" borderId="8" applyBorder="true" applyNumberFormat="true" numFmtId="167" fillId="22" applyFill="true">
      <alignment horizontal="center" vertical="center"/>
    </xf>
    <xf fontId="3390" applyFont="true" borderId="8" applyBorder="true" applyNumberFormat="true" numFmtId="1" fillId="22" applyFill="true">
      <alignment horizontal="center" vertical="center"/>
    </xf>
    <xf fontId="3391" applyFont="true" borderId="8" applyBorder="true" applyNumberFormat="true" numFmtId="1" fillId="22" applyFill="true">
      <alignment horizontal="center" vertical="center"/>
    </xf>
    <xf fontId="3392" applyFont="true" borderId="8" applyBorder="true" applyNumberFormat="true" numFmtId="1" fillId="22" applyFill="true">
      <alignment horizontal="center" vertical="center"/>
    </xf>
    <xf fontId="3393" applyFont="true" borderId="8" applyBorder="true" applyNumberFormat="true" numFmtId="1" fillId="22" applyFill="true">
      <alignment horizontal="center" vertical="center"/>
    </xf>
    <xf fontId="3394" applyFont="true" borderId="8" applyBorder="true" applyNumberFormat="true" numFmtId="167" fillId="22" applyFill="true">
      <alignment horizontal="center" vertical="center"/>
    </xf>
    <xf fontId="3395" applyFont="true" borderId="8" applyBorder="true" applyNumberFormat="true" numFmtId="1" fillId="22" applyFill="true">
      <alignment horizontal="center" vertical="center"/>
    </xf>
    <xf fontId="3396" applyFont="true" borderId="8" applyBorder="true" applyNumberFormat="true" numFmtId="167" fillId="22" applyFill="true">
      <alignment horizontal="center" vertical="center"/>
    </xf>
    <xf fontId="3397" applyFont="true" borderId="8" applyBorder="true" applyNumberFormat="true" numFmtId="1" fillId="22" applyFill="true">
      <alignment horizontal="center" vertical="center"/>
    </xf>
    <xf fontId="3398" applyFont="true" borderId="8" applyBorder="true" applyNumberFormat="true" numFmtId="167" fillId="22" applyFill="true">
      <alignment horizontal="center" vertical="center"/>
    </xf>
    <xf fontId="3399" applyFont="true" borderId="8" applyBorder="true" applyNumberFormat="true" numFmtId="2" fillId="22" applyFill="true">
      <alignment horizontal="center" vertical="center"/>
    </xf>
    <xf fontId="3400" applyFont="true" borderId="8" applyBorder="true" applyNumberFormat="true" numFmtId="2" fillId="22" applyFill="true">
      <alignment horizontal="center" vertical="center"/>
    </xf>
    <xf fontId="3401" applyFont="true" borderId="8" applyBorder="true" applyNumberFormat="true" numFmtId="2" fillId="22" applyFill="true">
      <alignment horizontal="center" vertical="center"/>
    </xf>
    <xf fontId="3402" applyFont="true" borderId="8" applyBorder="true" applyNumberFormat="true" numFmtId="2" fillId="22" applyFill="true">
      <alignment horizontal="center" vertical="center"/>
    </xf>
    <xf fontId="3403" applyFont="true" borderId="8" applyBorder="true" applyNumberFormat="true" numFmtId="2" fillId="22" applyFill="true">
      <alignment horizontal="center" vertical="center"/>
    </xf>
    <xf fontId="3404" applyFont="true" borderId="8" applyBorder="true" applyNumberFormat="true" numFmtId="2" fillId="22" applyFill="true">
      <alignment horizontal="center" vertical="center"/>
    </xf>
    <xf fontId="3405" applyFont="true" borderId="8" applyBorder="true" applyNumberFormat="true" numFmtId="2" fillId="22" applyFill="true">
      <alignment horizontal="center" vertical="center"/>
    </xf>
    <xf fontId="3406" applyFont="true" borderId="8" applyBorder="true" applyNumberFormat="true" numFmtId="2" fillId="22" applyFill="true">
      <alignment horizontal="center" vertical="center"/>
    </xf>
    <xf fontId="3407" applyFont="true" borderId="8" applyBorder="true" applyNumberFormat="true" numFmtId="2" fillId="22" applyFill="true">
      <alignment horizontal="center" vertical="center"/>
    </xf>
    <xf fontId="3408" applyFont="true" borderId="8" applyBorder="true" applyNumberFormat="true" numFmtId="2" fillId="22" applyFill="true">
      <alignment horizontal="center" vertical="center"/>
    </xf>
    <xf fontId="3409" applyFont="true" borderId="8" applyBorder="true" applyNumberFormat="true" numFmtId="2" fillId="22" applyFill="true">
      <alignment horizontal="center" vertical="center"/>
    </xf>
    <xf fontId="3410" applyFont="true" borderId="8" applyBorder="true" applyNumberFormat="true" numFmtId="2" fillId="22" applyFill="true">
      <alignment horizontal="center" vertical="center"/>
    </xf>
    <xf fontId="3411" applyFont="true" borderId="8" applyBorder="true" applyNumberFormat="true" numFmtId="2" fillId="22" applyFill="true">
      <alignment horizontal="center" vertical="center"/>
    </xf>
    <xf fontId="3412" applyFont="true" borderId="8" applyBorder="true" applyNumberFormat="true" numFmtId="2" fillId="22" applyFill="true">
      <alignment horizontal="center" vertical="center"/>
    </xf>
    <xf fontId="3413" applyFont="true" borderId="8" applyBorder="true" applyNumberFormat="true" numFmtId="2" fillId="22" applyFill="true">
      <alignment horizontal="center" vertical="center"/>
    </xf>
    <xf fontId="3414" applyFont="true" borderId="8" applyBorder="true" applyNumberFormat="true" numFmtId="2" fillId="22" applyFill="true">
      <alignment horizontal="center" vertical="center"/>
    </xf>
    <xf fontId="3415" applyFont="true" borderId="8" applyBorder="true" applyNumberFormat="true" numFmtId="2" fillId="22" applyFill="true">
      <alignment horizontal="center" vertical="center"/>
    </xf>
    <xf fontId="3416" applyFont="true" borderId="8" applyBorder="true" applyNumberFormat="true" numFmtId="2" fillId="22" applyFill="true">
      <alignment horizontal="center" vertical="center"/>
    </xf>
    <xf fontId="3417" applyFont="true" borderId="8" applyBorder="true" applyNumberFormat="true" numFmtId="2" fillId="22" applyFill="true">
      <alignment horizontal="center" vertical="center"/>
    </xf>
    <xf fontId="3418" applyFont="true" borderId="8" applyBorder="true" applyNumberFormat="true" numFmtId="2" fillId="22" applyFill="true">
      <alignment horizontal="center" vertical="center"/>
    </xf>
    <xf fontId="3419" applyFont="true" borderId="8" applyBorder="true" applyNumberFormat="true" numFmtId="2" fillId="22" applyFill="true">
      <alignment horizontal="center" vertical="center"/>
    </xf>
    <xf fontId="3420" applyFont="true" borderId="8" applyBorder="true" applyNumberFormat="true" numFmtId="2" fillId="22" applyFill="true">
      <alignment horizontal="center" vertical="center"/>
    </xf>
    <xf fontId="3421" applyFont="true" borderId="8" applyBorder="true" applyNumberFormat="true" numFmtId="2" fillId="22" applyFill="true">
      <alignment horizontal="center" vertical="center"/>
    </xf>
    <xf fontId="3422" applyFont="true" borderId="8" applyBorder="true" applyNumberFormat="true" numFmtId="2" fillId="22" applyFill="true">
      <alignment horizontal="center" vertical="center"/>
    </xf>
    <xf fontId="3423" applyFont="true" borderId="8" applyBorder="true" applyNumberFormat="true" numFmtId="2" fillId="22" applyFill="true">
      <alignment horizontal="center" vertical="center"/>
    </xf>
    <xf fontId="3424" applyFont="true" borderId="8" applyBorder="true" applyNumberFormat="true" numFmtId="2" fillId="22" applyFill="true">
      <alignment horizontal="center" vertical="center"/>
    </xf>
    <xf fontId="3425" applyFont="true" borderId="8" applyBorder="true" applyNumberFormat="true" numFmtId="2" fillId="22" applyFill="true">
      <alignment horizontal="center" vertical="center"/>
    </xf>
    <xf fontId="3426" applyFont="true" borderId="8" applyBorder="true" applyNumberFormat="true" numFmtId="2" fillId="22" applyFill="true">
      <alignment horizontal="center" vertical="center"/>
    </xf>
    <xf fontId="3427" applyFont="true" borderId="8" applyBorder="true" applyNumberFormat="true" numFmtId="2" fillId="22" applyFill="true">
      <alignment horizontal="center" vertical="center"/>
    </xf>
    <xf fontId="3428" applyFont="true" borderId="8" applyBorder="true" applyNumberFormat="true" numFmtId="2" fillId="22" applyFill="true">
      <alignment horizontal="center" vertical="center"/>
    </xf>
    <xf fontId="3429" applyFont="true" borderId="8" applyBorder="true" applyNumberFormat="true" numFmtId="2" fillId="22" applyFill="true">
      <alignment horizontal="center" vertical="center"/>
    </xf>
    <xf fontId="3430" applyFont="true" borderId="8" applyBorder="true" applyNumberFormat="true" numFmtId="2" fillId="22" applyFill="true">
      <alignment horizontal="center" vertical="center"/>
    </xf>
    <xf fontId="3431" applyFont="true" borderId="8" applyBorder="true" applyNumberFormat="true" numFmtId="2" fillId="22" applyFill="true">
      <alignment horizontal="center" vertical="center"/>
    </xf>
    <xf fontId="3432" applyFont="true" borderId="8" applyBorder="true" applyNumberFormat="true" numFmtId="2" fillId="22" applyFill="true">
      <alignment horizontal="center" vertical="center"/>
    </xf>
    <xf fontId="3433" applyFont="true" borderId="8" applyBorder="true" applyNumberFormat="true" numFmtId="165" fillId="19" applyFill="true">
      <alignment horizontal="left" vertical="center"/>
    </xf>
    <xf fontId="3434" applyFont="true" borderId="8" applyBorder="true" applyNumberFormat="true" numFmtId="165" fillId="22" applyFill="true">
      <alignment horizontal="center" vertical="center"/>
    </xf>
    <xf fontId="3435" applyFont="true" borderId="8" applyBorder="true" applyNumberFormat="true" numFmtId="166" fillId="22" applyFill="true">
      <alignment horizontal="center" vertical="center"/>
    </xf>
    <xf fontId="3436" applyFont="true" borderId="8" applyBorder="true" applyNumberFormat="true" numFmtId="1" fillId="22" applyFill="true">
      <alignment horizontal="center" vertical="center"/>
    </xf>
    <xf fontId="3437" applyFont="true" borderId="8" applyBorder="true" applyNumberFormat="true" numFmtId="1" fillId="22" applyFill="true">
      <alignment horizontal="center" vertical="center"/>
    </xf>
    <xf fontId="3438" applyFont="true" borderId="8" applyBorder="true" applyNumberFormat="true" numFmtId="1" fillId="22" applyFill="true">
      <alignment horizontal="center" vertical="center"/>
    </xf>
    <xf fontId="3439" applyFont="true" borderId="8" applyBorder="true" applyNumberFormat="true" numFmtId="1" fillId="22" applyFill="true">
      <alignment horizontal="center" vertical="center"/>
    </xf>
    <xf fontId="3440" applyFont="true" borderId="8" applyBorder="true" applyNumberFormat="true" numFmtId="1" fillId="22" applyFill="true">
      <alignment horizontal="center" vertical="center"/>
    </xf>
    <xf fontId="3441" applyFont="true" borderId="8" applyBorder="true" applyNumberFormat="true" numFmtId="1" fillId="22" applyFill="true">
      <alignment horizontal="center" vertical="center"/>
    </xf>
    <xf fontId="3442" applyFont="true" borderId="8" applyBorder="true" applyNumberFormat="true" numFmtId="1" fillId="22" applyFill="true">
      <alignment horizontal="center" vertical="center"/>
    </xf>
    <xf fontId="3443" applyFont="true" borderId="8" applyBorder="true" applyNumberFormat="true" numFmtId="165" fillId="22" applyFill="true">
      <alignment horizontal="center" vertical="center"/>
    </xf>
    <xf fontId="3444" applyFont="true" borderId="8" applyBorder="true" applyNumberFormat="true" numFmtId="165" fillId="22" applyFill="true">
      <alignment horizontal="center" vertical="center"/>
    </xf>
    <xf fontId="3445" applyFont="true" borderId="8" applyBorder="true" applyNumberFormat="true" numFmtId="1" fillId="22" applyFill="true">
      <alignment horizontal="center" vertical="center"/>
    </xf>
    <xf fontId="3446" applyFont="true" borderId="8" applyBorder="true" applyNumberFormat="true" numFmtId="1" fillId="22" applyFill="true">
      <alignment horizontal="center" vertical="center"/>
    </xf>
    <xf fontId="3447" applyFont="true" borderId="8" applyBorder="true" applyNumberFormat="true" numFmtId="1" fillId="22" applyFill="true">
      <alignment horizontal="center" vertical="center"/>
    </xf>
    <xf fontId="3448" applyFont="true" borderId="8" applyBorder="true" applyNumberFormat="true" numFmtId="167" fillId="22" applyFill="true">
      <alignment horizontal="center" vertical="center"/>
    </xf>
    <xf fontId="3449" applyFont="true" borderId="8" applyBorder="true" applyNumberFormat="true" numFmtId="1" fillId="22" applyFill="true">
      <alignment horizontal="center" vertical="center"/>
    </xf>
    <xf fontId="3450" applyFont="true" borderId="8" applyBorder="true" applyNumberFormat="true" numFmtId="167" fillId="22" applyFill="true">
      <alignment horizontal="center" vertical="center"/>
    </xf>
    <xf fontId="3451" applyFont="true" borderId="8" applyBorder="true" applyNumberFormat="true" numFmtId="1" fillId="22" applyFill="true">
      <alignment horizontal="center" vertical="center"/>
    </xf>
    <xf fontId="3452" applyFont="true" borderId="8" applyBorder="true" applyNumberFormat="true" numFmtId="167" fillId="22" applyFill="true">
      <alignment horizontal="center" vertical="center"/>
    </xf>
    <xf fontId="3453" applyFont="true" borderId="8" applyBorder="true" applyNumberFormat="true" numFmtId="1" fillId="22" applyFill="true">
      <alignment horizontal="center" vertical="center"/>
    </xf>
    <xf fontId="3454" applyFont="true" borderId="8" applyBorder="true" applyNumberFormat="true" numFmtId="167" fillId="22" applyFill="true">
      <alignment horizontal="center" vertical="center"/>
    </xf>
    <xf fontId="3455" applyFont="true" borderId="8" applyBorder="true" applyNumberFormat="true" numFmtId="167" fillId="22" applyFill="true">
      <alignment horizontal="center" vertical="center"/>
    </xf>
    <xf fontId="3456" applyFont="true" borderId="8" applyBorder="true" applyNumberFormat="true" numFmtId="1" fillId="22" applyFill="true">
      <alignment horizontal="center" vertical="center"/>
    </xf>
    <xf fontId="3457" applyFont="true" borderId="8" applyBorder="true" applyNumberFormat="true" numFmtId="1" fillId="22" applyFill="true">
      <alignment horizontal="center" vertical="center"/>
    </xf>
    <xf fontId="3458" applyFont="true" borderId="8" applyBorder="true" applyNumberFormat="true" numFmtId="1" fillId="22" applyFill="true">
      <alignment horizontal="center" vertical="center"/>
    </xf>
    <xf fontId="3459" applyFont="true" borderId="8" applyBorder="true" applyNumberFormat="true" numFmtId="167" fillId="22" applyFill="true">
      <alignment horizontal="center" vertical="center"/>
    </xf>
    <xf fontId="3460" applyFont="true" borderId="8" applyBorder="true" applyNumberFormat="true" numFmtId="166" fillId="22" applyFill="true">
      <alignment horizontal="center" vertical="center"/>
    </xf>
    <xf fontId="3461" applyFont="true" borderId="8" applyBorder="true" applyNumberFormat="true" numFmtId="166" fillId="22" applyFill="true">
      <alignment horizontal="center" vertical="center"/>
    </xf>
    <xf fontId="3462" applyFont="true" borderId="8" applyBorder="true" applyNumberFormat="true" numFmtId="1" fillId="22" applyFill="true">
      <alignment horizontal="center" vertical="center"/>
    </xf>
    <xf fontId="3463" applyFont="true" borderId="8" applyBorder="true" applyNumberFormat="true" numFmtId="1" fillId="22" applyFill="true">
      <alignment horizontal="center" vertical="center"/>
    </xf>
    <xf fontId="3464" applyFont="true" borderId="8" applyBorder="true" applyNumberFormat="true" numFmtId="1" fillId="22" applyFill="true">
      <alignment horizontal="center" vertical="center"/>
    </xf>
    <xf fontId="3465" applyFont="true" borderId="8" applyBorder="true" applyNumberFormat="true" numFmtId="167" fillId="22" applyFill="true">
      <alignment horizontal="center" vertical="center"/>
    </xf>
    <xf fontId="3466" applyFont="true" borderId="8" applyBorder="true" applyNumberFormat="true" numFmtId="1" fillId="22" applyFill="true">
      <alignment horizontal="center" vertical="center"/>
    </xf>
    <xf fontId="3467" applyFont="true" borderId="8" applyBorder="true" applyNumberFormat="true" numFmtId="167" fillId="22" applyFill="true">
      <alignment horizontal="center" vertical="center"/>
    </xf>
    <xf fontId="3468" applyFont="true" borderId="8" applyBorder="true" applyNumberFormat="true" numFmtId="1" fillId="22" applyFill="true">
      <alignment horizontal="center" vertical="center"/>
    </xf>
    <xf fontId="3469" applyFont="true" borderId="8" applyBorder="true" applyNumberFormat="true" numFmtId="1" fillId="22" applyFill="true">
      <alignment horizontal="center" vertical="center"/>
    </xf>
    <xf fontId="3470" applyFont="true" borderId="8" applyBorder="true" applyNumberFormat="true" numFmtId="1" fillId="22" applyFill="true">
      <alignment horizontal="center" vertical="center"/>
    </xf>
    <xf fontId="3471" applyFont="true" borderId="8" applyBorder="true" applyNumberFormat="true" numFmtId="1" fillId="22" applyFill="true">
      <alignment horizontal="center" vertical="center"/>
    </xf>
    <xf fontId="3472" applyFont="true" borderId="8" applyBorder="true" applyNumberFormat="true" numFmtId="167" fillId="22" applyFill="true">
      <alignment horizontal="center" vertical="center"/>
    </xf>
    <xf fontId="3473" applyFont="true" borderId="8" applyBorder="true" applyNumberFormat="true" numFmtId="1" fillId="22" applyFill="true">
      <alignment horizontal="center" vertical="center"/>
    </xf>
    <xf fontId="3474" applyFont="true" borderId="8" applyBorder="true" applyNumberFormat="true" numFmtId="167" fillId="22" applyFill="true">
      <alignment horizontal="center" vertical="center"/>
    </xf>
    <xf fontId="3475" applyFont="true" borderId="8" applyBorder="true" applyNumberFormat="true" numFmtId="1" fillId="22" applyFill="true">
      <alignment horizontal="center" vertical="center"/>
    </xf>
    <xf fontId="3476" applyFont="true" borderId="8" applyBorder="true" applyNumberFormat="true" numFmtId="167" fillId="22" applyFill="true">
      <alignment horizontal="center" vertical="center"/>
    </xf>
    <xf fontId="3477" applyFont="true" borderId="8" applyBorder="true" applyNumberFormat="true" numFmtId="2" fillId="22" applyFill="true">
      <alignment horizontal="center" vertical="center"/>
    </xf>
    <xf fontId="3478" applyFont="true" borderId="8" applyBorder="true" applyNumberFormat="true" numFmtId="2" fillId="22" applyFill="true">
      <alignment horizontal="center" vertical="center"/>
    </xf>
    <xf fontId="3479" applyFont="true" borderId="8" applyBorder="true" applyNumberFormat="true" numFmtId="2" fillId="22" applyFill="true">
      <alignment horizontal="center" vertical="center"/>
    </xf>
    <xf fontId="3480" applyFont="true" borderId="8" applyBorder="true" applyNumberFormat="true" numFmtId="2" fillId="22" applyFill="true">
      <alignment horizontal="center" vertical="center"/>
    </xf>
    <xf fontId="3481" applyFont="true" borderId="8" applyBorder="true" applyNumberFormat="true" numFmtId="2" fillId="22" applyFill="true">
      <alignment horizontal="center" vertical="center"/>
    </xf>
    <xf fontId="3482" applyFont="true" borderId="8" applyBorder="true" applyNumberFormat="true" numFmtId="2" fillId="22" applyFill="true">
      <alignment horizontal="center" vertical="center"/>
    </xf>
    <xf fontId="3483" applyFont="true" borderId="8" applyBorder="true" applyNumberFormat="true" numFmtId="2" fillId="22" applyFill="true">
      <alignment horizontal="center" vertical="center"/>
    </xf>
    <xf fontId="3484" applyFont="true" borderId="8" applyBorder="true" applyNumberFormat="true" numFmtId="2" fillId="22" applyFill="true">
      <alignment horizontal="center" vertical="center"/>
    </xf>
    <xf fontId="3485" applyFont="true" borderId="8" applyBorder="true" applyNumberFormat="true" numFmtId="2" fillId="22" applyFill="true">
      <alignment horizontal="center" vertical="center"/>
    </xf>
    <xf fontId="3486" applyFont="true" borderId="8" applyBorder="true" applyNumberFormat="true" numFmtId="2" fillId="22" applyFill="true">
      <alignment horizontal="center" vertical="center"/>
    </xf>
    <xf fontId="3487" applyFont="true" borderId="8" applyBorder="true" applyNumberFormat="true" numFmtId="2" fillId="22" applyFill="true">
      <alignment horizontal="center" vertical="center"/>
    </xf>
    <xf fontId="3488" applyFont="true" borderId="8" applyBorder="true" applyNumberFormat="true" numFmtId="2" fillId="22" applyFill="true">
      <alignment horizontal="center" vertical="center"/>
    </xf>
    <xf fontId="3489" applyFont="true" borderId="8" applyBorder="true" applyNumberFormat="true" numFmtId="2" fillId="22" applyFill="true">
      <alignment horizontal="center" vertical="center"/>
    </xf>
    <xf fontId="3490" applyFont="true" borderId="8" applyBorder="true" applyNumberFormat="true" numFmtId="2" fillId="22" applyFill="true">
      <alignment horizontal="center" vertical="center"/>
    </xf>
    <xf fontId="3491" applyFont="true" borderId="8" applyBorder="true" applyNumberFormat="true" numFmtId="2" fillId="22" applyFill="true">
      <alignment horizontal="center" vertical="center"/>
    </xf>
    <xf fontId="3492" applyFont="true" borderId="8" applyBorder="true" applyNumberFormat="true" numFmtId="2" fillId="22" applyFill="true">
      <alignment horizontal="center" vertical="center"/>
    </xf>
    <xf fontId="3493" applyFont="true" borderId="8" applyBorder="true" applyNumberFormat="true" numFmtId="2" fillId="22" applyFill="true">
      <alignment horizontal="center" vertical="center"/>
    </xf>
    <xf fontId="3494" applyFont="true" borderId="8" applyBorder="true" applyNumberFormat="true" numFmtId="2" fillId="22" applyFill="true">
      <alignment horizontal="center" vertical="center"/>
    </xf>
    <xf fontId="3495" applyFont="true" borderId="8" applyBorder="true" applyNumberFormat="true" numFmtId="2" fillId="22" applyFill="true">
      <alignment horizontal="center" vertical="center"/>
    </xf>
    <xf fontId="3496" applyFont="true" borderId="8" applyBorder="true" applyNumberFormat="true" numFmtId="2" fillId="22" applyFill="true">
      <alignment horizontal="center" vertical="center"/>
    </xf>
    <xf fontId="3497" applyFont="true" borderId="8" applyBorder="true" applyNumberFormat="true" numFmtId="2" fillId="22" applyFill="true">
      <alignment horizontal="center" vertical="center"/>
    </xf>
    <xf fontId="3498" applyFont="true" borderId="8" applyBorder="true" applyNumberFormat="true" numFmtId="2" fillId="22" applyFill="true">
      <alignment horizontal="center" vertical="center"/>
    </xf>
    <xf fontId="3499" applyFont="true" borderId="8" applyBorder="true" applyNumberFormat="true" numFmtId="2" fillId="22" applyFill="true">
      <alignment horizontal="center" vertical="center"/>
    </xf>
    <xf fontId="3500" applyFont="true" borderId="8" applyBorder="true" applyNumberFormat="true" numFmtId="2" fillId="22" applyFill="true">
      <alignment horizontal="center" vertical="center"/>
    </xf>
    <xf fontId="3501" applyFont="true" borderId="8" applyBorder="true" applyNumberFormat="true" numFmtId="2" fillId="22" applyFill="true">
      <alignment horizontal="center" vertical="center"/>
    </xf>
    <xf fontId="3502" applyFont="true" borderId="8" applyBorder="true" applyNumberFormat="true" numFmtId="2" fillId="22" applyFill="true">
      <alignment horizontal="center" vertical="center"/>
    </xf>
    <xf fontId="3503" applyFont="true" borderId="8" applyBorder="true" applyNumberFormat="true" numFmtId="2" fillId="22" applyFill="true">
      <alignment horizontal="center" vertical="center"/>
    </xf>
    <xf fontId="3504" applyFont="true" borderId="8" applyBorder="true" applyNumberFormat="true" numFmtId="2" fillId="22" applyFill="true">
      <alignment horizontal="center" vertical="center"/>
    </xf>
    <xf fontId="3505" applyFont="true" borderId="8" applyBorder="true" applyNumberFormat="true" numFmtId="2" fillId="22" applyFill="true">
      <alignment horizontal="center" vertical="center"/>
    </xf>
    <xf fontId="3506" applyFont="true" borderId="8" applyBorder="true" applyNumberFormat="true" numFmtId="2" fillId="22" applyFill="true">
      <alignment horizontal="center" vertical="center"/>
    </xf>
    <xf fontId="3507" applyFont="true" borderId="8" applyBorder="true" applyNumberFormat="true" numFmtId="2" fillId="22" applyFill="true">
      <alignment horizontal="center" vertical="center"/>
    </xf>
    <xf fontId="3508" applyFont="true" borderId="8" applyBorder="true" applyNumberFormat="true" numFmtId="2" fillId="22" applyFill="true">
      <alignment horizontal="center" vertical="center"/>
    </xf>
    <xf fontId="3509" applyFont="true" borderId="8" applyBorder="true" applyNumberFormat="true" numFmtId="2" fillId="22" applyFill="true">
      <alignment horizontal="center" vertical="center"/>
    </xf>
    <xf fontId="3510" applyFont="true" borderId="8" applyBorder="true" applyNumberFormat="true" numFmtId="2" fillId="22" applyFill="true">
      <alignment horizontal="center" vertical="center"/>
    </xf>
    <xf fontId="3511" applyFont="true" borderId="8" applyBorder="true" applyNumberFormat="true" numFmtId="165" fillId="19" applyFill="true">
      <alignment horizontal="left" vertical="center"/>
    </xf>
    <xf fontId="3512" applyFont="true" borderId="8" applyBorder="true" applyNumberFormat="true" numFmtId="165" fillId="22" applyFill="true">
      <alignment horizontal="center" vertical="center"/>
    </xf>
    <xf fontId="3513" applyFont="true" borderId="8" applyBorder="true" applyNumberFormat="true" numFmtId="166" fillId="22" applyFill="true">
      <alignment horizontal="center" vertical="center"/>
    </xf>
    <xf fontId="3514" applyFont="true" borderId="8" applyBorder="true" applyNumberFormat="true" numFmtId="1" fillId="22" applyFill="true">
      <alignment horizontal="center" vertical="center"/>
    </xf>
    <xf fontId="3515" applyFont="true" borderId="8" applyBorder="true" applyNumberFormat="true" numFmtId="1" fillId="22" applyFill="true">
      <alignment horizontal="center" vertical="center"/>
    </xf>
    <xf fontId="3516" applyFont="true" borderId="8" applyBorder="true" applyNumberFormat="true" numFmtId="1" fillId="22" applyFill="true">
      <alignment horizontal="center" vertical="center"/>
    </xf>
    <xf fontId="3517" applyFont="true" borderId="8" applyBorder="true" applyNumberFormat="true" numFmtId="1" fillId="22" applyFill="true">
      <alignment horizontal="center" vertical="center"/>
    </xf>
    <xf fontId="3518" applyFont="true" borderId="8" applyBorder="true" applyNumberFormat="true" numFmtId="1" fillId="22" applyFill="true">
      <alignment horizontal="center" vertical="center"/>
    </xf>
    <xf fontId="3519" applyFont="true" borderId="8" applyBorder="true" applyNumberFormat="true" numFmtId="1" fillId="22" applyFill="true">
      <alignment horizontal="center" vertical="center"/>
    </xf>
    <xf fontId="3520" applyFont="true" borderId="8" applyBorder="true" applyNumberFormat="true" numFmtId="1" fillId="22" applyFill="true">
      <alignment horizontal="center" vertical="center"/>
    </xf>
    <xf fontId="3521" applyFont="true" borderId="8" applyBorder="true" applyNumberFormat="true" numFmtId="165" fillId="22" applyFill="true">
      <alignment horizontal="center" vertical="center"/>
    </xf>
    <xf fontId="3522" applyFont="true" borderId="8" applyBorder="true" applyNumberFormat="true" numFmtId="165" fillId="22" applyFill="true">
      <alignment horizontal="center" vertical="center"/>
    </xf>
    <xf fontId="3523" applyFont="true" borderId="8" applyBorder="true" applyNumberFormat="true" numFmtId="1" fillId="22" applyFill="true">
      <alignment horizontal="center" vertical="center"/>
    </xf>
    <xf fontId="3524" applyFont="true" borderId="8" applyBorder="true" applyNumberFormat="true" numFmtId="1" fillId="22" applyFill="true">
      <alignment horizontal="center" vertical="center"/>
    </xf>
    <xf fontId="3525" applyFont="true" borderId="8" applyBorder="true" applyNumberFormat="true" numFmtId="1" fillId="22" applyFill="true">
      <alignment horizontal="center" vertical="center"/>
    </xf>
    <xf fontId="3526" applyFont="true" borderId="8" applyBorder="true" applyNumberFormat="true" numFmtId="167" fillId="22" applyFill="true">
      <alignment horizontal="center" vertical="center"/>
    </xf>
    <xf fontId="3527" applyFont="true" borderId="8" applyBorder="true" applyNumberFormat="true" numFmtId="1" fillId="22" applyFill="true">
      <alignment horizontal="center" vertical="center"/>
    </xf>
    <xf fontId="3528" applyFont="true" borderId="8" applyBorder="true" applyNumberFormat="true" numFmtId="167" fillId="22" applyFill="true">
      <alignment horizontal="center" vertical="center"/>
    </xf>
    <xf fontId="3529" applyFont="true" borderId="8" applyBorder="true" applyNumberFormat="true" numFmtId="1" fillId="22" applyFill="true">
      <alignment horizontal="center" vertical="center"/>
    </xf>
    <xf fontId="3530" applyFont="true" borderId="8" applyBorder="true" applyNumberFormat="true" numFmtId="167" fillId="22" applyFill="true">
      <alignment horizontal="center" vertical="center"/>
    </xf>
    <xf fontId="3531" applyFont="true" borderId="8" applyBorder="true" applyNumberFormat="true" numFmtId="1" fillId="22" applyFill="true">
      <alignment horizontal="center" vertical="center"/>
    </xf>
    <xf fontId="3532" applyFont="true" borderId="8" applyBorder="true" applyNumberFormat="true" numFmtId="167" fillId="22" applyFill="true">
      <alignment horizontal="center" vertical="center"/>
    </xf>
    <xf fontId="3533" applyFont="true" borderId="8" applyBorder="true" applyNumberFormat="true" numFmtId="167" fillId="22" applyFill="true">
      <alignment horizontal="center" vertical="center"/>
    </xf>
    <xf fontId="3534" applyFont="true" borderId="8" applyBorder="true" applyNumberFormat="true" numFmtId="1" fillId="22" applyFill="true">
      <alignment horizontal="center" vertical="center"/>
    </xf>
    <xf fontId="3535" applyFont="true" borderId="8" applyBorder="true" applyNumberFormat="true" numFmtId="1" fillId="22" applyFill="true">
      <alignment horizontal="center" vertical="center"/>
    </xf>
    <xf fontId="3536" applyFont="true" borderId="8" applyBorder="true" applyNumberFormat="true" numFmtId="1" fillId="22" applyFill="true">
      <alignment horizontal="center" vertical="center"/>
    </xf>
    <xf fontId="3537" applyFont="true" borderId="8" applyBorder="true" applyNumberFormat="true" numFmtId="167" fillId="22" applyFill="true">
      <alignment horizontal="center" vertical="center"/>
    </xf>
    <xf fontId="3538" applyFont="true" borderId="8" applyBorder="true" applyNumberFormat="true" numFmtId="166" fillId="22" applyFill="true">
      <alignment horizontal="center" vertical="center"/>
    </xf>
    <xf fontId="3539" applyFont="true" borderId="8" applyBorder="true" applyNumberFormat="true" numFmtId="166" fillId="22" applyFill="true">
      <alignment horizontal="center" vertical="center"/>
    </xf>
    <xf fontId="3540" applyFont="true" borderId="8" applyBorder="true" applyNumberFormat="true" numFmtId="1" fillId="22" applyFill="true">
      <alignment horizontal="center" vertical="center"/>
    </xf>
    <xf fontId="3541" applyFont="true" borderId="8" applyBorder="true" applyNumberFormat="true" numFmtId="1" fillId="22" applyFill="true">
      <alignment horizontal="center" vertical="center"/>
    </xf>
    <xf fontId="3542" applyFont="true" borderId="8" applyBorder="true" applyNumberFormat="true" numFmtId="1" fillId="22" applyFill="true">
      <alignment horizontal="center" vertical="center"/>
    </xf>
    <xf fontId="3543" applyFont="true" borderId="8" applyBorder="true" applyNumberFormat="true" numFmtId="167" fillId="22" applyFill="true">
      <alignment horizontal="center" vertical="center"/>
    </xf>
    <xf fontId="3544" applyFont="true" borderId="8" applyBorder="true" applyNumberFormat="true" numFmtId="1" fillId="22" applyFill="true">
      <alignment horizontal="center" vertical="center"/>
    </xf>
    <xf fontId="3545" applyFont="true" borderId="8" applyBorder="true" applyNumberFormat="true" numFmtId="167" fillId="22" applyFill="true">
      <alignment horizontal="center" vertical="center"/>
    </xf>
    <xf fontId="3546" applyFont="true" borderId="8" applyBorder="true" applyNumberFormat="true" numFmtId="1" fillId="22" applyFill="true">
      <alignment horizontal="center" vertical="center"/>
    </xf>
    <xf fontId="3547" applyFont="true" borderId="8" applyBorder="true" applyNumberFormat="true" numFmtId="1" fillId="22" applyFill="true">
      <alignment horizontal="center" vertical="center"/>
    </xf>
    <xf fontId="3548" applyFont="true" borderId="8" applyBorder="true" applyNumberFormat="true" numFmtId="1" fillId="22" applyFill="true">
      <alignment horizontal="center" vertical="center"/>
    </xf>
    <xf fontId="3549" applyFont="true" borderId="8" applyBorder="true" applyNumberFormat="true" numFmtId="1" fillId="22" applyFill="true">
      <alignment horizontal="center" vertical="center"/>
    </xf>
    <xf fontId="3550" applyFont="true" borderId="8" applyBorder="true" applyNumberFormat="true" numFmtId="167" fillId="22" applyFill="true">
      <alignment horizontal="center" vertical="center"/>
    </xf>
    <xf fontId="3551" applyFont="true" borderId="8" applyBorder="true" applyNumberFormat="true" numFmtId="1" fillId="22" applyFill="true">
      <alignment horizontal="center" vertical="center"/>
    </xf>
    <xf fontId="3552" applyFont="true" borderId="8" applyBorder="true" applyNumberFormat="true" numFmtId="167" fillId="22" applyFill="true">
      <alignment horizontal="center" vertical="center"/>
    </xf>
    <xf fontId="3553" applyFont="true" borderId="8" applyBorder="true" applyNumberFormat="true" numFmtId="1" fillId="22" applyFill="true">
      <alignment horizontal="center" vertical="center"/>
    </xf>
    <xf fontId="3554" applyFont="true" borderId="8" applyBorder="true" applyNumberFormat="true" numFmtId="167" fillId="22" applyFill="true">
      <alignment horizontal="center" vertical="center"/>
    </xf>
    <xf fontId="3555" applyFont="true" borderId="8" applyBorder="true" applyNumberFormat="true" numFmtId="2" fillId="22" applyFill="true">
      <alignment horizontal="center" vertical="center"/>
    </xf>
    <xf fontId="3556" applyFont="true" borderId="8" applyBorder="true" applyNumberFormat="true" numFmtId="2" fillId="22" applyFill="true">
      <alignment horizontal="center" vertical="center"/>
    </xf>
    <xf fontId="3557" applyFont="true" borderId="8" applyBorder="true" applyNumberFormat="true" numFmtId="2" fillId="22" applyFill="true">
      <alignment horizontal="center" vertical="center"/>
    </xf>
    <xf fontId="3558" applyFont="true" borderId="8" applyBorder="true" applyNumberFormat="true" numFmtId="2" fillId="22" applyFill="true">
      <alignment horizontal="center" vertical="center"/>
    </xf>
    <xf fontId="3559" applyFont="true" borderId="8" applyBorder="true" applyNumberFormat="true" numFmtId="2" fillId="22" applyFill="true">
      <alignment horizontal="center" vertical="center"/>
    </xf>
    <xf fontId="3560" applyFont="true" borderId="8" applyBorder="true" applyNumberFormat="true" numFmtId="2" fillId="22" applyFill="true">
      <alignment horizontal="center" vertical="center"/>
    </xf>
    <xf fontId="3561" applyFont="true" borderId="8" applyBorder="true" applyNumberFormat="true" numFmtId="2" fillId="22" applyFill="true">
      <alignment horizontal="center" vertical="center"/>
    </xf>
    <xf fontId="3562" applyFont="true" borderId="8" applyBorder="true" applyNumberFormat="true" numFmtId="2" fillId="22" applyFill="true">
      <alignment horizontal="center" vertical="center"/>
    </xf>
    <xf fontId="3563" applyFont="true" borderId="8" applyBorder="true" applyNumberFormat="true" numFmtId="2" fillId="22" applyFill="true">
      <alignment horizontal="center" vertical="center"/>
    </xf>
    <xf fontId="3564" applyFont="true" borderId="8" applyBorder="true" applyNumberFormat="true" numFmtId="2" fillId="22" applyFill="true">
      <alignment horizontal="center" vertical="center"/>
    </xf>
    <xf fontId="3565" applyFont="true" borderId="8" applyBorder="true" applyNumberFormat="true" numFmtId="2" fillId="22" applyFill="true">
      <alignment horizontal="center" vertical="center"/>
    </xf>
    <xf fontId="3566" applyFont="true" borderId="8" applyBorder="true" applyNumberFormat="true" numFmtId="2" fillId="22" applyFill="true">
      <alignment horizontal="center" vertical="center"/>
    </xf>
    <xf fontId="3567" applyFont="true" borderId="8" applyBorder="true" applyNumberFormat="true" numFmtId="2" fillId="22" applyFill="true">
      <alignment horizontal="center" vertical="center"/>
    </xf>
    <xf fontId="3568" applyFont="true" borderId="8" applyBorder="true" applyNumberFormat="true" numFmtId="2" fillId="22" applyFill="true">
      <alignment horizontal="center" vertical="center"/>
    </xf>
    <xf fontId="3569" applyFont="true" borderId="8" applyBorder="true" applyNumberFormat="true" numFmtId="2" fillId="22" applyFill="true">
      <alignment horizontal="center" vertical="center"/>
    </xf>
    <xf fontId="3570" applyFont="true" borderId="8" applyBorder="true" applyNumberFormat="true" numFmtId="2" fillId="22" applyFill="true">
      <alignment horizontal="center" vertical="center"/>
    </xf>
    <xf fontId="3571" applyFont="true" borderId="8" applyBorder="true" applyNumberFormat="true" numFmtId="2" fillId="22" applyFill="true">
      <alignment horizontal="center" vertical="center"/>
    </xf>
    <xf fontId="3572" applyFont="true" borderId="8" applyBorder="true" applyNumberFormat="true" numFmtId="2" fillId="22" applyFill="true">
      <alignment horizontal="center" vertical="center"/>
    </xf>
    <xf fontId="3573" applyFont="true" borderId="8" applyBorder="true" applyNumberFormat="true" numFmtId="2" fillId="22" applyFill="true">
      <alignment horizontal="center" vertical="center"/>
    </xf>
    <xf fontId="3574" applyFont="true" borderId="8" applyBorder="true" applyNumberFormat="true" numFmtId="2" fillId="22" applyFill="true">
      <alignment horizontal="center" vertical="center"/>
    </xf>
    <xf fontId="3575" applyFont="true" borderId="8" applyBorder="true" applyNumberFormat="true" numFmtId="2" fillId="22" applyFill="true">
      <alignment horizontal="center" vertical="center"/>
    </xf>
    <xf fontId="3576" applyFont="true" borderId="8" applyBorder="true" applyNumberFormat="true" numFmtId="2" fillId="22" applyFill="true">
      <alignment horizontal="center" vertical="center"/>
    </xf>
    <xf fontId="3577" applyFont="true" borderId="8" applyBorder="true" applyNumberFormat="true" numFmtId="2" fillId="22" applyFill="true">
      <alignment horizontal="center" vertical="center"/>
    </xf>
    <xf fontId="3578" applyFont="true" borderId="8" applyBorder="true" applyNumberFormat="true" numFmtId="2" fillId="22" applyFill="true">
      <alignment horizontal="center" vertical="center"/>
    </xf>
    <xf fontId="3579" applyFont="true" borderId="8" applyBorder="true" applyNumberFormat="true" numFmtId="2" fillId="22" applyFill="true">
      <alignment horizontal="center" vertical="center"/>
    </xf>
    <xf fontId="3580" applyFont="true" borderId="8" applyBorder="true" applyNumberFormat="true" numFmtId="2" fillId="22" applyFill="true">
      <alignment horizontal="center" vertical="center"/>
    </xf>
    <xf fontId="3581" applyFont="true" borderId="8" applyBorder="true" applyNumberFormat="true" numFmtId="2" fillId="22" applyFill="true">
      <alignment horizontal="center" vertical="center"/>
    </xf>
    <xf fontId="3582" applyFont="true" borderId="8" applyBorder="true" applyNumberFormat="true" numFmtId="2" fillId="22" applyFill="true">
      <alignment horizontal="center" vertical="center"/>
    </xf>
    <xf fontId="3583" applyFont="true" borderId="8" applyBorder="true" applyNumberFormat="true" numFmtId="2" fillId="22" applyFill="true">
      <alignment horizontal="center" vertical="center"/>
    </xf>
    <xf fontId="3584" applyFont="true" borderId="8" applyBorder="true" applyNumberFormat="true" numFmtId="2" fillId="22" applyFill="true">
      <alignment horizontal="center" vertical="center"/>
    </xf>
    <xf fontId="3585" applyFont="true" borderId="8" applyBorder="true" applyNumberFormat="true" numFmtId="2" fillId="22" applyFill="true">
      <alignment horizontal="center" vertical="center"/>
    </xf>
    <xf fontId="3586" applyFont="true" borderId="8" applyBorder="true" applyNumberFormat="true" numFmtId="2" fillId="22" applyFill="true">
      <alignment horizontal="center" vertical="center"/>
    </xf>
    <xf fontId="3587" applyFont="true" borderId="8" applyBorder="true" applyNumberFormat="true" numFmtId="2" fillId="22" applyFill="true">
      <alignment horizontal="center" vertical="center"/>
    </xf>
    <xf fontId="3588" applyFont="true" borderId="8" applyBorder="true" applyNumberFormat="true" numFmtId="2" fillId="22" applyFill="true">
      <alignment horizontal="center" vertical="center"/>
    </xf>
    <xf fontId="3589" applyFont="true" borderId="8" applyBorder="true" applyNumberFormat="true" numFmtId="165" fillId="19" applyFill="true">
      <alignment horizontal="left" vertical="center"/>
    </xf>
    <xf fontId="3590" applyFont="true" borderId="8" applyBorder="true" applyNumberFormat="true" numFmtId="165" fillId="22" applyFill="true">
      <alignment horizontal="center" vertical="center"/>
    </xf>
    <xf fontId="3591" applyFont="true" borderId="8" applyBorder="true" applyNumberFormat="true" numFmtId="166" fillId="22" applyFill="true">
      <alignment horizontal="center" vertical="center"/>
    </xf>
    <xf fontId="3592" applyFont="true" borderId="8" applyBorder="true" applyNumberFormat="true" numFmtId="1" fillId="22" applyFill="true">
      <alignment horizontal="center" vertical="center"/>
    </xf>
    <xf fontId="3593" applyFont="true" borderId="8" applyBorder="true" applyNumberFormat="true" numFmtId="1" fillId="22" applyFill="true">
      <alignment horizontal="center" vertical="center"/>
    </xf>
    <xf fontId="3594" applyFont="true" borderId="8" applyBorder="true" applyNumberFormat="true" numFmtId="1" fillId="22" applyFill="true">
      <alignment horizontal="center" vertical="center"/>
    </xf>
    <xf fontId="3595" applyFont="true" borderId="8" applyBorder="true" applyNumberFormat="true" numFmtId="1" fillId="22" applyFill="true">
      <alignment horizontal="center" vertical="center"/>
    </xf>
    <xf fontId="3596" applyFont="true" borderId="8" applyBorder="true" applyNumberFormat="true" numFmtId="1" fillId="22" applyFill="true">
      <alignment horizontal="center" vertical="center"/>
    </xf>
    <xf fontId="3597" applyFont="true" borderId="8" applyBorder="true" applyNumberFormat="true" numFmtId="1" fillId="22" applyFill="true">
      <alignment horizontal="center" vertical="center"/>
    </xf>
    <xf fontId="3598" applyFont="true" borderId="8" applyBorder="true" applyNumberFormat="true" numFmtId="1" fillId="22" applyFill="true">
      <alignment horizontal="center" vertical="center"/>
    </xf>
    <xf fontId="3599" applyFont="true" borderId="8" applyBorder="true" applyNumberFormat="true" numFmtId="165" fillId="22" applyFill="true">
      <alignment horizontal="center" vertical="center"/>
    </xf>
    <xf fontId="3600" applyFont="true" borderId="8" applyBorder="true" applyNumberFormat="true" numFmtId="165" fillId="22" applyFill="true">
      <alignment horizontal="center" vertical="center"/>
    </xf>
    <xf fontId="3601" applyFont="true" borderId="8" applyBorder="true" applyNumberFormat="true" numFmtId="1" fillId="22" applyFill="true">
      <alignment horizontal="center" vertical="center"/>
    </xf>
    <xf fontId="3602" applyFont="true" borderId="8" applyBorder="true" applyNumberFormat="true" numFmtId="1" fillId="22" applyFill="true">
      <alignment horizontal="center" vertical="center"/>
    </xf>
    <xf fontId="3603" applyFont="true" borderId="8" applyBorder="true" applyNumberFormat="true" numFmtId="1" fillId="22" applyFill="true">
      <alignment horizontal="center" vertical="center"/>
    </xf>
    <xf fontId="3604" applyFont="true" borderId="8" applyBorder="true" applyNumberFormat="true" numFmtId="167" fillId="22" applyFill="true">
      <alignment horizontal="center" vertical="center"/>
    </xf>
    <xf fontId="3605" applyFont="true" borderId="8" applyBorder="true" applyNumberFormat="true" numFmtId="1" fillId="22" applyFill="true">
      <alignment horizontal="center" vertical="center"/>
    </xf>
    <xf fontId="3606" applyFont="true" borderId="8" applyBorder="true" applyNumberFormat="true" numFmtId="167" fillId="22" applyFill="true">
      <alignment horizontal="center" vertical="center"/>
    </xf>
    <xf fontId="3607" applyFont="true" borderId="8" applyBorder="true" applyNumberFormat="true" numFmtId="1" fillId="22" applyFill="true">
      <alignment horizontal="center" vertical="center"/>
    </xf>
    <xf fontId="3608" applyFont="true" borderId="8" applyBorder="true" applyNumberFormat="true" numFmtId="167" fillId="22" applyFill="true">
      <alignment horizontal="center" vertical="center"/>
    </xf>
    <xf fontId="3609" applyFont="true" borderId="8" applyBorder="true" applyNumberFormat="true" numFmtId="1" fillId="22" applyFill="true">
      <alignment horizontal="center" vertical="center"/>
    </xf>
    <xf fontId="3610" applyFont="true" borderId="8" applyBorder="true" applyNumberFormat="true" numFmtId="167" fillId="22" applyFill="true">
      <alignment horizontal="center" vertical="center"/>
    </xf>
    <xf fontId="3611" applyFont="true" borderId="8" applyBorder="true" applyNumberFormat="true" numFmtId="167" fillId="22" applyFill="true">
      <alignment horizontal="center" vertical="center"/>
    </xf>
    <xf fontId="3612" applyFont="true" borderId="8" applyBorder="true" applyNumberFormat="true" numFmtId="1" fillId="22" applyFill="true">
      <alignment horizontal="center" vertical="center"/>
    </xf>
    <xf fontId="3613" applyFont="true" borderId="8" applyBorder="true" applyNumberFormat="true" numFmtId="1" fillId="22" applyFill="true">
      <alignment horizontal="center" vertical="center"/>
    </xf>
    <xf fontId="3614" applyFont="true" borderId="8" applyBorder="true" applyNumberFormat="true" numFmtId="1" fillId="22" applyFill="true">
      <alignment horizontal="center" vertical="center"/>
    </xf>
    <xf fontId="3615" applyFont="true" borderId="8" applyBorder="true" applyNumberFormat="true" numFmtId="167" fillId="22" applyFill="true">
      <alignment horizontal="center" vertical="center"/>
    </xf>
    <xf fontId="3616" applyFont="true" borderId="8" applyBorder="true" applyNumberFormat="true" numFmtId="166" fillId="22" applyFill="true">
      <alignment horizontal="center" vertical="center"/>
    </xf>
    <xf fontId="3617" applyFont="true" borderId="8" applyBorder="true" applyNumberFormat="true" numFmtId="166" fillId="22" applyFill="true">
      <alignment horizontal="center" vertical="center"/>
    </xf>
    <xf fontId="3618" applyFont="true" borderId="8" applyBorder="true" applyNumberFormat="true" numFmtId="1" fillId="22" applyFill="true">
      <alignment horizontal="center" vertical="center"/>
    </xf>
    <xf fontId="3619" applyFont="true" borderId="8" applyBorder="true" applyNumberFormat="true" numFmtId="1" fillId="22" applyFill="true">
      <alignment horizontal="center" vertical="center"/>
    </xf>
    <xf fontId="3620" applyFont="true" borderId="8" applyBorder="true" applyNumberFormat="true" numFmtId="1" fillId="22" applyFill="true">
      <alignment horizontal="center" vertical="center"/>
    </xf>
    <xf fontId="3621" applyFont="true" borderId="8" applyBorder="true" applyNumberFormat="true" numFmtId="167" fillId="22" applyFill="true">
      <alignment horizontal="center" vertical="center"/>
    </xf>
    <xf fontId="3622" applyFont="true" borderId="8" applyBorder="true" applyNumberFormat="true" numFmtId="1" fillId="22" applyFill="true">
      <alignment horizontal="center" vertical="center"/>
    </xf>
    <xf fontId="3623" applyFont="true" borderId="8" applyBorder="true" applyNumberFormat="true" numFmtId="167" fillId="22" applyFill="true">
      <alignment horizontal="center" vertical="center"/>
    </xf>
    <xf fontId="3624" applyFont="true" borderId="8" applyBorder="true" applyNumberFormat="true" numFmtId="1" fillId="22" applyFill="true">
      <alignment horizontal="center" vertical="center"/>
    </xf>
    <xf fontId="3625" applyFont="true" borderId="8" applyBorder="true" applyNumberFormat="true" numFmtId="1" fillId="22" applyFill="true">
      <alignment horizontal="center" vertical="center"/>
    </xf>
    <xf fontId="3626" applyFont="true" borderId="8" applyBorder="true" applyNumberFormat="true" numFmtId="1" fillId="22" applyFill="true">
      <alignment horizontal="center" vertical="center"/>
    </xf>
    <xf fontId="3627" applyFont="true" borderId="8" applyBorder="true" applyNumberFormat="true" numFmtId="1" fillId="22" applyFill="true">
      <alignment horizontal="center" vertical="center"/>
    </xf>
    <xf fontId="3628" applyFont="true" borderId="8" applyBorder="true" applyNumberFormat="true" numFmtId="167" fillId="22" applyFill="true">
      <alignment horizontal="center" vertical="center"/>
    </xf>
    <xf fontId="3629" applyFont="true" borderId="8" applyBorder="true" applyNumberFormat="true" numFmtId="1" fillId="22" applyFill="true">
      <alignment horizontal="center" vertical="center"/>
    </xf>
    <xf fontId="3630" applyFont="true" borderId="8" applyBorder="true" applyNumberFormat="true" numFmtId="167" fillId="22" applyFill="true">
      <alignment horizontal="center" vertical="center"/>
    </xf>
    <xf fontId="3631" applyFont="true" borderId="8" applyBorder="true" applyNumberFormat="true" numFmtId="1" fillId="22" applyFill="true">
      <alignment horizontal="center" vertical="center"/>
    </xf>
    <xf fontId="3632" applyFont="true" borderId="8" applyBorder="true" applyNumberFormat="true" numFmtId="167" fillId="22" applyFill="true">
      <alignment horizontal="center" vertical="center"/>
    </xf>
    <xf fontId="3633" applyFont="true" borderId="8" applyBorder="true" applyNumberFormat="true" numFmtId="2" fillId="22" applyFill="true">
      <alignment horizontal="center" vertical="center"/>
    </xf>
    <xf fontId="3634" applyFont="true" borderId="8" applyBorder="true" applyNumberFormat="true" numFmtId="2" fillId="22" applyFill="true">
      <alignment horizontal="center" vertical="center"/>
    </xf>
    <xf fontId="3635" applyFont="true" borderId="8" applyBorder="true" applyNumberFormat="true" numFmtId="2" fillId="22" applyFill="true">
      <alignment horizontal="center" vertical="center"/>
    </xf>
    <xf fontId="3636" applyFont="true" borderId="8" applyBorder="true" applyNumberFormat="true" numFmtId="2" fillId="22" applyFill="true">
      <alignment horizontal="center" vertical="center"/>
    </xf>
    <xf fontId="3637" applyFont="true" borderId="8" applyBorder="true" applyNumberFormat="true" numFmtId="2" fillId="22" applyFill="true">
      <alignment horizontal="center" vertical="center"/>
    </xf>
    <xf fontId="3638" applyFont="true" borderId="8" applyBorder="true" applyNumberFormat="true" numFmtId="2" fillId="22" applyFill="true">
      <alignment horizontal="center" vertical="center"/>
    </xf>
    <xf fontId="3639" applyFont="true" borderId="8" applyBorder="true" applyNumberFormat="true" numFmtId="2" fillId="22" applyFill="true">
      <alignment horizontal="center" vertical="center"/>
    </xf>
    <xf fontId="3640" applyFont="true" borderId="8" applyBorder="true" applyNumberFormat="true" numFmtId="2" fillId="22" applyFill="true">
      <alignment horizontal="center" vertical="center"/>
    </xf>
    <xf fontId="3641" applyFont="true" borderId="8" applyBorder="true" applyNumberFormat="true" numFmtId="2" fillId="22" applyFill="true">
      <alignment horizontal="center" vertical="center"/>
    </xf>
    <xf fontId="3642" applyFont="true" borderId="8" applyBorder="true" applyNumberFormat="true" numFmtId="2" fillId="22" applyFill="true">
      <alignment horizontal="center" vertical="center"/>
    </xf>
    <xf fontId="3643" applyFont="true" borderId="8" applyBorder="true" applyNumberFormat="true" numFmtId="2" fillId="22" applyFill="true">
      <alignment horizontal="center" vertical="center"/>
    </xf>
    <xf fontId="3644" applyFont="true" borderId="8" applyBorder="true" applyNumberFormat="true" numFmtId="2" fillId="22" applyFill="true">
      <alignment horizontal="center" vertical="center"/>
    </xf>
    <xf fontId="3645" applyFont="true" borderId="8" applyBorder="true" applyNumberFormat="true" numFmtId="2" fillId="22" applyFill="true">
      <alignment horizontal="center" vertical="center"/>
    </xf>
    <xf fontId="3646" applyFont="true" borderId="8" applyBorder="true" applyNumberFormat="true" numFmtId="2" fillId="22" applyFill="true">
      <alignment horizontal="center" vertical="center"/>
    </xf>
    <xf fontId="3647" applyFont="true" borderId="8" applyBorder="true" applyNumberFormat="true" numFmtId="2" fillId="22" applyFill="true">
      <alignment horizontal="center" vertical="center"/>
    </xf>
    <xf fontId="3648" applyFont="true" borderId="8" applyBorder="true" applyNumberFormat="true" numFmtId="2" fillId="22" applyFill="true">
      <alignment horizontal="center" vertical="center"/>
    </xf>
    <xf fontId="3649" applyFont="true" borderId="8" applyBorder="true" applyNumberFormat="true" numFmtId="2" fillId="22" applyFill="true">
      <alignment horizontal="center" vertical="center"/>
    </xf>
    <xf fontId="3650" applyFont="true" borderId="8" applyBorder="true" applyNumberFormat="true" numFmtId="2" fillId="22" applyFill="true">
      <alignment horizontal="center" vertical="center"/>
    </xf>
    <xf fontId="3651" applyFont="true" borderId="8" applyBorder="true" applyNumberFormat="true" numFmtId="2" fillId="22" applyFill="true">
      <alignment horizontal="center" vertical="center"/>
    </xf>
    <xf fontId="3652" applyFont="true" borderId="8" applyBorder="true" applyNumberFormat="true" numFmtId="2" fillId="22" applyFill="true">
      <alignment horizontal="center" vertical="center"/>
    </xf>
    <xf fontId="3653" applyFont="true" borderId="8" applyBorder="true" applyNumberFormat="true" numFmtId="2" fillId="22" applyFill="true">
      <alignment horizontal="center" vertical="center"/>
    </xf>
    <xf fontId="3654" applyFont="true" borderId="8" applyBorder="true" applyNumberFormat="true" numFmtId="2" fillId="22" applyFill="true">
      <alignment horizontal="center" vertical="center"/>
    </xf>
    <xf fontId="3655" applyFont="true" borderId="8" applyBorder="true" applyNumberFormat="true" numFmtId="2" fillId="22" applyFill="true">
      <alignment horizontal="center" vertical="center"/>
    </xf>
    <xf fontId="3656" applyFont="true" borderId="8" applyBorder="true" applyNumberFormat="true" numFmtId="2" fillId="22" applyFill="true">
      <alignment horizontal="center" vertical="center"/>
    </xf>
    <xf fontId="3657" applyFont="true" borderId="8" applyBorder="true" applyNumberFormat="true" numFmtId="2" fillId="22" applyFill="true">
      <alignment horizontal="center" vertical="center"/>
    </xf>
    <xf fontId="3658" applyFont="true" borderId="8" applyBorder="true" applyNumberFormat="true" numFmtId="2" fillId="22" applyFill="true">
      <alignment horizontal="center" vertical="center"/>
    </xf>
    <xf fontId="3659" applyFont="true" borderId="8" applyBorder="true" applyNumberFormat="true" numFmtId="2" fillId="22" applyFill="true">
      <alignment horizontal="center" vertical="center"/>
    </xf>
    <xf fontId="3660" applyFont="true" borderId="8" applyBorder="true" applyNumberFormat="true" numFmtId="2" fillId="22" applyFill="true">
      <alignment horizontal="center" vertical="center"/>
    </xf>
    <xf fontId="3661" applyFont="true" borderId="8" applyBorder="true" applyNumberFormat="true" numFmtId="2" fillId="22" applyFill="true">
      <alignment horizontal="center" vertical="center"/>
    </xf>
    <xf fontId="3662" applyFont="true" borderId="8" applyBorder="true" applyNumberFormat="true" numFmtId="2" fillId="22" applyFill="true">
      <alignment horizontal="center" vertical="center"/>
    </xf>
    <xf fontId="3663" applyFont="true" borderId="8" applyBorder="true" applyNumberFormat="true" numFmtId="2" fillId="22" applyFill="true">
      <alignment horizontal="center" vertical="center"/>
    </xf>
    <xf fontId="3664" applyFont="true" borderId="8" applyBorder="true" applyNumberFormat="true" numFmtId="2" fillId="22" applyFill="true">
      <alignment horizontal="center" vertical="center"/>
    </xf>
    <xf fontId="3665" applyFont="true" borderId="8" applyBorder="true" applyNumberFormat="true" numFmtId="2" fillId="22" applyFill="true">
      <alignment horizontal="center" vertical="center"/>
    </xf>
    <xf fontId="3666" applyFont="true" borderId="8" applyBorder="true" applyNumberFormat="true" numFmtId="2" fillId="22" applyFill="true">
      <alignment horizontal="center" vertical="center"/>
    </xf>
    <xf fontId="3667" applyFont="true" borderId="8" applyBorder="true" applyNumberFormat="true" numFmtId="165" fillId="19" applyFill="true">
      <alignment horizontal="left" vertical="center"/>
    </xf>
    <xf fontId="3668" applyFont="true" borderId="8" applyBorder="true" applyNumberFormat="true" numFmtId="165" fillId="22" applyFill="true">
      <alignment horizontal="center" vertical="center"/>
    </xf>
    <xf fontId="3669" applyFont="true" borderId="8" applyBorder="true" applyNumberFormat="true" numFmtId="166" fillId="22" applyFill="true">
      <alignment horizontal="center" vertical="center"/>
    </xf>
    <xf fontId="3670" applyFont="true" borderId="8" applyBorder="true" applyNumberFormat="true" numFmtId="1" fillId="22" applyFill="true">
      <alignment horizontal="center" vertical="center"/>
    </xf>
    <xf fontId="3671" applyFont="true" borderId="8" applyBorder="true" applyNumberFormat="true" numFmtId="1" fillId="22" applyFill="true">
      <alignment horizontal="center" vertical="center"/>
    </xf>
    <xf fontId="3672" applyFont="true" borderId="8" applyBorder="true" applyNumberFormat="true" numFmtId="1" fillId="22" applyFill="true">
      <alignment horizontal="center" vertical="center"/>
    </xf>
    <xf fontId="3673" applyFont="true" borderId="8" applyBorder="true" applyNumberFormat="true" numFmtId="1" fillId="22" applyFill="true">
      <alignment horizontal="center" vertical="center"/>
    </xf>
    <xf fontId="3674" applyFont="true" borderId="8" applyBorder="true" applyNumberFormat="true" numFmtId="1" fillId="22" applyFill="true">
      <alignment horizontal="center" vertical="center"/>
    </xf>
    <xf fontId="3675" applyFont="true" borderId="8" applyBorder="true" applyNumberFormat="true" numFmtId="1" fillId="22" applyFill="true">
      <alignment horizontal="center" vertical="center"/>
    </xf>
    <xf fontId="3676" applyFont="true" borderId="8" applyBorder="true" applyNumberFormat="true" numFmtId="1" fillId="22" applyFill="true">
      <alignment horizontal="center" vertical="center"/>
    </xf>
    <xf fontId="3677" applyFont="true" borderId="8" applyBorder="true" applyNumberFormat="true" numFmtId="165" fillId="22" applyFill="true">
      <alignment horizontal="center" vertical="center"/>
    </xf>
    <xf fontId="3678" applyFont="true" borderId="8" applyBorder="true" applyNumberFormat="true" numFmtId="165" fillId="22" applyFill="true">
      <alignment horizontal="center" vertical="center"/>
    </xf>
    <xf fontId="3679" applyFont="true" borderId="8" applyBorder="true" applyNumberFormat="true" numFmtId="1" fillId="22" applyFill="true">
      <alignment horizontal="center" vertical="center"/>
    </xf>
    <xf fontId="3680" applyFont="true" borderId="8" applyBorder="true" applyNumberFormat="true" numFmtId="1" fillId="22" applyFill="true">
      <alignment horizontal="center" vertical="center"/>
    </xf>
    <xf fontId="3681" applyFont="true" borderId="8" applyBorder="true" applyNumberFormat="true" numFmtId="1" fillId="22" applyFill="true">
      <alignment horizontal="center" vertical="center"/>
    </xf>
    <xf fontId="3682" applyFont="true" borderId="8" applyBorder="true" applyNumberFormat="true" numFmtId="167" fillId="22" applyFill="true">
      <alignment horizontal="center" vertical="center"/>
    </xf>
    <xf fontId="3683" applyFont="true" borderId="8" applyBorder="true" applyNumberFormat="true" numFmtId="1" fillId="22" applyFill="true">
      <alignment horizontal="center" vertical="center"/>
    </xf>
    <xf fontId="3684" applyFont="true" borderId="8" applyBorder="true" applyNumberFormat="true" numFmtId="167" fillId="22" applyFill="true">
      <alignment horizontal="center" vertical="center"/>
    </xf>
    <xf fontId="3685" applyFont="true" borderId="8" applyBorder="true" applyNumberFormat="true" numFmtId="1" fillId="22" applyFill="true">
      <alignment horizontal="center" vertical="center"/>
    </xf>
    <xf fontId="3686" applyFont="true" borderId="8" applyBorder="true" applyNumberFormat="true" numFmtId="167" fillId="22" applyFill="true">
      <alignment horizontal="center" vertical="center"/>
    </xf>
    <xf fontId="3687" applyFont="true" borderId="8" applyBorder="true" applyNumberFormat="true" numFmtId="1" fillId="22" applyFill="true">
      <alignment horizontal="center" vertical="center"/>
    </xf>
    <xf fontId="3688" applyFont="true" borderId="8" applyBorder="true" applyNumberFormat="true" numFmtId="167" fillId="22" applyFill="true">
      <alignment horizontal="center" vertical="center"/>
    </xf>
    <xf fontId="3689" applyFont="true" borderId="8" applyBorder="true" applyNumberFormat="true" numFmtId="167" fillId="22" applyFill="true">
      <alignment horizontal="center" vertical="center"/>
    </xf>
    <xf fontId="3690" applyFont="true" borderId="8" applyBorder="true" applyNumberFormat="true" numFmtId="1" fillId="22" applyFill="true">
      <alignment horizontal="center" vertical="center"/>
    </xf>
    <xf fontId="3691" applyFont="true" borderId="8" applyBorder="true" applyNumberFormat="true" numFmtId="1" fillId="22" applyFill="true">
      <alignment horizontal="center" vertical="center"/>
    </xf>
    <xf fontId="3692" applyFont="true" borderId="8" applyBorder="true" applyNumberFormat="true" numFmtId="1" fillId="22" applyFill="true">
      <alignment horizontal="center" vertical="center"/>
    </xf>
    <xf fontId="3693" applyFont="true" borderId="8" applyBorder="true" applyNumberFormat="true" numFmtId="167" fillId="22" applyFill="true">
      <alignment horizontal="center" vertical="center"/>
    </xf>
    <xf fontId="3694" applyFont="true" borderId="8" applyBorder="true" applyNumberFormat="true" numFmtId="166" fillId="22" applyFill="true">
      <alignment horizontal="center" vertical="center"/>
    </xf>
    <xf fontId="3695" applyFont="true" borderId="8" applyBorder="true" applyNumberFormat="true" numFmtId="166" fillId="22" applyFill="true">
      <alignment horizontal="center" vertical="center"/>
    </xf>
    <xf fontId="3696" applyFont="true" borderId="8" applyBorder="true" applyNumberFormat="true" numFmtId="1" fillId="22" applyFill="true">
      <alignment horizontal="center" vertical="center"/>
    </xf>
    <xf fontId="3697" applyFont="true" borderId="8" applyBorder="true" applyNumberFormat="true" numFmtId="1" fillId="22" applyFill="true">
      <alignment horizontal="center" vertical="center"/>
    </xf>
    <xf fontId="3698" applyFont="true" borderId="8" applyBorder="true" applyNumberFormat="true" numFmtId="1" fillId="22" applyFill="true">
      <alignment horizontal="center" vertical="center"/>
    </xf>
    <xf fontId="3699" applyFont="true" borderId="8" applyBorder="true" applyNumberFormat="true" numFmtId="167" fillId="22" applyFill="true">
      <alignment horizontal="center" vertical="center"/>
    </xf>
    <xf fontId="3700" applyFont="true" borderId="8" applyBorder="true" applyNumberFormat="true" numFmtId="1" fillId="22" applyFill="true">
      <alignment horizontal="center" vertical="center"/>
    </xf>
    <xf fontId="3701" applyFont="true" borderId="8" applyBorder="true" applyNumberFormat="true" numFmtId="167" fillId="22" applyFill="true">
      <alignment horizontal="center" vertical="center"/>
    </xf>
    <xf fontId="3702" applyFont="true" borderId="8" applyBorder="true" applyNumberFormat="true" numFmtId="1" fillId="22" applyFill="true">
      <alignment horizontal="center" vertical="center"/>
    </xf>
    <xf fontId="3703" applyFont="true" borderId="8" applyBorder="true" applyNumberFormat="true" numFmtId="1" fillId="22" applyFill="true">
      <alignment horizontal="center" vertical="center"/>
    </xf>
    <xf fontId="3704" applyFont="true" borderId="8" applyBorder="true" applyNumberFormat="true" numFmtId="1" fillId="22" applyFill="true">
      <alignment horizontal="center" vertical="center"/>
    </xf>
    <xf fontId="3705" applyFont="true" borderId="8" applyBorder="true" applyNumberFormat="true" numFmtId="1" fillId="22" applyFill="true">
      <alignment horizontal="center" vertical="center"/>
    </xf>
    <xf fontId="3706" applyFont="true" borderId="8" applyBorder="true" applyNumberFormat="true" numFmtId="167" fillId="22" applyFill="true">
      <alignment horizontal="center" vertical="center"/>
    </xf>
    <xf fontId="3707" applyFont="true" borderId="8" applyBorder="true" applyNumberFormat="true" numFmtId="1" fillId="22" applyFill="true">
      <alignment horizontal="center" vertical="center"/>
    </xf>
    <xf fontId="3708" applyFont="true" borderId="8" applyBorder="true" applyNumberFormat="true" numFmtId="167" fillId="22" applyFill="true">
      <alignment horizontal="center" vertical="center"/>
    </xf>
    <xf fontId="3709" applyFont="true" borderId="8" applyBorder="true" applyNumberFormat="true" numFmtId="1" fillId="22" applyFill="true">
      <alignment horizontal="center" vertical="center"/>
    </xf>
    <xf fontId="3710" applyFont="true" borderId="8" applyBorder="true" applyNumberFormat="true" numFmtId="167" fillId="22" applyFill="true">
      <alignment horizontal="center" vertical="center"/>
    </xf>
    <xf fontId="3711" applyFont="true" borderId="8" applyBorder="true" applyNumberFormat="true" numFmtId="2" fillId="22" applyFill="true">
      <alignment horizontal="center" vertical="center"/>
    </xf>
    <xf fontId="3712" applyFont="true" borderId="8" applyBorder="true" applyNumberFormat="true" numFmtId="2" fillId="22" applyFill="true">
      <alignment horizontal="center" vertical="center"/>
    </xf>
    <xf fontId="3713" applyFont="true" borderId="8" applyBorder="true" applyNumberFormat="true" numFmtId="2" fillId="22" applyFill="true">
      <alignment horizontal="center" vertical="center"/>
    </xf>
    <xf fontId="3714" applyFont="true" borderId="8" applyBorder="true" applyNumberFormat="true" numFmtId="2" fillId="22" applyFill="true">
      <alignment horizontal="center" vertical="center"/>
    </xf>
    <xf fontId="3715" applyFont="true" borderId="8" applyBorder="true" applyNumberFormat="true" numFmtId="2" fillId="22" applyFill="true">
      <alignment horizontal="center" vertical="center"/>
    </xf>
    <xf fontId="3716" applyFont="true" borderId="8" applyBorder="true" applyNumberFormat="true" numFmtId="2" fillId="22" applyFill="true">
      <alignment horizontal="center" vertical="center"/>
    </xf>
    <xf fontId="3717" applyFont="true" borderId="8" applyBorder="true" applyNumberFormat="true" numFmtId="2" fillId="22" applyFill="true">
      <alignment horizontal="center" vertical="center"/>
    </xf>
    <xf fontId="3718" applyFont="true" borderId="8" applyBorder="true" applyNumberFormat="true" numFmtId="2" fillId="22" applyFill="true">
      <alignment horizontal="center" vertical="center"/>
    </xf>
    <xf fontId="3719" applyFont="true" borderId="8" applyBorder="true" applyNumberFormat="true" numFmtId="2" fillId="22" applyFill="true">
      <alignment horizontal="center" vertical="center"/>
    </xf>
    <xf fontId="3720" applyFont="true" borderId="8" applyBorder="true" applyNumberFormat="true" numFmtId="2" fillId="22" applyFill="true">
      <alignment horizontal="center" vertical="center"/>
    </xf>
    <xf fontId="3721" applyFont="true" borderId="8" applyBorder="true" applyNumberFormat="true" numFmtId="2" fillId="22" applyFill="true">
      <alignment horizontal="center" vertical="center"/>
    </xf>
    <xf fontId="3722" applyFont="true" borderId="8" applyBorder="true" applyNumberFormat="true" numFmtId="2" fillId="22" applyFill="true">
      <alignment horizontal="center" vertical="center"/>
    </xf>
    <xf fontId="3723" applyFont="true" borderId="8" applyBorder="true" applyNumberFormat="true" numFmtId="2" fillId="22" applyFill="true">
      <alignment horizontal="center" vertical="center"/>
    </xf>
    <xf fontId="3724" applyFont="true" borderId="8" applyBorder="true" applyNumberFormat="true" numFmtId="2" fillId="22" applyFill="true">
      <alignment horizontal="center" vertical="center"/>
    </xf>
    <xf fontId="3725" applyFont="true" borderId="8" applyBorder="true" applyNumberFormat="true" numFmtId="2" fillId="22" applyFill="true">
      <alignment horizontal="center" vertical="center"/>
    </xf>
    <xf fontId="3726" applyFont="true" borderId="8" applyBorder="true" applyNumberFormat="true" numFmtId="2" fillId="22" applyFill="true">
      <alignment horizontal="center" vertical="center"/>
    </xf>
    <xf fontId="3727" applyFont="true" borderId="8" applyBorder="true" applyNumberFormat="true" numFmtId="2" fillId="22" applyFill="true">
      <alignment horizontal="center" vertical="center"/>
    </xf>
    <xf fontId="3728" applyFont="true" borderId="8" applyBorder="true" applyNumberFormat="true" numFmtId="2" fillId="22" applyFill="true">
      <alignment horizontal="center" vertical="center"/>
    </xf>
    <xf fontId="3729" applyFont="true" borderId="8" applyBorder="true" applyNumberFormat="true" numFmtId="2" fillId="22" applyFill="true">
      <alignment horizontal="center" vertical="center"/>
    </xf>
    <xf fontId="3730" applyFont="true" borderId="8" applyBorder="true" applyNumberFormat="true" numFmtId="2" fillId="22" applyFill="true">
      <alignment horizontal="center" vertical="center"/>
    </xf>
    <xf fontId="3731" applyFont="true" borderId="8" applyBorder="true" applyNumberFormat="true" numFmtId="2" fillId="22" applyFill="true">
      <alignment horizontal="center" vertical="center"/>
    </xf>
    <xf fontId="3732" applyFont="true" borderId="8" applyBorder="true" applyNumberFormat="true" numFmtId="2" fillId="22" applyFill="true">
      <alignment horizontal="center" vertical="center"/>
    </xf>
    <xf fontId="3733" applyFont="true" borderId="8" applyBorder="true" applyNumberFormat="true" numFmtId="2" fillId="22" applyFill="true">
      <alignment horizontal="center" vertical="center"/>
    </xf>
    <xf fontId="3734" applyFont="true" borderId="8" applyBorder="true" applyNumberFormat="true" numFmtId="2" fillId="22" applyFill="true">
      <alignment horizontal="center" vertical="center"/>
    </xf>
    <xf fontId="3735" applyFont="true" borderId="8" applyBorder="true" applyNumberFormat="true" numFmtId="2" fillId="22" applyFill="true">
      <alignment horizontal="center" vertical="center"/>
    </xf>
    <xf fontId="3736" applyFont="true" borderId="8" applyBorder="true" applyNumberFormat="true" numFmtId="2" fillId="22" applyFill="true">
      <alignment horizontal="center" vertical="center"/>
    </xf>
    <xf fontId="3737" applyFont="true" borderId="8" applyBorder="true" applyNumberFormat="true" numFmtId="2" fillId="22" applyFill="true">
      <alignment horizontal="center" vertical="center"/>
    </xf>
    <xf fontId="3738" applyFont="true" borderId="8" applyBorder="true" applyNumberFormat="true" numFmtId="2" fillId="22" applyFill="true">
      <alignment horizontal="center" vertical="center"/>
    </xf>
    <xf fontId="3739" applyFont="true" borderId="8" applyBorder="true" applyNumberFormat="true" numFmtId="2" fillId="22" applyFill="true">
      <alignment horizontal="center" vertical="center"/>
    </xf>
    <xf fontId="3740" applyFont="true" borderId="8" applyBorder="true" applyNumberFormat="true" numFmtId="2" fillId="22" applyFill="true">
      <alignment horizontal="center" vertical="center"/>
    </xf>
    <xf fontId="3741" applyFont="true" borderId="8" applyBorder="true" applyNumberFormat="true" numFmtId="2" fillId="22" applyFill="true">
      <alignment horizontal="center" vertical="center"/>
    </xf>
    <xf fontId="3742" applyFont="true" borderId="8" applyBorder="true" applyNumberFormat="true" numFmtId="2" fillId="22" applyFill="true">
      <alignment horizontal="center" vertical="center"/>
    </xf>
    <xf fontId="3743" applyFont="true" borderId="8" applyBorder="true" applyNumberFormat="true" numFmtId="2" fillId="22" applyFill="true">
      <alignment horizontal="center" vertical="center"/>
    </xf>
    <xf fontId="3744" applyFont="true" borderId="8" applyBorder="true" applyNumberFormat="true" numFmtId="2" fillId="22" applyFill="true">
      <alignment horizontal="center" vertical="center"/>
    </xf>
    <xf fontId="3745" applyFont="true" borderId="8" applyBorder="true" applyNumberFormat="true" numFmtId="165" fillId="19" applyFill="true">
      <alignment horizontal="left" vertical="center"/>
    </xf>
    <xf fontId="3746" applyFont="true" borderId="8" applyBorder="true" applyNumberFormat="true" numFmtId="165" fillId="22" applyFill="true">
      <alignment horizontal="center" vertical="center"/>
    </xf>
    <xf fontId="3747" applyFont="true" borderId="8" applyBorder="true" applyNumberFormat="true" numFmtId="166" fillId="22" applyFill="true">
      <alignment horizontal="center" vertical="center"/>
    </xf>
    <xf fontId="3748" applyFont="true" borderId="8" applyBorder="true" applyNumberFormat="true" numFmtId="1" fillId="22" applyFill="true">
      <alignment horizontal="center" vertical="center"/>
    </xf>
    <xf fontId="3749" applyFont="true" borderId="8" applyBorder="true" applyNumberFormat="true" numFmtId="1" fillId="22" applyFill="true">
      <alignment horizontal="center" vertical="center"/>
    </xf>
    <xf fontId="3750" applyFont="true" borderId="8" applyBorder="true" applyNumberFormat="true" numFmtId="1" fillId="22" applyFill="true">
      <alignment horizontal="center" vertical="center"/>
    </xf>
    <xf fontId="3751" applyFont="true" borderId="8" applyBorder="true" applyNumberFormat="true" numFmtId="1" fillId="22" applyFill="true">
      <alignment horizontal="center" vertical="center"/>
    </xf>
    <xf fontId="3752" applyFont="true" borderId="8" applyBorder="true" applyNumberFormat="true" numFmtId="1" fillId="22" applyFill="true">
      <alignment horizontal="center" vertical="center"/>
    </xf>
    <xf fontId="3753" applyFont="true" borderId="8" applyBorder="true" applyNumberFormat="true" numFmtId="1" fillId="22" applyFill="true">
      <alignment horizontal="center" vertical="center"/>
    </xf>
    <xf fontId="3754" applyFont="true" borderId="8" applyBorder="true" applyNumberFormat="true" numFmtId="1" fillId="22" applyFill="true">
      <alignment horizontal="center" vertical="center"/>
    </xf>
    <xf fontId="3755" applyFont="true" borderId="8" applyBorder="true" applyNumberFormat="true" numFmtId="165" fillId="22" applyFill="true">
      <alignment horizontal="center" vertical="center"/>
    </xf>
    <xf fontId="3756" applyFont="true" borderId="8" applyBorder="true" applyNumberFormat="true" numFmtId="165" fillId="22" applyFill="true">
      <alignment horizontal="center" vertical="center"/>
    </xf>
    <xf fontId="3757" applyFont="true" borderId="8" applyBorder="true" applyNumberFormat="true" numFmtId="1" fillId="22" applyFill="true">
      <alignment horizontal="center" vertical="center"/>
    </xf>
    <xf fontId="3758" applyFont="true" borderId="8" applyBorder="true" applyNumberFormat="true" numFmtId="1" fillId="22" applyFill="true">
      <alignment horizontal="center" vertical="center"/>
    </xf>
    <xf fontId="3759" applyFont="true" borderId="8" applyBorder="true" applyNumberFormat="true" numFmtId="1" fillId="22" applyFill="true">
      <alignment horizontal="center" vertical="center"/>
    </xf>
    <xf fontId="3760" applyFont="true" borderId="8" applyBorder="true" applyNumberFormat="true" numFmtId="167" fillId="22" applyFill="true">
      <alignment horizontal="center" vertical="center"/>
    </xf>
    <xf fontId="3761" applyFont="true" borderId="8" applyBorder="true" applyNumberFormat="true" numFmtId="1" fillId="22" applyFill="true">
      <alignment horizontal="center" vertical="center"/>
    </xf>
    <xf fontId="3762" applyFont="true" borderId="8" applyBorder="true" applyNumberFormat="true" numFmtId="167" fillId="22" applyFill="true">
      <alignment horizontal="center" vertical="center"/>
    </xf>
    <xf fontId="3763" applyFont="true" borderId="8" applyBorder="true" applyNumberFormat="true" numFmtId="1" fillId="22" applyFill="true">
      <alignment horizontal="center" vertical="center"/>
    </xf>
    <xf fontId="3764" applyFont="true" borderId="8" applyBorder="true" applyNumberFormat="true" numFmtId="167" fillId="22" applyFill="true">
      <alignment horizontal="center" vertical="center"/>
    </xf>
    <xf fontId="3765" applyFont="true" borderId="8" applyBorder="true" applyNumberFormat="true" numFmtId="1" fillId="22" applyFill="true">
      <alignment horizontal="center" vertical="center"/>
    </xf>
    <xf fontId="3766" applyFont="true" borderId="8" applyBorder="true" applyNumberFormat="true" numFmtId="167" fillId="22" applyFill="true">
      <alignment horizontal="center" vertical="center"/>
    </xf>
    <xf fontId="3767" applyFont="true" borderId="8" applyBorder="true" applyNumberFormat="true" numFmtId="167" fillId="22" applyFill="true">
      <alignment horizontal="center" vertical="center"/>
    </xf>
    <xf fontId="3768" applyFont="true" borderId="8" applyBorder="true" applyNumberFormat="true" numFmtId="1" fillId="22" applyFill="true">
      <alignment horizontal="center" vertical="center"/>
    </xf>
    <xf fontId="3769" applyFont="true" borderId="8" applyBorder="true" applyNumberFormat="true" numFmtId="1" fillId="22" applyFill="true">
      <alignment horizontal="center" vertical="center"/>
    </xf>
    <xf fontId="3770" applyFont="true" borderId="8" applyBorder="true" applyNumberFormat="true" numFmtId="1" fillId="22" applyFill="true">
      <alignment horizontal="center" vertical="center"/>
    </xf>
    <xf fontId="3771" applyFont="true" borderId="8" applyBorder="true" applyNumberFormat="true" numFmtId="167" fillId="22" applyFill="true">
      <alignment horizontal="center" vertical="center"/>
    </xf>
    <xf fontId="3772" applyFont="true" borderId="8" applyBorder="true" applyNumberFormat="true" numFmtId="166" fillId="22" applyFill="true">
      <alignment horizontal="center" vertical="center"/>
    </xf>
    <xf fontId="3773" applyFont="true" borderId="8" applyBorder="true" applyNumberFormat="true" numFmtId="166" fillId="22" applyFill="true">
      <alignment horizontal="center" vertical="center"/>
    </xf>
    <xf fontId="3774" applyFont="true" borderId="8" applyBorder="true" applyNumberFormat="true" numFmtId="1" fillId="22" applyFill="true">
      <alignment horizontal="center" vertical="center"/>
    </xf>
    <xf fontId="3775" applyFont="true" borderId="8" applyBorder="true" applyNumberFormat="true" numFmtId="1" fillId="22" applyFill="true">
      <alignment horizontal="center" vertical="center"/>
    </xf>
    <xf fontId="3776" applyFont="true" borderId="8" applyBorder="true" applyNumberFormat="true" numFmtId="1" fillId="22" applyFill="true">
      <alignment horizontal="center" vertical="center"/>
    </xf>
    <xf fontId="3777" applyFont="true" borderId="8" applyBorder="true" applyNumberFormat="true" numFmtId="167" fillId="22" applyFill="true">
      <alignment horizontal="center" vertical="center"/>
    </xf>
    <xf fontId="3778" applyFont="true" borderId="8" applyBorder="true" applyNumberFormat="true" numFmtId="1" fillId="22" applyFill="true">
      <alignment horizontal="center" vertical="center"/>
    </xf>
    <xf fontId="3779" applyFont="true" borderId="8" applyBorder="true" applyNumberFormat="true" numFmtId="167" fillId="22" applyFill="true">
      <alignment horizontal="center" vertical="center"/>
    </xf>
    <xf fontId="3780" applyFont="true" borderId="8" applyBorder="true" applyNumberFormat="true" numFmtId="1" fillId="22" applyFill="true">
      <alignment horizontal="center" vertical="center"/>
    </xf>
    <xf fontId="3781" applyFont="true" borderId="8" applyBorder="true" applyNumberFormat="true" numFmtId="1" fillId="22" applyFill="true">
      <alignment horizontal="center" vertical="center"/>
    </xf>
    <xf fontId="3782" applyFont="true" borderId="8" applyBorder="true" applyNumberFormat="true" numFmtId="1" fillId="22" applyFill="true">
      <alignment horizontal="center" vertical="center"/>
    </xf>
    <xf fontId="3783" applyFont="true" borderId="8" applyBorder="true" applyNumberFormat="true" numFmtId="1" fillId="22" applyFill="true">
      <alignment horizontal="center" vertical="center"/>
    </xf>
    <xf fontId="3784" applyFont="true" borderId="8" applyBorder="true" applyNumberFormat="true" numFmtId="167" fillId="22" applyFill="true">
      <alignment horizontal="center" vertical="center"/>
    </xf>
    <xf fontId="3785" applyFont="true" borderId="8" applyBorder="true" applyNumberFormat="true" numFmtId="1" fillId="22" applyFill="true">
      <alignment horizontal="center" vertical="center"/>
    </xf>
    <xf fontId="3786" applyFont="true" borderId="8" applyBorder="true" applyNumberFormat="true" numFmtId="167" fillId="22" applyFill="true">
      <alignment horizontal="center" vertical="center"/>
    </xf>
    <xf fontId="3787" applyFont="true" borderId="8" applyBorder="true" applyNumberFormat="true" numFmtId="1" fillId="22" applyFill="true">
      <alignment horizontal="center" vertical="center"/>
    </xf>
    <xf fontId="3788" applyFont="true" borderId="8" applyBorder="true" applyNumberFormat="true" numFmtId="167" fillId="22" applyFill="true">
      <alignment horizontal="center" vertical="center"/>
    </xf>
    <xf fontId="3789" applyFont="true" borderId="8" applyBorder="true" applyNumberFormat="true" numFmtId="2" fillId="22" applyFill="true">
      <alignment horizontal="center" vertical="center"/>
    </xf>
    <xf fontId="3790" applyFont="true" borderId="8" applyBorder="true" applyNumberFormat="true" numFmtId="2" fillId="22" applyFill="true">
      <alignment horizontal="center" vertical="center"/>
    </xf>
    <xf fontId="3791" applyFont="true" borderId="8" applyBorder="true" applyNumberFormat="true" numFmtId="2" fillId="22" applyFill="true">
      <alignment horizontal="center" vertical="center"/>
    </xf>
    <xf fontId="3792" applyFont="true" borderId="8" applyBorder="true" applyNumberFormat="true" numFmtId="2" fillId="22" applyFill="true">
      <alignment horizontal="center" vertical="center"/>
    </xf>
    <xf fontId="3793" applyFont="true" borderId="8" applyBorder="true" applyNumberFormat="true" numFmtId="2" fillId="22" applyFill="true">
      <alignment horizontal="center" vertical="center"/>
    </xf>
    <xf fontId="3794" applyFont="true" borderId="8" applyBorder="true" applyNumberFormat="true" numFmtId="2" fillId="22" applyFill="true">
      <alignment horizontal="center" vertical="center"/>
    </xf>
    <xf fontId="3795" applyFont="true" borderId="8" applyBorder="true" applyNumberFormat="true" numFmtId="2" fillId="22" applyFill="true">
      <alignment horizontal="center" vertical="center"/>
    </xf>
    <xf fontId="3796" applyFont="true" borderId="8" applyBorder="true" applyNumberFormat="true" numFmtId="2" fillId="22" applyFill="true">
      <alignment horizontal="center" vertical="center"/>
    </xf>
    <xf fontId="3797" applyFont="true" borderId="8" applyBorder="true" applyNumberFormat="true" numFmtId="2" fillId="22" applyFill="true">
      <alignment horizontal="center" vertical="center"/>
    </xf>
    <xf fontId="3798" applyFont="true" borderId="8" applyBorder="true" applyNumberFormat="true" numFmtId="2" fillId="22" applyFill="true">
      <alignment horizontal="center" vertical="center"/>
    </xf>
    <xf fontId="3799" applyFont="true" borderId="8" applyBorder="true" applyNumberFormat="true" numFmtId="2" fillId="22" applyFill="true">
      <alignment horizontal="center" vertical="center"/>
    </xf>
    <xf fontId="3800" applyFont="true" borderId="8" applyBorder="true" applyNumberFormat="true" numFmtId="2" fillId="22" applyFill="true">
      <alignment horizontal="center" vertical="center"/>
    </xf>
    <xf fontId="3801" applyFont="true" borderId="8" applyBorder="true" applyNumberFormat="true" numFmtId="2" fillId="22" applyFill="true">
      <alignment horizontal="center" vertical="center"/>
    </xf>
    <xf fontId="3802" applyFont="true" borderId="8" applyBorder="true" applyNumberFormat="true" numFmtId="2" fillId="22" applyFill="true">
      <alignment horizontal="center" vertical="center"/>
    </xf>
    <xf fontId="3803" applyFont="true" borderId="8" applyBorder="true" applyNumberFormat="true" numFmtId="2" fillId="22" applyFill="true">
      <alignment horizontal="center" vertical="center"/>
    </xf>
    <xf fontId="3804" applyFont="true" borderId="8" applyBorder="true" applyNumberFormat="true" numFmtId="2" fillId="22" applyFill="true">
      <alignment horizontal="center" vertical="center"/>
    </xf>
    <xf fontId="3805" applyFont="true" borderId="8" applyBorder="true" applyNumberFormat="true" numFmtId="2" fillId="22" applyFill="true">
      <alignment horizontal="center" vertical="center"/>
    </xf>
    <xf fontId="3806" applyFont="true" borderId="8" applyBorder="true" applyNumberFormat="true" numFmtId="2" fillId="22" applyFill="true">
      <alignment horizontal="center" vertical="center"/>
    </xf>
    <xf fontId="3807" applyFont="true" borderId="8" applyBorder="true" applyNumberFormat="true" numFmtId="2" fillId="22" applyFill="true">
      <alignment horizontal="center" vertical="center"/>
    </xf>
    <xf fontId="3808" applyFont="true" borderId="8" applyBorder="true" applyNumberFormat="true" numFmtId="2" fillId="22" applyFill="true">
      <alignment horizontal="center" vertical="center"/>
    </xf>
    <xf fontId="3809" applyFont="true" borderId="8" applyBorder="true" applyNumberFormat="true" numFmtId="2" fillId="22" applyFill="true">
      <alignment horizontal="center" vertical="center"/>
    </xf>
    <xf fontId="3810" applyFont="true" borderId="8" applyBorder="true" applyNumberFormat="true" numFmtId="2" fillId="22" applyFill="true">
      <alignment horizontal="center" vertical="center"/>
    </xf>
    <xf fontId="3811" applyFont="true" borderId="8" applyBorder="true" applyNumberFormat="true" numFmtId="2" fillId="22" applyFill="true">
      <alignment horizontal="center" vertical="center"/>
    </xf>
    <xf fontId="3812" applyFont="true" borderId="8" applyBorder="true" applyNumberFormat="true" numFmtId="2" fillId="22" applyFill="true">
      <alignment horizontal="center" vertical="center"/>
    </xf>
    <xf fontId="3813" applyFont="true" borderId="8" applyBorder="true" applyNumberFormat="true" numFmtId="2" fillId="22" applyFill="true">
      <alignment horizontal="center" vertical="center"/>
    </xf>
    <xf fontId="3814" applyFont="true" borderId="8" applyBorder="true" applyNumberFormat="true" numFmtId="2" fillId="22" applyFill="true">
      <alignment horizontal="center" vertical="center"/>
    </xf>
    <xf fontId="3815" applyFont="true" borderId="8" applyBorder="true" applyNumberFormat="true" numFmtId="2" fillId="22" applyFill="true">
      <alignment horizontal="center" vertical="center"/>
    </xf>
    <xf fontId="3816" applyFont="true" borderId="8" applyBorder="true" applyNumberFormat="true" numFmtId="2" fillId="22" applyFill="true">
      <alignment horizontal="center" vertical="center"/>
    </xf>
    <xf fontId="3817" applyFont="true" borderId="8" applyBorder="true" applyNumberFormat="true" numFmtId="2" fillId="22" applyFill="true">
      <alignment horizontal="center" vertical="center"/>
    </xf>
    <xf fontId="3818" applyFont="true" borderId="8" applyBorder="true" applyNumberFormat="true" numFmtId="2" fillId="22" applyFill="true">
      <alignment horizontal="center" vertical="center"/>
    </xf>
    <xf fontId="3819" applyFont="true" borderId="8" applyBorder="true" applyNumberFormat="true" numFmtId="2" fillId="22" applyFill="true">
      <alignment horizontal="center" vertical="center"/>
    </xf>
    <xf fontId="3820" applyFont="true" borderId="8" applyBorder="true" applyNumberFormat="true" numFmtId="2" fillId="22" applyFill="true">
      <alignment horizontal="center" vertical="center"/>
    </xf>
    <xf fontId="3821" applyFont="true" borderId="8" applyBorder="true" applyNumberFormat="true" numFmtId="2" fillId="22" applyFill="true">
      <alignment horizontal="center" vertical="center"/>
    </xf>
    <xf fontId="3822" applyFont="true" borderId="8" applyBorder="true" applyNumberFormat="true" numFmtId="2" fillId="22" applyFill="true">
      <alignment horizontal="center" vertical="center"/>
    </xf>
    <xf fontId="3823" applyFont="true" borderId="8" applyBorder="true" applyNumberFormat="true" numFmtId="165" fillId="19" applyFill="true">
      <alignment horizontal="left" vertical="center"/>
    </xf>
    <xf fontId="3824" applyFont="true" borderId="8" applyBorder="true" applyNumberFormat="true" numFmtId="165" fillId="22" applyFill="true">
      <alignment horizontal="center" vertical="center"/>
    </xf>
    <xf fontId="3825" applyFont="true" borderId="8" applyBorder="true" applyNumberFormat="true" numFmtId="166" fillId="22" applyFill="true">
      <alignment horizontal="center" vertical="center"/>
    </xf>
    <xf fontId="3826" applyFont="true" borderId="8" applyBorder="true" applyNumberFormat="true" numFmtId="1" fillId="22" applyFill="true">
      <alignment horizontal="center" vertical="center"/>
    </xf>
    <xf fontId="3827" applyFont="true" borderId="8" applyBorder="true" applyNumberFormat="true" numFmtId="1" fillId="22" applyFill="true">
      <alignment horizontal="center" vertical="center"/>
    </xf>
    <xf fontId="3828" applyFont="true" borderId="8" applyBorder="true" applyNumberFormat="true" numFmtId="1" fillId="22" applyFill="true">
      <alignment horizontal="center" vertical="center"/>
    </xf>
    <xf fontId="3829" applyFont="true" borderId="8" applyBorder="true" applyNumberFormat="true" numFmtId="1" fillId="22" applyFill="true">
      <alignment horizontal="center" vertical="center"/>
    </xf>
    <xf fontId="3830" applyFont="true" borderId="8" applyBorder="true" applyNumberFormat="true" numFmtId="1" fillId="22" applyFill="true">
      <alignment horizontal="center" vertical="center"/>
    </xf>
    <xf fontId="3831" applyFont="true" borderId="8" applyBorder="true" applyNumberFormat="true" numFmtId="1" fillId="22" applyFill="true">
      <alignment horizontal="center" vertical="center"/>
    </xf>
    <xf fontId="3832" applyFont="true" borderId="8" applyBorder="true" applyNumberFormat="true" numFmtId="1" fillId="22" applyFill="true">
      <alignment horizontal="center" vertical="center"/>
    </xf>
    <xf fontId="3833" applyFont="true" borderId="8" applyBorder="true" applyNumberFormat="true" numFmtId="165" fillId="22" applyFill="true">
      <alignment horizontal="center" vertical="center"/>
    </xf>
    <xf fontId="3834" applyFont="true" borderId="8" applyBorder="true" applyNumberFormat="true" numFmtId="165" fillId="22" applyFill="true">
      <alignment horizontal="center" vertical="center"/>
    </xf>
    <xf fontId="3835" applyFont="true" borderId="8" applyBorder="true" applyNumberFormat="true" numFmtId="1" fillId="22" applyFill="true">
      <alignment horizontal="center" vertical="center"/>
    </xf>
    <xf fontId="3836" applyFont="true" borderId="8" applyBorder="true" applyNumberFormat="true" numFmtId="1" fillId="22" applyFill="true">
      <alignment horizontal="center" vertical="center"/>
    </xf>
    <xf fontId="3837" applyFont="true" borderId="8" applyBorder="true" applyNumberFormat="true" numFmtId="1" fillId="22" applyFill="true">
      <alignment horizontal="center" vertical="center"/>
    </xf>
    <xf fontId="3838" applyFont="true" borderId="8" applyBorder="true" applyNumberFormat="true" numFmtId="167" fillId="22" applyFill="true">
      <alignment horizontal="center" vertical="center"/>
    </xf>
    <xf fontId="3839" applyFont="true" borderId="8" applyBorder="true" applyNumberFormat="true" numFmtId="1" fillId="22" applyFill="true">
      <alignment horizontal="center" vertical="center"/>
    </xf>
    <xf fontId="3840" applyFont="true" borderId="8" applyBorder="true" applyNumberFormat="true" numFmtId="167" fillId="22" applyFill="true">
      <alignment horizontal="center" vertical="center"/>
    </xf>
    <xf fontId="3841" applyFont="true" borderId="8" applyBorder="true" applyNumberFormat="true" numFmtId="1" fillId="22" applyFill="true">
      <alignment horizontal="center" vertical="center"/>
    </xf>
    <xf fontId="3842" applyFont="true" borderId="8" applyBorder="true" applyNumberFormat="true" numFmtId="167" fillId="22" applyFill="true">
      <alignment horizontal="center" vertical="center"/>
    </xf>
    <xf fontId="3843" applyFont="true" borderId="8" applyBorder="true" applyNumberFormat="true" numFmtId="1" fillId="22" applyFill="true">
      <alignment horizontal="center" vertical="center"/>
    </xf>
    <xf fontId="3844" applyFont="true" borderId="8" applyBorder="true" applyNumberFormat="true" numFmtId="167" fillId="22" applyFill="true">
      <alignment horizontal="center" vertical="center"/>
    </xf>
    <xf fontId="3845" applyFont="true" borderId="8" applyBorder="true" applyNumberFormat="true" numFmtId="167" fillId="22" applyFill="true">
      <alignment horizontal="center" vertical="center"/>
    </xf>
    <xf fontId="3846" applyFont="true" borderId="8" applyBorder="true" applyNumberFormat="true" numFmtId="1" fillId="22" applyFill="true">
      <alignment horizontal="center" vertical="center"/>
    </xf>
    <xf fontId="3847" applyFont="true" borderId="8" applyBorder="true" applyNumberFormat="true" numFmtId="1" fillId="22" applyFill="true">
      <alignment horizontal="center" vertical="center"/>
    </xf>
    <xf fontId="3848" applyFont="true" borderId="8" applyBorder="true" applyNumberFormat="true" numFmtId="1" fillId="22" applyFill="true">
      <alignment horizontal="center" vertical="center"/>
    </xf>
    <xf fontId="3849" applyFont="true" borderId="8" applyBorder="true" applyNumberFormat="true" numFmtId="167" fillId="22" applyFill="true">
      <alignment horizontal="center" vertical="center"/>
    </xf>
    <xf fontId="3850" applyFont="true" borderId="8" applyBorder="true" applyNumberFormat="true" numFmtId="166" fillId="22" applyFill="true">
      <alignment horizontal="center" vertical="center"/>
    </xf>
    <xf fontId="3851" applyFont="true" borderId="8" applyBorder="true" applyNumberFormat="true" numFmtId="166" fillId="22" applyFill="true">
      <alignment horizontal="center" vertical="center"/>
    </xf>
    <xf fontId="3852" applyFont="true" borderId="8" applyBorder="true" applyNumberFormat="true" numFmtId="1" fillId="22" applyFill="true">
      <alignment horizontal="center" vertical="center"/>
    </xf>
    <xf fontId="3853" applyFont="true" borderId="8" applyBorder="true" applyNumberFormat="true" numFmtId="1" fillId="22" applyFill="true">
      <alignment horizontal="center" vertical="center"/>
    </xf>
    <xf fontId="3854" applyFont="true" borderId="8" applyBorder="true" applyNumberFormat="true" numFmtId="1" fillId="22" applyFill="true">
      <alignment horizontal="center" vertical="center"/>
    </xf>
    <xf fontId="3855" applyFont="true" borderId="8" applyBorder="true" applyNumberFormat="true" numFmtId="167" fillId="22" applyFill="true">
      <alignment horizontal="center" vertical="center"/>
    </xf>
    <xf fontId="3856" applyFont="true" borderId="8" applyBorder="true" applyNumberFormat="true" numFmtId="1" fillId="22" applyFill="true">
      <alignment horizontal="center" vertical="center"/>
    </xf>
    <xf fontId="3857" applyFont="true" borderId="8" applyBorder="true" applyNumberFormat="true" numFmtId="167" fillId="22" applyFill="true">
      <alignment horizontal="center" vertical="center"/>
    </xf>
    <xf fontId="3858" applyFont="true" borderId="8" applyBorder="true" applyNumberFormat="true" numFmtId="1" fillId="22" applyFill="true">
      <alignment horizontal="center" vertical="center"/>
    </xf>
    <xf fontId="3859" applyFont="true" borderId="8" applyBorder="true" applyNumberFormat="true" numFmtId="1" fillId="22" applyFill="true">
      <alignment horizontal="center" vertical="center"/>
    </xf>
    <xf fontId="3860" applyFont="true" borderId="8" applyBorder="true" applyNumberFormat="true" numFmtId="1" fillId="22" applyFill="true">
      <alignment horizontal="center" vertical="center"/>
    </xf>
    <xf fontId="3861" applyFont="true" borderId="8" applyBorder="true" applyNumberFormat="true" numFmtId="1" fillId="22" applyFill="true">
      <alignment horizontal="center" vertical="center"/>
    </xf>
    <xf fontId="3862" applyFont="true" borderId="8" applyBorder="true" applyNumberFormat="true" numFmtId="167" fillId="22" applyFill="true">
      <alignment horizontal="center" vertical="center"/>
    </xf>
    <xf fontId="3863" applyFont="true" borderId="8" applyBorder="true" applyNumberFormat="true" numFmtId="1" fillId="22" applyFill="true">
      <alignment horizontal="center" vertical="center"/>
    </xf>
    <xf fontId="3864" applyFont="true" borderId="8" applyBorder="true" applyNumberFormat="true" numFmtId="167" fillId="22" applyFill="true">
      <alignment horizontal="center" vertical="center"/>
    </xf>
    <xf fontId="3865" applyFont="true" borderId="8" applyBorder="true" applyNumberFormat="true" numFmtId="1" fillId="22" applyFill="true">
      <alignment horizontal="center" vertical="center"/>
    </xf>
    <xf fontId="3866" applyFont="true" borderId="8" applyBorder="true" applyNumberFormat="true" numFmtId="167" fillId="22" applyFill="true">
      <alignment horizontal="center" vertical="center"/>
    </xf>
    <xf fontId="3867" applyFont="true" borderId="8" applyBorder="true" applyNumberFormat="true" numFmtId="2" fillId="22" applyFill="true">
      <alignment horizontal="center" vertical="center"/>
    </xf>
    <xf fontId="3868" applyFont="true" borderId="8" applyBorder="true" applyNumberFormat="true" numFmtId="2" fillId="22" applyFill="true">
      <alignment horizontal="center" vertical="center"/>
    </xf>
    <xf fontId="3869" applyFont="true" borderId="8" applyBorder="true" applyNumberFormat="true" numFmtId="2" fillId="22" applyFill="true">
      <alignment horizontal="center" vertical="center"/>
    </xf>
    <xf fontId="3870" applyFont="true" borderId="8" applyBorder="true" applyNumberFormat="true" numFmtId="2" fillId="22" applyFill="true">
      <alignment horizontal="center" vertical="center"/>
    </xf>
    <xf fontId="3871" applyFont="true" borderId="8" applyBorder="true" applyNumberFormat="true" numFmtId="2" fillId="22" applyFill="true">
      <alignment horizontal="center" vertical="center"/>
    </xf>
    <xf fontId="3872" applyFont="true" borderId="8" applyBorder="true" applyNumberFormat="true" numFmtId="2" fillId="22" applyFill="true">
      <alignment horizontal="center" vertical="center"/>
    </xf>
    <xf fontId="3873" applyFont="true" borderId="8" applyBorder="true" applyNumberFormat="true" numFmtId="2" fillId="22" applyFill="true">
      <alignment horizontal="center" vertical="center"/>
    </xf>
    <xf fontId="3874" applyFont="true" borderId="8" applyBorder="true" applyNumberFormat="true" numFmtId="2" fillId="22" applyFill="true">
      <alignment horizontal="center" vertical="center"/>
    </xf>
    <xf fontId="3875" applyFont="true" borderId="8" applyBorder="true" applyNumberFormat="true" numFmtId="2" fillId="22" applyFill="true">
      <alignment horizontal="center" vertical="center"/>
    </xf>
    <xf fontId="3876" applyFont="true" borderId="8" applyBorder="true" applyNumberFormat="true" numFmtId="2" fillId="22" applyFill="true">
      <alignment horizontal="center" vertical="center"/>
    </xf>
    <xf fontId="3877" applyFont="true" borderId="8" applyBorder="true" applyNumberFormat="true" numFmtId="2" fillId="22" applyFill="true">
      <alignment horizontal="center" vertical="center"/>
    </xf>
    <xf fontId="3878" applyFont="true" borderId="8" applyBorder="true" applyNumberFormat="true" numFmtId="2" fillId="22" applyFill="true">
      <alignment horizontal="center" vertical="center"/>
    </xf>
    <xf fontId="3879" applyFont="true" borderId="8" applyBorder="true" applyNumberFormat="true" numFmtId="2" fillId="22" applyFill="true">
      <alignment horizontal="center" vertical="center"/>
    </xf>
    <xf fontId="3880" applyFont="true" borderId="8" applyBorder="true" applyNumberFormat="true" numFmtId="2" fillId="22" applyFill="true">
      <alignment horizontal="center" vertical="center"/>
    </xf>
    <xf fontId="3881" applyFont="true" borderId="8" applyBorder="true" applyNumberFormat="true" numFmtId="2" fillId="22" applyFill="true">
      <alignment horizontal="center" vertical="center"/>
    </xf>
    <xf fontId="3882" applyFont="true" borderId="8" applyBorder="true" applyNumberFormat="true" numFmtId="2" fillId="22" applyFill="true">
      <alignment horizontal="center" vertical="center"/>
    </xf>
    <xf fontId="3883" applyFont="true" borderId="8" applyBorder="true" applyNumberFormat="true" numFmtId="2" fillId="22" applyFill="true">
      <alignment horizontal="center" vertical="center"/>
    </xf>
    <xf fontId="3884" applyFont="true" borderId="8" applyBorder="true" applyNumberFormat="true" numFmtId="2" fillId="22" applyFill="true">
      <alignment horizontal="center" vertical="center"/>
    </xf>
    <xf fontId="3885" applyFont="true" borderId="8" applyBorder="true" applyNumberFormat="true" numFmtId="2" fillId="22" applyFill="true">
      <alignment horizontal="center" vertical="center"/>
    </xf>
    <xf fontId="3886" applyFont="true" borderId="8" applyBorder="true" applyNumberFormat="true" numFmtId="2" fillId="22" applyFill="true">
      <alignment horizontal="center" vertical="center"/>
    </xf>
    <xf fontId="3887" applyFont="true" borderId="8" applyBorder="true" applyNumberFormat="true" numFmtId="2" fillId="22" applyFill="true">
      <alignment horizontal="center" vertical="center"/>
    </xf>
    <xf fontId="3888" applyFont="true" borderId="8" applyBorder="true" applyNumberFormat="true" numFmtId="2" fillId="22" applyFill="true">
      <alignment horizontal="center" vertical="center"/>
    </xf>
    <xf fontId="3889" applyFont="true" borderId="8" applyBorder="true" applyNumberFormat="true" numFmtId="2" fillId="22" applyFill="true">
      <alignment horizontal="center" vertical="center"/>
    </xf>
    <xf fontId="3890" applyFont="true" borderId="8" applyBorder="true" applyNumberFormat="true" numFmtId="2" fillId="22" applyFill="true">
      <alignment horizontal="center" vertical="center"/>
    </xf>
    <xf fontId="3891" applyFont="true" borderId="8" applyBorder="true" applyNumberFormat="true" numFmtId="2" fillId="22" applyFill="true">
      <alignment horizontal="center" vertical="center"/>
    </xf>
    <xf fontId="3892" applyFont="true" borderId="8" applyBorder="true" applyNumberFormat="true" numFmtId="2" fillId="22" applyFill="true">
      <alignment horizontal="center" vertical="center"/>
    </xf>
    <xf fontId="3893" applyFont="true" borderId="8" applyBorder="true" applyNumberFormat="true" numFmtId="2" fillId="22" applyFill="true">
      <alignment horizontal="center" vertical="center"/>
    </xf>
    <xf fontId="3894" applyFont="true" borderId="8" applyBorder="true" applyNumberFormat="true" numFmtId="2" fillId="22" applyFill="true">
      <alignment horizontal="center" vertical="center"/>
    </xf>
    <xf fontId="3895" applyFont="true" borderId="8" applyBorder="true" applyNumberFormat="true" numFmtId="2" fillId="22" applyFill="true">
      <alignment horizontal="center" vertical="center"/>
    </xf>
    <xf fontId="3896" applyFont="true" borderId="8" applyBorder="true" applyNumberFormat="true" numFmtId="2" fillId="22" applyFill="true">
      <alignment horizontal="center" vertical="center"/>
    </xf>
    <xf fontId="3897" applyFont="true" borderId="8" applyBorder="true" applyNumberFormat="true" numFmtId="2" fillId="22" applyFill="true">
      <alignment horizontal="center" vertical="center"/>
    </xf>
    <xf fontId="3898" applyFont="true" borderId="8" applyBorder="true" applyNumberFormat="true" numFmtId="2" fillId="22" applyFill="true">
      <alignment horizontal="center" vertical="center"/>
    </xf>
    <xf fontId="3899" applyFont="true" borderId="8" applyBorder="true" applyNumberFormat="true" numFmtId="2" fillId="22" applyFill="true">
      <alignment horizontal="center" vertical="center"/>
    </xf>
    <xf fontId="3900" applyFont="true" borderId="8" applyBorder="true" applyNumberFormat="true" numFmtId="2" fillId="22" applyFill="true">
      <alignment horizontal="center" vertical="center"/>
    </xf>
    <xf fontId="3901" applyFont="true" borderId="8" applyBorder="true" applyNumberFormat="true" numFmtId="165" fillId="19" applyFill="true">
      <alignment horizontal="left" vertical="center"/>
    </xf>
    <xf fontId="3902" applyFont="true" borderId="8" applyBorder="true" applyNumberFormat="true" numFmtId="165" fillId="22" applyFill="true">
      <alignment horizontal="center" vertical="center"/>
    </xf>
    <xf fontId="3903" applyFont="true" borderId="8" applyBorder="true" applyNumberFormat="true" numFmtId="166" fillId="22" applyFill="true">
      <alignment horizontal="center" vertical="center"/>
    </xf>
    <xf fontId="3904" applyFont="true" borderId="8" applyBorder="true" applyNumberFormat="true" numFmtId="1" fillId="22" applyFill="true">
      <alignment horizontal="center" vertical="center"/>
    </xf>
    <xf fontId="3905" applyFont="true" borderId="8" applyBorder="true" applyNumberFormat="true" numFmtId="1" fillId="22" applyFill="true">
      <alignment horizontal="center" vertical="center"/>
    </xf>
    <xf fontId="3906" applyFont="true" borderId="8" applyBorder="true" applyNumberFormat="true" numFmtId="1" fillId="22" applyFill="true">
      <alignment horizontal="center" vertical="center"/>
    </xf>
    <xf fontId="3907" applyFont="true" borderId="8" applyBorder="true" applyNumberFormat="true" numFmtId="1" fillId="22" applyFill="true">
      <alignment horizontal="center" vertical="center"/>
    </xf>
    <xf fontId="3908" applyFont="true" borderId="8" applyBorder="true" applyNumberFormat="true" numFmtId="1" fillId="22" applyFill="true">
      <alignment horizontal="center" vertical="center"/>
    </xf>
    <xf fontId="3909" applyFont="true" borderId="8" applyBorder="true" applyNumberFormat="true" numFmtId="1" fillId="22" applyFill="true">
      <alignment horizontal="center" vertical="center"/>
    </xf>
    <xf fontId="3910" applyFont="true" borderId="8" applyBorder="true" applyNumberFormat="true" numFmtId="1" fillId="22" applyFill="true">
      <alignment horizontal="center" vertical="center"/>
    </xf>
    <xf fontId="3911" applyFont="true" borderId="8" applyBorder="true" applyNumberFormat="true" numFmtId="165" fillId="22" applyFill="true">
      <alignment horizontal="center" vertical="center"/>
    </xf>
    <xf fontId="3912" applyFont="true" borderId="8" applyBorder="true" applyNumberFormat="true" numFmtId="165" fillId="22" applyFill="true">
      <alignment horizontal="center" vertical="center"/>
    </xf>
    <xf fontId="3913" applyFont="true" borderId="8" applyBorder="true" applyNumberFormat="true" numFmtId="1" fillId="22" applyFill="true">
      <alignment horizontal="center" vertical="center"/>
    </xf>
    <xf fontId="3914" applyFont="true" borderId="8" applyBorder="true" applyNumberFormat="true" numFmtId="1" fillId="22" applyFill="true">
      <alignment horizontal="center" vertical="center"/>
    </xf>
    <xf fontId="3915" applyFont="true" borderId="8" applyBorder="true" applyNumberFormat="true" numFmtId="1" fillId="22" applyFill="true">
      <alignment horizontal="center" vertical="center"/>
    </xf>
    <xf fontId="3916" applyFont="true" borderId="8" applyBorder="true" applyNumberFormat="true" numFmtId="167" fillId="22" applyFill="true">
      <alignment horizontal="center" vertical="center"/>
    </xf>
    <xf fontId="3917" applyFont="true" borderId="8" applyBorder="true" applyNumberFormat="true" numFmtId="1" fillId="22" applyFill="true">
      <alignment horizontal="center" vertical="center"/>
    </xf>
    <xf fontId="3918" applyFont="true" borderId="8" applyBorder="true" applyNumberFormat="true" numFmtId="167" fillId="22" applyFill="true">
      <alignment horizontal="center" vertical="center"/>
    </xf>
    <xf fontId="3919" applyFont="true" borderId="8" applyBorder="true" applyNumberFormat="true" numFmtId="1" fillId="22" applyFill="true">
      <alignment horizontal="center" vertical="center"/>
    </xf>
    <xf fontId="3920" applyFont="true" borderId="8" applyBorder="true" applyNumberFormat="true" numFmtId="167" fillId="22" applyFill="true">
      <alignment horizontal="center" vertical="center"/>
    </xf>
    <xf fontId="3921" applyFont="true" borderId="8" applyBorder="true" applyNumberFormat="true" numFmtId="1" fillId="22" applyFill="true">
      <alignment horizontal="center" vertical="center"/>
    </xf>
    <xf fontId="3922" applyFont="true" borderId="8" applyBorder="true" applyNumberFormat="true" numFmtId="167" fillId="22" applyFill="true">
      <alignment horizontal="center" vertical="center"/>
    </xf>
    <xf fontId="3923" applyFont="true" borderId="8" applyBorder="true" applyNumberFormat="true" numFmtId="167" fillId="22" applyFill="true">
      <alignment horizontal="center" vertical="center"/>
    </xf>
    <xf fontId="3924" applyFont="true" borderId="8" applyBorder="true" applyNumberFormat="true" numFmtId="1" fillId="22" applyFill="true">
      <alignment horizontal="center" vertical="center"/>
    </xf>
    <xf fontId="3925" applyFont="true" borderId="8" applyBorder="true" applyNumberFormat="true" numFmtId="1" fillId="22" applyFill="true">
      <alignment horizontal="center" vertical="center"/>
    </xf>
    <xf fontId="3926" applyFont="true" borderId="8" applyBorder="true" applyNumberFormat="true" numFmtId="1" fillId="22" applyFill="true">
      <alignment horizontal="center" vertical="center"/>
    </xf>
    <xf fontId="3927" applyFont="true" borderId="8" applyBorder="true" applyNumberFormat="true" numFmtId="167" fillId="22" applyFill="true">
      <alignment horizontal="center" vertical="center"/>
    </xf>
    <xf fontId="3928" applyFont="true" borderId="8" applyBorder="true" applyNumberFormat="true" numFmtId="166" fillId="22" applyFill="true">
      <alignment horizontal="center" vertical="center"/>
    </xf>
    <xf fontId="3929" applyFont="true" borderId="8" applyBorder="true" applyNumberFormat="true" numFmtId="166" fillId="22" applyFill="true">
      <alignment horizontal="center" vertical="center"/>
    </xf>
    <xf fontId="3930" applyFont="true" borderId="8" applyBorder="true" applyNumberFormat="true" numFmtId="1" fillId="22" applyFill="true">
      <alignment horizontal="center" vertical="center"/>
    </xf>
    <xf fontId="3931" applyFont="true" borderId="8" applyBorder="true" applyNumberFormat="true" numFmtId="1" fillId="22" applyFill="true">
      <alignment horizontal="center" vertical="center"/>
    </xf>
    <xf fontId="3932" applyFont="true" borderId="8" applyBorder="true" applyNumberFormat="true" numFmtId="1" fillId="22" applyFill="true">
      <alignment horizontal="center" vertical="center"/>
    </xf>
    <xf fontId="3933" applyFont="true" borderId="8" applyBorder="true" applyNumberFormat="true" numFmtId="167" fillId="22" applyFill="true">
      <alignment horizontal="center" vertical="center"/>
    </xf>
    <xf fontId="3934" applyFont="true" borderId="8" applyBorder="true" applyNumberFormat="true" numFmtId="1" fillId="22" applyFill="true">
      <alignment horizontal="center" vertical="center"/>
    </xf>
    <xf fontId="3935" applyFont="true" borderId="8" applyBorder="true" applyNumberFormat="true" numFmtId="167" fillId="22" applyFill="true">
      <alignment horizontal="center" vertical="center"/>
    </xf>
    <xf fontId="3936" applyFont="true" borderId="8" applyBorder="true" applyNumberFormat="true" numFmtId="1" fillId="22" applyFill="true">
      <alignment horizontal="center" vertical="center"/>
    </xf>
    <xf fontId="3937" applyFont="true" borderId="8" applyBorder="true" applyNumberFormat="true" numFmtId="1" fillId="22" applyFill="true">
      <alignment horizontal="center" vertical="center"/>
    </xf>
    <xf fontId="3938" applyFont="true" borderId="8" applyBorder="true" applyNumberFormat="true" numFmtId="1" fillId="22" applyFill="true">
      <alignment horizontal="center" vertical="center"/>
    </xf>
    <xf fontId="3939" applyFont="true" borderId="8" applyBorder="true" applyNumberFormat="true" numFmtId="1" fillId="22" applyFill="true">
      <alignment horizontal="center" vertical="center"/>
    </xf>
    <xf fontId="3940" applyFont="true" borderId="8" applyBorder="true" applyNumberFormat="true" numFmtId="167" fillId="22" applyFill="true">
      <alignment horizontal="center" vertical="center"/>
    </xf>
    <xf fontId="3941" applyFont="true" borderId="8" applyBorder="true" applyNumberFormat="true" numFmtId="1" fillId="22" applyFill="true">
      <alignment horizontal="center" vertical="center"/>
    </xf>
    <xf fontId="3942" applyFont="true" borderId="8" applyBorder="true" applyNumberFormat="true" numFmtId="167" fillId="22" applyFill="true">
      <alignment horizontal="center" vertical="center"/>
    </xf>
    <xf fontId="3943" applyFont="true" borderId="8" applyBorder="true" applyNumberFormat="true" numFmtId="1" fillId="22" applyFill="true">
      <alignment horizontal="center" vertical="center"/>
    </xf>
    <xf fontId="3944" applyFont="true" borderId="8" applyBorder="true" applyNumberFormat="true" numFmtId="167" fillId="22" applyFill="true">
      <alignment horizontal="center" vertical="center"/>
    </xf>
    <xf fontId="3945" applyFont="true" borderId="8" applyBorder="true" applyNumberFormat="true" numFmtId="2" fillId="22" applyFill="true">
      <alignment horizontal="center" vertical="center"/>
    </xf>
    <xf fontId="3946" applyFont="true" borderId="8" applyBorder="true" applyNumberFormat="true" numFmtId="2" fillId="22" applyFill="true">
      <alignment horizontal="center" vertical="center"/>
    </xf>
    <xf fontId="3947" applyFont="true" borderId="8" applyBorder="true" applyNumberFormat="true" numFmtId="2" fillId="22" applyFill="true">
      <alignment horizontal="center" vertical="center"/>
    </xf>
    <xf fontId="3948" applyFont="true" borderId="8" applyBorder="true" applyNumberFormat="true" numFmtId="2" fillId="22" applyFill="true">
      <alignment horizontal="center" vertical="center"/>
    </xf>
    <xf fontId="3949" applyFont="true" borderId="8" applyBorder="true" applyNumberFormat="true" numFmtId="2" fillId="22" applyFill="true">
      <alignment horizontal="center" vertical="center"/>
    </xf>
    <xf fontId="3950" applyFont="true" borderId="8" applyBorder="true" applyNumberFormat="true" numFmtId="2" fillId="22" applyFill="true">
      <alignment horizontal="center" vertical="center"/>
    </xf>
    <xf fontId="3951" applyFont="true" borderId="8" applyBorder="true" applyNumberFormat="true" numFmtId="2" fillId="22" applyFill="true">
      <alignment horizontal="center" vertical="center"/>
    </xf>
    <xf fontId="3952" applyFont="true" borderId="8" applyBorder="true" applyNumberFormat="true" numFmtId="2" fillId="22" applyFill="true">
      <alignment horizontal="center" vertical="center"/>
    </xf>
    <xf fontId="3953" applyFont="true" borderId="8" applyBorder="true" applyNumberFormat="true" numFmtId="2" fillId="22" applyFill="true">
      <alignment horizontal="center" vertical="center"/>
    </xf>
    <xf fontId="3954" applyFont="true" borderId="8" applyBorder="true" applyNumberFormat="true" numFmtId="2" fillId="22" applyFill="true">
      <alignment horizontal="center" vertical="center"/>
    </xf>
    <xf fontId="3955" applyFont="true" borderId="8" applyBorder="true" applyNumberFormat="true" numFmtId="2" fillId="22" applyFill="true">
      <alignment horizontal="center" vertical="center"/>
    </xf>
    <xf fontId="3956" applyFont="true" borderId="8" applyBorder="true" applyNumberFormat="true" numFmtId="2" fillId="22" applyFill="true">
      <alignment horizontal="center" vertical="center"/>
    </xf>
    <xf fontId="3957" applyFont="true" borderId="8" applyBorder="true" applyNumberFormat="true" numFmtId="2" fillId="22" applyFill="true">
      <alignment horizontal="center" vertical="center"/>
    </xf>
    <xf fontId="3958" applyFont="true" borderId="8" applyBorder="true" applyNumberFormat="true" numFmtId="2" fillId="22" applyFill="true">
      <alignment horizontal="center" vertical="center"/>
    </xf>
    <xf fontId="3959" applyFont="true" borderId="8" applyBorder="true" applyNumberFormat="true" numFmtId="2" fillId="22" applyFill="true">
      <alignment horizontal="center" vertical="center"/>
    </xf>
    <xf fontId="3960" applyFont="true" borderId="8" applyBorder="true" applyNumberFormat="true" numFmtId="2" fillId="22" applyFill="true">
      <alignment horizontal="center" vertical="center"/>
    </xf>
    <xf fontId="3961" applyFont="true" borderId="8" applyBorder="true" applyNumberFormat="true" numFmtId="2" fillId="22" applyFill="true">
      <alignment horizontal="center" vertical="center"/>
    </xf>
    <xf fontId="3962" applyFont="true" borderId="8" applyBorder="true" applyNumberFormat="true" numFmtId="2" fillId="22" applyFill="true">
      <alignment horizontal="center" vertical="center"/>
    </xf>
    <xf fontId="3963" applyFont="true" borderId="8" applyBorder="true" applyNumberFormat="true" numFmtId="2" fillId="22" applyFill="true">
      <alignment horizontal="center" vertical="center"/>
    </xf>
    <xf fontId="3964" applyFont="true" borderId="8" applyBorder="true" applyNumberFormat="true" numFmtId="2" fillId="22" applyFill="true">
      <alignment horizontal="center" vertical="center"/>
    </xf>
    <xf fontId="3965" applyFont="true" borderId="8" applyBorder="true" applyNumberFormat="true" numFmtId="2" fillId="22" applyFill="true">
      <alignment horizontal="center" vertical="center"/>
    </xf>
    <xf fontId="3966" applyFont="true" borderId="8" applyBorder="true" applyNumberFormat="true" numFmtId="2" fillId="22" applyFill="true">
      <alignment horizontal="center" vertical="center"/>
    </xf>
    <xf fontId="3967" applyFont="true" borderId="8" applyBorder="true" applyNumberFormat="true" numFmtId="2" fillId="22" applyFill="true">
      <alignment horizontal="center" vertical="center"/>
    </xf>
    <xf fontId="3968" applyFont="true" borderId="8" applyBorder="true" applyNumberFormat="true" numFmtId="2" fillId="22" applyFill="true">
      <alignment horizontal="center" vertical="center"/>
    </xf>
    <xf fontId="3969" applyFont="true" borderId="8" applyBorder="true" applyNumberFormat="true" numFmtId="2" fillId="22" applyFill="true">
      <alignment horizontal="center" vertical="center"/>
    </xf>
    <xf fontId="3970" applyFont="true" borderId="8" applyBorder="true" applyNumberFormat="true" numFmtId="2" fillId="22" applyFill="true">
      <alignment horizontal="center" vertical="center"/>
    </xf>
    <xf fontId="3971" applyFont="true" borderId="8" applyBorder="true" applyNumberFormat="true" numFmtId="2" fillId="22" applyFill="true">
      <alignment horizontal="center" vertical="center"/>
    </xf>
    <xf fontId="3972" applyFont="true" borderId="8" applyBorder="true" applyNumberFormat="true" numFmtId="2" fillId="22" applyFill="true">
      <alignment horizontal="center" vertical="center"/>
    </xf>
    <xf fontId="3973" applyFont="true" borderId="8" applyBorder="true" applyNumberFormat="true" numFmtId="2" fillId="22" applyFill="true">
      <alignment horizontal="center" vertical="center"/>
    </xf>
    <xf fontId="3974" applyFont="true" borderId="8" applyBorder="true" applyNumberFormat="true" numFmtId="2" fillId="22" applyFill="true">
      <alignment horizontal="center" vertical="center"/>
    </xf>
    <xf fontId="3975" applyFont="true" borderId="8" applyBorder="true" applyNumberFormat="true" numFmtId="2" fillId="22" applyFill="true">
      <alignment horizontal="center" vertical="center"/>
    </xf>
    <xf fontId="3976" applyFont="true" borderId="8" applyBorder="true" applyNumberFormat="true" numFmtId="2" fillId="22" applyFill="true">
      <alignment horizontal="center" vertical="center"/>
    </xf>
    <xf fontId="3977" applyFont="true" borderId="8" applyBorder="true" applyNumberFormat="true" numFmtId="2" fillId="22" applyFill="true">
      <alignment horizontal="center" vertical="center"/>
    </xf>
    <xf fontId="3978" applyFont="true" borderId="8" applyBorder="true" applyNumberFormat="true" numFmtId="2" fillId="22" applyFill="true">
      <alignment horizontal="center" vertical="center"/>
    </xf>
    <xf fontId="3979" applyFont="true" borderId="8" applyBorder="true" applyNumberFormat="true" numFmtId="165" fillId="19" applyFill="true">
      <alignment horizontal="left" vertical="center"/>
    </xf>
    <xf fontId="3980" applyFont="true" borderId="8" applyBorder="true" applyNumberFormat="true" numFmtId="165" fillId="22" applyFill="true">
      <alignment horizontal="center" vertical="center"/>
    </xf>
    <xf fontId="3981" applyFont="true" borderId="8" applyBorder="true" applyNumberFormat="true" numFmtId="166" fillId="22" applyFill="true">
      <alignment horizontal="center" vertical="center"/>
    </xf>
    <xf fontId="3982" applyFont="true" borderId="8" applyBorder="true" applyNumberFormat="true" numFmtId="1" fillId="22" applyFill="true">
      <alignment horizontal="center" vertical="center"/>
    </xf>
    <xf fontId="3983" applyFont="true" borderId="8" applyBorder="true" applyNumberFormat="true" numFmtId="1" fillId="22" applyFill="true">
      <alignment horizontal="center" vertical="center"/>
    </xf>
    <xf fontId="3984" applyFont="true" borderId="8" applyBorder="true" applyNumberFormat="true" numFmtId="1" fillId="22" applyFill="true">
      <alignment horizontal="center" vertical="center"/>
    </xf>
    <xf fontId="3985" applyFont="true" borderId="8" applyBorder="true" applyNumberFormat="true" numFmtId="1" fillId="22" applyFill="true">
      <alignment horizontal="center" vertical="center"/>
    </xf>
    <xf fontId="3986" applyFont="true" borderId="8" applyBorder="true" applyNumberFormat="true" numFmtId="1" fillId="22" applyFill="true">
      <alignment horizontal="center" vertical="center"/>
    </xf>
    <xf fontId="3987" applyFont="true" borderId="8" applyBorder="true" applyNumberFormat="true" numFmtId="1" fillId="22" applyFill="true">
      <alignment horizontal="center" vertical="center"/>
    </xf>
    <xf fontId="3988" applyFont="true" borderId="8" applyBorder="true" applyNumberFormat="true" numFmtId="1" fillId="22" applyFill="true">
      <alignment horizontal="center" vertical="center"/>
    </xf>
    <xf fontId="3989" applyFont="true" borderId="8" applyBorder="true" applyNumberFormat="true" numFmtId="165" fillId="22" applyFill="true">
      <alignment horizontal="center" vertical="center"/>
    </xf>
    <xf fontId="3990" applyFont="true" borderId="8" applyBorder="true" applyNumberFormat="true" numFmtId="165" fillId="22" applyFill="true">
      <alignment horizontal="center" vertical="center"/>
    </xf>
    <xf fontId="3991" applyFont="true" borderId="8" applyBorder="true" applyNumberFormat="true" numFmtId="1" fillId="22" applyFill="true">
      <alignment horizontal="center" vertical="center"/>
    </xf>
    <xf fontId="3992" applyFont="true" borderId="8" applyBorder="true" applyNumberFormat="true" numFmtId="1" fillId="22" applyFill="true">
      <alignment horizontal="center" vertical="center"/>
    </xf>
    <xf fontId="3993" applyFont="true" borderId="8" applyBorder="true" applyNumberFormat="true" numFmtId="1" fillId="22" applyFill="true">
      <alignment horizontal="center" vertical="center"/>
    </xf>
    <xf fontId="3994" applyFont="true" borderId="8" applyBorder="true" applyNumberFormat="true" numFmtId="167" fillId="22" applyFill="true">
      <alignment horizontal="center" vertical="center"/>
    </xf>
    <xf fontId="3995" applyFont="true" borderId="8" applyBorder="true" applyNumberFormat="true" numFmtId="1" fillId="22" applyFill="true">
      <alignment horizontal="center" vertical="center"/>
    </xf>
    <xf fontId="3996" applyFont="true" borderId="8" applyBorder="true" applyNumberFormat="true" numFmtId="167" fillId="22" applyFill="true">
      <alignment horizontal="center" vertical="center"/>
    </xf>
    <xf fontId="3997" applyFont="true" borderId="8" applyBorder="true" applyNumberFormat="true" numFmtId="1" fillId="22" applyFill="true">
      <alignment horizontal="center" vertical="center"/>
    </xf>
    <xf fontId="3998" applyFont="true" borderId="8" applyBorder="true" applyNumberFormat="true" numFmtId="167" fillId="22" applyFill="true">
      <alignment horizontal="center" vertical="center"/>
    </xf>
    <xf fontId="3999" applyFont="true" borderId="8" applyBorder="true" applyNumberFormat="true" numFmtId="1" fillId="22" applyFill="true">
      <alignment horizontal="center" vertical="center"/>
    </xf>
    <xf fontId="4000" applyFont="true" borderId="8" applyBorder="true" applyNumberFormat="true" numFmtId="167" fillId="22" applyFill="true">
      <alignment horizontal="center" vertical="center"/>
    </xf>
    <xf fontId="4001" applyFont="true" borderId="8" applyBorder="true" applyNumberFormat="true" numFmtId="167" fillId="22" applyFill="true">
      <alignment horizontal="center" vertical="center"/>
    </xf>
    <xf fontId="4002" applyFont="true" borderId="8" applyBorder="true" applyNumberFormat="true" numFmtId="1" fillId="22" applyFill="true">
      <alignment horizontal="center" vertical="center"/>
    </xf>
    <xf fontId="4003" applyFont="true" borderId="8" applyBorder="true" applyNumberFormat="true" numFmtId="1" fillId="22" applyFill="true">
      <alignment horizontal="center" vertical="center"/>
    </xf>
    <xf fontId="4004" applyFont="true" borderId="8" applyBorder="true" applyNumberFormat="true" numFmtId="1" fillId="22" applyFill="true">
      <alignment horizontal="center" vertical="center"/>
    </xf>
    <xf fontId="4005" applyFont="true" borderId="8" applyBorder="true" applyNumberFormat="true" numFmtId="167" fillId="22" applyFill="true">
      <alignment horizontal="center" vertical="center"/>
    </xf>
    <xf fontId="4006" applyFont="true" borderId="8" applyBorder="true" applyNumberFormat="true" numFmtId="166" fillId="22" applyFill="true">
      <alignment horizontal="center" vertical="center"/>
    </xf>
    <xf fontId="4007" applyFont="true" borderId="8" applyBorder="true" applyNumberFormat="true" numFmtId="166" fillId="22" applyFill="true">
      <alignment horizontal="center" vertical="center"/>
    </xf>
    <xf fontId="4008" applyFont="true" borderId="8" applyBorder="true" applyNumberFormat="true" numFmtId="1" fillId="22" applyFill="true">
      <alignment horizontal="center" vertical="center"/>
    </xf>
    <xf fontId="4009" applyFont="true" borderId="8" applyBorder="true" applyNumberFormat="true" numFmtId="1" fillId="22" applyFill="true">
      <alignment horizontal="center" vertical="center"/>
    </xf>
    <xf fontId="4010" applyFont="true" borderId="8" applyBorder="true" applyNumberFormat="true" numFmtId="1" fillId="22" applyFill="true">
      <alignment horizontal="center" vertical="center"/>
    </xf>
    <xf fontId="4011" applyFont="true" borderId="8" applyBorder="true" applyNumberFormat="true" numFmtId="167" fillId="22" applyFill="true">
      <alignment horizontal="center" vertical="center"/>
    </xf>
    <xf fontId="4012" applyFont="true" borderId="8" applyBorder="true" applyNumberFormat="true" numFmtId="1" fillId="22" applyFill="true">
      <alignment horizontal="center" vertical="center"/>
    </xf>
    <xf fontId="4013" applyFont="true" borderId="8" applyBorder="true" applyNumberFormat="true" numFmtId="167" fillId="22" applyFill="true">
      <alignment horizontal="center" vertical="center"/>
    </xf>
    <xf fontId="4014" applyFont="true" borderId="8" applyBorder="true" applyNumberFormat="true" numFmtId="1" fillId="22" applyFill="true">
      <alignment horizontal="center" vertical="center"/>
    </xf>
    <xf fontId="4015" applyFont="true" borderId="8" applyBorder="true" applyNumberFormat="true" numFmtId="1" fillId="22" applyFill="true">
      <alignment horizontal="center" vertical="center"/>
    </xf>
    <xf fontId="4016" applyFont="true" borderId="8" applyBorder="true" applyNumberFormat="true" numFmtId="1" fillId="22" applyFill="true">
      <alignment horizontal="center" vertical="center"/>
    </xf>
    <xf fontId="4017" applyFont="true" borderId="8" applyBorder="true" applyNumberFormat="true" numFmtId="1" fillId="22" applyFill="true">
      <alignment horizontal="center" vertical="center"/>
    </xf>
    <xf fontId="4018" applyFont="true" borderId="8" applyBorder="true" applyNumberFormat="true" numFmtId="167" fillId="22" applyFill="true">
      <alignment horizontal="center" vertical="center"/>
    </xf>
    <xf fontId="4019" applyFont="true" borderId="8" applyBorder="true" applyNumberFormat="true" numFmtId="1" fillId="22" applyFill="true">
      <alignment horizontal="center" vertical="center"/>
    </xf>
    <xf fontId="4020" applyFont="true" borderId="8" applyBorder="true" applyNumberFormat="true" numFmtId="167" fillId="22" applyFill="true">
      <alignment horizontal="center" vertical="center"/>
    </xf>
    <xf fontId="4021" applyFont="true" borderId="8" applyBorder="true" applyNumberFormat="true" numFmtId="1" fillId="22" applyFill="true">
      <alignment horizontal="center" vertical="center"/>
    </xf>
    <xf fontId="4022" applyFont="true" borderId="8" applyBorder="true" applyNumberFormat="true" numFmtId="167" fillId="22" applyFill="true">
      <alignment horizontal="center" vertical="center"/>
    </xf>
    <xf fontId="4023" applyFont="true" borderId="8" applyBorder="true" applyNumberFormat="true" numFmtId="2" fillId="22" applyFill="true">
      <alignment horizontal="center" vertical="center"/>
    </xf>
    <xf fontId="4024" applyFont="true" borderId="8" applyBorder="true" applyNumberFormat="true" numFmtId="2" fillId="22" applyFill="true">
      <alignment horizontal="center" vertical="center"/>
    </xf>
    <xf fontId="4025" applyFont="true" borderId="8" applyBorder="true" applyNumberFormat="true" numFmtId="2" fillId="22" applyFill="true">
      <alignment horizontal="center" vertical="center"/>
    </xf>
    <xf fontId="4026" applyFont="true" borderId="8" applyBorder="true" applyNumberFormat="true" numFmtId="2" fillId="22" applyFill="true">
      <alignment horizontal="center" vertical="center"/>
    </xf>
    <xf fontId="4027" applyFont="true" borderId="8" applyBorder="true" applyNumberFormat="true" numFmtId="2" fillId="22" applyFill="true">
      <alignment horizontal="center" vertical="center"/>
    </xf>
    <xf fontId="4028" applyFont="true" borderId="8" applyBorder="true" applyNumberFormat="true" numFmtId="2" fillId="22" applyFill="true">
      <alignment horizontal="center" vertical="center"/>
    </xf>
    <xf fontId="4029" applyFont="true" borderId="8" applyBorder="true" applyNumberFormat="true" numFmtId="2" fillId="22" applyFill="true">
      <alignment horizontal="center" vertical="center"/>
    </xf>
    <xf fontId="4030" applyFont="true" borderId="8" applyBorder="true" applyNumberFormat="true" numFmtId="2" fillId="22" applyFill="true">
      <alignment horizontal="center" vertical="center"/>
    </xf>
    <xf fontId="4031" applyFont="true" borderId="8" applyBorder="true" applyNumberFormat="true" numFmtId="2" fillId="22" applyFill="true">
      <alignment horizontal="center" vertical="center"/>
    </xf>
    <xf fontId="4032" applyFont="true" borderId="8" applyBorder="true" applyNumberFormat="true" numFmtId="2" fillId="22" applyFill="true">
      <alignment horizontal="center" vertical="center"/>
    </xf>
    <xf fontId="4033" applyFont="true" borderId="8" applyBorder="true" applyNumberFormat="true" numFmtId="2" fillId="22" applyFill="true">
      <alignment horizontal="center" vertical="center"/>
    </xf>
    <xf fontId="4034" applyFont="true" borderId="8" applyBorder="true" applyNumberFormat="true" numFmtId="2" fillId="22" applyFill="true">
      <alignment horizontal="center" vertical="center"/>
    </xf>
    <xf fontId="4035" applyFont="true" borderId="8" applyBorder="true" applyNumberFormat="true" numFmtId="2" fillId="22" applyFill="true">
      <alignment horizontal="center" vertical="center"/>
    </xf>
    <xf fontId="4036" applyFont="true" borderId="8" applyBorder="true" applyNumberFormat="true" numFmtId="2" fillId="22" applyFill="true">
      <alignment horizontal="center" vertical="center"/>
    </xf>
    <xf fontId="4037" applyFont="true" borderId="8" applyBorder="true" applyNumberFormat="true" numFmtId="2" fillId="22" applyFill="true">
      <alignment horizontal="center" vertical="center"/>
    </xf>
    <xf fontId="4038" applyFont="true" borderId="8" applyBorder="true" applyNumberFormat="true" numFmtId="2" fillId="22" applyFill="true">
      <alignment horizontal="center" vertical="center"/>
    </xf>
    <xf fontId="4039" applyFont="true" borderId="8" applyBorder="true" applyNumberFormat="true" numFmtId="2" fillId="22" applyFill="true">
      <alignment horizontal="center" vertical="center"/>
    </xf>
    <xf fontId="4040" applyFont="true" borderId="8" applyBorder="true" applyNumberFormat="true" numFmtId="2" fillId="22" applyFill="true">
      <alignment horizontal="center" vertical="center"/>
    </xf>
    <xf fontId="4041" applyFont="true" borderId="8" applyBorder="true" applyNumberFormat="true" numFmtId="2" fillId="22" applyFill="true">
      <alignment horizontal="center" vertical="center"/>
    </xf>
    <xf fontId="4042" applyFont="true" borderId="8" applyBorder="true" applyNumberFormat="true" numFmtId="2" fillId="22" applyFill="true">
      <alignment horizontal="center" vertical="center"/>
    </xf>
    <xf fontId="4043" applyFont="true" borderId="8" applyBorder="true" applyNumberFormat="true" numFmtId="2" fillId="22" applyFill="true">
      <alignment horizontal="center" vertical="center"/>
    </xf>
    <xf fontId="4044" applyFont="true" borderId="8" applyBorder="true" applyNumberFormat="true" numFmtId="2" fillId="22" applyFill="true">
      <alignment horizontal="center" vertical="center"/>
    </xf>
    <xf fontId="4045" applyFont="true" borderId="8" applyBorder="true" applyNumberFormat="true" numFmtId="2" fillId="22" applyFill="true">
      <alignment horizontal="center" vertical="center"/>
    </xf>
    <xf fontId="4046" applyFont="true" borderId="8" applyBorder="true" applyNumberFormat="true" numFmtId="2" fillId="22" applyFill="true">
      <alignment horizontal="center" vertical="center"/>
    </xf>
    <xf fontId="4047" applyFont="true" borderId="8" applyBorder="true" applyNumberFormat="true" numFmtId="2" fillId="22" applyFill="true">
      <alignment horizontal="center" vertical="center"/>
    </xf>
    <xf fontId="4048" applyFont="true" borderId="8" applyBorder="true" applyNumberFormat="true" numFmtId="2" fillId="22" applyFill="true">
      <alignment horizontal="center" vertical="center"/>
    </xf>
    <xf fontId="4049" applyFont="true" borderId="8" applyBorder="true" applyNumberFormat="true" numFmtId="2" fillId="22" applyFill="true">
      <alignment horizontal="center" vertical="center"/>
    </xf>
    <xf fontId="4050" applyFont="true" borderId="8" applyBorder="true" applyNumberFormat="true" numFmtId="2" fillId="22" applyFill="true">
      <alignment horizontal="center" vertical="center"/>
    </xf>
    <xf fontId="4051" applyFont="true" borderId="8" applyBorder="true" applyNumberFormat="true" numFmtId="2" fillId="22" applyFill="true">
      <alignment horizontal="center" vertical="center"/>
    </xf>
    <xf fontId="4052" applyFont="true" borderId="8" applyBorder="true" applyNumberFormat="true" numFmtId="2" fillId="22" applyFill="true">
      <alignment horizontal="center" vertical="center"/>
    </xf>
    <xf fontId="4053" applyFont="true" borderId="8" applyBorder="true" applyNumberFormat="true" numFmtId="2" fillId="22" applyFill="true">
      <alignment horizontal="center" vertical="center"/>
    </xf>
    <xf fontId="4054" applyFont="true" borderId="8" applyBorder="true" applyNumberFormat="true" numFmtId="2" fillId="22" applyFill="true">
      <alignment horizontal="center" vertical="center"/>
    </xf>
    <xf fontId="4055" applyFont="true" borderId="8" applyBorder="true" applyNumberFormat="true" numFmtId="2" fillId="22" applyFill="true">
      <alignment horizontal="center" vertical="center"/>
    </xf>
    <xf fontId="4056" applyFont="true" borderId="8" applyBorder="true" applyNumberFormat="true" numFmtId="2" fillId="22" applyFill="true">
      <alignment horizontal="center" vertical="center"/>
    </xf>
    <xf fontId="4057" applyFont="true" borderId="8" applyBorder="true" applyNumberFormat="true" numFmtId="165" fillId="19" applyFill="true">
      <alignment horizontal="left" vertical="center"/>
    </xf>
    <xf fontId="4058" applyFont="true" borderId="8" applyBorder="true" applyNumberFormat="true" numFmtId="165" fillId="22" applyFill="true">
      <alignment horizontal="center" vertical="center"/>
    </xf>
    <xf fontId="4059" applyFont="true" borderId="8" applyBorder="true" applyNumberFormat="true" numFmtId="166" fillId="22" applyFill="true">
      <alignment horizontal="center" vertical="center"/>
    </xf>
    <xf fontId="4060" applyFont="true" borderId="8" applyBorder="true" applyNumberFormat="true" numFmtId="1" fillId="22" applyFill="true">
      <alignment horizontal="center" vertical="center"/>
    </xf>
    <xf fontId="4061" applyFont="true" borderId="8" applyBorder="true" applyNumberFormat="true" numFmtId="1" fillId="22" applyFill="true">
      <alignment horizontal="center" vertical="center"/>
    </xf>
    <xf fontId="4062" applyFont="true" borderId="8" applyBorder="true" applyNumberFormat="true" numFmtId="1" fillId="22" applyFill="true">
      <alignment horizontal="center" vertical="center"/>
    </xf>
    <xf fontId="4063" applyFont="true" borderId="8" applyBorder="true" applyNumberFormat="true" numFmtId="1" fillId="22" applyFill="true">
      <alignment horizontal="center" vertical="center"/>
    </xf>
    <xf fontId="4064" applyFont="true" borderId="8" applyBorder="true" applyNumberFormat="true" numFmtId="1" fillId="22" applyFill="true">
      <alignment horizontal="center" vertical="center"/>
    </xf>
    <xf fontId="4065" applyFont="true" borderId="8" applyBorder="true" applyNumberFormat="true" numFmtId="1" fillId="22" applyFill="true">
      <alignment horizontal="center" vertical="center"/>
    </xf>
    <xf fontId="4066" applyFont="true" borderId="8" applyBorder="true" applyNumberFormat="true" numFmtId="1" fillId="22" applyFill="true">
      <alignment horizontal="center" vertical="center"/>
    </xf>
    <xf fontId="4067" applyFont="true" borderId="8" applyBorder="true" applyNumberFormat="true" numFmtId="165" fillId="22" applyFill="true">
      <alignment horizontal="center" vertical="center"/>
    </xf>
    <xf fontId="4068" applyFont="true" borderId="8" applyBorder="true" applyNumberFormat="true" numFmtId="165" fillId="22" applyFill="true">
      <alignment horizontal="center" vertical="center"/>
    </xf>
    <xf fontId="4069" applyFont="true" borderId="8" applyBorder="true" applyNumberFormat="true" numFmtId="1" fillId="22" applyFill="true">
      <alignment horizontal="center" vertical="center"/>
    </xf>
    <xf fontId="4070" applyFont="true" borderId="8" applyBorder="true" applyNumberFormat="true" numFmtId="1" fillId="22" applyFill="true">
      <alignment horizontal="center" vertical="center"/>
    </xf>
    <xf fontId="4071" applyFont="true" borderId="8" applyBorder="true" applyNumberFormat="true" numFmtId="1" fillId="22" applyFill="true">
      <alignment horizontal="center" vertical="center"/>
    </xf>
    <xf fontId="4072" applyFont="true" borderId="8" applyBorder="true" applyNumberFormat="true" numFmtId="167" fillId="22" applyFill="true">
      <alignment horizontal="center" vertical="center"/>
    </xf>
    <xf fontId="4073" applyFont="true" borderId="8" applyBorder="true" applyNumberFormat="true" numFmtId="1" fillId="22" applyFill="true">
      <alignment horizontal="center" vertical="center"/>
    </xf>
    <xf fontId="4074" applyFont="true" borderId="8" applyBorder="true" applyNumberFormat="true" numFmtId="167" fillId="22" applyFill="true">
      <alignment horizontal="center" vertical="center"/>
    </xf>
    <xf fontId="4075" applyFont="true" borderId="8" applyBorder="true" applyNumberFormat="true" numFmtId="1" fillId="22" applyFill="true">
      <alignment horizontal="center" vertical="center"/>
    </xf>
    <xf fontId="4076" applyFont="true" borderId="8" applyBorder="true" applyNumberFormat="true" numFmtId="167" fillId="22" applyFill="true">
      <alignment horizontal="center" vertical="center"/>
    </xf>
    <xf fontId="4077" applyFont="true" borderId="8" applyBorder="true" applyNumberFormat="true" numFmtId="1" fillId="22" applyFill="true">
      <alignment horizontal="center" vertical="center"/>
    </xf>
    <xf fontId="4078" applyFont="true" borderId="8" applyBorder="true" applyNumberFormat="true" numFmtId="167" fillId="22" applyFill="true">
      <alignment horizontal="center" vertical="center"/>
    </xf>
    <xf fontId="4079" applyFont="true" borderId="8" applyBorder="true" applyNumberFormat="true" numFmtId="167" fillId="22" applyFill="true">
      <alignment horizontal="center" vertical="center"/>
    </xf>
    <xf fontId="4080" applyFont="true" borderId="8" applyBorder="true" applyNumberFormat="true" numFmtId="1" fillId="22" applyFill="true">
      <alignment horizontal="center" vertical="center"/>
    </xf>
    <xf fontId="4081" applyFont="true" borderId="8" applyBorder="true" applyNumberFormat="true" numFmtId="1" fillId="22" applyFill="true">
      <alignment horizontal="center" vertical="center"/>
    </xf>
    <xf fontId="4082" applyFont="true" borderId="8" applyBorder="true" applyNumberFormat="true" numFmtId="1" fillId="22" applyFill="true">
      <alignment horizontal="center" vertical="center"/>
    </xf>
    <xf fontId="4083" applyFont="true" borderId="8" applyBorder="true" applyNumberFormat="true" numFmtId="167" fillId="22" applyFill="true">
      <alignment horizontal="center" vertical="center"/>
    </xf>
    <xf fontId="4084" applyFont="true" borderId="8" applyBorder="true" applyNumberFormat="true" numFmtId="166" fillId="22" applyFill="true">
      <alignment horizontal="center" vertical="center"/>
    </xf>
    <xf fontId="4085" applyFont="true" borderId="8" applyBorder="true" applyNumberFormat="true" numFmtId="166" fillId="22" applyFill="true">
      <alignment horizontal="center" vertical="center"/>
    </xf>
    <xf fontId="4086" applyFont="true" borderId="8" applyBorder="true" applyNumberFormat="true" numFmtId="1" fillId="22" applyFill="true">
      <alignment horizontal="center" vertical="center"/>
    </xf>
    <xf fontId="4087" applyFont="true" borderId="8" applyBorder="true" applyNumberFormat="true" numFmtId="1" fillId="22" applyFill="true">
      <alignment horizontal="center" vertical="center"/>
    </xf>
    <xf fontId="4088" applyFont="true" borderId="8" applyBorder="true" applyNumberFormat="true" numFmtId="1" fillId="22" applyFill="true">
      <alignment horizontal="center" vertical="center"/>
    </xf>
    <xf fontId="4089" applyFont="true" borderId="8" applyBorder="true" applyNumberFormat="true" numFmtId="167" fillId="22" applyFill="true">
      <alignment horizontal="center" vertical="center"/>
    </xf>
    <xf fontId="4090" applyFont="true" borderId="8" applyBorder="true" applyNumberFormat="true" numFmtId="1" fillId="22" applyFill="true">
      <alignment horizontal="center" vertical="center"/>
    </xf>
    <xf fontId="4091" applyFont="true" borderId="8" applyBorder="true" applyNumberFormat="true" numFmtId="167" fillId="22" applyFill="true">
      <alignment horizontal="center" vertical="center"/>
    </xf>
    <xf fontId="4092" applyFont="true" borderId="8" applyBorder="true" applyNumberFormat="true" numFmtId="1" fillId="22" applyFill="true">
      <alignment horizontal="center" vertical="center"/>
    </xf>
    <xf fontId="4093" applyFont="true" borderId="8" applyBorder="true" applyNumberFormat="true" numFmtId="1" fillId="22" applyFill="true">
      <alignment horizontal="center" vertical="center"/>
    </xf>
    <xf fontId="4094" applyFont="true" borderId="8" applyBorder="true" applyNumberFormat="true" numFmtId="1" fillId="22" applyFill="true">
      <alignment horizontal="center" vertical="center"/>
    </xf>
    <xf fontId="4095" applyFont="true" borderId="8" applyBorder="true" applyNumberFormat="true" numFmtId="1" fillId="22" applyFill="true">
      <alignment horizontal="center" vertical="center"/>
    </xf>
    <xf fontId="4096" applyFont="true" borderId="8" applyBorder="true" applyNumberFormat="true" numFmtId="167" fillId="22" applyFill="true">
      <alignment horizontal="center" vertical="center"/>
    </xf>
    <xf fontId="4097" applyFont="true" borderId="8" applyBorder="true" applyNumberFormat="true" numFmtId="1" fillId="22" applyFill="true">
      <alignment horizontal="center" vertical="center"/>
    </xf>
    <xf fontId="4098" applyFont="true" borderId="8" applyBorder="true" applyNumberFormat="true" numFmtId="167" fillId="22" applyFill="true">
      <alignment horizontal="center" vertical="center"/>
    </xf>
    <xf fontId="4099" applyFont="true" borderId="8" applyBorder="true" applyNumberFormat="true" numFmtId="1" fillId="22" applyFill="true">
      <alignment horizontal="center" vertical="center"/>
    </xf>
    <xf fontId="4100" applyFont="true" borderId="8" applyBorder="true" applyNumberFormat="true" numFmtId="167" fillId="22" applyFill="true">
      <alignment horizontal="center" vertical="center"/>
    </xf>
    <xf fontId="4101" applyFont="true" borderId="8" applyBorder="true" applyNumberFormat="true" numFmtId="2" fillId="22" applyFill="true">
      <alignment horizontal="center" vertical="center"/>
    </xf>
    <xf fontId="4102" applyFont="true" borderId="8" applyBorder="true" applyNumberFormat="true" numFmtId="2" fillId="22" applyFill="true">
      <alignment horizontal="center" vertical="center"/>
    </xf>
    <xf fontId="4103" applyFont="true" borderId="8" applyBorder="true" applyNumberFormat="true" numFmtId="2" fillId="22" applyFill="true">
      <alignment horizontal="center" vertical="center"/>
    </xf>
    <xf fontId="4104" applyFont="true" borderId="8" applyBorder="true" applyNumberFormat="true" numFmtId="2" fillId="22" applyFill="true">
      <alignment horizontal="center" vertical="center"/>
    </xf>
    <xf fontId="4105" applyFont="true" borderId="8" applyBorder="true" applyNumberFormat="true" numFmtId="2" fillId="22" applyFill="true">
      <alignment horizontal="center" vertical="center"/>
    </xf>
    <xf fontId="4106" applyFont="true" borderId="8" applyBorder="true" applyNumberFormat="true" numFmtId="2" fillId="22" applyFill="true">
      <alignment horizontal="center" vertical="center"/>
    </xf>
    <xf fontId="4107" applyFont="true" borderId="8" applyBorder="true" applyNumberFormat="true" numFmtId="2" fillId="22" applyFill="true">
      <alignment horizontal="center" vertical="center"/>
    </xf>
    <xf fontId="4108" applyFont="true" borderId="8" applyBorder="true" applyNumberFormat="true" numFmtId="2" fillId="22" applyFill="true">
      <alignment horizontal="center" vertical="center"/>
    </xf>
    <xf fontId="4109" applyFont="true" borderId="8" applyBorder="true" applyNumberFormat="true" numFmtId="2" fillId="22" applyFill="true">
      <alignment horizontal="center" vertical="center"/>
    </xf>
    <xf fontId="4110" applyFont="true" borderId="8" applyBorder="true" applyNumberFormat="true" numFmtId="2" fillId="22" applyFill="true">
      <alignment horizontal="center" vertical="center"/>
    </xf>
    <xf fontId="4111" applyFont="true" borderId="8" applyBorder="true" applyNumberFormat="true" numFmtId="2" fillId="22" applyFill="true">
      <alignment horizontal="center" vertical="center"/>
    </xf>
    <xf fontId="4112" applyFont="true" borderId="8" applyBorder="true" applyNumberFormat="true" numFmtId="2" fillId="22" applyFill="true">
      <alignment horizontal="center" vertical="center"/>
    </xf>
    <xf fontId="4113" applyFont="true" borderId="8" applyBorder="true" applyNumberFormat="true" numFmtId="2" fillId="22" applyFill="true">
      <alignment horizontal="center" vertical="center"/>
    </xf>
    <xf fontId="4114" applyFont="true" borderId="8" applyBorder="true" applyNumberFormat="true" numFmtId="2" fillId="22" applyFill="true">
      <alignment horizontal="center" vertical="center"/>
    </xf>
    <xf fontId="4115" applyFont="true" borderId="8" applyBorder="true" applyNumberFormat="true" numFmtId="2" fillId="22" applyFill="true">
      <alignment horizontal="center" vertical="center"/>
    </xf>
    <xf fontId="4116" applyFont="true" borderId="8" applyBorder="true" applyNumberFormat="true" numFmtId="2" fillId="22" applyFill="true">
      <alignment horizontal="center" vertical="center"/>
    </xf>
    <xf fontId="4117" applyFont="true" borderId="8" applyBorder="true" applyNumberFormat="true" numFmtId="2" fillId="22" applyFill="true">
      <alignment horizontal="center" vertical="center"/>
    </xf>
    <xf fontId="4118" applyFont="true" borderId="8" applyBorder="true" applyNumberFormat="true" numFmtId="2" fillId="22" applyFill="true">
      <alignment horizontal="center" vertical="center"/>
    </xf>
    <xf fontId="4119" applyFont="true" borderId="8" applyBorder="true" applyNumberFormat="true" numFmtId="2" fillId="22" applyFill="true">
      <alignment horizontal="center" vertical="center"/>
    </xf>
    <xf fontId="4120" applyFont="true" borderId="8" applyBorder="true" applyNumberFormat="true" numFmtId="2" fillId="22" applyFill="true">
      <alignment horizontal="center" vertical="center"/>
    </xf>
    <xf fontId="4121" applyFont="true" borderId="8" applyBorder="true" applyNumberFormat="true" numFmtId="2" fillId="22" applyFill="true">
      <alignment horizontal="center" vertical="center"/>
    </xf>
    <xf fontId="4122" applyFont="true" borderId="8" applyBorder="true" applyNumberFormat="true" numFmtId="2" fillId="22" applyFill="true">
      <alignment horizontal="center" vertical="center"/>
    </xf>
    <xf fontId="4123" applyFont="true" borderId="8" applyBorder="true" applyNumberFormat="true" numFmtId="2" fillId="22" applyFill="true">
      <alignment horizontal="center" vertical="center"/>
    </xf>
    <xf fontId="4124" applyFont="true" borderId="8" applyBorder="true" applyNumberFormat="true" numFmtId="2" fillId="22" applyFill="true">
      <alignment horizontal="center" vertical="center"/>
    </xf>
    <xf fontId="4125" applyFont="true" borderId="8" applyBorder="true" applyNumberFormat="true" numFmtId="2" fillId="22" applyFill="true">
      <alignment horizontal="center" vertical="center"/>
    </xf>
    <xf fontId="4126" applyFont="true" borderId="8" applyBorder="true" applyNumberFormat="true" numFmtId="2" fillId="22" applyFill="true">
      <alignment horizontal="center" vertical="center"/>
    </xf>
    <xf fontId="4127" applyFont="true" borderId="8" applyBorder="true" applyNumberFormat="true" numFmtId="2" fillId="22" applyFill="true">
      <alignment horizontal="center" vertical="center"/>
    </xf>
    <xf fontId="4128" applyFont="true" borderId="8" applyBorder="true" applyNumberFormat="true" numFmtId="2" fillId="22" applyFill="true">
      <alignment horizontal="center" vertical="center"/>
    </xf>
    <xf fontId="4129" applyFont="true" borderId="8" applyBorder="true" applyNumberFormat="true" numFmtId="2" fillId="22" applyFill="true">
      <alignment horizontal="center" vertical="center"/>
    </xf>
    <xf fontId="4130" applyFont="true" borderId="8" applyBorder="true" applyNumberFormat="true" numFmtId="2" fillId="22" applyFill="true">
      <alignment horizontal="center" vertical="center"/>
    </xf>
    <xf fontId="4131" applyFont="true" borderId="8" applyBorder="true" applyNumberFormat="true" numFmtId="2" fillId="22" applyFill="true">
      <alignment horizontal="center" vertical="center"/>
    </xf>
    <xf fontId="4132" applyFont="true" borderId="8" applyBorder="true" applyNumberFormat="true" numFmtId="2" fillId="22" applyFill="true">
      <alignment horizontal="center" vertical="center"/>
    </xf>
    <xf fontId="4133" applyFont="true" borderId="8" applyBorder="true" applyNumberFormat="true" numFmtId="2" fillId="22" applyFill="true">
      <alignment horizontal="center" vertical="center"/>
    </xf>
    <xf fontId="4134" applyFont="true" borderId="8" applyBorder="true" applyNumberFormat="true" numFmtId="2" fillId="22" applyFill="true">
      <alignment horizontal="center" vertical="center"/>
    </xf>
    <xf fontId="4135" applyFont="true" borderId="8" applyBorder="true" applyNumberFormat="true" numFmtId="165" fillId="19" applyFill="true">
      <alignment horizontal="left" vertical="center"/>
    </xf>
    <xf fontId="4136" applyFont="true" borderId="8" applyBorder="true" applyNumberFormat="true" numFmtId="165" fillId="22" applyFill="true">
      <alignment horizontal="center" vertical="center"/>
    </xf>
    <xf fontId="4137" applyFont="true" borderId="8" applyBorder="true" applyNumberFormat="true" numFmtId="166" fillId="22" applyFill="true">
      <alignment horizontal="center" vertical="center"/>
    </xf>
    <xf fontId="4138" applyFont="true" borderId="8" applyBorder="true" applyNumberFormat="true" numFmtId="1" fillId="22" applyFill="true">
      <alignment horizontal="center" vertical="center"/>
    </xf>
    <xf fontId="4139" applyFont="true" borderId="8" applyBorder="true" applyNumberFormat="true" numFmtId="1" fillId="22" applyFill="true">
      <alignment horizontal="center" vertical="center"/>
    </xf>
    <xf fontId="4140" applyFont="true" borderId="8" applyBorder="true" applyNumberFormat="true" numFmtId="1" fillId="22" applyFill="true">
      <alignment horizontal="center" vertical="center"/>
    </xf>
    <xf fontId="4141" applyFont="true" borderId="8" applyBorder="true" applyNumberFormat="true" numFmtId="1" fillId="22" applyFill="true">
      <alignment horizontal="center" vertical="center"/>
    </xf>
    <xf fontId="4142" applyFont="true" borderId="8" applyBorder="true" applyNumberFormat="true" numFmtId="1" fillId="22" applyFill="true">
      <alignment horizontal="center" vertical="center"/>
    </xf>
    <xf fontId="4143" applyFont="true" borderId="8" applyBorder="true" applyNumberFormat="true" numFmtId="1" fillId="22" applyFill="true">
      <alignment horizontal="center" vertical="center"/>
    </xf>
    <xf fontId="4144" applyFont="true" borderId="8" applyBorder="true" applyNumberFormat="true" numFmtId="1" fillId="22" applyFill="true">
      <alignment horizontal="center" vertical="center"/>
    </xf>
    <xf fontId="4145" applyFont="true" borderId="8" applyBorder="true" applyNumberFormat="true" numFmtId="165" fillId="22" applyFill="true">
      <alignment horizontal="center" vertical="center"/>
    </xf>
    <xf fontId="4146" applyFont="true" borderId="8" applyBorder="true" applyNumberFormat="true" numFmtId="165" fillId="22" applyFill="true">
      <alignment horizontal="center" vertical="center"/>
    </xf>
    <xf fontId="4147" applyFont="true" borderId="8" applyBorder="true" applyNumberFormat="true" numFmtId="1" fillId="22" applyFill="true">
      <alignment horizontal="center" vertical="center"/>
    </xf>
    <xf fontId="4148" applyFont="true" borderId="8" applyBorder="true" applyNumberFormat="true" numFmtId="1" fillId="22" applyFill="true">
      <alignment horizontal="center" vertical="center"/>
    </xf>
    <xf fontId="4149" applyFont="true" borderId="8" applyBorder="true" applyNumberFormat="true" numFmtId="1" fillId="22" applyFill="true">
      <alignment horizontal="center" vertical="center"/>
    </xf>
    <xf fontId="4150" applyFont="true" borderId="8" applyBorder="true" applyNumberFormat="true" numFmtId="167" fillId="22" applyFill="true">
      <alignment horizontal="center" vertical="center"/>
    </xf>
    <xf fontId="4151" applyFont="true" borderId="8" applyBorder="true" applyNumberFormat="true" numFmtId="1" fillId="22" applyFill="true">
      <alignment horizontal="center" vertical="center"/>
    </xf>
    <xf fontId="4152" applyFont="true" borderId="8" applyBorder="true" applyNumberFormat="true" numFmtId="167" fillId="22" applyFill="true">
      <alignment horizontal="center" vertical="center"/>
    </xf>
    <xf fontId="4153" applyFont="true" borderId="8" applyBorder="true" applyNumberFormat="true" numFmtId="1" fillId="22" applyFill="true">
      <alignment horizontal="center" vertical="center"/>
    </xf>
    <xf fontId="4154" applyFont="true" borderId="8" applyBorder="true" applyNumberFormat="true" numFmtId="167" fillId="22" applyFill="true">
      <alignment horizontal="center" vertical="center"/>
    </xf>
    <xf fontId="4155" applyFont="true" borderId="8" applyBorder="true" applyNumberFormat="true" numFmtId="1" fillId="22" applyFill="true">
      <alignment horizontal="center" vertical="center"/>
    </xf>
    <xf fontId="4156" applyFont="true" borderId="8" applyBorder="true" applyNumberFormat="true" numFmtId="167" fillId="22" applyFill="true">
      <alignment horizontal="center" vertical="center"/>
    </xf>
    <xf fontId="4157" applyFont="true" borderId="8" applyBorder="true" applyNumberFormat="true" numFmtId="167" fillId="22" applyFill="true">
      <alignment horizontal="center" vertical="center"/>
    </xf>
    <xf fontId="4158" applyFont="true" borderId="8" applyBorder="true" applyNumberFormat="true" numFmtId="1" fillId="22" applyFill="true">
      <alignment horizontal="center" vertical="center"/>
    </xf>
    <xf fontId="4159" applyFont="true" borderId="8" applyBorder="true" applyNumberFormat="true" numFmtId="1" fillId="22" applyFill="true">
      <alignment horizontal="center" vertical="center"/>
    </xf>
    <xf fontId="4160" applyFont="true" borderId="8" applyBorder="true" applyNumberFormat="true" numFmtId="1" fillId="22" applyFill="true">
      <alignment horizontal="center" vertical="center"/>
    </xf>
    <xf fontId="4161" applyFont="true" borderId="8" applyBorder="true" applyNumberFormat="true" numFmtId="167" fillId="22" applyFill="true">
      <alignment horizontal="center" vertical="center"/>
    </xf>
    <xf fontId="4162" applyFont="true" borderId="8" applyBorder="true" applyNumberFormat="true" numFmtId="166" fillId="22" applyFill="true">
      <alignment horizontal="center" vertical="center"/>
    </xf>
    <xf fontId="4163" applyFont="true" borderId="8" applyBorder="true" applyNumberFormat="true" numFmtId="166" fillId="22" applyFill="true">
      <alignment horizontal="center" vertical="center"/>
    </xf>
    <xf fontId="4164" applyFont="true" borderId="8" applyBorder="true" applyNumberFormat="true" numFmtId="1" fillId="22" applyFill="true">
      <alignment horizontal="center" vertical="center"/>
    </xf>
    <xf fontId="4165" applyFont="true" borderId="8" applyBorder="true" applyNumberFormat="true" numFmtId="1" fillId="22" applyFill="true">
      <alignment horizontal="center" vertical="center"/>
    </xf>
    <xf fontId="4166" applyFont="true" borderId="8" applyBorder="true" applyNumberFormat="true" numFmtId="1" fillId="22" applyFill="true">
      <alignment horizontal="center" vertical="center"/>
    </xf>
    <xf fontId="4167" applyFont="true" borderId="8" applyBorder="true" applyNumberFormat="true" numFmtId="167" fillId="22" applyFill="true">
      <alignment horizontal="center" vertical="center"/>
    </xf>
    <xf fontId="4168" applyFont="true" borderId="8" applyBorder="true" applyNumberFormat="true" numFmtId="1" fillId="22" applyFill="true">
      <alignment horizontal="center" vertical="center"/>
    </xf>
    <xf fontId="4169" applyFont="true" borderId="8" applyBorder="true" applyNumberFormat="true" numFmtId="167" fillId="22" applyFill="true">
      <alignment horizontal="center" vertical="center"/>
    </xf>
    <xf fontId="4170" applyFont="true" borderId="8" applyBorder="true" applyNumberFormat="true" numFmtId="1" fillId="22" applyFill="true">
      <alignment horizontal="center" vertical="center"/>
    </xf>
    <xf fontId="4171" applyFont="true" borderId="8" applyBorder="true" applyNumberFormat="true" numFmtId="1" fillId="22" applyFill="true">
      <alignment horizontal="center" vertical="center"/>
    </xf>
    <xf fontId="4172" applyFont="true" borderId="8" applyBorder="true" applyNumberFormat="true" numFmtId="1" fillId="22" applyFill="true">
      <alignment horizontal="center" vertical="center"/>
    </xf>
    <xf fontId="4173" applyFont="true" borderId="8" applyBorder="true" applyNumberFormat="true" numFmtId="1" fillId="22" applyFill="true">
      <alignment horizontal="center" vertical="center"/>
    </xf>
    <xf fontId="4174" applyFont="true" borderId="8" applyBorder="true" applyNumberFormat="true" numFmtId="167" fillId="22" applyFill="true">
      <alignment horizontal="center" vertical="center"/>
    </xf>
    <xf fontId="4175" applyFont="true" borderId="8" applyBorder="true" applyNumberFormat="true" numFmtId="1" fillId="22" applyFill="true">
      <alignment horizontal="center" vertical="center"/>
    </xf>
    <xf fontId="4176" applyFont="true" borderId="8" applyBorder="true" applyNumberFormat="true" numFmtId="167" fillId="22" applyFill="true">
      <alignment horizontal="center" vertical="center"/>
    </xf>
    <xf fontId="4177" applyFont="true" borderId="8" applyBorder="true" applyNumberFormat="true" numFmtId="1" fillId="22" applyFill="true">
      <alignment horizontal="center" vertical="center"/>
    </xf>
    <xf fontId="4178" applyFont="true" borderId="8" applyBorder="true" applyNumberFormat="true" numFmtId="167" fillId="22" applyFill="true">
      <alignment horizontal="center" vertical="center"/>
    </xf>
    <xf fontId="4179" applyFont="true" borderId="8" applyBorder="true" applyNumberFormat="true" numFmtId="2" fillId="22" applyFill="true">
      <alignment horizontal="center" vertical="center"/>
    </xf>
    <xf fontId="4180" applyFont="true" borderId="8" applyBorder="true" applyNumberFormat="true" numFmtId="2" fillId="22" applyFill="true">
      <alignment horizontal="center" vertical="center"/>
    </xf>
    <xf fontId="4181" applyFont="true" borderId="8" applyBorder="true" applyNumberFormat="true" numFmtId="2" fillId="22" applyFill="true">
      <alignment horizontal="center" vertical="center"/>
    </xf>
    <xf fontId="4182" applyFont="true" borderId="8" applyBorder="true" applyNumberFormat="true" numFmtId="2" fillId="22" applyFill="true">
      <alignment horizontal="center" vertical="center"/>
    </xf>
    <xf fontId="4183" applyFont="true" borderId="8" applyBorder="true" applyNumberFormat="true" numFmtId="2" fillId="22" applyFill="true">
      <alignment horizontal="center" vertical="center"/>
    </xf>
    <xf fontId="4184" applyFont="true" borderId="8" applyBorder="true" applyNumberFormat="true" numFmtId="2" fillId="22" applyFill="true">
      <alignment horizontal="center" vertical="center"/>
    </xf>
    <xf fontId="4185" applyFont="true" borderId="8" applyBorder="true" applyNumberFormat="true" numFmtId="2" fillId="22" applyFill="true">
      <alignment horizontal="center" vertical="center"/>
    </xf>
    <xf fontId="4186" applyFont="true" borderId="8" applyBorder="true" applyNumberFormat="true" numFmtId="2" fillId="22" applyFill="true">
      <alignment horizontal="center" vertical="center"/>
    </xf>
    <xf fontId="4187" applyFont="true" borderId="8" applyBorder="true" applyNumberFormat="true" numFmtId="2" fillId="22" applyFill="true">
      <alignment horizontal="center" vertical="center"/>
    </xf>
    <xf fontId="4188" applyFont="true" borderId="8" applyBorder="true" applyNumberFormat="true" numFmtId="2" fillId="22" applyFill="true">
      <alignment horizontal="center" vertical="center"/>
    </xf>
    <xf fontId="4189" applyFont="true" borderId="8" applyBorder="true" applyNumberFormat="true" numFmtId="2" fillId="22" applyFill="true">
      <alignment horizontal="center" vertical="center"/>
    </xf>
    <xf fontId="4190" applyFont="true" borderId="8" applyBorder="true" applyNumberFormat="true" numFmtId="2" fillId="22" applyFill="true">
      <alignment horizontal="center" vertical="center"/>
    </xf>
    <xf fontId="4191" applyFont="true" borderId="8" applyBorder="true" applyNumberFormat="true" numFmtId="2" fillId="22" applyFill="true">
      <alignment horizontal="center" vertical="center"/>
    </xf>
    <xf fontId="4192" applyFont="true" borderId="8" applyBorder="true" applyNumberFormat="true" numFmtId="2" fillId="22" applyFill="true">
      <alignment horizontal="center" vertical="center"/>
    </xf>
    <xf fontId="4193" applyFont="true" borderId="8" applyBorder="true" applyNumberFormat="true" numFmtId="2" fillId="22" applyFill="true">
      <alignment horizontal="center" vertical="center"/>
    </xf>
    <xf fontId="4194" applyFont="true" borderId="8" applyBorder="true" applyNumberFormat="true" numFmtId="2" fillId="22" applyFill="true">
      <alignment horizontal="center" vertical="center"/>
    </xf>
    <xf fontId="4195" applyFont="true" borderId="8" applyBorder="true" applyNumberFormat="true" numFmtId="2" fillId="22" applyFill="true">
      <alignment horizontal="center" vertical="center"/>
    </xf>
    <xf fontId="4196" applyFont="true" borderId="8" applyBorder="true" applyNumberFormat="true" numFmtId="2" fillId="22" applyFill="true">
      <alignment horizontal="center" vertical="center"/>
    </xf>
    <xf fontId="4197" applyFont="true" borderId="8" applyBorder="true" applyNumberFormat="true" numFmtId="2" fillId="22" applyFill="true">
      <alignment horizontal="center" vertical="center"/>
    </xf>
    <xf fontId="4198" applyFont="true" borderId="8" applyBorder="true" applyNumberFormat="true" numFmtId="2" fillId="22" applyFill="true">
      <alignment horizontal="center" vertical="center"/>
    </xf>
    <xf fontId="4199" applyFont="true" borderId="8" applyBorder="true" applyNumberFormat="true" numFmtId="2" fillId="22" applyFill="true">
      <alignment horizontal="center" vertical="center"/>
    </xf>
    <xf fontId="4200" applyFont="true" borderId="8" applyBorder="true" applyNumberFormat="true" numFmtId="2" fillId="22" applyFill="true">
      <alignment horizontal="center" vertical="center"/>
    </xf>
    <xf fontId="4201" applyFont="true" borderId="8" applyBorder="true" applyNumberFormat="true" numFmtId="2" fillId="22" applyFill="true">
      <alignment horizontal="center" vertical="center"/>
    </xf>
    <xf fontId="4202" applyFont="true" borderId="8" applyBorder="true" applyNumberFormat="true" numFmtId="2" fillId="22" applyFill="true">
      <alignment horizontal="center" vertical="center"/>
    </xf>
    <xf fontId="4203" applyFont="true" borderId="8" applyBorder="true" applyNumberFormat="true" numFmtId="2" fillId="22" applyFill="true">
      <alignment horizontal="center" vertical="center"/>
    </xf>
    <xf fontId="4204" applyFont="true" borderId="8" applyBorder="true" applyNumberFormat="true" numFmtId="2" fillId="22" applyFill="true">
      <alignment horizontal="center" vertical="center"/>
    </xf>
    <xf fontId="4205" applyFont="true" borderId="8" applyBorder="true" applyNumberFormat="true" numFmtId="2" fillId="22" applyFill="true">
      <alignment horizontal="center" vertical="center"/>
    </xf>
    <xf fontId="4206" applyFont="true" borderId="8" applyBorder="true" applyNumberFormat="true" numFmtId="2" fillId="22" applyFill="true">
      <alignment horizontal="center" vertical="center"/>
    </xf>
    <xf fontId="4207" applyFont="true" borderId="8" applyBorder="true" applyNumberFormat="true" numFmtId="2" fillId="22" applyFill="true">
      <alignment horizontal="center" vertical="center"/>
    </xf>
    <xf fontId="4208" applyFont="true" borderId="8" applyBorder="true" applyNumberFormat="true" numFmtId="2" fillId="22" applyFill="true">
      <alignment horizontal="center" vertical="center"/>
    </xf>
    <xf fontId="4209" applyFont="true" borderId="8" applyBorder="true" applyNumberFormat="true" numFmtId="2" fillId="22" applyFill="true">
      <alignment horizontal="center" vertical="center"/>
    </xf>
    <xf fontId="4210" applyFont="true" borderId="8" applyBorder="true" applyNumberFormat="true" numFmtId="2" fillId="22" applyFill="true">
      <alignment horizontal="center" vertical="center"/>
    </xf>
    <xf fontId="4211" applyFont="true" borderId="8" applyBorder="true" applyNumberFormat="true" numFmtId="2" fillId="22" applyFill="true">
      <alignment horizontal="center" vertical="center"/>
    </xf>
    <xf fontId="4212" applyFont="true" borderId="8" applyBorder="true" applyNumberFormat="true" numFmtId="2" fillId="22" applyFill="true">
      <alignment horizontal="center" vertical="center"/>
    </xf>
    <xf fontId="4213" applyFont="true" borderId="8" applyBorder="true" applyNumberFormat="true" numFmtId="165" fillId="19" applyFill="true">
      <alignment horizontal="left" vertical="center"/>
    </xf>
    <xf fontId="4214" applyFont="true" borderId="8" applyBorder="true" applyNumberFormat="true" numFmtId="165" fillId="22" applyFill="true">
      <alignment horizontal="center" vertical="center"/>
    </xf>
    <xf fontId="4215" applyFont="true" borderId="8" applyBorder="true" applyNumberFormat="true" numFmtId="166" fillId="22" applyFill="true">
      <alignment horizontal="center" vertical="center"/>
    </xf>
    <xf fontId="4216" applyFont="true" borderId="8" applyBorder="true" applyNumberFormat="true" numFmtId="1" fillId="22" applyFill="true">
      <alignment horizontal="center" vertical="center"/>
    </xf>
    <xf fontId="4217" applyFont="true" borderId="8" applyBorder="true" applyNumberFormat="true" numFmtId="1" fillId="22" applyFill="true">
      <alignment horizontal="center" vertical="center"/>
    </xf>
    <xf fontId="4218" applyFont="true" borderId="8" applyBorder="true" applyNumberFormat="true" numFmtId="1" fillId="22" applyFill="true">
      <alignment horizontal="center" vertical="center"/>
    </xf>
    <xf fontId="4219" applyFont="true" borderId="8" applyBorder="true" applyNumberFormat="true" numFmtId="1" fillId="22" applyFill="true">
      <alignment horizontal="center" vertical="center"/>
    </xf>
    <xf fontId="4220" applyFont="true" borderId="8" applyBorder="true" applyNumberFormat="true" numFmtId="1" fillId="22" applyFill="true">
      <alignment horizontal="center" vertical="center"/>
    </xf>
    <xf fontId="4221" applyFont="true" borderId="8" applyBorder="true" applyNumberFormat="true" numFmtId="1" fillId="22" applyFill="true">
      <alignment horizontal="center" vertical="center"/>
    </xf>
    <xf fontId="4222" applyFont="true" borderId="8" applyBorder="true" applyNumberFormat="true" numFmtId="1" fillId="22" applyFill="true">
      <alignment horizontal="center" vertical="center"/>
    </xf>
    <xf fontId="4223" applyFont="true" borderId="8" applyBorder="true" applyNumberFormat="true" numFmtId="165" fillId="22" applyFill="true">
      <alignment horizontal="center" vertical="center"/>
    </xf>
    <xf fontId="4224" applyFont="true" borderId="8" applyBorder="true" applyNumberFormat="true" numFmtId="165" fillId="22" applyFill="true">
      <alignment horizontal="center" vertical="center"/>
    </xf>
    <xf fontId="4225" applyFont="true" borderId="8" applyBorder="true" applyNumberFormat="true" numFmtId="1" fillId="22" applyFill="true">
      <alignment horizontal="center" vertical="center"/>
    </xf>
    <xf fontId="4226" applyFont="true" borderId="8" applyBorder="true" applyNumberFormat="true" numFmtId="1" fillId="22" applyFill="true">
      <alignment horizontal="center" vertical="center"/>
    </xf>
    <xf fontId="4227" applyFont="true" borderId="8" applyBorder="true" applyNumberFormat="true" numFmtId="1" fillId="22" applyFill="true">
      <alignment horizontal="center" vertical="center"/>
    </xf>
    <xf fontId="4228" applyFont="true" borderId="8" applyBorder="true" applyNumberFormat="true" numFmtId="167" fillId="22" applyFill="true">
      <alignment horizontal="center" vertical="center"/>
    </xf>
    <xf fontId="4229" applyFont="true" borderId="8" applyBorder="true" applyNumberFormat="true" numFmtId="1" fillId="22" applyFill="true">
      <alignment horizontal="center" vertical="center"/>
    </xf>
    <xf fontId="4230" applyFont="true" borderId="8" applyBorder="true" applyNumberFormat="true" numFmtId="167" fillId="22" applyFill="true">
      <alignment horizontal="center" vertical="center"/>
    </xf>
    <xf fontId="4231" applyFont="true" borderId="8" applyBorder="true" applyNumberFormat="true" numFmtId="1" fillId="22" applyFill="true">
      <alignment horizontal="center" vertical="center"/>
    </xf>
    <xf fontId="4232" applyFont="true" borderId="8" applyBorder="true" applyNumberFormat="true" numFmtId="167" fillId="22" applyFill="true">
      <alignment horizontal="center" vertical="center"/>
    </xf>
    <xf fontId="4233" applyFont="true" borderId="8" applyBorder="true" applyNumberFormat="true" numFmtId="1" fillId="22" applyFill="true">
      <alignment horizontal="center" vertical="center"/>
    </xf>
    <xf fontId="4234" applyFont="true" borderId="8" applyBorder="true" applyNumberFormat="true" numFmtId="167" fillId="22" applyFill="true">
      <alignment horizontal="center" vertical="center"/>
    </xf>
    <xf fontId="4235" applyFont="true" borderId="8" applyBorder="true" applyNumberFormat="true" numFmtId="167" fillId="22" applyFill="true">
      <alignment horizontal="center" vertical="center"/>
    </xf>
    <xf fontId="4236" applyFont="true" borderId="8" applyBorder="true" applyNumberFormat="true" numFmtId="1" fillId="22" applyFill="true">
      <alignment horizontal="center" vertical="center"/>
    </xf>
    <xf fontId="4237" applyFont="true" borderId="8" applyBorder="true" applyNumberFormat="true" numFmtId="1" fillId="22" applyFill="true">
      <alignment horizontal="center" vertical="center"/>
    </xf>
    <xf fontId="4238" applyFont="true" borderId="8" applyBorder="true" applyNumberFormat="true" numFmtId="1" fillId="22" applyFill="true">
      <alignment horizontal="center" vertical="center"/>
    </xf>
    <xf fontId="4239" applyFont="true" borderId="8" applyBorder="true" applyNumberFormat="true" numFmtId="167" fillId="22" applyFill="true">
      <alignment horizontal="center" vertical="center"/>
    </xf>
    <xf fontId="4240" applyFont="true" borderId="8" applyBorder="true" applyNumberFormat="true" numFmtId="166" fillId="22" applyFill="true">
      <alignment horizontal="center" vertical="center"/>
    </xf>
    <xf fontId="4241" applyFont="true" borderId="8" applyBorder="true" applyNumberFormat="true" numFmtId="166" fillId="22" applyFill="true">
      <alignment horizontal="center" vertical="center"/>
    </xf>
    <xf fontId="4242" applyFont="true" borderId="8" applyBorder="true" applyNumberFormat="true" numFmtId="1" fillId="22" applyFill="true">
      <alignment horizontal="center" vertical="center"/>
    </xf>
    <xf fontId="4243" applyFont="true" borderId="8" applyBorder="true" applyNumberFormat="true" numFmtId="1" fillId="22" applyFill="true">
      <alignment horizontal="center" vertical="center"/>
    </xf>
    <xf fontId="4244" applyFont="true" borderId="8" applyBorder="true" applyNumberFormat="true" numFmtId="1" fillId="22" applyFill="true">
      <alignment horizontal="center" vertical="center"/>
    </xf>
    <xf fontId="4245" applyFont="true" borderId="8" applyBorder="true" applyNumberFormat="true" numFmtId="167" fillId="22" applyFill="true">
      <alignment horizontal="center" vertical="center"/>
    </xf>
    <xf fontId="4246" applyFont="true" borderId="8" applyBorder="true" applyNumberFormat="true" numFmtId="1" fillId="22" applyFill="true">
      <alignment horizontal="center" vertical="center"/>
    </xf>
    <xf fontId="4247" applyFont="true" borderId="8" applyBorder="true" applyNumberFormat="true" numFmtId="167" fillId="22" applyFill="true">
      <alignment horizontal="center" vertical="center"/>
    </xf>
    <xf fontId="4248" applyFont="true" borderId="8" applyBorder="true" applyNumberFormat="true" numFmtId="1" fillId="22" applyFill="true">
      <alignment horizontal="center" vertical="center"/>
    </xf>
    <xf fontId="4249" applyFont="true" borderId="8" applyBorder="true" applyNumberFormat="true" numFmtId="1" fillId="22" applyFill="true">
      <alignment horizontal="center" vertical="center"/>
    </xf>
    <xf fontId="4250" applyFont="true" borderId="8" applyBorder="true" applyNumberFormat="true" numFmtId="1" fillId="22" applyFill="true">
      <alignment horizontal="center" vertical="center"/>
    </xf>
    <xf fontId="4251" applyFont="true" borderId="8" applyBorder="true" applyNumberFormat="true" numFmtId="1" fillId="22" applyFill="true">
      <alignment horizontal="center" vertical="center"/>
    </xf>
    <xf fontId="4252" applyFont="true" borderId="8" applyBorder="true" applyNumberFormat="true" numFmtId="167" fillId="22" applyFill="true">
      <alignment horizontal="center" vertical="center"/>
    </xf>
    <xf fontId="4253" applyFont="true" borderId="8" applyBorder="true" applyNumberFormat="true" numFmtId="1" fillId="22" applyFill="true">
      <alignment horizontal="center" vertical="center"/>
    </xf>
    <xf fontId="4254" applyFont="true" borderId="8" applyBorder="true" applyNumberFormat="true" numFmtId="167" fillId="22" applyFill="true">
      <alignment horizontal="center" vertical="center"/>
    </xf>
    <xf fontId="4255" applyFont="true" borderId="8" applyBorder="true" applyNumberFormat="true" numFmtId="1" fillId="22" applyFill="true">
      <alignment horizontal="center" vertical="center"/>
    </xf>
    <xf fontId="4256" applyFont="true" borderId="8" applyBorder="true" applyNumberFormat="true" numFmtId="167" fillId="22" applyFill="true">
      <alignment horizontal="center" vertical="center"/>
    </xf>
    <xf fontId="4257" applyFont="true" borderId="8" applyBorder="true" applyNumberFormat="true" numFmtId="2" fillId="22" applyFill="true">
      <alignment horizontal="center" vertical="center"/>
    </xf>
    <xf fontId="4258" applyFont="true" borderId="8" applyBorder="true" applyNumberFormat="true" numFmtId="2" fillId="22" applyFill="true">
      <alignment horizontal="center" vertical="center"/>
    </xf>
    <xf fontId="4259" applyFont="true" borderId="8" applyBorder="true" applyNumberFormat="true" numFmtId="2" fillId="22" applyFill="true">
      <alignment horizontal="center" vertical="center"/>
    </xf>
    <xf fontId="4260" applyFont="true" borderId="8" applyBorder="true" applyNumberFormat="true" numFmtId="2" fillId="22" applyFill="true">
      <alignment horizontal="center" vertical="center"/>
    </xf>
    <xf fontId="4261" applyFont="true" borderId="8" applyBorder="true" applyNumberFormat="true" numFmtId="2" fillId="22" applyFill="true">
      <alignment horizontal="center" vertical="center"/>
    </xf>
    <xf fontId="4262" applyFont="true" borderId="8" applyBorder="true" applyNumberFormat="true" numFmtId="2" fillId="22" applyFill="true">
      <alignment horizontal="center" vertical="center"/>
    </xf>
    <xf fontId="4263" applyFont="true" borderId="8" applyBorder="true" applyNumberFormat="true" numFmtId="2" fillId="22" applyFill="true">
      <alignment horizontal="center" vertical="center"/>
    </xf>
    <xf fontId="4264" applyFont="true" borderId="8" applyBorder="true" applyNumberFormat="true" numFmtId="2" fillId="22" applyFill="true">
      <alignment horizontal="center" vertical="center"/>
    </xf>
    <xf fontId="4265" applyFont="true" borderId="8" applyBorder="true" applyNumberFormat="true" numFmtId="2" fillId="22" applyFill="true">
      <alignment horizontal="center" vertical="center"/>
    </xf>
    <xf fontId="4266" applyFont="true" borderId="8" applyBorder="true" applyNumberFormat="true" numFmtId="2" fillId="22" applyFill="true">
      <alignment horizontal="center" vertical="center"/>
    </xf>
    <xf fontId="4267" applyFont="true" borderId="8" applyBorder="true" applyNumberFormat="true" numFmtId="2" fillId="22" applyFill="true">
      <alignment horizontal="center" vertical="center"/>
    </xf>
    <xf fontId="4268" applyFont="true" borderId="8" applyBorder="true" applyNumberFormat="true" numFmtId="2" fillId="22" applyFill="true">
      <alignment horizontal="center" vertical="center"/>
    </xf>
    <xf fontId="4269" applyFont="true" borderId="8" applyBorder="true" applyNumberFormat="true" numFmtId="2" fillId="22" applyFill="true">
      <alignment horizontal="center" vertical="center"/>
    </xf>
    <xf fontId="4270" applyFont="true" borderId="8" applyBorder="true" applyNumberFormat="true" numFmtId="2" fillId="22" applyFill="true">
      <alignment horizontal="center" vertical="center"/>
    </xf>
    <xf fontId="4271" applyFont="true" borderId="8" applyBorder="true" applyNumberFormat="true" numFmtId="2" fillId="22" applyFill="true">
      <alignment horizontal="center" vertical="center"/>
    </xf>
    <xf fontId="4272" applyFont="true" borderId="8" applyBorder="true" applyNumberFormat="true" numFmtId="2" fillId="22" applyFill="true">
      <alignment horizontal="center" vertical="center"/>
    </xf>
    <xf fontId="4273" applyFont="true" borderId="8" applyBorder="true" applyNumberFormat="true" numFmtId="2" fillId="22" applyFill="true">
      <alignment horizontal="center" vertical="center"/>
    </xf>
    <xf fontId="4274" applyFont="true" borderId="8" applyBorder="true" applyNumberFormat="true" numFmtId="2" fillId="22" applyFill="true">
      <alignment horizontal="center" vertical="center"/>
    </xf>
    <xf fontId="4275" applyFont="true" borderId="8" applyBorder="true" applyNumberFormat="true" numFmtId="2" fillId="22" applyFill="true">
      <alignment horizontal="center" vertical="center"/>
    </xf>
    <xf fontId="4276" applyFont="true" borderId="8" applyBorder="true" applyNumberFormat="true" numFmtId="2" fillId="22" applyFill="true">
      <alignment horizontal="center" vertical="center"/>
    </xf>
    <xf fontId="4277" applyFont="true" borderId="8" applyBorder="true" applyNumberFormat="true" numFmtId="2" fillId="22" applyFill="true">
      <alignment horizontal="center" vertical="center"/>
    </xf>
    <xf fontId="4278" applyFont="true" borderId="8" applyBorder="true" applyNumberFormat="true" numFmtId="2" fillId="22" applyFill="true">
      <alignment horizontal="center" vertical="center"/>
    </xf>
    <xf fontId="4279" applyFont="true" borderId="8" applyBorder="true" applyNumberFormat="true" numFmtId="2" fillId="22" applyFill="true">
      <alignment horizontal="center" vertical="center"/>
    </xf>
    <xf fontId="4280" applyFont="true" borderId="8" applyBorder="true" applyNumberFormat="true" numFmtId="2" fillId="22" applyFill="true">
      <alignment horizontal="center" vertical="center"/>
    </xf>
    <xf fontId="4281" applyFont="true" borderId="8" applyBorder="true" applyNumberFormat="true" numFmtId="2" fillId="22" applyFill="true">
      <alignment horizontal="center" vertical="center"/>
    </xf>
    <xf fontId="4282" applyFont="true" borderId="8" applyBorder="true" applyNumberFormat="true" numFmtId="2" fillId="22" applyFill="true">
      <alignment horizontal="center" vertical="center"/>
    </xf>
    <xf fontId="4283" applyFont="true" borderId="8" applyBorder="true" applyNumberFormat="true" numFmtId="2" fillId="22" applyFill="true">
      <alignment horizontal="center" vertical="center"/>
    </xf>
    <xf fontId="4284" applyFont="true" borderId="8" applyBorder="true" applyNumberFormat="true" numFmtId="2" fillId="22" applyFill="true">
      <alignment horizontal="center" vertical="center"/>
    </xf>
    <xf fontId="4285" applyFont="true" borderId="8" applyBorder="true" applyNumberFormat="true" numFmtId="2" fillId="22" applyFill="true">
      <alignment horizontal="center" vertical="center"/>
    </xf>
    <xf fontId="4286" applyFont="true" borderId="8" applyBorder="true" applyNumberFormat="true" numFmtId="2" fillId="22" applyFill="true">
      <alignment horizontal="center" vertical="center"/>
    </xf>
    <xf fontId="4287" applyFont="true" borderId="8" applyBorder="true" applyNumberFormat="true" numFmtId="2" fillId="22" applyFill="true">
      <alignment horizontal="center" vertical="center"/>
    </xf>
    <xf fontId="4288" applyFont="true" borderId="8" applyBorder="true" applyNumberFormat="true" numFmtId="2" fillId="22" applyFill="true">
      <alignment horizontal="center" vertical="center"/>
    </xf>
    <xf fontId="4289" applyFont="true" borderId="8" applyBorder="true" applyNumberFormat="true" numFmtId="2" fillId="22" applyFill="true">
      <alignment horizontal="center" vertical="center"/>
    </xf>
    <xf fontId="4290" applyFont="true" borderId="8" applyBorder="true" applyNumberFormat="true" numFmtId="2" fillId="22" applyFill="true">
      <alignment horizontal="center" vertical="center"/>
    </xf>
    <xf fontId="4291" applyFont="true" borderId="8" applyBorder="true" applyNumberFormat="true" numFmtId="165" fillId="19" applyFill="true">
      <alignment horizontal="left" vertical="center"/>
    </xf>
    <xf fontId="4292" applyFont="true" borderId="8" applyBorder="true" applyNumberFormat="true" numFmtId="165" fillId="22" applyFill="true">
      <alignment horizontal="center" vertical="center"/>
    </xf>
    <xf fontId="4293" applyFont="true" borderId="8" applyBorder="true" applyNumberFormat="true" numFmtId="166" fillId="22" applyFill="true">
      <alignment horizontal="center" vertical="center"/>
    </xf>
    <xf fontId="4294" applyFont="true" borderId="8" applyBorder="true" applyNumberFormat="true" numFmtId="1" fillId="22" applyFill="true">
      <alignment horizontal="center" vertical="center"/>
    </xf>
    <xf fontId="4295" applyFont="true" borderId="8" applyBorder="true" applyNumberFormat="true" numFmtId="1" fillId="22" applyFill="true">
      <alignment horizontal="center" vertical="center"/>
    </xf>
    <xf fontId="4296" applyFont="true" borderId="8" applyBorder="true" applyNumberFormat="true" numFmtId="1" fillId="22" applyFill="true">
      <alignment horizontal="center" vertical="center"/>
    </xf>
    <xf fontId="4297" applyFont="true" borderId="8" applyBorder="true" applyNumberFormat="true" numFmtId="1" fillId="22" applyFill="true">
      <alignment horizontal="center" vertical="center"/>
    </xf>
    <xf fontId="4298" applyFont="true" borderId="8" applyBorder="true" applyNumberFormat="true" numFmtId="1" fillId="22" applyFill="true">
      <alignment horizontal="center" vertical="center"/>
    </xf>
    <xf fontId="4299" applyFont="true" borderId="8" applyBorder="true" applyNumberFormat="true" numFmtId="1" fillId="22" applyFill="true">
      <alignment horizontal="center" vertical="center"/>
    </xf>
    <xf fontId="4300" applyFont="true" borderId="8" applyBorder="true" applyNumberFormat="true" numFmtId="1" fillId="22" applyFill="true">
      <alignment horizontal="center" vertical="center"/>
    </xf>
    <xf fontId="4301" applyFont="true" borderId="8" applyBorder="true" applyNumberFormat="true" numFmtId="165" fillId="22" applyFill="true">
      <alignment horizontal="center" vertical="center"/>
    </xf>
    <xf fontId="4302" applyFont="true" borderId="8" applyBorder="true" applyNumberFormat="true" numFmtId="165" fillId="22" applyFill="true">
      <alignment horizontal="center" vertical="center"/>
    </xf>
    <xf fontId="4303" applyFont="true" borderId="8" applyBorder="true" applyNumberFormat="true" numFmtId="1" fillId="22" applyFill="true">
      <alignment horizontal="center" vertical="center"/>
    </xf>
    <xf fontId="4304" applyFont="true" borderId="8" applyBorder="true" applyNumberFormat="true" numFmtId="1" fillId="22" applyFill="true">
      <alignment horizontal="center" vertical="center"/>
    </xf>
    <xf fontId="4305" applyFont="true" borderId="8" applyBorder="true" applyNumberFormat="true" numFmtId="1" fillId="22" applyFill="true">
      <alignment horizontal="center" vertical="center"/>
    </xf>
    <xf fontId="4306" applyFont="true" borderId="8" applyBorder="true" applyNumberFormat="true" numFmtId="167" fillId="22" applyFill="true">
      <alignment horizontal="center" vertical="center"/>
    </xf>
    <xf fontId="4307" applyFont="true" borderId="8" applyBorder="true" applyNumberFormat="true" numFmtId="1" fillId="22" applyFill="true">
      <alignment horizontal="center" vertical="center"/>
    </xf>
    <xf fontId="4308" applyFont="true" borderId="8" applyBorder="true" applyNumberFormat="true" numFmtId="167" fillId="22" applyFill="true">
      <alignment horizontal="center" vertical="center"/>
    </xf>
    <xf fontId="4309" applyFont="true" borderId="8" applyBorder="true" applyNumberFormat="true" numFmtId="1" fillId="22" applyFill="true">
      <alignment horizontal="center" vertical="center"/>
    </xf>
    <xf fontId="4310" applyFont="true" borderId="8" applyBorder="true" applyNumberFormat="true" numFmtId="167" fillId="22" applyFill="true">
      <alignment horizontal="center" vertical="center"/>
    </xf>
    <xf fontId="4311" applyFont="true" borderId="8" applyBorder="true" applyNumberFormat="true" numFmtId="1" fillId="22" applyFill="true">
      <alignment horizontal="center" vertical="center"/>
    </xf>
    <xf fontId="4312" applyFont="true" borderId="8" applyBorder="true" applyNumberFormat="true" numFmtId="167" fillId="22" applyFill="true">
      <alignment horizontal="center" vertical="center"/>
    </xf>
    <xf fontId="4313" applyFont="true" borderId="8" applyBorder="true" applyNumberFormat="true" numFmtId="167" fillId="22" applyFill="true">
      <alignment horizontal="center" vertical="center"/>
    </xf>
    <xf fontId="4314" applyFont="true" borderId="8" applyBorder="true" applyNumberFormat="true" numFmtId="1" fillId="22" applyFill="true">
      <alignment horizontal="center" vertical="center"/>
    </xf>
    <xf fontId="4315" applyFont="true" borderId="8" applyBorder="true" applyNumberFormat="true" numFmtId="1" fillId="22" applyFill="true">
      <alignment horizontal="center" vertical="center"/>
    </xf>
    <xf fontId="4316" applyFont="true" borderId="8" applyBorder="true" applyNumberFormat="true" numFmtId="1" fillId="22" applyFill="true">
      <alignment horizontal="center" vertical="center"/>
    </xf>
    <xf fontId="4317" applyFont="true" borderId="8" applyBorder="true" applyNumberFormat="true" numFmtId="167" fillId="22" applyFill="true">
      <alignment horizontal="center" vertical="center"/>
    </xf>
    <xf fontId="4318" applyFont="true" borderId="8" applyBorder="true" applyNumberFormat="true" numFmtId="166" fillId="22" applyFill="true">
      <alignment horizontal="center" vertical="center"/>
    </xf>
    <xf fontId="4319" applyFont="true" borderId="8" applyBorder="true" applyNumberFormat="true" numFmtId="166" fillId="22" applyFill="true">
      <alignment horizontal="center" vertical="center"/>
    </xf>
    <xf fontId="4320" applyFont="true" borderId="8" applyBorder="true" applyNumberFormat="true" numFmtId="1" fillId="22" applyFill="true">
      <alignment horizontal="center" vertical="center"/>
    </xf>
    <xf fontId="4321" applyFont="true" borderId="8" applyBorder="true" applyNumberFormat="true" numFmtId="1" fillId="22" applyFill="true">
      <alignment horizontal="center" vertical="center"/>
    </xf>
    <xf fontId="4322" applyFont="true" borderId="8" applyBorder="true" applyNumberFormat="true" numFmtId="1" fillId="22" applyFill="true">
      <alignment horizontal="center" vertical="center"/>
    </xf>
    <xf fontId="4323" applyFont="true" borderId="8" applyBorder="true" applyNumberFormat="true" numFmtId="167" fillId="22" applyFill="true">
      <alignment horizontal="center" vertical="center"/>
    </xf>
    <xf fontId="4324" applyFont="true" borderId="8" applyBorder="true" applyNumberFormat="true" numFmtId="1" fillId="22" applyFill="true">
      <alignment horizontal="center" vertical="center"/>
    </xf>
    <xf fontId="4325" applyFont="true" borderId="8" applyBorder="true" applyNumberFormat="true" numFmtId="167" fillId="22" applyFill="true">
      <alignment horizontal="center" vertical="center"/>
    </xf>
    <xf fontId="4326" applyFont="true" borderId="8" applyBorder="true" applyNumberFormat="true" numFmtId="1" fillId="22" applyFill="true">
      <alignment horizontal="center" vertical="center"/>
    </xf>
    <xf fontId="4327" applyFont="true" borderId="8" applyBorder="true" applyNumberFormat="true" numFmtId="1" fillId="22" applyFill="true">
      <alignment horizontal="center" vertical="center"/>
    </xf>
    <xf fontId="4328" applyFont="true" borderId="8" applyBorder="true" applyNumberFormat="true" numFmtId="1" fillId="22" applyFill="true">
      <alignment horizontal="center" vertical="center"/>
    </xf>
    <xf fontId="4329" applyFont="true" borderId="8" applyBorder="true" applyNumberFormat="true" numFmtId="1" fillId="22" applyFill="true">
      <alignment horizontal="center" vertical="center"/>
    </xf>
    <xf fontId="4330" applyFont="true" borderId="8" applyBorder="true" applyNumberFormat="true" numFmtId="167" fillId="22" applyFill="true">
      <alignment horizontal="center" vertical="center"/>
    </xf>
    <xf fontId="4331" applyFont="true" borderId="8" applyBorder="true" applyNumberFormat="true" numFmtId="1" fillId="22" applyFill="true">
      <alignment horizontal="center" vertical="center"/>
    </xf>
    <xf fontId="4332" applyFont="true" borderId="8" applyBorder="true" applyNumberFormat="true" numFmtId="167" fillId="22" applyFill="true">
      <alignment horizontal="center" vertical="center"/>
    </xf>
    <xf fontId="4333" applyFont="true" borderId="8" applyBorder="true" applyNumberFormat="true" numFmtId="1" fillId="22" applyFill="true">
      <alignment horizontal="center" vertical="center"/>
    </xf>
    <xf fontId="4334" applyFont="true" borderId="8" applyBorder="true" applyNumberFormat="true" numFmtId="167" fillId="22" applyFill="true">
      <alignment horizontal="center" vertical="center"/>
    </xf>
    <xf fontId="4335" applyFont="true" borderId="8" applyBorder="true" applyNumberFormat="true" numFmtId="2" fillId="22" applyFill="true">
      <alignment horizontal="center" vertical="center"/>
    </xf>
    <xf fontId="4336" applyFont="true" borderId="8" applyBorder="true" applyNumberFormat="true" numFmtId="2" fillId="22" applyFill="true">
      <alignment horizontal="center" vertical="center"/>
    </xf>
    <xf fontId="4337" applyFont="true" borderId="8" applyBorder="true" applyNumberFormat="true" numFmtId="2" fillId="22" applyFill="true">
      <alignment horizontal="center" vertical="center"/>
    </xf>
    <xf fontId="4338" applyFont="true" borderId="8" applyBorder="true" applyNumberFormat="true" numFmtId="2" fillId="22" applyFill="true">
      <alignment horizontal="center" vertical="center"/>
    </xf>
    <xf fontId="4339" applyFont="true" borderId="8" applyBorder="true" applyNumberFormat="true" numFmtId="2" fillId="22" applyFill="true">
      <alignment horizontal="center" vertical="center"/>
    </xf>
    <xf fontId="4340" applyFont="true" borderId="8" applyBorder="true" applyNumberFormat="true" numFmtId="2" fillId="22" applyFill="true">
      <alignment horizontal="center" vertical="center"/>
    </xf>
    <xf fontId="4341" applyFont="true" borderId="8" applyBorder="true" applyNumberFormat="true" numFmtId="2" fillId="22" applyFill="true">
      <alignment horizontal="center" vertical="center"/>
    </xf>
    <xf fontId="4342" applyFont="true" borderId="8" applyBorder="true" applyNumberFormat="true" numFmtId="2" fillId="22" applyFill="true">
      <alignment horizontal="center" vertical="center"/>
    </xf>
    <xf fontId="4343" applyFont="true" borderId="8" applyBorder="true" applyNumberFormat="true" numFmtId="2" fillId="22" applyFill="true">
      <alignment horizontal="center" vertical="center"/>
    </xf>
    <xf fontId="4344" applyFont="true" borderId="8" applyBorder="true" applyNumberFormat="true" numFmtId="2" fillId="22" applyFill="true">
      <alignment horizontal="center" vertical="center"/>
    </xf>
    <xf fontId="4345" applyFont="true" borderId="8" applyBorder="true" applyNumberFormat="true" numFmtId="2" fillId="22" applyFill="true">
      <alignment horizontal="center" vertical="center"/>
    </xf>
    <xf fontId="4346" applyFont="true" borderId="8" applyBorder="true" applyNumberFormat="true" numFmtId="2" fillId="22" applyFill="true">
      <alignment horizontal="center" vertical="center"/>
    </xf>
    <xf fontId="4347" applyFont="true" borderId="8" applyBorder="true" applyNumberFormat="true" numFmtId="2" fillId="22" applyFill="true">
      <alignment horizontal="center" vertical="center"/>
    </xf>
    <xf fontId="4348" applyFont="true" borderId="8" applyBorder="true" applyNumberFormat="true" numFmtId="2" fillId="22" applyFill="true">
      <alignment horizontal="center" vertical="center"/>
    </xf>
    <xf fontId="4349" applyFont="true" borderId="8" applyBorder="true" applyNumberFormat="true" numFmtId="2" fillId="22" applyFill="true">
      <alignment horizontal="center" vertical="center"/>
    </xf>
    <xf fontId="4350" applyFont="true" borderId="8" applyBorder="true" applyNumberFormat="true" numFmtId="2" fillId="22" applyFill="true">
      <alignment horizontal="center" vertical="center"/>
    </xf>
    <xf fontId="4351" applyFont="true" borderId="8" applyBorder="true" applyNumberFormat="true" numFmtId="2" fillId="22" applyFill="true">
      <alignment horizontal="center" vertical="center"/>
    </xf>
    <xf fontId="4352" applyFont="true" borderId="8" applyBorder="true" applyNumberFormat="true" numFmtId="2" fillId="22" applyFill="true">
      <alignment horizontal="center" vertical="center"/>
    </xf>
    <xf fontId="4353" applyFont="true" borderId="8" applyBorder="true" applyNumberFormat="true" numFmtId="2" fillId="22" applyFill="true">
      <alignment horizontal="center" vertical="center"/>
    </xf>
    <xf fontId="4354" applyFont="true" borderId="8" applyBorder="true" applyNumberFormat="true" numFmtId="2" fillId="22" applyFill="true">
      <alignment horizontal="center" vertical="center"/>
    </xf>
    <xf fontId="4355" applyFont="true" borderId="8" applyBorder="true" applyNumberFormat="true" numFmtId="2" fillId="22" applyFill="true">
      <alignment horizontal="center" vertical="center"/>
    </xf>
    <xf fontId="4356" applyFont="true" borderId="8" applyBorder="true" applyNumberFormat="true" numFmtId="2" fillId="22" applyFill="true">
      <alignment horizontal="center" vertical="center"/>
    </xf>
    <xf fontId="4357" applyFont="true" borderId="8" applyBorder="true" applyNumberFormat="true" numFmtId="2" fillId="22" applyFill="true">
      <alignment horizontal="center" vertical="center"/>
    </xf>
    <xf fontId="4358" applyFont="true" borderId="8" applyBorder="true" applyNumberFormat="true" numFmtId="2" fillId="22" applyFill="true">
      <alignment horizontal="center" vertical="center"/>
    </xf>
    <xf fontId="4359" applyFont="true" borderId="8" applyBorder="true" applyNumberFormat="true" numFmtId="2" fillId="22" applyFill="true">
      <alignment horizontal="center" vertical="center"/>
    </xf>
    <xf fontId="4360" applyFont="true" borderId="8" applyBorder="true" applyNumberFormat="true" numFmtId="2" fillId="22" applyFill="true">
      <alignment horizontal="center" vertical="center"/>
    </xf>
    <xf fontId="4361" applyFont="true" borderId="8" applyBorder="true" applyNumberFormat="true" numFmtId="2" fillId="22" applyFill="true">
      <alignment horizontal="center" vertical="center"/>
    </xf>
    <xf fontId="4362" applyFont="true" borderId="8" applyBorder="true" applyNumberFormat="true" numFmtId="2" fillId="22" applyFill="true">
      <alignment horizontal="center" vertical="center"/>
    </xf>
    <xf fontId="4363" applyFont="true" borderId="8" applyBorder="true" applyNumberFormat="true" numFmtId="2" fillId="22" applyFill="true">
      <alignment horizontal="center" vertical="center"/>
    </xf>
    <xf fontId="4364" applyFont="true" borderId="8" applyBorder="true" applyNumberFormat="true" numFmtId="2" fillId="22" applyFill="true">
      <alignment horizontal="center" vertical="center"/>
    </xf>
    <xf fontId="4365" applyFont="true" borderId="8" applyBorder="true" applyNumberFormat="true" numFmtId="2" fillId="22" applyFill="true">
      <alignment horizontal="center" vertical="center"/>
    </xf>
    <xf fontId="4366" applyFont="true" borderId="8" applyBorder="true" applyNumberFormat="true" numFmtId="2" fillId="22" applyFill="true">
      <alignment horizontal="center" vertical="center"/>
    </xf>
    <xf fontId="4367" applyFont="true" borderId="8" applyBorder="true" applyNumberFormat="true" numFmtId="2" fillId="22" applyFill="true">
      <alignment horizontal="center" vertical="center"/>
    </xf>
    <xf fontId="4368" applyFont="true" borderId="8" applyBorder="true" applyNumberFormat="true" numFmtId="2" fillId="22" applyFill="true">
      <alignment horizontal="center" vertical="center"/>
    </xf>
    <xf fontId="4369" applyFont="true" borderId="8" applyBorder="true" applyNumberFormat="true" numFmtId="165" fillId="19" applyFill="true">
      <alignment horizontal="left" vertical="center"/>
    </xf>
    <xf fontId="4370" applyFont="true" borderId="8" applyBorder="true" applyNumberFormat="true" numFmtId="165" fillId="22" applyFill="true">
      <alignment horizontal="center" vertical="center"/>
    </xf>
    <xf fontId="4371" applyFont="true" borderId="8" applyBorder="true" applyNumberFormat="true" numFmtId="166" fillId="22" applyFill="true">
      <alignment horizontal="center" vertical="center"/>
    </xf>
    <xf fontId="4372" applyFont="true" borderId="8" applyBorder="true" applyNumberFormat="true" numFmtId="1" fillId="22" applyFill="true">
      <alignment horizontal="center" vertical="center"/>
    </xf>
    <xf fontId="4373" applyFont="true" borderId="8" applyBorder="true" applyNumberFormat="true" numFmtId="1" fillId="22" applyFill="true">
      <alignment horizontal="center" vertical="center"/>
    </xf>
    <xf fontId="4374" applyFont="true" borderId="8" applyBorder="true" applyNumberFormat="true" numFmtId="1" fillId="22" applyFill="true">
      <alignment horizontal="center" vertical="center"/>
    </xf>
    <xf fontId="4375" applyFont="true" borderId="8" applyBorder="true" applyNumberFormat="true" numFmtId="1" fillId="22" applyFill="true">
      <alignment horizontal="center" vertical="center"/>
    </xf>
    <xf fontId="4376" applyFont="true" borderId="8" applyBorder="true" applyNumberFormat="true" numFmtId="1" fillId="22" applyFill="true">
      <alignment horizontal="center" vertical="center"/>
    </xf>
    <xf fontId="4377" applyFont="true" borderId="8" applyBorder="true" applyNumberFormat="true" numFmtId="1" fillId="22" applyFill="true">
      <alignment horizontal="center" vertical="center"/>
    </xf>
    <xf fontId="4378" applyFont="true" borderId="8" applyBorder="true" applyNumberFormat="true" numFmtId="1" fillId="22" applyFill="true">
      <alignment horizontal="center" vertical="center"/>
    </xf>
    <xf fontId="4379" applyFont="true" borderId="8" applyBorder="true" applyNumberFormat="true" numFmtId="165" fillId="22" applyFill="true">
      <alignment horizontal="center" vertical="center"/>
    </xf>
    <xf fontId="4380" applyFont="true" borderId="8" applyBorder="true" applyNumberFormat="true" numFmtId="165" fillId="22" applyFill="true">
      <alignment horizontal="center" vertical="center"/>
    </xf>
    <xf fontId="4381" applyFont="true" borderId="8" applyBorder="true" applyNumberFormat="true" numFmtId="1" fillId="22" applyFill="true">
      <alignment horizontal="center" vertical="center"/>
    </xf>
    <xf fontId="4382" applyFont="true" borderId="8" applyBorder="true" applyNumberFormat="true" numFmtId="1" fillId="22" applyFill="true">
      <alignment horizontal="center" vertical="center"/>
    </xf>
    <xf fontId="4383" applyFont="true" borderId="8" applyBorder="true" applyNumberFormat="true" numFmtId="1" fillId="22" applyFill="true">
      <alignment horizontal="center" vertical="center"/>
    </xf>
    <xf fontId="4384" applyFont="true" borderId="8" applyBorder="true" applyNumberFormat="true" numFmtId="167" fillId="22" applyFill="true">
      <alignment horizontal="center" vertical="center"/>
    </xf>
    <xf fontId="4385" applyFont="true" borderId="8" applyBorder="true" applyNumberFormat="true" numFmtId="1" fillId="22" applyFill="true">
      <alignment horizontal="center" vertical="center"/>
    </xf>
    <xf fontId="4386" applyFont="true" borderId="8" applyBorder="true" applyNumberFormat="true" numFmtId="167" fillId="22" applyFill="true">
      <alignment horizontal="center" vertical="center"/>
    </xf>
    <xf fontId="4387" applyFont="true" borderId="8" applyBorder="true" applyNumberFormat="true" numFmtId="1" fillId="22" applyFill="true">
      <alignment horizontal="center" vertical="center"/>
    </xf>
    <xf fontId="4388" applyFont="true" borderId="8" applyBorder="true" applyNumberFormat="true" numFmtId="167" fillId="22" applyFill="true">
      <alignment horizontal="center" vertical="center"/>
    </xf>
    <xf fontId="4389" applyFont="true" borderId="8" applyBorder="true" applyNumberFormat="true" numFmtId="1" fillId="22" applyFill="true">
      <alignment horizontal="center" vertical="center"/>
    </xf>
    <xf fontId="4390" applyFont="true" borderId="8" applyBorder="true" applyNumberFormat="true" numFmtId="167" fillId="22" applyFill="true">
      <alignment horizontal="center" vertical="center"/>
    </xf>
    <xf fontId="4391" applyFont="true" borderId="8" applyBorder="true" applyNumberFormat="true" numFmtId="167" fillId="22" applyFill="true">
      <alignment horizontal="center" vertical="center"/>
    </xf>
    <xf fontId="4392" applyFont="true" borderId="8" applyBorder="true" applyNumberFormat="true" numFmtId="1" fillId="22" applyFill="true">
      <alignment horizontal="center" vertical="center"/>
    </xf>
    <xf fontId="4393" applyFont="true" borderId="8" applyBorder="true" applyNumberFormat="true" numFmtId="1" fillId="22" applyFill="true">
      <alignment horizontal="center" vertical="center"/>
    </xf>
    <xf fontId="4394" applyFont="true" borderId="8" applyBorder="true" applyNumberFormat="true" numFmtId="1" fillId="22" applyFill="true">
      <alignment horizontal="center" vertical="center"/>
    </xf>
    <xf fontId="4395" applyFont="true" borderId="8" applyBorder="true" applyNumberFormat="true" numFmtId="167" fillId="22" applyFill="true">
      <alignment horizontal="center" vertical="center"/>
    </xf>
    <xf fontId="4396" applyFont="true" borderId="8" applyBorder="true" applyNumberFormat="true" numFmtId="166" fillId="22" applyFill="true">
      <alignment horizontal="center" vertical="center"/>
    </xf>
    <xf fontId="4397" applyFont="true" borderId="8" applyBorder="true" applyNumberFormat="true" numFmtId="166" fillId="22" applyFill="true">
      <alignment horizontal="center" vertical="center"/>
    </xf>
    <xf fontId="4398" applyFont="true" borderId="8" applyBorder="true" applyNumberFormat="true" numFmtId="1" fillId="22" applyFill="true">
      <alignment horizontal="center" vertical="center"/>
    </xf>
    <xf fontId="4399" applyFont="true" borderId="8" applyBorder="true" applyNumberFormat="true" numFmtId="1" fillId="22" applyFill="true">
      <alignment horizontal="center" vertical="center"/>
    </xf>
    <xf fontId="4400" applyFont="true" borderId="8" applyBorder="true" applyNumberFormat="true" numFmtId="1" fillId="22" applyFill="true">
      <alignment horizontal="center" vertical="center"/>
    </xf>
    <xf fontId="4401" applyFont="true" borderId="8" applyBorder="true" applyNumberFormat="true" numFmtId="167" fillId="22" applyFill="true">
      <alignment horizontal="center" vertical="center"/>
    </xf>
    <xf fontId="4402" applyFont="true" borderId="8" applyBorder="true" applyNumberFormat="true" numFmtId="1" fillId="22" applyFill="true">
      <alignment horizontal="center" vertical="center"/>
    </xf>
    <xf fontId="4403" applyFont="true" borderId="8" applyBorder="true" applyNumberFormat="true" numFmtId="167" fillId="22" applyFill="true">
      <alignment horizontal="center" vertical="center"/>
    </xf>
    <xf fontId="4404" applyFont="true" borderId="8" applyBorder="true" applyNumberFormat="true" numFmtId="1" fillId="22" applyFill="true">
      <alignment horizontal="center" vertical="center"/>
    </xf>
    <xf fontId="4405" applyFont="true" borderId="8" applyBorder="true" applyNumberFormat="true" numFmtId="1" fillId="22" applyFill="true">
      <alignment horizontal="center" vertical="center"/>
    </xf>
    <xf fontId="4406" applyFont="true" borderId="8" applyBorder="true" applyNumberFormat="true" numFmtId="1" fillId="22" applyFill="true">
      <alignment horizontal="center" vertical="center"/>
    </xf>
    <xf fontId="4407" applyFont="true" borderId="8" applyBorder="true" applyNumberFormat="true" numFmtId="1" fillId="22" applyFill="true">
      <alignment horizontal="center" vertical="center"/>
    </xf>
    <xf fontId="4408" applyFont="true" borderId="8" applyBorder="true" applyNumberFormat="true" numFmtId="167" fillId="22" applyFill="true">
      <alignment horizontal="center" vertical="center"/>
    </xf>
    <xf fontId="4409" applyFont="true" borderId="8" applyBorder="true" applyNumberFormat="true" numFmtId="1" fillId="22" applyFill="true">
      <alignment horizontal="center" vertical="center"/>
    </xf>
    <xf fontId="4410" applyFont="true" borderId="8" applyBorder="true" applyNumberFormat="true" numFmtId="167" fillId="22" applyFill="true">
      <alignment horizontal="center" vertical="center"/>
    </xf>
    <xf fontId="4411" applyFont="true" borderId="8" applyBorder="true" applyNumberFormat="true" numFmtId="1" fillId="22" applyFill="true">
      <alignment horizontal="center" vertical="center"/>
    </xf>
    <xf fontId="4412" applyFont="true" borderId="8" applyBorder="true" applyNumberFormat="true" numFmtId="167" fillId="22" applyFill="true">
      <alignment horizontal="center" vertical="center"/>
    </xf>
    <xf fontId="4413" applyFont="true" borderId="8" applyBorder="true" applyNumberFormat="true" numFmtId="2" fillId="22" applyFill="true">
      <alignment horizontal="center" vertical="center"/>
    </xf>
    <xf fontId="4414" applyFont="true" borderId="8" applyBorder="true" applyNumberFormat="true" numFmtId="2" fillId="22" applyFill="true">
      <alignment horizontal="center" vertical="center"/>
    </xf>
    <xf fontId="4415" applyFont="true" borderId="8" applyBorder="true" applyNumberFormat="true" numFmtId="2" fillId="22" applyFill="true">
      <alignment horizontal="center" vertical="center"/>
    </xf>
    <xf fontId="4416" applyFont="true" borderId="8" applyBorder="true" applyNumberFormat="true" numFmtId="2" fillId="22" applyFill="true">
      <alignment horizontal="center" vertical="center"/>
    </xf>
    <xf fontId="4417" applyFont="true" borderId="8" applyBorder="true" applyNumberFormat="true" numFmtId="2" fillId="22" applyFill="true">
      <alignment horizontal="center" vertical="center"/>
    </xf>
    <xf fontId="4418" applyFont="true" borderId="8" applyBorder="true" applyNumberFormat="true" numFmtId="2" fillId="22" applyFill="true">
      <alignment horizontal="center" vertical="center"/>
    </xf>
    <xf fontId="4419" applyFont="true" borderId="8" applyBorder="true" applyNumberFormat="true" numFmtId="2" fillId="22" applyFill="true">
      <alignment horizontal="center" vertical="center"/>
    </xf>
    <xf fontId="4420" applyFont="true" borderId="8" applyBorder="true" applyNumberFormat="true" numFmtId="2" fillId="22" applyFill="true">
      <alignment horizontal="center" vertical="center"/>
    </xf>
    <xf fontId="4421" applyFont="true" borderId="8" applyBorder="true" applyNumberFormat="true" numFmtId="2" fillId="22" applyFill="true">
      <alignment horizontal="center" vertical="center"/>
    </xf>
    <xf fontId="4422" applyFont="true" borderId="8" applyBorder="true" applyNumberFormat="true" numFmtId="2" fillId="22" applyFill="true">
      <alignment horizontal="center" vertical="center"/>
    </xf>
    <xf fontId="4423" applyFont="true" borderId="8" applyBorder="true" applyNumberFormat="true" numFmtId="2" fillId="22" applyFill="true">
      <alignment horizontal="center" vertical="center"/>
    </xf>
    <xf fontId="4424" applyFont="true" borderId="8" applyBorder="true" applyNumberFormat="true" numFmtId="2" fillId="22" applyFill="true">
      <alignment horizontal="center" vertical="center"/>
    </xf>
    <xf fontId="4425" applyFont="true" borderId="8" applyBorder="true" applyNumberFormat="true" numFmtId="2" fillId="22" applyFill="true">
      <alignment horizontal="center" vertical="center"/>
    </xf>
    <xf fontId="4426" applyFont="true" borderId="8" applyBorder="true" applyNumberFormat="true" numFmtId="2" fillId="22" applyFill="true">
      <alignment horizontal="center" vertical="center"/>
    </xf>
    <xf fontId="4427" applyFont="true" borderId="8" applyBorder="true" applyNumberFormat="true" numFmtId="2" fillId="22" applyFill="true">
      <alignment horizontal="center" vertical="center"/>
    </xf>
    <xf fontId="4428" applyFont="true" borderId="8" applyBorder="true" applyNumberFormat="true" numFmtId="2" fillId="22" applyFill="true">
      <alignment horizontal="center" vertical="center"/>
    </xf>
    <xf fontId="4429" applyFont="true" borderId="8" applyBorder="true" applyNumberFormat="true" numFmtId="2" fillId="22" applyFill="true">
      <alignment horizontal="center" vertical="center"/>
    </xf>
    <xf fontId="4430" applyFont="true" borderId="8" applyBorder="true" applyNumberFormat="true" numFmtId="2" fillId="22" applyFill="true">
      <alignment horizontal="center" vertical="center"/>
    </xf>
    <xf fontId="4431" applyFont="true" borderId="8" applyBorder="true" applyNumberFormat="true" numFmtId="2" fillId="22" applyFill="true">
      <alignment horizontal="center" vertical="center"/>
    </xf>
    <xf fontId="4432" applyFont="true" borderId="8" applyBorder="true" applyNumberFormat="true" numFmtId="2" fillId="22" applyFill="true">
      <alignment horizontal="center" vertical="center"/>
    </xf>
    <xf fontId="4433" applyFont="true" borderId="8" applyBorder="true" applyNumberFormat="true" numFmtId="2" fillId="22" applyFill="true">
      <alignment horizontal="center" vertical="center"/>
    </xf>
    <xf fontId="4434" applyFont="true" borderId="8" applyBorder="true" applyNumberFormat="true" numFmtId="2" fillId="22" applyFill="true">
      <alignment horizontal="center" vertical="center"/>
    </xf>
    <xf fontId="4435" applyFont="true" borderId="8" applyBorder="true" applyNumberFormat="true" numFmtId="2" fillId="22" applyFill="true">
      <alignment horizontal="center" vertical="center"/>
    </xf>
    <xf fontId="4436" applyFont="true" borderId="8" applyBorder="true" applyNumberFormat="true" numFmtId="2" fillId="22" applyFill="true">
      <alignment horizontal="center" vertical="center"/>
    </xf>
    <xf fontId="4437" applyFont="true" borderId="8" applyBorder="true" applyNumberFormat="true" numFmtId="2" fillId="22" applyFill="true">
      <alignment horizontal="center" vertical="center"/>
    </xf>
    <xf fontId="4438" applyFont="true" borderId="8" applyBorder="true" applyNumberFormat="true" numFmtId="2" fillId="22" applyFill="true">
      <alignment horizontal="center" vertical="center"/>
    </xf>
    <xf fontId="4439" applyFont="true" borderId="8" applyBorder="true" applyNumberFormat="true" numFmtId="2" fillId="22" applyFill="true">
      <alignment horizontal="center" vertical="center"/>
    </xf>
    <xf fontId="4440" applyFont="true" borderId="8" applyBorder="true" applyNumberFormat="true" numFmtId="2" fillId="22" applyFill="true">
      <alignment horizontal="center" vertical="center"/>
    </xf>
    <xf fontId="4441" applyFont="true" borderId="8" applyBorder="true" applyNumberFormat="true" numFmtId="2" fillId="22" applyFill="true">
      <alignment horizontal="center" vertical="center"/>
    </xf>
    <xf fontId="4442" applyFont="true" borderId="8" applyBorder="true" applyNumberFormat="true" numFmtId="2" fillId="22" applyFill="true">
      <alignment horizontal="center" vertical="center"/>
    </xf>
    <xf fontId="4443" applyFont="true" borderId="8" applyBorder="true" applyNumberFormat="true" numFmtId="2" fillId="22" applyFill="true">
      <alignment horizontal="center" vertical="center"/>
    </xf>
    <xf fontId="4444" applyFont="true" borderId="8" applyBorder="true" applyNumberFormat="true" numFmtId="2" fillId="22" applyFill="true">
      <alignment horizontal="center" vertical="center"/>
    </xf>
    <xf fontId="4445" applyFont="true" borderId="8" applyBorder="true" applyNumberFormat="true" numFmtId="2" fillId="22" applyFill="true">
      <alignment horizontal="center" vertical="center"/>
    </xf>
    <xf fontId="4446" applyFont="true" borderId="8" applyBorder="true" applyNumberFormat="true" numFmtId="2" fillId="22" applyFill="true">
      <alignment horizontal="center" vertical="center"/>
    </xf>
    <xf fontId="4447" applyFont="true" borderId="8" applyBorder="true" applyNumberFormat="true" numFmtId="165" fillId="19" applyFill="true">
      <alignment horizontal="left" vertical="center"/>
    </xf>
    <xf fontId="4448" applyFont="true" borderId="8" applyBorder="true" applyNumberFormat="true" numFmtId="165" fillId="22" applyFill="true">
      <alignment horizontal="center" vertical="center"/>
    </xf>
    <xf fontId="4449" applyFont="true" borderId="8" applyBorder="true" applyNumberFormat="true" numFmtId="166" fillId="22" applyFill="true">
      <alignment horizontal="center" vertical="center"/>
    </xf>
    <xf fontId="4450" applyFont="true" borderId="8" applyBorder="true" applyNumberFormat="true" numFmtId="1" fillId="22" applyFill="true">
      <alignment horizontal="center" vertical="center"/>
    </xf>
    <xf fontId="4451" applyFont="true" borderId="8" applyBorder="true" applyNumberFormat="true" numFmtId="1" fillId="22" applyFill="true">
      <alignment horizontal="center" vertical="center"/>
    </xf>
    <xf fontId="4452" applyFont="true" borderId="8" applyBorder="true" applyNumberFormat="true" numFmtId="1" fillId="22" applyFill="true">
      <alignment horizontal="center" vertical="center"/>
    </xf>
    <xf fontId="4453" applyFont="true" borderId="8" applyBorder="true" applyNumberFormat="true" numFmtId="1" fillId="22" applyFill="true">
      <alignment horizontal="center" vertical="center"/>
    </xf>
    <xf fontId="4454" applyFont="true" borderId="8" applyBorder="true" applyNumberFormat="true" numFmtId="1" fillId="22" applyFill="true">
      <alignment horizontal="center" vertical="center"/>
    </xf>
    <xf fontId="4455" applyFont="true" borderId="8" applyBorder="true" applyNumberFormat="true" numFmtId="1" fillId="22" applyFill="true">
      <alignment horizontal="center" vertical="center"/>
    </xf>
    <xf fontId="4456" applyFont="true" borderId="8" applyBorder="true" applyNumberFormat="true" numFmtId="1" fillId="22" applyFill="true">
      <alignment horizontal="center" vertical="center"/>
    </xf>
    <xf fontId="4457" applyFont="true" borderId="8" applyBorder="true" applyNumberFormat="true" numFmtId="165" fillId="22" applyFill="true">
      <alignment horizontal="center" vertical="center"/>
    </xf>
    <xf fontId="4458" applyFont="true" borderId="8" applyBorder="true" applyNumberFormat="true" numFmtId="165" fillId="22" applyFill="true">
      <alignment horizontal="center" vertical="center"/>
    </xf>
    <xf fontId="4459" applyFont="true" borderId="8" applyBorder="true" applyNumberFormat="true" numFmtId="1" fillId="22" applyFill="true">
      <alignment horizontal="center" vertical="center"/>
    </xf>
    <xf fontId="4460" applyFont="true" borderId="8" applyBorder="true" applyNumberFormat="true" numFmtId="1" fillId="22" applyFill="true">
      <alignment horizontal="center" vertical="center"/>
    </xf>
    <xf fontId="4461" applyFont="true" borderId="8" applyBorder="true" applyNumberFormat="true" numFmtId="1" fillId="22" applyFill="true">
      <alignment horizontal="center" vertical="center"/>
    </xf>
    <xf fontId="4462" applyFont="true" borderId="8" applyBorder="true" applyNumberFormat="true" numFmtId="167" fillId="22" applyFill="true">
      <alignment horizontal="center" vertical="center"/>
    </xf>
    <xf fontId="4463" applyFont="true" borderId="8" applyBorder="true" applyNumberFormat="true" numFmtId="1" fillId="22" applyFill="true">
      <alignment horizontal="center" vertical="center"/>
    </xf>
    <xf fontId="4464" applyFont="true" borderId="8" applyBorder="true" applyNumberFormat="true" numFmtId="167" fillId="22" applyFill="true">
      <alignment horizontal="center" vertical="center"/>
    </xf>
    <xf fontId="4465" applyFont="true" borderId="8" applyBorder="true" applyNumberFormat="true" numFmtId="1" fillId="22" applyFill="true">
      <alignment horizontal="center" vertical="center"/>
    </xf>
    <xf fontId="4466" applyFont="true" borderId="8" applyBorder="true" applyNumberFormat="true" numFmtId="167" fillId="22" applyFill="true">
      <alignment horizontal="center" vertical="center"/>
    </xf>
    <xf fontId="4467" applyFont="true" borderId="8" applyBorder="true" applyNumberFormat="true" numFmtId="1" fillId="22" applyFill="true">
      <alignment horizontal="center" vertical="center"/>
    </xf>
    <xf fontId="4468" applyFont="true" borderId="8" applyBorder="true" applyNumberFormat="true" numFmtId="167" fillId="22" applyFill="true">
      <alignment horizontal="center" vertical="center"/>
    </xf>
    <xf fontId="4469" applyFont="true" borderId="8" applyBorder="true" applyNumberFormat="true" numFmtId="167" fillId="22" applyFill="true">
      <alignment horizontal="center" vertical="center"/>
    </xf>
    <xf fontId="4470" applyFont="true" borderId="8" applyBorder="true" applyNumberFormat="true" numFmtId="1" fillId="22" applyFill="true">
      <alignment horizontal="center" vertical="center"/>
    </xf>
    <xf fontId="4471" applyFont="true" borderId="8" applyBorder="true" applyNumberFormat="true" numFmtId="1" fillId="22" applyFill="true">
      <alignment horizontal="center" vertical="center"/>
    </xf>
    <xf fontId="4472" applyFont="true" borderId="8" applyBorder="true" applyNumberFormat="true" numFmtId="1" fillId="22" applyFill="true">
      <alignment horizontal="center" vertical="center"/>
    </xf>
    <xf fontId="4473" applyFont="true" borderId="8" applyBorder="true" applyNumberFormat="true" numFmtId="167" fillId="22" applyFill="true">
      <alignment horizontal="center" vertical="center"/>
    </xf>
    <xf fontId="4474" applyFont="true" borderId="8" applyBorder="true" applyNumberFormat="true" numFmtId="166" fillId="22" applyFill="true">
      <alignment horizontal="center" vertical="center"/>
    </xf>
    <xf fontId="4475" applyFont="true" borderId="8" applyBorder="true" applyNumberFormat="true" numFmtId="166" fillId="22" applyFill="true">
      <alignment horizontal="center" vertical="center"/>
    </xf>
    <xf fontId="4476" applyFont="true" borderId="8" applyBorder="true" applyNumberFormat="true" numFmtId="1" fillId="22" applyFill="true">
      <alignment horizontal="center" vertical="center"/>
    </xf>
    <xf fontId="4477" applyFont="true" borderId="8" applyBorder="true" applyNumberFormat="true" numFmtId="1" fillId="22" applyFill="true">
      <alignment horizontal="center" vertical="center"/>
    </xf>
    <xf fontId="4478" applyFont="true" borderId="8" applyBorder="true" applyNumberFormat="true" numFmtId="1" fillId="22" applyFill="true">
      <alignment horizontal="center" vertical="center"/>
    </xf>
    <xf fontId="4479" applyFont="true" borderId="8" applyBorder="true" applyNumberFormat="true" numFmtId="167" fillId="22" applyFill="true">
      <alignment horizontal="center" vertical="center"/>
    </xf>
    <xf fontId="4480" applyFont="true" borderId="8" applyBorder="true" applyNumberFormat="true" numFmtId="1" fillId="22" applyFill="true">
      <alignment horizontal="center" vertical="center"/>
    </xf>
    <xf fontId="4481" applyFont="true" borderId="8" applyBorder="true" applyNumberFormat="true" numFmtId="167" fillId="22" applyFill="true">
      <alignment horizontal="center" vertical="center"/>
    </xf>
    <xf fontId="4482" applyFont="true" borderId="8" applyBorder="true" applyNumberFormat="true" numFmtId="1" fillId="22" applyFill="true">
      <alignment horizontal="center" vertical="center"/>
    </xf>
    <xf fontId="4483" applyFont="true" borderId="8" applyBorder="true" applyNumberFormat="true" numFmtId="1" fillId="22" applyFill="true">
      <alignment horizontal="center" vertical="center"/>
    </xf>
    <xf fontId="4484" applyFont="true" borderId="8" applyBorder="true" applyNumberFormat="true" numFmtId="1" fillId="22" applyFill="true">
      <alignment horizontal="center" vertical="center"/>
    </xf>
    <xf fontId="4485" applyFont="true" borderId="8" applyBorder="true" applyNumberFormat="true" numFmtId="1" fillId="22" applyFill="true">
      <alignment horizontal="center" vertical="center"/>
    </xf>
    <xf fontId="4486" applyFont="true" borderId="8" applyBorder="true" applyNumberFormat="true" numFmtId="167" fillId="22" applyFill="true">
      <alignment horizontal="center" vertical="center"/>
    </xf>
    <xf fontId="4487" applyFont="true" borderId="8" applyBorder="true" applyNumberFormat="true" numFmtId="1" fillId="22" applyFill="true">
      <alignment horizontal="center" vertical="center"/>
    </xf>
    <xf fontId="4488" applyFont="true" borderId="8" applyBorder="true" applyNumberFormat="true" numFmtId="167" fillId="22" applyFill="true">
      <alignment horizontal="center" vertical="center"/>
    </xf>
    <xf fontId="4489" applyFont="true" borderId="8" applyBorder="true" applyNumberFormat="true" numFmtId="1" fillId="22" applyFill="true">
      <alignment horizontal="center" vertical="center"/>
    </xf>
    <xf fontId="4490" applyFont="true" borderId="8" applyBorder="true" applyNumberFormat="true" numFmtId="167" fillId="22" applyFill="true">
      <alignment horizontal="center" vertical="center"/>
    </xf>
    <xf fontId="4491" applyFont="true" borderId="8" applyBorder="true" applyNumberFormat="true" numFmtId="2" fillId="22" applyFill="true">
      <alignment horizontal="center" vertical="center"/>
    </xf>
    <xf fontId="4492" applyFont="true" borderId="8" applyBorder="true" applyNumberFormat="true" numFmtId="2" fillId="22" applyFill="true">
      <alignment horizontal="center" vertical="center"/>
    </xf>
    <xf fontId="4493" applyFont="true" borderId="8" applyBorder="true" applyNumberFormat="true" numFmtId="2" fillId="22" applyFill="true">
      <alignment horizontal="center" vertical="center"/>
    </xf>
    <xf fontId="4494" applyFont="true" borderId="8" applyBorder="true" applyNumberFormat="true" numFmtId="2" fillId="22" applyFill="true">
      <alignment horizontal="center" vertical="center"/>
    </xf>
    <xf fontId="4495" applyFont="true" borderId="8" applyBorder="true" applyNumberFormat="true" numFmtId="2" fillId="22" applyFill="true">
      <alignment horizontal="center" vertical="center"/>
    </xf>
    <xf fontId="4496" applyFont="true" borderId="8" applyBorder="true" applyNumberFormat="true" numFmtId="2" fillId="22" applyFill="true">
      <alignment horizontal="center" vertical="center"/>
    </xf>
    <xf fontId="4497" applyFont="true" borderId="8" applyBorder="true" applyNumberFormat="true" numFmtId="2" fillId="22" applyFill="true">
      <alignment horizontal="center" vertical="center"/>
    </xf>
    <xf fontId="4498" applyFont="true" borderId="8" applyBorder="true" applyNumberFormat="true" numFmtId="2" fillId="22" applyFill="true">
      <alignment horizontal="center" vertical="center"/>
    </xf>
    <xf fontId="4499" applyFont="true" borderId="8" applyBorder="true" applyNumberFormat="true" numFmtId="2" fillId="22" applyFill="true">
      <alignment horizontal="center" vertical="center"/>
    </xf>
    <xf fontId="4500" applyFont="true" borderId="8" applyBorder="true" applyNumberFormat="true" numFmtId="2" fillId="22" applyFill="true">
      <alignment horizontal="center" vertical="center"/>
    </xf>
    <xf fontId="4501" applyFont="true" borderId="8" applyBorder="true" applyNumberFormat="true" numFmtId="2" fillId="22" applyFill="true">
      <alignment horizontal="center" vertical="center"/>
    </xf>
    <xf fontId="4502" applyFont="true" borderId="8" applyBorder="true" applyNumberFormat="true" numFmtId="2" fillId="22" applyFill="true">
      <alignment horizontal="center" vertical="center"/>
    </xf>
    <xf fontId="4503" applyFont="true" borderId="8" applyBorder="true" applyNumberFormat="true" numFmtId="2" fillId="22" applyFill="true">
      <alignment horizontal="center" vertical="center"/>
    </xf>
    <xf fontId="4504" applyFont="true" borderId="8" applyBorder="true" applyNumberFormat="true" numFmtId="2" fillId="22" applyFill="true">
      <alignment horizontal="center" vertical="center"/>
    </xf>
    <xf fontId="4505" applyFont="true" borderId="8" applyBorder="true" applyNumberFormat="true" numFmtId="2" fillId="22" applyFill="true">
      <alignment horizontal="center" vertical="center"/>
    </xf>
    <xf fontId="4506" applyFont="true" borderId="8" applyBorder="true" applyNumberFormat="true" numFmtId="2" fillId="22" applyFill="true">
      <alignment horizontal="center" vertical="center"/>
    </xf>
    <xf fontId="4507" applyFont="true" borderId="8" applyBorder="true" applyNumberFormat="true" numFmtId="2" fillId="22" applyFill="true">
      <alignment horizontal="center" vertical="center"/>
    </xf>
    <xf fontId="4508" applyFont="true" borderId="8" applyBorder="true" applyNumberFormat="true" numFmtId="2" fillId="22" applyFill="true">
      <alignment horizontal="center" vertical="center"/>
    </xf>
    <xf fontId="4509" applyFont="true" borderId="8" applyBorder="true" applyNumberFormat="true" numFmtId="2" fillId="22" applyFill="true">
      <alignment horizontal="center" vertical="center"/>
    </xf>
    <xf fontId="4510" applyFont="true" borderId="8" applyBorder="true" applyNumberFormat="true" numFmtId="2" fillId="22" applyFill="true">
      <alignment horizontal="center" vertical="center"/>
    </xf>
    <xf fontId="4511" applyFont="true" borderId="8" applyBorder="true" applyNumberFormat="true" numFmtId="2" fillId="22" applyFill="true">
      <alignment horizontal="center" vertical="center"/>
    </xf>
    <xf fontId="4512" applyFont="true" borderId="8" applyBorder="true" applyNumberFormat="true" numFmtId="2" fillId="22" applyFill="true">
      <alignment horizontal="center" vertical="center"/>
    </xf>
    <xf fontId="4513" applyFont="true" borderId="8" applyBorder="true" applyNumberFormat="true" numFmtId="2" fillId="22" applyFill="true">
      <alignment horizontal="center" vertical="center"/>
    </xf>
    <xf fontId="4514" applyFont="true" borderId="8" applyBorder="true" applyNumberFormat="true" numFmtId="2" fillId="22" applyFill="true">
      <alignment horizontal="center" vertical="center"/>
    </xf>
    <xf fontId="4515" applyFont="true" borderId="8" applyBorder="true" applyNumberFormat="true" numFmtId="2" fillId="22" applyFill="true">
      <alignment horizontal="center" vertical="center"/>
    </xf>
    <xf fontId="4516" applyFont="true" borderId="8" applyBorder="true" applyNumberFormat="true" numFmtId="2" fillId="22" applyFill="true">
      <alignment horizontal="center" vertical="center"/>
    </xf>
    <xf fontId="4517" applyFont="true" borderId="8" applyBorder="true" applyNumberFormat="true" numFmtId="2" fillId="22" applyFill="true">
      <alignment horizontal="center" vertical="center"/>
    </xf>
    <xf fontId="4518" applyFont="true" borderId="8" applyBorder="true" applyNumberFormat="true" numFmtId="2" fillId="22" applyFill="true">
      <alignment horizontal="center" vertical="center"/>
    </xf>
    <xf fontId="4519" applyFont="true" borderId="8" applyBorder="true" applyNumberFormat="true" numFmtId="2" fillId="22" applyFill="true">
      <alignment horizontal="center" vertical="center"/>
    </xf>
    <xf fontId="4520" applyFont="true" borderId="8" applyBorder="true" applyNumberFormat="true" numFmtId="2" fillId="22" applyFill="true">
      <alignment horizontal="center" vertical="center"/>
    </xf>
    <xf fontId="4521" applyFont="true" borderId="8" applyBorder="true" applyNumberFormat="true" numFmtId="2" fillId="22" applyFill="true">
      <alignment horizontal="center" vertical="center"/>
    </xf>
    <xf fontId="4522" applyFont="true" borderId="8" applyBorder="true" applyNumberFormat="true" numFmtId="2" fillId="22" applyFill="true">
      <alignment horizontal="center" vertical="center"/>
    </xf>
    <xf fontId="4523" applyFont="true" borderId="8" applyBorder="true" applyNumberFormat="true" numFmtId="2" fillId="22" applyFill="true">
      <alignment horizontal="center" vertical="center"/>
    </xf>
    <xf fontId="4524" applyFont="true" borderId="8" applyBorder="true" applyNumberFormat="true" numFmtId="2" fillId="22" applyFill="true">
      <alignment horizontal="center" vertical="center"/>
    </xf>
    <xf fontId="4525" applyFont="true" borderId="8" applyBorder="true" applyNumberFormat="true" numFmtId="165" fillId="19" applyFill="true">
      <alignment horizontal="left" vertical="center"/>
    </xf>
    <xf fontId="4526" applyFont="true" borderId="8" applyBorder="true" applyNumberFormat="true" numFmtId="165" fillId="22" applyFill="true">
      <alignment horizontal="center" vertical="center"/>
    </xf>
    <xf fontId="4527" applyFont="true" borderId="8" applyBorder="true" applyNumberFormat="true" numFmtId="166" fillId="22" applyFill="true">
      <alignment horizontal="center" vertical="center"/>
    </xf>
    <xf fontId="4528" applyFont="true" borderId="8" applyBorder="true" applyNumberFormat="true" numFmtId="1" fillId="22" applyFill="true">
      <alignment horizontal="center" vertical="center"/>
    </xf>
    <xf fontId="4529" applyFont="true" borderId="8" applyBorder="true" applyNumberFormat="true" numFmtId="1" fillId="22" applyFill="true">
      <alignment horizontal="center" vertical="center"/>
    </xf>
    <xf fontId="4530" applyFont="true" borderId="8" applyBorder="true" applyNumberFormat="true" numFmtId="1" fillId="22" applyFill="true">
      <alignment horizontal="center" vertical="center"/>
    </xf>
    <xf fontId="4531" applyFont="true" borderId="8" applyBorder="true" applyNumberFormat="true" numFmtId="1" fillId="22" applyFill="true">
      <alignment horizontal="center" vertical="center"/>
    </xf>
    <xf fontId="4532" applyFont="true" borderId="8" applyBorder="true" applyNumberFormat="true" numFmtId="1" fillId="22" applyFill="true">
      <alignment horizontal="center" vertical="center"/>
    </xf>
    <xf fontId="4533" applyFont="true" borderId="8" applyBorder="true" applyNumberFormat="true" numFmtId="1" fillId="22" applyFill="true">
      <alignment horizontal="center" vertical="center"/>
    </xf>
    <xf fontId="4534" applyFont="true" borderId="8" applyBorder="true" applyNumberFormat="true" numFmtId="1" fillId="22" applyFill="true">
      <alignment horizontal="center" vertical="center"/>
    </xf>
    <xf fontId="4535" applyFont="true" borderId="8" applyBorder="true" applyNumberFormat="true" numFmtId="165" fillId="22" applyFill="true">
      <alignment horizontal="center" vertical="center"/>
    </xf>
    <xf fontId="4536" applyFont="true" borderId="8" applyBorder="true" applyNumberFormat="true" numFmtId="165" fillId="22" applyFill="true">
      <alignment horizontal="center" vertical="center"/>
    </xf>
    <xf fontId="4537" applyFont="true" borderId="8" applyBorder="true" applyNumberFormat="true" numFmtId="1" fillId="22" applyFill="true">
      <alignment horizontal="center" vertical="center"/>
    </xf>
    <xf fontId="4538" applyFont="true" borderId="8" applyBorder="true" applyNumberFormat="true" numFmtId="1" fillId="22" applyFill="true">
      <alignment horizontal="center" vertical="center"/>
    </xf>
    <xf fontId="4539" applyFont="true" borderId="8" applyBorder="true" applyNumberFormat="true" numFmtId="1" fillId="22" applyFill="true">
      <alignment horizontal="center" vertical="center"/>
    </xf>
    <xf fontId="4540" applyFont="true" borderId="8" applyBorder="true" applyNumberFormat="true" numFmtId="167" fillId="22" applyFill="true">
      <alignment horizontal="center" vertical="center"/>
    </xf>
    <xf fontId="4541" applyFont="true" borderId="8" applyBorder="true" applyNumberFormat="true" numFmtId="1" fillId="22" applyFill="true">
      <alignment horizontal="center" vertical="center"/>
    </xf>
    <xf fontId="4542" applyFont="true" borderId="8" applyBorder="true" applyNumberFormat="true" numFmtId="167" fillId="22" applyFill="true">
      <alignment horizontal="center" vertical="center"/>
    </xf>
    <xf fontId="4543" applyFont="true" borderId="8" applyBorder="true" applyNumberFormat="true" numFmtId="1" fillId="22" applyFill="true">
      <alignment horizontal="center" vertical="center"/>
    </xf>
    <xf fontId="4544" applyFont="true" borderId="8" applyBorder="true" applyNumberFormat="true" numFmtId="167" fillId="22" applyFill="true">
      <alignment horizontal="center" vertical="center"/>
    </xf>
    <xf fontId="4545" applyFont="true" borderId="8" applyBorder="true" applyNumberFormat="true" numFmtId="1" fillId="22" applyFill="true">
      <alignment horizontal="center" vertical="center"/>
    </xf>
    <xf fontId="4546" applyFont="true" borderId="8" applyBorder="true" applyNumberFormat="true" numFmtId="167" fillId="22" applyFill="true">
      <alignment horizontal="center" vertical="center"/>
    </xf>
    <xf fontId="4547" applyFont="true" borderId="8" applyBorder="true" applyNumberFormat="true" numFmtId="167" fillId="22" applyFill="true">
      <alignment horizontal="center" vertical="center"/>
    </xf>
    <xf fontId="4548" applyFont="true" borderId="8" applyBorder="true" applyNumberFormat="true" numFmtId="1" fillId="22" applyFill="true">
      <alignment horizontal="center" vertical="center"/>
    </xf>
    <xf fontId="4549" applyFont="true" borderId="8" applyBorder="true" applyNumberFormat="true" numFmtId="1" fillId="22" applyFill="true">
      <alignment horizontal="center" vertical="center"/>
    </xf>
    <xf fontId="4550" applyFont="true" borderId="8" applyBorder="true" applyNumberFormat="true" numFmtId="1" fillId="22" applyFill="true">
      <alignment horizontal="center" vertical="center"/>
    </xf>
    <xf fontId="4551" applyFont="true" borderId="8" applyBorder="true" applyNumberFormat="true" numFmtId="167" fillId="22" applyFill="true">
      <alignment horizontal="center" vertical="center"/>
    </xf>
    <xf fontId="4552" applyFont="true" borderId="8" applyBorder="true" applyNumberFormat="true" numFmtId="166" fillId="22" applyFill="true">
      <alignment horizontal="center" vertical="center"/>
    </xf>
    <xf fontId="4553" applyFont="true" borderId="8" applyBorder="true" applyNumberFormat="true" numFmtId="166" fillId="22" applyFill="true">
      <alignment horizontal="center" vertical="center"/>
    </xf>
    <xf fontId="4554" applyFont="true" borderId="8" applyBorder="true" applyNumberFormat="true" numFmtId="1" fillId="22" applyFill="true">
      <alignment horizontal="center" vertical="center"/>
    </xf>
    <xf fontId="4555" applyFont="true" borderId="8" applyBorder="true" applyNumberFormat="true" numFmtId="1" fillId="22" applyFill="true">
      <alignment horizontal="center" vertical="center"/>
    </xf>
    <xf fontId="4556" applyFont="true" borderId="8" applyBorder="true" applyNumberFormat="true" numFmtId="1" fillId="22" applyFill="true">
      <alignment horizontal="center" vertical="center"/>
    </xf>
    <xf fontId="4557" applyFont="true" borderId="8" applyBorder="true" applyNumberFormat="true" numFmtId="167" fillId="22" applyFill="true">
      <alignment horizontal="center" vertical="center"/>
    </xf>
    <xf fontId="4558" applyFont="true" borderId="8" applyBorder="true" applyNumberFormat="true" numFmtId="1" fillId="22" applyFill="true">
      <alignment horizontal="center" vertical="center"/>
    </xf>
    <xf fontId="4559" applyFont="true" borderId="8" applyBorder="true" applyNumberFormat="true" numFmtId="167" fillId="22" applyFill="true">
      <alignment horizontal="center" vertical="center"/>
    </xf>
    <xf fontId="4560" applyFont="true" borderId="8" applyBorder="true" applyNumberFormat="true" numFmtId="1" fillId="22" applyFill="true">
      <alignment horizontal="center" vertical="center"/>
    </xf>
    <xf fontId="4561" applyFont="true" borderId="8" applyBorder="true" applyNumberFormat="true" numFmtId="1" fillId="22" applyFill="true">
      <alignment horizontal="center" vertical="center"/>
    </xf>
    <xf fontId="4562" applyFont="true" borderId="8" applyBorder="true" applyNumberFormat="true" numFmtId="1" fillId="22" applyFill="true">
      <alignment horizontal="center" vertical="center"/>
    </xf>
    <xf fontId="4563" applyFont="true" borderId="8" applyBorder="true" applyNumberFormat="true" numFmtId="1" fillId="22" applyFill="true">
      <alignment horizontal="center" vertical="center"/>
    </xf>
    <xf fontId="4564" applyFont="true" borderId="8" applyBorder="true" applyNumberFormat="true" numFmtId="167" fillId="22" applyFill="true">
      <alignment horizontal="center" vertical="center"/>
    </xf>
    <xf fontId="4565" applyFont="true" borderId="8" applyBorder="true" applyNumberFormat="true" numFmtId="1" fillId="22" applyFill="true">
      <alignment horizontal="center" vertical="center"/>
    </xf>
    <xf fontId="4566" applyFont="true" borderId="8" applyBorder="true" applyNumberFormat="true" numFmtId="167" fillId="22" applyFill="true">
      <alignment horizontal="center" vertical="center"/>
    </xf>
    <xf fontId="4567" applyFont="true" borderId="8" applyBorder="true" applyNumberFormat="true" numFmtId="1" fillId="22" applyFill="true">
      <alignment horizontal="center" vertical="center"/>
    </xf>
    <xf fontId="4568" applyFont="true" borderId="8" applyBorder="true" applyNumberFormat="true" numFmtId="167" fillId="22" applyFill="true">
      <alignment horizontal="center" vertical="center"/>
    </xf>
    <xf fontId="4569" applyFont="true" borderId="8" applyBorder="true" applyNumberFormat="true" numFmtId="2" fillId="22" applyFill="true">
      <alignment horizontal="center" vertical="center"/>
    </xf>
    <xf fontId="4570" applyFont="true" borderId="8" applyBorder="true" applyNumberFormat="true" numFmtId="2" fillId="22" applyFill="true">
      <alignment horizontal="center" vertical="center"/>
    </xf>
    <xf fontId="4571" applyFont="true" borderId="8" applyBorder="true" applyNumberFormat="true" numFmtId="2" fillId="22" applyFill="true">
      <alignment horizontal="center" vertical="center"/>
    </xf>
    <xf fontId="4572" applyFont="true" borderId="8" applyBorder="true" applyNumberFormat="true" numFmtId="2" fillId="22" applyFill="true">
      <alignment horizontal="center" vertical="center"/>
    </xf>
    <xf fontId="4573" applyFont="true" borderId="8" applyBorder="true" applyNumberFormat="true" numFmtId="2" fillId="22" applyFill="true">
      <alignment horizontal="center" vertical="center"/>
    </xf>
    <xf fontId="4574" applyFont="true" borderId="8" applyBorder="true" applyNumberFormat="true" numFmtId="2" fillId="22" applyFill="true">
      <alignment horizontal="center" vertical="center"/>
    </xf>
    <xf fontId="4575" applyFont="true" borderId="8" applyBorder="true" applyNumberFormat="true" numFmtId="2" fillId="22" applyFill="true">
      <alignment horizontal="center" vertical="center"/>
    </xf>
    <xf fontId="4576" applyFont="true" borderId="8" applyBorder="true" applyNumberFormat="true" numFmtId="2" fillId="22" applyFill="true">
      <alignment horizontal="center" vertical="center"/>
    </xf>
    <xf fontId="4577" applyFont="true" borderId="8" applyBorder="true" applyNumberFormat="true" numFmtId="2" fillId="22" applyFill="true">
      <alignment horizontal="center" vertical="center"/>
    </xf>
    <xf fontId="4578" applyFont="true" borderId="8" applyBorder="true" applyNumberFormat="true" numFmtId="2" fillId="22" applyFill="true">
      <alignment horizontal="center" vertical="center"/>
    </xf>
    <xf fontId="4579" applyFont="true" borderId="8" applyBorder="true" applyNumberFormat="true" numFmtId="2" fillId="22" applyFill="true">
      <alignment horizontal="center" vertical="center"/>
    </xf>
    <xf fontId="4580" applyFont="true" borderId="8" applyBorder="true" applyNumberFormat="true" numFmtId="2" fillId="22" applyFill="true">
      <alignment horizontal="center" vertical="center"/>
    </xf>
    <xf fontId="4581" applyFont="true" borderId="8" applyBorder="true" applyNumberFormat="true" numFmtId="2" fillId="22" applyFill="true">
      <alignment horizontal="center" vertical="center"/>
    </xf>
    <xf fontId="4582" applyFont="true" borderId="8" applyBorder="true" applyNumberFormat="true" numFmtId="2" fillId="22" applyFill="true">
      <alignment horizontal="center" vertical="center"/>
    </xf>
    <xf fontId="4583" applyFont="true" borderId="8" applyBorder="true" applyNumberFormat="true" numFmtId="2" fillId="22" applyFill="true">
      <alignment horizontal="center" vertical="center"/>
    </xf>
    <xf fontId="4584" applyFont="true" borderId="8" applyBorder="true" applyNumberFormat="true" numFmtId="2" fillId="22" applyFill="true">
      <alignment horizontal="center" vertical="center"/>
    </xf>
    <xf fontId="4585" applyFont="true" borderId="8" applyBorder="true" applyNumberFormat="true" numFmtId="2" fillId="22" applyFill="true">
      <alignment horizontal="center" vertical="center"/>
    </xf>
    <xf fontId="4586" applyFont="true" borderId="8" applyBorder="true" applyNumberFormat="true" numFmtId="2" fillId="22" applyFill="true">
      <alignment horizontal="center" vertical="center"/>
    </xf>
    <xf fontId="4587" applyFont="true" borderId="8" applyBorder="true" applyNumberFormat="true" numFmtId="2" fillId="22" applyFill="true">
      <alignment horizontal="center" vertical="center"/>
    </xf>
    <xf fontId="4588" applyFont="true" borderId="8" applyBorder="true" applyNumberFormat="true" numFmtId="2" fillId="22" applyFill="true">
      <alignment horizontal="center" vertical="center"/>
    </xf>
    <xf fontId="4589" applyFont="true" borderId="8" applyBorder="true" applyNumberFormat="true" numFmtId="2" fillId="22" applyFill="true">
      <alignment horizontal="center" vertical="center"/>
    </xf>
    <xf fontId="4590" applyFont="true" borderId="8" applyBorder="true" applyNumberFormat="true" numFmtId="2" fillId="22" applyFill="true">
      <alignment horizontal="center" vertical="center"/>
    </xf>
    <xf fontId="4591" applyFont="true" borderId="8" applyBorder="true" applyNumberFormat="true" numFmtId="2" fillId="22" applyFill="true">
      <alignment horizontal="center" vertical="center"/>
    </xf>
    <xf fontId="4592" applyFont="true" borderId="8" applyBorder="true" applyNumberFormat="true" numFmtId="2" fillId="22" applyFill="true">
      <alignment horizontal="center" vertical="center"/>
    </xf>
    <xf fontId="4593" applyFont="true" borderId="8" applyBorder="true" applyNumberFormat="true" numFmtId="2" fillId="22" applyFill="true">
      <alignment horizontal="center" vertical="center"/>
    </xf>
    <xf fontId="4594" applyFont="true" borderId="8" applyBorder="true" applyNumberFormat="true" numFmtId="2" fillId="22" applyFill="true">
      <alignment horizontal="center" vertical="center"/>
    </xf>
    <xf fontId="4595" applyFont="true" borderId="8" applyBorder="true" applyNumberFormat="true" numFmtId="2" fillId="22" applyFill="true">
      <alignment horizontal="center" vertical="center"/>
    </xf>
    <xf fontId="4596" applyFont="true" borderId="8" applyBorder="true" applyNumberFormat="true" numFmtId="2" fillId="22" applyFill="true">
      <alignment horizontal="center" vertical="center"/>
    </xf>
    <xf fontId="4597" applyFont="true" borderId="8" applyBorder="true" applyNumberFormat="true" numFmtId="2" fillId="22" applyFill="true">
      <alignment horizontal="center" vertical="center"/>
    </xf>
    <xf fontId="4598" applyFont="true" borderId="8" applyBorder="true" applyNumberFormat="true" numFmtId="2" fillId="22" applyFill="true">
      <alignment horizontal="center" vertical="center"/>
    </xf>
    <xf fontId="4599" applyFont="true" borderId="8" applyBorder="true" applyNumberFormat="true" numFmtId="2" fillId="22" applyFill="true">
      <alignment horizontal="center" vertical="center"/>
    </xf>
    <xf fontId="4600" applyFont="true" borderId="8" applyBorder="true" applyNumberFormat="true" numFmtId="2" fillId="22" applyFill="true">
      <alignment horizontal="center" vertical="center"/>
    </xf>
    <xf fontId="4601" applyFont="true" borderId="8" applyBorder="true" applyNumberFormat="true" numFmtId="2" fillId="22" applyFill="true">
      <alignment horizontal="center" vertical="center"/>
    </xf>
    <xf fontId="4602" applyFont="true" borderId="8" applyBorder="true" applyNumberFormat="true" numFmtId="2" fillId="22" applyFill="true">
      <alignment horizontal="center" vertical="center"/>
    </xf>
    <xf fontId="4603" applyFont="true" borderId="8" applyBorder="true" applyNumberFormat="true" numFmtId="165" fillId="19" applyFill="true">
      <alignment horizontal="left" vertical="center"/>
    </xf>
    <xf fontId="4604" applyFont="true" borderId="8" applyBorder="true" applyNumberFormat="true" numFmtId="165" fillId="22" applyFill="true">
      <alignment horizontal="center" vertical="center"/>
    </xf>
    <xf fontId="4605" applyFont="true" borderId="8" applyBorder="true" applyNumberFormat="true" numFmtId="166" fillId="22" applyFill="true">
      <alignment horizontal="center" vertical="center"/>
    </xf>
    <xf fontId="4606" applyFont="true" borderId="8" applyBorder="true" applyNumberFormat="true" numFmtId="1" fillId="22" applyFill="true">
      <alignment horizontal="center" vertical="center"/>
    </xf>
    <xf fontId="4607" applyFont="true" borderId="8" applyBorder="true" applyNumberFormat="true" numFmtId="1" fillId="22" applyFill="true">
      <alignment horizontal="center" vertical="center"/>
    </xf>
    <xf fontId="4608" applyFont="true" borderId="8" applyBorder="true" applyNumberFormat="true" numFmtId="1" fillId="22" applyFill="true">
      <alignment horizontal="center" vertical="center"/>
    </xf>
    <xf fontId="4609" applyFont="true" borderId="8" applyBorder="true" applyNumberFormat="true" numFmtId="1" fillId="22" applyFill="true">
      <alignment horizontal="center" vertical="center"/>
    </xf>
    <xf fontId="4610" applyFont="true" borderId="8" applyBorder="true" applyNumberFormat="true" numFmtId="1" fillId="22" applyFill="true">
      <alignment horizontal="center" vertical="center"/>
    </xf>
    <xf fontId="4611" applyFont="true" borderId="8" applyBorder="true" applyNumberFormat="true" numFmtId="1" fillId="22" applyFill="true">
      <alignment horizontal="center" vertical="center"/>
    </xf>
    <xf fontId="4612" applyFont="true" borderId="8" applyBorder="true" applyNumberFormat="true" numFmtId="1" fillId="22" applyFill="true">
      <alignment horizontal="center" vertical="center"/>
    </xf>
    <xf fontId="4613" applyFont="true" borderId="8" applyBorder="true" applyNumberFormat="true" numFmtId="165" fillId="22" applyFill="true">
      <alignment horizontal="center" vertical="center"/>
    </xf>
    <xf fontId="4614" applyFont="true" borderId="8" applyBorder="true" applyNumberFormat="true" numFmtId="165" fillId="22" applyFill="true">
      <alignment horizontal="center" vertical="center"/>
    </xf>
    <xf fontId="4615" applyFont="true" borderId="8" applyBorder="true" applyNumberFormat="true" numFmtId="1" fillId="22" applyFill="true">
      <alignment horizontal="center" vertical="center"/>
    </xf>
    <xf fontId="4616" applyFont="true" borderId="8" applyBorder="true" applyNumberFormat="true" numFmtId="1" fillId="22" applyFill="true">
      <alignment horizontal="center" vertical="center"/>
    </xf>
    <xf fontId="4617" applyFont="true" borderId="8" applyBorder="true" applyNumberFormat="true" numFmtId="1" fillId="22" applyFill="true">
      <alignment horizontal="center" vertical="center"/>
    </xf>
    <xf fontId="4618" applyFont="true" borderId="8" applyBorder="true" applyNumberFormat="true" numFmtId="167" fillId="22" applyFill="true">
      <alignment horizontal="center" vertical="center"/>
    </xf>
    <xf fontId="4619" applyFont="true" borderId="8" applyBorder="true" applyNumberFormat="true" numFmtId="1" fillId="22" applyFill="true">
      <alignment horizontal="center" vertical="center"/>
    </xf>
    <xf fontId="4620" applyFont="true" borderId="8" applyBorder="true" applyNumberFormat="true" numFmtId="167" fillId="22" applyFill="true">
      <alignment horizontal="center" vertical="center"/>
    </xf>
    <xf fontId="4621" applyFont="true" borderId="8" applyBorder="true" applyNumberFormat="true" numFmtId="1" fillId="22" applyFill="true">
      <alignment horizontal="center" vertical="center"/>
    </xf>
    <xf fontId="4622" applyFont="true" borderId="8" applyBorder="true" applyNumberFormat="true" numFmtId="167" fillId="22" applyFill="true">
      <alignment horizontal="center" vertical="center"/>
    </xf>
    <xf fontId="4623" applyFont="true" borderId="8" applyBorder="true" applyNumberFormat="true" numFmtId="1" fillId="22" applyFill="true">
      <alignment horizontal="center" vertical="center"/>
    </xf>
    <xf fontId="4624" applyFont="true" borderId="8" applyBorder="true" applyNumberFormat="true" numFmtId="167" fillId="22" applyFill="true">
      <alignment horizontal="center" vertical="center"/>
    </xf>
    <xf fontId="4625" applyFont="true" borderId="8" applyBorder="true" applyNumberFormat="true" numFmtId="167" fillId="22" applyFill="true">
      <alignment horizontal="center" vertical="center"/>
    </xf>
    <xf fontId="4626" applyFont="true" borderId="8" applyBorder="true" applyNumberFormat="true" numFmtId="1" fillId="22" applyFill="true">
      <alignment horizontal="center" vertical="center"/>
    </xf>
    <xf fontId="4627" applyFont="true" borderId="8" applyBorder="true" applyNumberFormat="true" numFmtId="1" fillId="22" applyFill="true">
      <alignment horizontal="center" vertical="center"/>
    </xf>
    <xf fontId="4628" applyFont="true" borderId="8" applyBorder="true" applyNumberFormat="true" numFmtId="1" fillId="22" applyFill="true">
      <alignment horizontal="center" vertical="center"/>
    </xf>
    <xf fontId="4629" applyFont="true" borderId="8" applyBorder="true" applyNumberFormat="true" numFmtId="167" fillId="22" applyFill="true">
      <alignment horizontal="center" vertical="center"/>
    </xf>
    <xf fontId="4630" applyFont="true" borderId="8" applyBorder="true" applyNumberFormat="true" numFmtId="166" fillId="22" applyFill="true">
      <alignment horizontal="center" vertical="center"/>
    </xf>
    <xf fontId="4631" applyFont="true" borderId="8" applyBorder="true" applyNumberFormat="true" numFmtId="166" fillId="22" applyFill="true">
      <alignment horizontal="center" vertical="center"/>
    </xf>
    <xf fontId="4632" applyFont="true" borderId="8" applyBorder="true" applyNumberFormat="true" numFmtId="1" fillId="22" applyFill="true">
      <alignment horizontal="center" vertical="center"/>
    </xf>
    <xf fontId="4633" applyFont="true" borderId="8" applyBorder="true" applyNumberFormat="true" numFmtId="1" fillId="22" applyFill="true">
      <alignment horizontal="center" vertical="center"/>
    </xf>
    <xf fontId="4634" applyFont="true" borderId="8" applyBorder="true" applyNumberFormat="true" numFmtId="1" fillId="22" applyFill="true">
      <alignment horizontal="center" vertical="center"/>
    </xf>
    <xf fontId="4635" applyFont="true" borderId="8" applyBorder="true" applyNumberFormat="true" numFmtId="167" fillId="22" applyFill="true">
      <alignment horizontal="center" vertical="center"/>
    </xf>
    <xf fontId="4636" applyFont="true" borderId="8" applyBorder="true" applyNumberFormat="true" numFmtId="1" fillId="22" applyFill="true">
      <alignment horizontal="center" vertical="center"/>
    </xf>
    <xf fontId="4637" applyFont="true" borderId="8" applyBorder="true" applyNumberFormat="true" numFmtId="167" fillId="22" applyFill="true">
      <alignment horizontal="center" vertical="center"/>
    </xf>
    <xf fontId="4638" applyFont="true" borderId="8" applyBorder="true" applyNumberFormat="true" numFmtId="1" fillId="22" applyFill="true">
      <alignment horizontal="center" vertical="center"/>
    </xf>
    <xf fontId="4639" applyFont="true" borderId="8" applyBorder="true" applyNumberFormat="true" numFmtId="1" fillId="22" applyFill="true">
      <alignment horizontal="center" vertical="center"/>
    </xf>
    <xf fontId="4640" applyFont="true" borderId="8" applyBorder="true" applyNumberFormat="true" numFmtId="1" fillId="22" applyFill="true">
      <alignment horizontal="center" vertical="center"/>
    </xf>
    <xf fontId="4641" applyFont="true" borderId="8" applyBorder="true" applyNumberFormat="true" numFmtId="1" fillId="22" applyFill="true">
      <alignment horizontal="center" vertical="center"/>
    </xf>
    <xf fontId="4642" applyFont="true" borderId="8" applyBorder="true" applyNumberFormat="true" numFmtId="167" fillId="22" applyFill="true">
      <alignment horizontal="center" vertical="center"/>
    </xf>
    <xf fontId="4643" applyFont="true" borderId="8" applyBorder="true" applyNumberFormat="true" numFmtId="1" fillId="22" applyFill="true">
      <alignment horizontal="center" vertical="center"/>
    </xf>
    <xf fontId="4644" applyFont="true" borderId="8" applyBorder="true" applyNumberFormat="true" numFmtId="167" fillId="22" applyFill="true">
      <alignment horizontal="center" vertical="center"/>
    </xf>
    <xf fontId="4645" applyFont="true" borderId="8" applyBorder="true" applyNumberFormat="true" numFmtId="1" fillId="22" applyFill="true">
      <alignment horizontal="center" vertical="center"/>
    </xf>
    <xf fontId="4646" applyFont="true" borderId="8" applyBorder="true" applyNumberFormat="true" numFmtId="167" fillId="22" applyFill="true">
      <alignment horizontal="center" vertical="center"/>
    </xf>
    <xf fontId="4647" applyFont="true" borderId="8" applyBorder="true" applyNumberFormat="true" numFmtId="2" fillId="22" applyFill="true">
      <alignment horizontal="center" vertical="center"/>
    </xf>
    <xf fontId="4648" applyFont="true" borderId="8" applyBorder="true" applyNumberFormat="true" numFmtId="2" fillId="22" applyFill="true">
      <alignment horizontal="center" vertical="center"/>
    </xf>
    <xf fontId="4649" applyFont="true" borderId="8" applyBorder="true" applyNumberFormat="true" numFmtId="2" fillId="22" applyFill="true">
      <alignment horizontal="center" vertical="center"/>
    </xf>
    <xf fontId="4650" applyFont="true" borderId="8" applyBorder="true" applyNumberFormat="true" numFmtId="2" fillId="22" applyFill="true">
      <alignment horizontal="center" vertical="center"/>
    </xf>
    <xf fontId="4651" applyFont="true" borderId="8" applyBorder="true" applyNumberFormat="true" numFmtId="2" fillId="22" applyFill="true">
      <alignment horizontal="center" vertical="center"/>
    </xf>
    <xf fontId="4652" applyFont="true" borderId="8" applyBorder="true" applyNumberFormat="true" numFmtId="2" fillId="22" applyFill="true">
      <alignment horizontal="center" vertical="center"/>
    </xf>
    <xf fontId="4653" applyFont="true" borderId="8" applyBorder="true" applyNumberFormat="true" numFmtId="2" fillId="22" applyFill="true">
      <alignment horizontal="center" vertical="center"/>
    </xf>
    <xf fontId="4654" applyFont="true" borderId="8" applyBorder="true" applyNumberFormat="true" numFmtId="2" fillId="22" applyFill="true">
      <alignment horizontal="center" vertical="center"/>
    </xf>
    <xf fontId="4655" applyFont="true" borderId="8" applyBorder="true" applyNumberFormat="true" numFmtId="2" fillId="22" applyFill="true">
      <alignment horizontal="center" vertical="center"/>
    </xf>
    <xf fontId="4656" applyFont="true" borderId="8" applyBorder="true" applyNumberFormat="true" numFmtId="2" fillId="22" applyFill="true">
      <alignment horizontal="center" vertical="center"/>
    </xf>
    <xf fontId="4657" applyFont="true" borderId="8" applyBorder="true" applyNumberFormat="true" numFmtId="2" fillId="22" applyFill="true">
      <alignment horizontal="center" vertical="center"/>
    </xf>
    <xf fontId="4658" applyFont="true" borderId="8" applyBorder="true" applyNumberFormat="true" numFmtId="2" fillId="22" applyFill="true">
      <alignment horizontal="center" vertical="center"/>
    </xf>
    <xf fontId="4659" applyFont="true" borderId="8" applyBorder="true" applyNumberFormat="true" numFmtId="2" fillId="22" applyFill="true">
      <alignment horizontal="center" vertical="center"/>
    </xf>
    <xf fontId="4660" applyFont="true" borderId="8" applyBorder="true" applyNumberFormat="true" numFmtId="2" fillId="22" applyFill="true">
      <alignment horizontal="center" vertical="center"/>
    </xf>
    <xf fontId="4661" applyFont="true" borderId="8" applyBorder="true" applyNumberFormat="true" numFmtId="2" fillId="22" applyFill="true">
      <alignment horizontal="center" vertical="center"/>
    </xf>
    <xf fontId="4662" applyFont="true" borderId="8" applyBorder="true" applyNumberFormat="true" numFmtId="2" fillId="22" applyFill="true">
      <alignment horizontal="center" vertical="center"/>
    </xf>
    <xf fontId="4663" applyFont="true" borderId="8" applyBorder="true" applyNumberFormat="true" numFmtId="2" fillId="22" applyFill="true">
      <alignment horizontal="center" vertical="center"/>
    </xf>
    <xf fontId="4664" applyFont="true" borderId="8" applyBorder="true" applyNumberFormat="true" numFmtId="2" fillId="22" applyFill="true">
      <alignment horizontal="center" vertical="center"/>
    </xf>
    <xf fontId="4665" applyFont="true" borderId="8" applyBorder="true" applyNumberFormat="true" numFmtId="2" fillId="22" applyFill="true">
      <alignment horizontal="center" vertical="center"/>
    </xf>
    <xf fontId="4666" applyFont="true" borderId="8" applyBorder="true" applyNumberFormat="true" numFmtId="2" fillId="22" applyFill="true">
      <alignment horizontal="center" vertical="center"/>
    </xf>
    <xf fontId="4667" applyFont="true" borderId="8" applyBorder="true" applyNumberFormat="true" numFmtId="2" fillId="22" applyFill="true">
      <alignment horizontal="center" vertical="center"/>
    </xf>
    <xf fontId="4668" applyFont="true" borderId="8" applyBorder="true" applyNumberFormat="true" numFmtId="2" fillId="22" applyFill="true">
      <alignment horizontal="center" vertical="center"/>
    </xf>
    <xf fontId="4669" applyFont="true" borderId="8" applyBorder="true" applyNumberFormat="true" numFmtId="2" fillId="22" applyFill="true">
      <alignment horizontal="center" vertical="center"/>
    </xf>
    <xf fontId="4670" applyFont="true" borderId="8" applyBorder="true" applyNumberFormat="true" numFmtId="2" fillId="22" applyFill="true">
      <alignment horizontal="center" vertical="center"/>
    </xf>
    <xf fontId="4671" applyFont="true" borderId="8" applyBorder="true" applyNumberFormat="true" numFmtId="2" fillId="22" applyFill="true">
      <alignment horizontal="center" vertical="center"/>
    </xf>
    <xf fontId="4672" applyFont="true" borderId="8" applyBorder="true" applyNumberFormat="true" numFmtId="2" fillId="22" applyFill="true">
      <alignment horizontal="center" vertical="center"/>
    </xf>
    <xf fontId="4673" applyFont="true" borderId="8" applyBorder="true" applyNumberFormat="true" numFmtId="2" fillId="22" applyFill="true">
      <alignment horizontal="center" vertical="center"/>
    </xf>
    <xf fontId="4674" applyFont="true" borderId="8" applyBorder="true" applyNumberFormat="true" numFmtId="2" fillId="22" applyFill="true">
      <alignment horizontal="center" vertical="center"/>
    </xf>
    <xf fontId="4675" applyFont="true" borderId="8" applyBorder="true" applyNumberFormat="true" numFmtId="2" fillId="22" applyFill="true">
      <alignment horizontal="center" vertical="center"/>
    </xf>
    <xf fontId="4676" applyFont="true" borderId="8" applyBorder="true" applyNumberFormat="true" numFmtId="2" fillId="22" applyFill="true">
      <alignment horizontal="center" vertical="center"/>
    </xf>
    <xf fontId="4677" applyFont="true" borderId="8" applyBorder="true" applyNumberFormat="true" numFmtId="2" fillId="22" applyFill="true">
      <alignment horizontal="center" vertical="center"/>
    </xf>
    <xf fontId="4678" applyFont="true" borderId="8" applyBorder="true" applyNumberFormat="true" numFmtId="2" fillId="22" applyFill="true">
      <alignment horizontal="center" vertical="center"/>
    </xf>
    <xf fontId="4679" applyFont="true" borderId="8" applyBorder="true" applyNumberFormat="true" numFmtId="2" fillId="22" applyFill="true">
      <alignment horizontal="center" vertical="center"/>
    </xf>
    <xf fontId="4680" applyFont="true" borderId="8" applyBorder="true" applyNumberFormat="true" numFmtId="2" fillId="22" applyFill="true">
      <alignment horizontal="center" vertical="center"/>
    </xf>
    <xf fontId="4681" applyFont="true" borderId="8" applyBorder="true" applyNumberFormat="true" numFmtId="165" fillId="19" applyFill="true">
      <alignment horizontal="left" vertical="center"/>
    </xf>
    <xf fontId="4682" applyFont="true" borderId="8" applyBorder="true" applyNumberFormat="true" numFmtId="165" fillId="22" applyFill="true">
      <alignment horizontal="center" vertical="center"/>
    </xf>
    <xf fontId="4683" applyFont="true" borderId="8" applyBorder="true" applyNumberFormat="true" numFmtId="166" fillId="22" applyFill="true">
      <alignment horizontal="center" vertical="center"/>
    </xf>
    <xf fontId="4684" applyFont="true" borderId="8" applyBorder="true" applyNumberFormat="true" numFmtId="1" fillId="22" applyFill="true">
      <alignment horizontal="center" vertical="center"/>
    </xf>
    <xf fontId="4685" applyFont="true" borderId="8" applyBorder="true" applyNumberFormat="true" numFmtId="1" fillId="22" applyFill="true">
      <alignment horizontal="center" vertical="center"/>
    </xf>
    <xf fontId="4686" applyFont="true" borderId="8" applyBorder="true" applyNumberFormat="true" numFmtId="1" fillId="22" applyFill="true">
      <alignment horizontal="center" vertical="center"/>
    </xf>
    <xf fontId="4687" applyFont="true" borderId="8" applyBorder="true" applyNumberFormat="true" numFmtId="1" fillId="22" applyFill="true">
      <alignment horizontal="center" vertical="center"/>
    </xf>
    <xf fontId="4688" applyFont="true" borderId="8" applyBorder="true" applyNumberFormat="true" numFmtId="1" fillId="22" applyFill="true">
      <alignment horizontal="center" vertical="center"/>
    </xf>
    <xf fontId="4689" applyFont="true" borderId="8" applyBorder="true" applyNumberFormat="true" numFmtId="1" fillId="22" applyFill="true">
      <alignment horizontal="center" vertical="center"/>
    </xf>
    <xf fontId="4690" applyFont="true" borderId="8" applyBorder="true" applyNumberFormat="true" numFmtId="1" fillId="22" applyFill="true">
      <alignment horizontal="center" vertical="center"/>
    </xf>
    <xf fontId="4691" applyFont="true" borderId="8" applyBorder="true" applyNumberFormat="true" numFmtId="165" fillId="22" applyFill="true">
      <alignment horizontal="center" vertical="center"/>
    </xf>
    <xf fontId="4692" applyFont="true" borderId="8" applyBorder="true" applyNumberFormat="true" numFmtId="165" fillId="22" applyFill="true">
      <alignment horizontal="center" vertical="center"/>
    </xf>
    <xf fontId="4693" applyFont="true" borderId="8" applyBorder="true" applyNumberFormat="true" numFmtId="1" fillId="22" applyFill="true">
      <alignment horizontal="center" vertical="center"/>
    </xf>
    <xf fontId="4694" applyFont="true" borderId="8" applyBorder="true" applyNumberFormat="true" numFmtId="1" fillId="22" applyFill="true">
      <alignment horizontal="center" vertical="center"/>
    </xf>
    <xf fontId="4695" applyFont="true" borderId="8" applyBorder="true" applyNumberFormat="true" numFmtId="1" fillId="22" applyFill="true">
      <alignment horizontal="center" vertical="center"/>
    </xf>
    <xf fontId="4696" applyFont="true" borderId="8" applyBorder="true" applyNumberFormat="true" numFmtId="167" fillId="22" applyFill="true">
      <alignment horizontal="center" vertical="center"/>
    </xf>
    <xf fontId="4697" applyFont="true" borderId="8" applyBorder="true" applyNumberFormat="true" numFmtId="1" fillId="22" applyFill="true">
      <alignment horizontal="center" vertical="center"/>
    </xf>
    <xf fontId="4698" applyFont="true" borderId="8" applyBorder="true" applyNumberFormat="true" numFmtId="167" fillId="22" applyFill="true">
      <alignment horizontal="center" vertical="center"/>
    </xf>
    <xf fontId="4699" applyFont="true" borderId="8" applyBorder="true" applyNumberFormat="true" numFmtId="1" fillId="22" applyFill="true">
      <alignment horizontal="center" vertical="center"/>
    </xf>
    <xf fontId="4700" applyFont="true" borderId="8" applyBorder="true" applyNumberFormat="true" numFmtId="167" fillId="22" applyFill="true">
      <alignment horizontal="center" vertical="center"/>
    </xf>
    <xf fontId="4701" applyFont="true" borderId="8" applyBorder="true" applyNumberFormat="true" numFmtId="1" fillId="22" applyFill="true">
      <alignment horizontal="center" vertical="center"/>
    </xf>
    <xf fontId="4702" applyFont="true" borderId="8" applyBorder="true" applyNumberFormat="true" numFmtId="167" fillId="22" applyFill="true">
      <alignment horizontal="center" vertical="center"/>
    </xf>
    <xf fontId="4703" applyFont="true" borderId="8" applyBorder="true" applyNumberFormat="true" numFmtId="167" fillId="22" applyFill="true">
      <alignment horizontal="center" vertical="center"/>
    </xf>
    <xf fontId="4704" applyFont="true" borderId="8" applyBorder="true" applyNumberFormat="true" numFmtId="1" fillId="22" applyFill="true">
      <alignment horizontal="center" vertical="center"/>
    </xf>
    <xf fontId="4705" applyFont="true" borderId="8" applyBorder="true" applyNumberFormat="true" numFmtId="1" fillId="22" applyFill="true">
      <alignment horizontal="center" vertical="center"/>
    </xf>
    <xf fontId="4706" applyFont="true" borderId="8" applyBorder="true" applyNumberFormat="true" numFmtId="1" fillId="22" applyFill="true">
      <alignment horizontal="center" vertical="center"/>
    </xf>
    <xf fontId="4707" applyFont="true" borderId="8" applyBorder="true" applyNumberFormat="true" numFmtId="167" fillId="22" applyFill="true">
      <alignment horizontal="center" vertical="center"/>
    </xf>
    <xf fontId="4708" applyFont="true" borderId="8" applyBorder="true" applyNumberFormat="true" numFmtId="166" fillId="22" applyFill="true">
      <alignment horizontal="center" vertical="center"/>
    </xf>
    <xf fontId="4709" applyFont="true" borderId="8" applyBorder="true" applyNumberFormat="true" numFmtId="166" fillId="22" applyFill="true">
      <alignment horizontal="center" vertical="center"/>
    </xf>
    <xf fontId="4710" applyFont="true" borderId="8" applyBorder="true" applyNumberFormat="true" numFmtId="1" fillId="22" applyFill="true">
      <alignment horizontal="center" vertical="center"/>
    </xf>
    <xf fontId="4711" applyFont="true" borderId="8" applyBorder="true" applyNumberFormat="true" numFmtId="1" fillId="22" applyFill="true">
      <alignment horizontal="center" vertical="center"/>
    </xf>
    <xf fontId="4712" applyFont="true" borderId="8" applyBorder="true" applyNumberFormat="true" numFmtId="1" fillId="22" applyFill="true">
      <alignment horizontal="center" vertical="center"/>
    </xf>
    <xf fontId="4713" applyFont="true" borderId="8" applyBorder="true" applyNumberFormat="true" numFmtId="167" fillId="22" applyFill="true">
      <alignment horizontal="center" vertical="center"/>
    </xf>
    <xf fontId="4714" applyFont="true" borderId="8" applyBorder="true" applyNumberFormat="true" numFmtId="1" fillId="22" applyFill="true">
      <alignment horizontal="center" vertical="center"/>
    </xf>
    <xf fontId="4715" applyFont="true" borderId="8" applyBorder="true" applyNumberFormat="true" numFmtId="167" fillId="22" applyFill="true">
      <alignment horizontal="center" vertical="center"/>
    </xf>
    <xf fontId="4716" applyFont="true" borderId="8" applyBorder="true" applyNumberFormat="true" numFmtId="1" fillId="22" applyFill="true">
      <alignment horizontal="center" vertical="center"/>
    </xf>
    <xf fontId="4717" applyFont="true" borderId="8" applyBorder="true" applyNumberFormat="true" numFmtId="1" fillId="22" applyFill="true">
      <alignment horizontal="center" vertical="center"/>
    </xf>
    <xf fontId="4718" applyFont="true" borderId="8" applyBorder="true" applyNumberFormat="true" numFmtId="1" fillId="22" applyFill="true">
      <alignment horizontal="center" vertical="center"/>
    </xf>
    <xf fontId="4719" applyFont="true" borderId="8" applyBorder="true" applyNumberFormat="true" numFmtId="1" fillId="22" applyFill="true">
      <alignment horizontal="center" vertical="center"/>
    </xf>
    <xf fontId="4720" applyFont="true" borderId="8" applyBorder="true" applyNumberFormat="true" numFmtId="167" fillId="22" applyFill="true">
      <alignment horizontal="center" vertical="center"/>
    </xf>
    <xf fontId="4721" applyFont="true" borderId="8" applyBorder="true" applyNumberFormat="true" numFmtId="1" fillId="22" applyFill="true">
      <alignment horizontal="center" vertical="center"/>
    </xf>
    <xf fontId="4722" applyFont="true" borderId="8" applyBorder="true" applyNumberFormat="true" numFmtId="167" fillId="22" applyFill="true">
      <alignment horizontal="center" vertical="center"/>
    </xf>
    <xf fontId="4723" applyFont="true" borderId="8" applyBorder="true" applyNumberFormat="true" numFmtId="1" fillId="22" applyFill="true">
      <alignment horizontal="center" vertical="center"/>
    </xf>
    <xf fontId="4724" applyFont="true" borderId="8" applyBorder="true" applyNumberFormat="true" numFmtId="167" fillId="22" applyFill="true">
      <alignment horizontal="center" vertical="center"/>
    </xf>
    <xf fontId="4725" applyFont="true" borderId="8" applyBorder="true" applyNumberFormat="true" numFmtId="2" fillId="22" applyFill="true">
      <alignment horizontal="center" vertical="center"/>
    </xf>
    <xf fontId="4726" applyFont="true" borderId="8" applyBorder="true" applyNumberFormat="true" numFmtId="2" fillId="22" applyFill="true">
      <alignment horizontal="center" vertical="center"/>
    </xf>
    <xf fontId="4727" applyFont="true" borderId="8" applyBorder="true" applyNumberFormat="true" numFmtId="2" fillId="22" applyFill="true">
      <alignment horizontal="center" vertical="center"/>
    </xf>
    <xf fontId="4728" applyFont="true" borderId="8" applyBorder="true" applyNumberFormat="true" numFmtId="2" fillId="22" applyFill="true">
      <alignment horizontal="center" vertical="center"/>
    </xf>
    <xf fontId="4729" applyFont="true" borderId="8" applyBorder="true" applyNumberFormat="true" numFmtId="2" fillId="22" applyFill="true">
      <alignment horizontal="center" vertical="center"/>
    </xf>
    <xf fontId="4730" applyFont="true" borderId="8" applyBorder="true" applyNumberFormat="true" numFmtId="2" fillId="22" applyFill="true">
      <alignment horizontal="center" vertical="center"/>
    </xf>
    <xf fontId="4731" applyFont="true" borderId="8" applyBorder="true" applyNumberFormat="true" numFmtId="2" fillId="22" applyFill="true">
      <alignment horizontal="center" vertical="center"/>
    </xf>
    <xf fontId="4732" applyFont="true" borderId="8" applyBorder="true" applyNumberFormat="true" numFmtId="2" fillId="22" applyFill="true">
      <alignment horizontal="center" vertical="center"/>
    </xf>
    <xf fontId="4733" applyFont="true" borderId="8" applyBorder="true" applyNumberFormat="true" numFmtId="2" fillId="22" applyFill="true">
      <alignment horizontal="center" vertical="center"/>
    </xf>
    <xf fontId="4734" applyFont="true" borderId="8" applyBorder="true" applyNumberFormat="true" numFmtId="2" fillId="22" applyFill="true">
      <alignment horizontal="center" vertical="center"/>
    </xf>
    <xf fontId="4735" applyFont="true" borderId="8" applyBorder="true" applyNumberFormat="true" numFmtId="2" fillId="22" applyFill="true">
      <alignment horizontal="center" vertical="center"/>
    </xf>
    <xf fontId="4736" applyFont="true" borderId="8" applyBorder="true" applyNumberFormat="true" numFmtId="2" fillId="22" applyFill="true">
      <alignment horizontal="center" vertical="center"/>
    </xf>
    <xf fontId="4737" applyFont="true" borderId="8" applyBorder="true" applyNumberFormat="true" numFmtId="2" fillId="22" applyFill="true">
      <alignment horizontal="center" vertical="center"/>
    </xf>
    <xf fontId="4738" applyFont="true" borderId="8" applyBorder="true" applyNumberFormat="true" numFmtId="2" fillId="22" applyFill="true">
      <alignment horizontal="center" vertical="center"/>
    </xf>
    <xf fontId="4739" applyFont="true" borderId="8" applyBorder="true" applyNumberFormat="true" numFmtId="2" fillId="22" applyFill="true">
      <alignment horizontal="center" vertical="center"/>
    </xf>
    <xf fontId="4740" applyFont="true" borderId="8" applyBorder="true" applyNumberFormat="true" numFmtId="2" fillId="22" applyFill="true">
      <alignment horizontal="center" vertical="center"/>
    </xf>
    <xf fontId="4741" applyFont="true" borderId="8" applyBorder="true" applyNumberFormat="true" numFmtId="2" fillId="22" applyFill="true">
      <alignment horizontal="center" vertical="center"/>
    </xf>
    <xf fontId="4742" applyFont="true" borderId="8" applyBorder="true" applyNumberFormat="true" numFmtId="2" fillId="22" applyFill="true">
      <alignment horizontal="center" vertical="center"/>
    </xf>
    <xf fontId="4743" applyFont="true" borderId="8" applyBorder="true" applyNumberFormat="true" numFmtId="2" fillId="22" applyFill="true">
      <alignment horizontal="center" vertical="center"/>
    </xf>
    <xf fontId="4744" applyFont="true" borderId="8" applyBorder="true" applyNumberFormat="true" numFmtId="2" fillId="22" applyFill="true">
      <alignment horizontal="center" vertical="center"/>
    </xf>
    <xf fontId="4745" applyFont="true" borderId="8" applyBorder="true" applyNumberFormat="true" numFmtId="2" fillId="22" applyFill="true">
      <alignment horizontal="center" vertical="center"/>
    </xf>
    <xf fontId="4746" applyFont="true" borderId="8" applyBorder="true" applyNumberFormat="true" numFmtId="2" fillId="22" applyFill="true">
      <alignment horizontal="center" vertical="center"/>
    </xf>
    <xf fontId="4747" applyFont="true" borderId="8" applyBorder="true" applyNumberFormat="true" numFmtId="2" fillId="22" applyFill="true">
      <alignment horizontal="center" vertical="center"/>
    </xf>
    <xf fontId="4748" applyFont="true" borderId="8" applyBorder="true" applyNumberFormat="true" numFmtId="2" fillId="22" applyFill="true">
      <alignment horizontal="center" vertical="center"/>
    </xf>
    <xf fontId="4749" applyFont="true" borderId="8" applyBorder="true" applyNumberFormat="true" numFmtId="2" fillId="22" applyFill="true">
      <alignment horizontal="center" vertical="center"/>
    </xf>
    <xf fontId="4750" applyFont="true" borderId="8" applyBorder="true" applyNumberFormat="true" numFmtId="2" fillId="22" applyFill="true">
      <alignment horizontal="center" vertical="center"/>
    </xf>
    <xf fontId="4751" applyFont="true" borderId="8" applyBorder="true" applyNumberFormat="true" numFmtId="2" fillId="22" applyFill="true">
      <alignment horizontal="center" vertical="center"/>
    </xf>
    <xf fontId="4752" applyFont="true" borderId="8" applyBorder="true" applyNumberFormat="true" numFmtId="2" fillId="22" applyFill="true">
      <alignment horizontal="center" vertical="center"/>
    </xf>
    <xf fontId="4753" applyFont="true" borderId="8" applyBorder="true" applyNumberFormat="true" numFmtId="2" fillId="22" applyFill="true">
      <alignment horizontal="center" vertical="center"/>
    </xf>
    <xf fontId="4754" applyFont="true" borderId="8" applyBorder="true" applyNumberFormat="true" numFmtId="2" fillId="22" applyFill="true">
      <alignment horizontal="center" vertical="center"/>
    </xf>
    <xf fontId="4755" applyFont="true" borderId="8" applyBorder="true" applyNumberFormat="true" numFmtId="2" fillId="22" applyFill="true">
      <alignment horizontal="center" vertical="center"/>
    </xf>
    <xf fontId="4756" applyFont="true" borderId="8" applyBorder="true" applyNumberFormat="true" numFmtId="2" fillId="22" applyFill="true">
      <alignment horizontal="center" vertical="center"/>
    </xf>
    <xf fontId="4757" applyFont="true" borderId="8" applyBorder="true" applyNumberFormat="true" numFmtId="2" fillId="22" applyFill="true">
      <alignment horizontal="center" vertical="center"/>
    </xf>
    <xf fontId="4758" applyFont="true" borderId="8" applyBorder="true" applyNumberFormat="true" numFmtId="2" fillId="22" applyFill="true">
      <alignment horizontal="center" vertical="center"/>
    </xf>
    <xf fontId="4759" applyFont="true" borderId="8" applyBorder="true" applyNumberFormat="true" numFmtId="165" fillId="19" applyFill="true">
      <alignment horizontal="left" vertical="center"/>
    </xf>
    <xf fontId="4760" applyFont="true" borderId="8" applyBorder="true" applyNumberFormat="true" numFmtId="165" fillId="22" applyFill="true">
      <alignment horizontal="center" vertical="center"/>
    </xf>
    <xf fontId="4761" applyFont="true" borderId="8" applyBorder="true" applyNumberFormat="true" numFmtId="166" fillId="22" applyFill="true">
      <alignment horizontal="center" vertical="center"/>
    </xf>
    <xf fontId="4762" applyFont="true" borderId="8" applyBorder="true" applyNumberFormat="true" numFmtId="1" fillId="22" applyFill="true">
      <alignment horizontal="center" vertical="center"/>
    </xf>
    <xf fontId="4763" applyFont="true" borderId="8" applyBorder="true" applyNumberFormat="true" numFmtId="1" fillId="22" applyFill="true">
      <alignment horizontal="center" vertical="center"/>
    </xf>
    <xf fontId="4764" applyFont="true" borderId="8" applyBorder="true" applyNumberFormat="true" numFmtId="1" fillId="22" applyFill="true">
      <alignment horizontal="center" vertical="center"/>
    </xf>
    <xf fontId="4765" applyFont="true" borderId="8" applyBorder="true" applyNumberFormat="true" numFmtId="1" fillId="22" applyFill="true">
      <alignment horizontal="center" vertical="center"/>
    </xf>
    <xf fontId="4766" applyFont="true" borderId="8" applyBorder="true" applyNumberFormat="true" numFmtId="1" fillId="22" applyFill="true">
      <alignment horizontal="center" vertical="center"/>
    </xf>
    <xf fontId="4767" applyFont="true" borderId="8" applyBorder="true" applyNumberFormat="true" numFmtId="1" fillId="22" applyFill="true">
      <alignment horizontal="center" vertical="center"/>
    </xf>
    <xf fontId="4768" applyFont="true" borderId="8" applyBorder="true" applyNumberFormat="true" numFmtId="1" fillId="22" applyFill="true">
      <alignment horizontal="center" vertical="center"/>
    </xf>
    <xf fontId="4769" applyFont="true" borderId="8" applyBorder="true" applyNumberFormat="true" numFmtId="165" fillId="22" applyFill="true">
      <alignment horizontal="center" vertical="center"/>
    </xf>
    <xf fontId="4770" applyFont="true" borderId="8" applyBorder="true" applyNumberFormat="true" numFmtId="165" fillId="22" applyFill="true">
      <alignment horizontal="center" vertical="center"/>
    </xf>
    <xf fontId="4771" applyFont="true" borderId="8" applyBorder="true" applyNumberFormat="true" numFmtId="1" fillId="22" applyFill="true">
      <alignment horizontal="center" vertical="center"/>
    </xf>
    <xf fontId="4772" applyFont="true" borderId="8" applyBorder="true" applyNumberFormat="true" numFmtId="1" fillId="22" applyFill="true">
      <alignment horizontal="center" vertical="center"/>
    </xf>
    <xf fontId="4773" applyFont="true" borderId="8" applyBorder="true" applyNumberFormat="true" numFmtId="1" fillId="22" applyFill="true">
      <alignment horizontal="center" vertical="center"/>
    </xf>
    <xf fontId="4774" applyFont="true" borderId="8" applyBorder="true" applyNumberFormat="true" numFmtId="167" fillId="22" applyFill="true">
      <alignment horizontal="center" vertical="center"/>
    </xf>
    <xf fontId="4775" applyFont="true" borderId="8" applyBorder="true" applyNumberFormat="true" numFmtId="1" fillId="22" applyFill="true">
      <alignment horizontal="center" vertical="center"/>
    </xf>
    <xf fontId="4776" applyFont="true" borderId="8" applyBorder="true" applyNumberFormat="true" numFmtId="167" fillId="22" applyFill="true">
      <alignment horizontal="center" vertical="center"/>
    </xf>
    <xf fontId="4777" applyFont="true" borderId="8" applyBorder="true" applyNumberFormat="true" numFmtId="1" fillId="22" applyFill="true">
      <alignment horizontal="center" vertical="center"/>
    </xf>
    <xf fontId="4778" applyFont="true" borderId="8" applyBorder="true" applyNumberFormat="true" numFmtId="167" fillId="22" applyFill="true">
      <alignment horizontal="center" vertical="center"/>
    </xf>
    <xf fontId="4779" applyFont="true" borderId="8" applyBorder="true" applyNumberFormat="true" numFmtId="1" fillId="22" applyFill="true">
      <alignment horizontal="center" vertical="center"/>
    </xf>
    <xf fontId="4780" applyFont="true" borderId="8" applyBorder="true" applyNumberFormat="true" numFmtId="167" fillId="22" applyFill="true">
      <alignment horizontal="center" vertical="center"/>
    </xf>
    <xf fontId="4781" applyFont="true" borderId="8" applyBorder="true" applyNumberFormat="true" numFmtId="167" fillId="22" applyFill="true">
      <alignment horizontal="center" vertical="center"/>
    </xf>
    <xf fontId="4782" applyFont="true" borderId="8" applyBorder="true" applyNumberFormat="true" numFmtId="1" fillId="22" applyFill="true">
      <alignment horizontal="center" vertical="center"/>
    </xf>
    <xf fontId="4783" applyFont="true" borderId="8" applyBorder="true" applyNumberFormat="true" numFmtId="1" fillId="22" applyFill="true">
      <alignment horizontal="center" vertical="center"/>
    </xf>
    <xf fontId="4784" applyFont="true" borderId="8" applyBorder="true" applyNumberFormat="true" numFmtId="1" fillId="22" applyFill="true">
      <alignment horizontal="center" vertical="center"/>
    </xf>
    <xf fontId="4785" applyFont="true" borderId="8" applyBorder="true" applyNumberFormat="true" numFmtId="167" fillId="22" applyFill="true">
      <alignment horizontal="center" vertical="center"/>
    </xf>
    <xf fontId="4786" applyFont="true" borderId="8" applyBorder="true" applyNumberFormat="true" numFmtId="166" fillId="22" applyFill="true">
      <alignment horizontal="center" vertical="center"/>
    </xf>
    <xf fontId="4787" applyFont="true" borderId="8" applyBorder="true" applyNumberFormat="true" numFmtId="166" fillId="22" applyFill="true">
      <alignment horizontal="center" vertical="center"/>
    </xf>
    <xf fontId="4788" applyFont="true" borderId="8" applyBorder="true" applyNumberFormat="true" numFmtId="1" fillId="22" applyFill="true">
      <alignment horizontal="center" vertical="center"/>
    </xf>
    <xf fontId="4789" applyFont="true" borderId="8" applyBorder="true" applyNumberFormat="true" numFmtId="1" fillId="22" applyFill="true">
      <alignment horizontal="center" vertical="center"/>
    </xf>
    <xf fontId="4790" applyFont="true" borderId="8" applyBorder="true" applyNumberFormat="true" numFmtId="1" fillId="22" applyFill="true">
      <alignment horizontal="center" vertical="center"/>
    </xf>
    <xf fontId="4791" applyFont="true" borderId="8" applyBorder="true" applyNumberFormat="true" numFmtId="167" fillId="22" applyFill="true">
      <alignment horizontal="center" vertical="center"/>
    </xf>
    <xf fontId="4792" applyFont="true" borderId="8" applyBorder="true" applyNumberFormat="true" numFmtId="1" fillId="22" applyFill="true">
      <alignment horizontal="center" vertical="center"/>
    </xf>
    <xf fontId="4793" applyFont="true" borderId="8" applyBorder="true" applyNumberFormat="true" numFmtId="167" fillId="22" applyFill="true">
      <alignment horizontal="center" vertical="center"/>
    </xf>
    <xf fontId="4794" applyFont="true" borderId="8" applyBorder="true" applyNumberFormat="true" numFmtId="1" fillId="22" applyFill="true">
      <alignment horizontal="center" vertical="center"/>
    </xf>
    <xf fontId="4795" applyFont="true" borderId="8" applyBorder="true" applyNumberFormat="true" numFmtId="1" fillId="22" applyFill="true">
      <alignment horizontal="center" vertical="center"/>
    </xf>
    <xf fontId="4796" applyFont="true" borderId="8" applyBorder="true" applyNumberFormat="true" numFmtId="1" fillId="22" applyFill="true">
      <alignment horizontal="center" vertical="center"/>
    </xf>
    <xf fontId="4797" applyFont="true" borderId="8" applyBorder="true" applyNumberFormat="true" numFmtId="1" fillId="22" applyFill="true">
      <alignment horizontal="center" vertical="center"/>
    </xf>
    <xf fontId="4798" applyFont="true" borderId="8" applyBorder="true" applyNumberFormat="true" numFmtId="167" fillId="22" applyFill="true">
      <alignment horizontal="center" vertical="center"/>
    </xf>
    <xf fontId="4799" applyFont="true" borderId="8" applyBorder="true" applyNumberFormat="true" numFmtId="1" fillId="22" applyFill="true">
      <alignment horizontal="center" vertical="center"/>
    </xf>
    <xf fontId="4800" applyFont="true" borderId="8" applyBorder="true" applyNumberFormat="true" numFmtId="167" fillId="22" applyFill="true">
      <alignment horizontal="center" vertical="center"/>
    </xf>
    <xf fontId="4801" applyFont="true" borderId="8" applyBorder="true" applyNumberFormat="true" numFmtId="1" fillId="22" applyFill="true">
      <alignment horizontal="center" vertical="center"/>
    </xf>
    <xf fontId="4802" applyFont="true" borderId="8" applyBorder="true" applyNumberFormat="true" numFmtId="167" fillId="22" applyFill="true">
      <alignment horizontal="center" vertical="center"/>
    </xf>
    <xf fontId="4803" applyFont="true" borderId="8" applyBorder="true" applyNumberFormat="true" numFmtId="2" fillId="22" applyFill="true">
      <alignment horizontal="center" vertical="center"/>
    </xf>
    <xf fontId="4804" applyFont="true" borderId="8" applyBorder="true" applyNumberFormat="true" numFmtId="2" fillId="22" applyFill="true">
      <alignment horizontal="center" vertical="center"/>
    </xf>
    <xf fontId="4805" applyFont="true" borderId="8" applyBorder="true" applyNumberFormat="true" numFmtId="2" fillId="22" applyFill="true">
      <alignment horizontal="center" vertical="center"/>
    </xf>
    <xf fontId="4806" applyFont="true" borderId="8" applyBorder="true" applyNumberFormat="true" numFmtId="2" fillId="22" applyFill="true">
      <alignment horizontal="center" vertical="center"/>
    </xf>
    <xf fontId="4807" applyFont="true" borderId="8" applyBorder="true" applyNumberFormat="true" numFmtId="2" fillId="22" applyFill="true">
      <alignment horizontal="center" vertical="center"/>
    </xf>
    <xf fontId="4808" applyFont="true" borderId="8" applyBorder="true" applyNumberFormat="true" numFmtId="2" fillId="22" applyFill="true">
      <alignment horizontal="center" vertical="center"/>
    </xf>
    <xf fontId="4809" applyFont="true" borderId="8" applyBorder="true" applyNumberFormat="true" numFmtId="2" fillId="22" applyFill="true">
      <alignment horizontal="center" vertical="center"/>
    </xf>
    <xf fontId="4810" applyFont="true" borderId="8" applyBorder="true" applyNumberFormat="true" numFmtId="2" fillId="22" applyFill="true">
      <alignment horizontal="center" vertical="center"/>
    </xf>
    <xf fontId="4811" applyFont="true" borderId="8" applyBorder="true" applyNumberFormat="true" numFmtId="2" fillId="22" applyFill="true">
      <alignment horizontal="center" vertical="center"/>
    </xf>
    <xf fontId="4812" applyFont="true" borderId="8" applyBorder="true" applyNumberFormat="true" numFmtId="2" fillId="22" applyFill="true">
      <alignment horizontal="center" vertical="center"/>
    </xf>
    <xf fontId="4813" applyFont="true" borderId="8" applyBorder="true" applyNumberFormat="true" numFmtId="2" fillId="22" applyFill="true">
      <alignment horizontal="center" vertical="center"/>
    </xf>
    <xf fontId="4814" applyFont="true" borderId="8" applyBorder="true" applyNumberFormat="true" numFmtId="2" fillId="22" applyFill="true">
      <alignment horizontal="center" vertical="center"/>
    </xf>
    <xf fontId="4815" applyFont="true" borderId="8" applyBorder="true" applyNumberFormat="true" numFmtId="2" fillId="22" applyFill="true">
      <alignment horizontal="center" vertical="center"/>
    </xf>
    <xf fontId="4816" applyFont="true" borderId="8" applyBorder="true" applyNumberFormat="true" numFmtId="2" fillId="22" applyFill="true">
      <alignment horizontal="center" vertical="center"/>
    </xf>
    <xf fontId="4817" applyFont="true" borderId="8" applyBorder="true" applyNumberFormat="true" numFmtId="2" fillId="22" applyFill="true">
      <alignment horizontal="center" vertical="center"/>
    </xf>
    <xf fontId="4818" applyFont="true" borderId="8" applyBorder="true" applyNumberFormat="true" numFmtId="2" fillId="22" applyFill="true">
      <alignment horizontal="center" vertical="center"/>
    </xf>
    <xf fontId="4819" applyFont="true" borderId="8" applyBorder="true" applyNumberFormat="true" numFmtId="2" fillId="22" applyFill="true">
      <alignment horizontal="center" vertical="center"/>
    </xf>
    <xf fontId="4820" applyFont="true" borderId="8" applyBorder="true" applyNumberFormat="true" numFmtId="2" fillId="22" applyFill="true">
      <alignment horizontal="center" vertical="center"/>
    </xf>
    <xf fontId="4821" applyFont="true" borderId="8" applyBorder="true" applyNumberFormat="true" numFmtId="2" fillId="22" applyFill="true">
      <alignment horizontal="center" vertical="center"/>
    </xf>
    <xf fontId="4822" applyFont="true" borderId="8" applyBorder="true" applyNumberFormat="true" numFmtId="2" fillId="22" applyFill="true">
      <alignment horizontal="center" vertical="center"/>
    </xf>
    <xf fontId="4823" applyFont="true" borderId="8" applyBorder="true" applyNumberFormat="true" numFmtId="2" fillId="22" applyFill="true">
      <alignment horizontal="center" vertical="center"/>
    </xf>
    <xf fontId="4824" applyFont="true" borderId="8" applyBorder="true" applyNumberFormat="true" numFmtId="2" fillId="22" applyFill="true">
      <alignment horizontal="center" vertical="center"/>
    </xf>
    <xf fontId="4825" applyFont="true" borderId="8" applyBorder="true" applyNumberFormat="true" numFmtId="2" fillId="22" applyFill="true">
      <alignment horizontal="center" vertical="center"/>
    </xf>
    <xf fontId="4826" applyFont="true" borderId="8" applyBorder="true" applyNumberFormat="true" numFmtId="2" fillId="22" applyFill="true">
      <alignment horizontal="center" vertical="center"/>
    </xf>
    <xf fontId="4827" applyFont="true" borderId="8" applyBorder="true" applyNumberFormat="true" numFmtId="2" fillId="22" applyFill="true">
      <alignment horizontal="center" vertical="center"/>
    </xf>
    <xf fontId="4828" applyFont="true" borderId="8" applyBorder="true" applyNumberFormat="true" numFmtId="2" fillId="22" applyFill="true">
      <alignment horizontal="center" vertical="center"/>
    </xf>
    <xf fontId="4829" applyFont="true" borderId="8" applyBorder="true" applyNumberFormat="true" numFmtId="2" fillId="22" applyFill="true">
      <alignment horizontal="center" vertical="center"/>
    </xf>
    <xf fontId="4830" applyFont="true" borderId="8" applyBorder="true" applyNumberFormat="true" numFmtId="2" fillId="22" applyFill="true">
      <alignment horizontal="center" vertical="center"/>
    </xf>
    <xf fontId="4831" applyFont="true" borderId="8" applyBorder="true" applyNumberFormat="true" numFmtId="2" fillId="22" applyFill="true">
      <alignment horizontal="center" vertical="center"/>
    </xf>
    <xf fontId="4832" applyFont="true" borderId="8" applyBorder="true" applyNumberFormat="true" numFmtId="2" fillId="22" applyFill="true">
      <alignment horizontal="center" vertical="center"/>
    </xf>
    <xf fontId="4833" applyFont="true" borderId="8" applyBorder="true" applyNumberFormat="true" numFmtId="2" fillId="22" applyFill="true">
      <alignment horizontal="center" vertical="center"/>
    </xf>
    <xf fontId="4834" applyFont="true" borderId="8" applyBorder="true" applyNumberFormat="true" numFmtId="2" fillId="22" applyFill="true">
      <alignment horizontal="center" vertical="center"/>
    </xf>
    <xf fontId="4835" applyFont="true" borderId="8" applyBorder="true" applyNumberFormat="true" numFmtId="2" fillId="22" applyFill="true">
      <alignment horizontal="center" vertical="center"/>
    </xf>
    <xf fontId="4836" applyFont="true" borderId="8" applyBorder="true" applyNumberFormat="true" numFmtId="2" fillId="22" applyFill="true">
      <alignment horizontal="center" vertical="center"/>
    </xf>
    <xf fontId="4837" applyFont="true" borderId="8" applyBorder="true" applyNumberFormat="true" numFmtId="165" fillId="19" applyFill="true">
      <alignment horizontal="left" vertical="center"/>
    </xf>
    <xf fontId="4838" applyFont="true" borderId="8" applyBorder="true" applyNumberFormat="true" numFmtId="165" fillId="22" applyFill="true">
      <alignment horizontal="center" vertical="center"/>
    </xf>
    <xf fontId="4839" applyFont="true" borderId="8" applyBorder="true" applyNumberFormat="true" numFmtId="166" fillId="22" applyFill="true">
      <alignment horizontal="center" vertical="center"/>
    </xf>
    <xf fontId="4840" applyFont="true" borderId="8" applyBorder="true" applyNumberFormat="true" numFmtId="1" fillId="22" applyFill="true">
      <alignment horizontal="center" vertical="center"/>
    </xf>
    <xf fontId="4841" applyFont="true" borderId="8" applyBorder="true" applyNumberFormat="true" numFmtId="1" fillId="22" applyFill="true">
      <alignment horizontal="center" vertical="center"/>
    </xf>
    <xf fontId="4842" applyFont="true" borderId="8" applyBorder="true" applyNumberFormat="true" numFmtId="1" fillId="22" applyFill="true">
      <alignment horizontal="center" vertical="center"/>
    </xf>
    <xf fontId="4843" applyFont="true" borderId="8" applyBorder="true" applyNumberFormat="true" numFmtId="1" fillId="22" applyFill="true">
      <alignment horizontal="center" vertical="center"/>
    </xf>
    <xf fontId="4844" applyFont="true" borderId="8" applyBorder="true" applyNumberFormat="true" numFmtId="1" fillId="22" applyFill="true">
      <alignment horizontal="center" vertical="center"/>
    </xf>
    <xf fontId="4845" applyFont="true" borderId="8" applyBorder="true" applyNumberFormat="true" numFmtId="1" fillId="22" applyFill="true">
      <alignment horizontal="center" vertical="center"/>
    </xf>
    <xf fontId="4846" applyFont="true" borderId="8" applyBorder="true" applyNumberFormat="true" numFmtId="1" fillId="22" applyFill="true">
      <alignment horizontal="center" vertical="center"/>
    </xf>
    <xf fontId="4847" applyFont="true" borderId="8" applyBorder="true" applyNumberFormat="true" numFmtId="165" fillId="22" applyFill="true">
      <alignment horizontal="center" vertical="center"/>
    </xf>
    <xf fontId="4848" applyFont="true" borderId="8" applyBorder="true" applyNumberFormat="true" numFmtId="165" fillId="22" applyFill="true">
      <alignment horizontal="center" vertical="center"/>
    </xf>
    <xf fontId="4849" applyFont="true" borderId="8" applyBorder="true" applyNumberFormat="true" numFmtId="1" fillId="22" applyFill="true">
      <alignment horizontal="center" vertical="center"/>
    </xf>
    <xf fontId="4850" applyFont="true" borderId="8" applyBorder="true" applyNumberFormat="true" numFmtId="1" fillId="22" applyFill="true">
      <alignment horizontal="center" vertical="center"/>
    </xf>
    <xf fontId="4851" applyFont="true" borderId="8" applyBorder="true" applyNumberFormat="true" numFmtId="1" fillId="22" applyFill="true">
      <alignment horizontal="center" vertical="center"/>
    </xf>
    <xf fontId="4852" applyFont="true" borderId="8" applyBorder="true" applyNumberFormat="true" numFmtId="167" fillId="22" applyFill="true">
      <alignment horizontal="center" vertical="center"/>
    </xf>
    <xf fontId="4853" applyFont="true" borderId="8" applyBorder="true" applyNumberFormat="true" numFmtId="1" fillId="22" applyFill="true">
      <alignment horizontal="center" vertical="center"/>
    </xf>
    <xf fontId="4854" applyFont="true" borderId="8" applyBorder="true" applyNumberFormat="true" numFmtId="167" fillId="22" applyFill="true">
      <alignment horizontal="center" vertical="center"/>
    </xf>
    <xf fontId="4855" applyFont="true" borderId="8" applyBorder="true" applyNumberFormat="true" numFmtId="1" fillId="22" applyFill="true">
      <alignment horizontal="center" vertical="center"/>
    </xf>
    <xf fontId="4856" applyFont="true" borderId="8" applyBorder="true" applyNumberFormat="true" numFmtId="167" fillId="22" applyFill="true">
      <alignment horizontal="center" vertical="center"/>
    </xf>
    <xf fontId="4857" applyFont="true" borderId="8" applyBorder="true" applyNumberFormat="true" numFmtId="1" fillId="22" applyFill="true">
      <alignment horizontal="center" vertical="center"/>
    </xf>
    <xf fontId="4858" applyFont="true" borderId="8" applyBorder="true" applyNumberFormat="true" numFmtId="167" fillId="22" applyFill="true">
      <alignment horizontal="center" vertical="center"/>
    </xf>
    <xf fontId="4859" applyFont="true" borderId="8" applyBorder="true" applyNumberFormat="true" numFmtId="167" fillId="22" applyFill="true">
      <alignment horizontal="center" vertical="center"/>
    </xf>
    <xf fontId="4860" applyFont="true" borderId="8" applyBorder="true" applyNumberFormat="true" numFmtId="1" fillId="22" applyFill="true">
      <alignment horizontal="center" vertical="center"/>
    </xf>
    <xf fontId="4861" applyFont="true" borderId="8" applyBorder="true" applyNumberFormat="true" numFmtId="1" fillId="22" applyFill="true">
      <alignment horizontal="center" vertical="center"/>
    </xf>
    <xf fontId="4862" applyFont="true" borderId="8" applyBorder="true" applyNumberFormat="true" numFmtId="1" fillId="22" applyFill="true">
      <alignment horizontal="center" vertical="center"/>
    </xf>
    <xf fontId="4863" applyFont="true" borderId="8" applyBorder="true" applyNumberFormat="true" numFmtId="167" fillId="22" applyFill="true">
      <alignment horizontal="center" vertical="center"/>
    </xf>
    <xf fontId="4864" applyFont="true" borderId="8" applyBorder="true" applyNumberFormat="true" numFmtId="166" fillId="22" applyFill="true">
      <alignment horizontal="center" vertical="center"/>
    </xf>
    <xf fontId="4865" applyFont="true" borderId="8" applyBorder="true" applyNumberFormat="true" numFmtId="166" fillId="22" applyFill="true">
      <alignment horizontal="center" vertical="center"/>
    </xf>
    <xf fontId="4866" applyFont="true" borderId="8" applyBorder="true" applyNumberFormat="true" numFmtId="1" fillId="22" applyFill="true">
      <alignment horizontal="center" vertical="center"/>
    </xf>
    <xf fontId="4867" applyFont="true" borderId="8" applyBorder="true" applyNumberFormat="true" numFmtId="1" fillId="22" applyFill="true">
      <alignment horizontal="center" vertical="center"/>
    </xf>
    <xf fontId="4868" applyFont="true" borderId="8" applyBorder="true" applyNumberFormat="true" numFmtId="1" fillId="22" applyFill="true">
      <alignment horizontal="center" vertical="center"/>
    </xf>
    <xf fontId="4869" applyFont="true" borderId="8" applyBorder="true" applyNumberFormat="true" numFmtId="167" fillId="22" applyFill="true">
      <alignment horizontal="center" vertical="center"/>
    </xf>
    <xf fontId="4870" applyFont="true" borderId="8" applyBorder="true" applyNumberFormat="true" numFmtId="1" fillId="22" applyFill="true">
      <alignment horizontal="center" vertical="center"/>
    </xf>
    <xf fontId="4871" applyFont="true" borderId="8" applyBorder="true" applyNumberFormat="true" numFmtId="167" fillId="22" applyFill="true">
      <alignment horizontal="center" vertical="center"/>
    </xf>
    <xf fontId="4872" applyFont="true" borderId="8" applyBorder="true" applyNumberFormat="true" numFmtId="1" fillId="22" applyFill="true">
      <alignment horizontal="center" vertical="center"/>
    </xf>
    <xf fontId="4873" applyFont="true" borderId="8" applyBorder="true" applyNumberFormat="true" numFmtId="1" fillId="22" applyFill="true">
      <alignment horizontal="center" vertical="center"/>
    </xf>
    <xf fontId="4874" applyFont="true" borderId="8" applyBorder="true" applyNumberFormat="true" numFmtId="1" fillId="22" applyFill="true">
      <alignment horizontal="center" vertical="center"/>
    </xf>
    <xf fontId="4875" applyFont="true" borderId="8" applyBorder="true" applyNumberFormat="true" numFmtId="1" fillId="22" applyFill="true">
      <alignment horizontal="center" vertical="center"/>
    </xf>
    <xf fontId="4876" applyFont="true" borderId="8" applyBorder="true" applyNumberFormat="true" numFmtId="167" fillId="22" applyFill="true">
      <alignment horizontal="center" vertical="center"/>
    </xf>
    <xf fontId="4877" applyFont="true" borderId="8" applyBorder="true" applyNumberFormat="true" numFmtId="1" fillId="22" applyFill="true">
      <alignment horizontal="center" vertical="center"/>
    </xf>
    <xf fontId="4878" applyFont="true" borderId="8" applyBorder="true" applyNumberFormat="true" numFmtId="167" fillId="22" applyFill="true">
      <alignment horizontal="center" vertical="center"/>
    </xf>
    <xf fontId="4879" applyFont="true" borderId="8" applyBorder="true" applyNumberFormat="true" numFmtId="1" fillId="22" applyFill="true">
      <alignment horizontal="center" vertical="center"/>
    </xf>
    <xf fontId="4880" applyFont="true" borderId="8" applyBorder="true" applyNumberFormat="true" numFmtId="167" fillId="22" applyFill="true">
      <alignment horizontal="center" vertical="center"/>
    </xf>
    <xf fontId="4881" applyFont="true" borderId="8" applyBorder="true" applyNumberFormat="true" numFmtId="2" fillId="22" applyFill="true">
      <alignment horizontal="center" vertical="center"/>
    </xf>
    <xf fontId="4882" applyFont="true" borderId="8" applyBorder="true" applyNumberFormat="true" numFmtId="2" fillId="22" applyFill="true">
      <alignment horizontal="center" vertical="center"/>
    </xf>
    <xf fontId="4883" applyFont="true" borderId="8" applyBorder="true" applyNumberFormat="true" numFmtId="2" fillId="22" applyFill="true">
      <alignment horizontal="center" vertical="center"/>
    </xf>
    <xf fontId="4884" applyFont="true" borderId="8" applyBorder="true" applyNumberFormat="true" numFmtId="2" fillId="22" applyFill="true">
      <alignment horizontal="center" vertical="center"/>
    </xf>
    <xf fontId="4885" applyFont="true" borderId="8" applyBorder="true" applyNumberFormat="true" numFmtId="2" fillId="22" applyFill="true">
      <alignment horizontal="center" vertical="center"/>
    </xf>
    <xf fontId="4886" applyFont="true" borderId="8" applyBorder="true" applyNumberFormat="true" numFmtId="2" fillId="22" applyFill="true">
      <alignment horizontal="center" vertical="center"/>
    </xf>
    <xf fontId="4887" applyFont="true" borderId="8" applyBorder="true" applyNumberFormat="true" numFmtId="2" fillId="22" applyFill="true">
      <alignment horizontal="center" vertical="center"/>
    </xf>
    <xf fontId="4888" applyFont="true" borderId="8" applyBorder="true" applyNumberFormat="true" numFmtId="2" fillId="22" applyFill="true">
      <alignment horizontal="center" vertical="center"/>
    </xf>
    <xf fontId="4889" applyFont="true" borderId="8" applyBorder="true" applyNumberFormat="true" numFmtId="2" fillId="22" applyFill="true">
      <alignment horizontal="center" vertical="center"/>
    </xf>
    <xf fontId="4890" applyFont="true" borderId="8" applyBorder="true" applyNumberFormat="true" numFmtId="2" fillId="22" applyFill="true">
      <alignment horizontal="center" vertical="center"/>
    </xf>
    <xf fontId="4891" applyFont="true" borderId="8" applyBorder="true" applyNumberFormat="true" numFmtId="2" fillId="22" applyFill="true">
      <alignment horizontal="center" vertical="center"/>
    </xf>
    <xf fontId="4892" applyFont="true" borderId="8" applyBorder="true" applyNumberFormat="true" numFmtId="2" fillId="22" applyFill="true">
      <alignment horizontal="center" vertical="center"/>
    </xf>
    <xf fontId="4893" applyFont="true" borderId="8" applyBorder="true" applyNumberFormat="true" numFmtId="2" fillId="22" applyFill="true">
      <alignment horizontal="center" vertical="center"/>
    </xf>
    <xf fontId="4894" applyFont="true" borderId="8" applyBorder="true" applyNumberFormat="true" numFmtId="2" fillId="22" applyFill="true">
      <alignment horizontal="center" vertical="center"/>
    </xf>
    <xf fontId="4895" applyFont="true" borderId="8" applyBorder="true" applyNumberFormat="true" numFmtId="2" fillId="22" applyFill="true">
      <alignment horizontal="center" vertical="center"/>
    </xf>
    <xf fontId="4896" applyFont="true" borderId="8" applyBorder="true" applyNumberFormat="true" numFmtId="2" fillId="22" applyFill="true">
      <alignment horizontal="center" vertical="center"/>
    </xf>
    <xf fontId="4897" applyFont="true" borderId="8" applyBorder="true" applyNumberFormat="true" numFmtId="2" fillId="22" applyFill="true">
      <alignment horizontal="center" vertical="center"/>
    </xf>
    <xf fontId="4898" applyFont="true" borderId="8" applyBorder="true" applyNumberFormat="true" numFmtId="2" fillId="22" applyFill="true">
      <alignment horizontal="center" vertical="center"/>
    </xf>
    <xf fontId="4899" applyFont="true" borderId="8" applyBorder="true" applyNumberFormat="true" numFmtId="2" fillId="22" applyFill="true">
      <alignment horizontal="center" vertical="center"/>
    </xf>
    <xf fontId="4900" applyFont="true" borderId="8" applyBorder="true" applyNumberFormat="true" numFmtId="2" fillId="22" applyFill="true">
      <alignment horizontal="center" vertical="center"/>
    </xf>
    <xf fontId="4901" applyFont="true" borderId="8" applyBorder="true" applyNumberFormat="true" numFmtId="2" fillId="22" applyFill="true">
      <alignment horizontal="center" vertical="center"/>
    </xf>
    <xf fontId="4902" applyFont="true" borderId="8" applyBorder="true" applyNumberFormat="true" numFmtId="2" fillId="22" applyFill="true">
      <alignment horizontal="center" vertical="center"/>
    </xf>
    <xf fontId="4903" applyFont="true" borderId="8" applyBorder="true" applyNumberFormat="true" numFmtId="2" fillId="22" applyFill="true">
      <alignment horizontal="center" vertical="center"/>
    </xf>
    <xf fontId="4904" applyFont="true" borderId="8" applyBorder="true" applyNumberFormat="true" numFmtId="2" fillId="22" applyFill="true">
      <alignment horizontal="center" vertical="center"/>
    </xf>
    <xf fontId="4905" applyFont="true" borderId="8" applyBorder="true" applyNumberFormat="true" numFmtId="2" fillId="22" applyFill="true">
      <alignment horizontal="center" vertical="center"/>
    </xf>
    <xf fontId="4906" applyFont="true" borderId="8" applyBorder="true" applyNumberFormat="true" numFmtId="2" fillId="22" applyFill="true">
      <alignment horizontal="center" vertical="center"/>
    </xf>
    <xf fontId="4907" applyFont="true" borderId="8" applyBorder="true" applyNumberFormat="true" numFmtId="2" fillId="22" applyFill="true">
      <alignment horizontal="center" vertical="center"/>
    </xf>
    <xf fontId="4908" applyFont="true" borderId="8" applyBorder="true" applyNumberFormat="true" numFmtId="2" fillId="22" applyFill="true">
      <alignment horizontal="center" vertical="center"/>
    </xf>
    <xf fontId="4909" applyFont="true" borderId="8" applyBorder="true" applyNumberFormat="true" numFmtId="2" fillId="22" applyFill="true">
      <alignment horizontal="center" vertical="center"/>
    </xf>
    <xf fontId="4910" applyFont="true" borderId="8" applyBorder="true" applyNumberFormat="true" numFmtId="2" fillId="22" applyFill="true">
      <alignment horizontal="center" vertical="center"/>
    </xf>
    <xf fontId="4911" applyFont="true" borderId="8" applyBorder="true" applyNumberFormat="true" numFmtId="2" fillId="22" applyFill="true">
      <alignment horizontal="center" vertical="center"/>
    </xf>
    <xf fontId="4912" applyFont="true" borderId="8" applyBorder="true" applyNumberFormat="true" numFmtId="2" fillId="22" applyFill="true">
      <alignment horizontal="center" vertical="center"/>
    </xf>
    <xf fontId="4913" applyFont="true" borderId="8" applyBorder="true" applyNumberFormat="true" numFmtId="2" fillId="22" applyFill="true">
      <alignment horizontal="center" vertical="center"/>
    </xf>
    <xf fontId="4914" applyFont="true" borderId="8" applyBorder="true" applyNumberFormat="true" numFmtId="2" fillId="22" applyFill="true">
      <alignment horizontal="center" vertical="center"/>
    </xf>
    <xf fontId="4915" applyFont="true" borderId="8" applyBorder="true" applyNumberFormat="true" numFmtId="165" fillId="19" applyFill="true">
      <alignment horizontal="left" vertical="center"/>
    </xf>
    <xf fontId="4916" applyFont="true" borderId="8" applyBorder="true" applyNumberFormat="true" numFmtId="165" fillId="22" applyFill="true">
      <alignment horizontal="center" vertical="center"/>
    </xf>
    <xf fontId="4917" applyFont="true" borderId="8" applyBorder="true" applyNumberFormat="true" numFmtId="166" fillId="22" applyFill="true">
      <alignment horizontal="center" vertical="center"/>
    </xf>
    <xf fontId="4918" applyFont="true" borderId="8" applyBorder="true" applyNumberFormat="true" numFmtId="1" fillId="22" applyFill="true">
      <alignment horizontal="center" vertical="center"/>
    </xf>
    <xf fontId="4919" applyFont="true" borderId="8" applyBorder="true" applyNumberFormat="true" numFmtId="1" fillId="22" applyFill="true">
      <alignment horizontal="center" vertical="center"/>
    </xf>
    <xf fontId="4920" applyFont="true" borderId="8" applyBorder="true" applyNumberFormat="true" numFmtId="1" fillId="22" applyFill="true">
      <alignment horizontal="center" vertical="center"/>
    </xf>
    <xf fontId="4921" applyFont="true" borderId="8" applyBorder="true" applyNumberFormat="true" numFmtId="1" fillId="22" applyFill="true">
      <alignment horizontal="center" vertical="center"/>
    </xf>
    <xf fontId="4922" applyFont="true" borderId="8" applyBorder="true" applyNumberFormat="true" numFmtId="1" fillId="22" applyFill="true">
      <alignment horizontal="center" vertical="center"/>
    </xf>
    <xf fontId="4923" applyFont="true" borderId="8" applyBorder="true" applyNumberFormat="true" numFmtId="1" fillId="22" applyFill="true">
      <alignment horizontal="center" vertical="center"/>
    </xf>
    <xf fontId="4924" applyFont="true" borderId="8" applyBorder="true" applyNumberFormat="true" numFmtId="1" fillId="22" applyFill="true">
      <alignment horizontal="center" vertical="center"/>
    </xf>
    <xf fontId="4925" applyFont="true" borderId="8" applyBorder="true" applyNumberFormat="true" numFmtId="165" fillId="22" applyFill="true">
      <alignment horizontal="center" vertical="center"/>
    </xf>
    <xf fontId="4926" applyFont="true" borderId="8" applyBorder="true" applyNumberFormat="true" numFmtId="165" fillId="22" applyFill="true">
      <alignment horizontal="center" vertical="center"/>
    </xf>
    <xf fontId="4927" applyFont="true" borderId="8" applyBorder="true" applyNumberFormat="true" numFmtId="1" fillId="22" applyFill="true">
      <alignment horizontal="center" vertical="center"/>
    </xf>
    <xf fontId="4928" applyFont="true" borderId="8" applyBorder="true" applyNumberFormat="true" numFmtId="1" fillId="22" applyFill="true">
      <alignment horizontal="center" vertical="center"/>
    </xf>
    <xf fontId="4929" applyFont="true" borderId="8" applyBorder="true" applyNumberFormat="true" numFmtId="1" fillId="22" applyFill="true">
      <alignment horizontal="center" vertical="center"/>
    </xf>
    <xf fontId="4930" applyFont="true" borderId="8" applyBorder="true" applyNumberFormat="true" numFmtId="167" fillId="22" applyFill="true">
      <alignment horizontal="center" vertical="center"/>
    </xf>
    <xf fontId="4931" applyFont="true" borderId="8" applyBorder="true" applyNumberFormat="true" numFmtId="1" fillId="22" applyFill="true">
      <alignment horizontal="center" vertical="center"/>
    </xf>
    <xf fontId="4932" applyFont="true" borderId="8" applyBorder="true" applyNumberFormat="true" numFmtId="167" fillId="22" applyFill="true">
      <alignment horizontal="center" vertical="center"/>
    </xf>
    <xf fontId="4933" applyFont="true" borderId="8" applyBorder="true" applyNumberFormat="true" numFmtId="1" fillId="22" applyFill="true">
      <alignment horizontal="center" vertical="center"/>
    </xf>
    <xf fontId="4934" applyFont="true" borderId="8" applyBorder="true" applyNumberFormat="true" numFmtId="167" fillId="22" applyFill="true">
      <alignment horizontal="center" vertical="center"/>
    </xf>
    <xf fontId="4935" applyFont="true" borderId="8" applyBorder="true" applyNumberFormat="true" numFmtId="1" fillId="22" applyFill="true">
      <alignment horizontal="center" vertical="center"/>
    </xf>
    <xf fontId="4936" applyFont="true" borderId="8" applyBorder="true" applyNumberFormat="true" numFmtId="167" fillId="22" applyFill="true">
      <alignment horizontal="center" vertical="center"/>
    </xf>
    <xf fontId="4937" applyFont="true" borderId="8" applyBorder="true" applyNumberFormat="true" numFmtId="167" fillId="22" applyFill="true">
      <alignment horizontal="center" vertical="center"/>
    </xf>
    <xf fontId="4938" applyFont="true" borderId="8" applyBorder="true" applyNumberFormat="true" numFmtId="1" fillId="22" applyFill="true">
      <alignment horizontal="center" vertical="center"/>
    </xf>
    <xf fontId="4939" applyFont="true" borderId="8" applyBorder="true" applyNumberFormat="true" numFmtId="1" fillId="22" applyFill="true">
      <alignment horizontal="center" vertical="center"/>
    </xf>
    <xf fontId="4940" applyFont="true" borderId="8" applyBorder="true" applyNumberFormat="true" numFmtId="1" fillId="22" applyFill="true">
      <alignment horizontal="center" vertical="center"/>
    </xf>
    <xf fontId="4941" applyFont="true" borderId="8" applyBorder="true" applyNumberFormat="true" numFmtId="167" fillId="22" applyFill="true">
      <alignment horizontal="center" vertical="center"/>
    </xf>
    <xf fontId="4942" applyFont="true" borderId="8" applyBorder="true" applyNumberFormat="true" numFmtId="166" fillId="22" applyFill="true">
      <alignment horizontal="center" vertical="center"/>
    </xf>
    <xf fontId="4943" applyFont="true" borderId="8" applyBorder="true" applyNumberFormat="true" numFmtId="166" fillId="22" applyFill="true">
      <alignment horizontal="center" vertical="center"/>
    </xf>
    <xf fontId="4944" applyFont="true" borderId="8" applyBorder="true" applyNumberFormat="true" numFmtId="1" fillId="22" applyFill="true">
      <alignment horizontal="center" vertical="center"/>
    </xf>
    <xf fontId="4945" applyFont="true" borderId="8" applyBorder="true" applyNumberFormat="true" numFmtId="1" fillId="22" applyFill="true">
      <alignment horizontal="center" vertical="center"/>
    </xf>
    <xf fontId="4946" applyFont="true" borderId="8" applyBorder="true" applyNumberFormat="true" numFmtId="1" fillId="22" applyFill="true">
      <alignment horizontal="center" vertical="center"/>
    </xf>
    <xf fontId="4947" applyFont="true" borderId="8" applyBorder="true" applyNumberFormat="true" numFmtId="167" fillId="22" applyFill="true">
      <alignment horizontal="center" vertical="center"/>
    </xf>
    <xf fontId="4948" applyFont="true" borderId="8" applyBorder="true" applyNumberFormat="true" numFmtId="1" fillId="22" applyFill="true">
      <alignment horizontal="center" vertical="center"/>
    </xf>
    <xf fontId="4949" applyFont="true" borderId="8" applyBorder="true" applyNumberFormat="true" numFmtId="167" fillId="22" applyFill="true">
      <alignment horizontal="center" vertical="center"/>
    </xf>
    <xf fontId="4950" applyFont="true" borderId="8" applyBorder="true" applyNumberFormat="true" numFmtId="1" fillId="22" applyFill="true">
      <alignment horizontal="center" vertical="center"/>
    </xf>
    <xf fontId="4951" applyFont="true" borderId="8" applyBorder="true" applyNumberFormat="true" numFmtId="1" fillId="22" applyFill="true">
      <alignment horizontal="center" vertical="center"/>
    </xf>
    <xf fontId="4952" applyFont="true" borderId="8" applyBorder="true" applyNumberFormat="true" numFmtId="1" fillId="22" applyFill="true">
      <alignment horizontal="center" vertical="center"/>
    </xf>
    <xf fontId="4953" applyFont="true" borderId="8" applyBorder="true" applyNumberFormat="true" numFmtId="1" fillId="22" applyFill="true">
      <alignment horizontal="center" vertical="center"/>
    </xf>
    <xf fontId="4954" applyFont="true" borderId="8" applyBorder="true" applyNumberFormat="true" numFmtId="167" fillId="22" applyFill="true">
      <alignment horizontal="center" vertical="center"/>
    </xf>
    <xf fontId="4955" applyFont="true" borderId="8" applyBorder="true" applyNumberFormat="true" numFmtId="1" fillId="22" applyFill="true">
      <alignment horizontal="center" vertical="center"/>
    </xf>
    <xf fontId="4956" applyFont="true" borderId="8" applyBorder="true" applyNumberFormat="true" numFmtId="167" fillId="22" applyFill="true">
      <alignment horizontal="center" vertical="center"/>
    </xf>
    <xf fontId="4957" applyFont="true" borderId="8" applyBorder="true" applyNumberFormat="true" numFmtId="1" fillId="22" applyFill="true">
      <alignment horizontal="center" vertical="center"/>
    </xf>
    <xf fontId="4958" applyFont="true" borderId="8" applyBorder="true" applyNumberFormat="true" numFmtId="167" fillId="22" applyFill="true">
      <alignment horizontal="center" vertical="center"/>
    </xf>
    <xf fontId="4959" applyFont="true" borderId="8" applyBorder="true" applyNumberFormat="true" numFmtId="2" fillId="22" applyFill="true">
      <alignment horizontal="center" vertical="center"/>
    </xf>
    <xf fontId="4960" applyFont="true" borderId="8" applyBorder="true" applyNumberFormat="true" numFmtId="2" fillId="22" applyFill="true">
      <alignment horizontal="center" vertical="center"/>
    </xf>
    <xf fontId="4961" applyFont="true" borderId="8" applyBorder="true" applyNumberFormat="true" numFmtId="2" fillId="22" applyFill="true">
      <alignment horizontal="center" vertical="center"/>
    </xf>
    <xf fontId="4962" applyFont="true" borderId="8" applyBorder="true" applyNumberFormat="true" numFmtId="2" fillId="22" applyFill="true">
      <alignment horizontal="center" vertical="center"/>
    </xf>
    <xf fontId="4963" applyFont="true" borderId="8" applyBorder="true" applyNumberFormat="true" numFmtId="2" fillId="22" applyFill="true">
      <alignment horizontal="center" vertical="center"/>
    </xf>
    <xf fontId="4964" applyFont="true" borderId="8" applyBorder="true" applyNumberFormat="true" numFmtId="2" fillId="22" applyFill="true">
      <alignment horizontal="center" vertical="center"/>
    </xf>
    <xf fontId="4965" applyFont="true" borderId="8" applyBorder="true" applyNumberFormat="true" numFmtId="2" fillId="22" applyFill="true">
      <alignment horizontal="center" vertical="center"/>
    </xf>
    <xf fontId="4966" applyFont="true" borderId="8" applyBorder="true" applyNumberFormat="true" numFmtId="2" fillId="22" applyFill="true">
      <alignment horizontal="center" vertical="center"/>
    </xf>
    <xf fontId="4967" applyFont="true" borderId="8" applyBorder="true" applyNumberFormat="true" numFmtId="2" fillId="22" applyFill="true">
      <alignment horizontal="center" vertical="center"/>
    </xf>
    <xf fontId="4968" applyFont="true" borderId="8" applyBorder="true" applyNumberFormat="true" numFmtId="2" fillId="22" applyFill="true">
      <alignment horizontal="center" vertical="center"/>
    </xf>
    <xf fontId="4969" applyFont="true" borderId="8" applyBorder="true" applyNumberFormat="true" numFmtId="2" fillId="22" applyFill="true">
      <alignment horizontal="center" vertical="center"/>
    </xf>
    <xf fontId="4970" applyFont="true" borderId="8" applyBorder="true" applyNumberFormat="true" numFmtId="2" fillId="22" applyFill="true">
      <alignment horizontal="center" vertical="center"/>
    </xf>
    <xf fontId="4971" applyFont="true" borderId="8" applyBorder="true" applyNumberFormat="true" numFmtId="2" fillId="22" applyFill="true">
      <alignment horizontal="center" vertical="center"/>
    </xf>
    <xf fontId="4972" applyFont="true" borderId="8" applyBorder="true" applyNumberFormat="true" numFmtId="2" fillId="22" applyFill="true">
      <alignment horizontal="center" vertical="center"/>
    </xf>
    <xf fontId="4973" applyFont="true" borderId="8" applyBorder="true" applyNumberFormat="true" numFmtId="2" fillId="22" applyFill="true">
      <alignment horizontal="center" vertical="center"/>
    </xf>
    <xf fontId="4974" applyFont="true" borderId="8" applyBorder="true" applyNumberFormat="true" numFmtId="2" fillId="22" applyFill="true">
      <alignment horizontal="center" vertical="center"/>
    </xf>
    <xf fontId="4975" applyFont="true" borderId="8" applyBorder="true" applyNumberFormat="true" numFmtId="2" fillId="22" applyFill="true">
      <alignment horizontal="center" vertical="center"/>
    </xf>
    <xf fontId="4976" applyFont="true" borderId="8" applyBorder="true" applyNumberFormat="true" numFmtId="2" fillId="22" applyFill="true">
      <alignment horizontal="center" vertical="center"/>
    </xf>
    <xf fontId="4977" applyFont="true" borderId="8" applyBorder="true" applyNumberFormat="true" numFmtId="2" fillId="22" applyFill="true">
      <alignment horizontal="center" vertical="center"/>
    </xf>
    <xf fontId="4978" applyFont="true" borderId="8" applyBorder="true" applyNumberFormat="true" numFmtId="2" fillId="22" applyFill="true">
      <alignment horizontal="center" vertical="center"/>
    </xf>
    <xf fontId="4979" applyFont="true" borderId="8" applyBorder="true" applyNumberFormat="true" numFmtId="2" fillId="22" applyFill="true">
      <alignment horizontal="center" vertical="center"/>
    </xf>
    <xf fontId="4980" applyFont="true" borderId="8" applyBorder="true" applyNumberFormat="true" numFmtId="2" fillId="22" applyFill="true">
      <alignment horizontal="center" vertical="center"/>
    </xf>
    <xf fontId="4981" applyFont="true" borderId="8" applyBorder="true" applyNumberFormat="true" numFmtId="2" fillId="22" applyFill="true">
      <alignment horizontal="center" vertical="center"/>
    </xf>
    <xf fontId="4982" applyFont="true" borderId="8" applyBorder="true" applyNumberFormat="true" numFmtId="2" fillId="22" applyFill="true">
      <alignment horizontal="center" vertical="center"/>
    </xf>
    <xf fontId="4983" applyFont="true" borderId="8" applyBorder="true" applyNumberFormat="true" numFmtId="2" fillId="22" applyFill="true">
      <alignment horizontal="center" vertical="center"/>
    </xf>
    <xf fontId="4984" applyFont="true" borderId="8" applyBorder="true" applyNumberFormat="true" numFmtId="2" fillId="22" applyFill="true">
      <alignment horizontal="center" vertical="center"/>
    </xf>
    <xf fontId="4985" applyFont="true" borderId="8" applyBorder="true" applyNumberFormat="true" numFmtId="2" fillId="22" applyFill="true">
      <alignment horizontal="center" vertical="center"/>
    </xf>
    <xf fontId="4986" applyFont="true" borderId="8" applyBorder="true" applyNumberFormat="true" numFmtId="2" fillId="22" applyFill="true">
      <alignment horizontal="center" vertical="center"/>
    </xf>
    <xf fontId="4987" applyFont="true" borderId="8" applyBorder="true" applyNumberFormat="true" numFmtId="2" fillId="22" applyFill="true">
      <alignment horizontal="center" vertical="center"/>
    </xf>
    <xf fontId="4988" applyFont="true" borderId="8" applyBorder="true" applyNumberFormat="true" numFmtId="2" fillId="22" applyFill="true">
      <alignment horizontal="center" vertical="center"/>
    </xf>
    <xf fontId="4989" applyFont="true" borderId="8" applyBorder="true" applyNumberFormat="true" numFmtId="2" fillId="22" applyFill="true">
      <alignment horizontal="center" vertical="center"/>
    </xf>
    <xf fontId="4990" applyFont="true" borderId="8" applyBorder="true" applyNumberFormat="true" numFmtId="2" fillId="22" applyFill="true">
      <alignment horizontal="center" vertical="center"/>
    </xf>
    <xf fontId="4991" applyFont="true" borderId="8" applyBorder="true" applyNumberFormat="true" numFmtId="2" fillId="22" applyFill="true">
      <alignment horizontal="center" vertical="center"/>
    </xf>
    <xf fontId="4992" applyFont="true" borderId="8" applyBorder="true" applyNumberFormat="true" numFmtId="2" fillId="22" applyFill="true">
      <alignment horizontal="center" vertical="center"/>
    </xf>
    <xf fontId="4993" applyFont="true" borderId="8" applyBorder="true" applyNumberFormat="true" numFmtId="165" fillId="19" applyFill="true">
      <alignment horizontal="left" vertical="center"/>
    </xf>
    <xf fontId="4994" applyFont="true" borderId="8" applyBorder="true" applyNumberFormat="true" numFmtId="165" fillId="22" applyFill="true">
      <alignment horizontal="center" vertical="center"/>
    </xf>
    <xf fontId="4995" applyFont="true" borderId="8" applyBorder="true" applyNumberFormat="true" numFmtId="166" fillId="22" applyFill="true">
      <alignment horizontal="center" vertical="center"/>
    </xf>
    <xf fontId="4996" applyFont="true" borderId="8" applyBorder="true" applyNumberFormat="true" numFmtId="1" fillId="22" applyFill="true">
      <alignment horizontal="center" vertical="center"/>
    </xf>
    <xf fontId="4997" applyFont="true" borderId="8" applyBorder="true" applyNumberFormat="true" numFmtId="1" fillId="22" applyFill="true">
      <alignment horizontal="center" vertical="center"/>
    </xf>
    <xf fontId="4998" applyFont="true" borderId="8" applyBorder="true" applyNumberFormat="true" numFmtId="1" fillId="22" applyFill="true">
      <alignment horizontal="center" vertical="center"/>
    </xf>
    <xf fontId="4999" applyFont="true" borderId="8" applyBorder="true" applyNumberFormat="true" numFmtId="1" fillId="22" applyFill="true">
      <alignment horizontal="center" vertical="center"/>
    </xf>
    <xf fontId="5000" applyFont="true" borderId="8" applyBorder="true" applyNumberFormat="true" numFmtId="1" fillId="22" applyFill="true">
      <alignment horizontal="center" vertical="center"/>
    </xf>
    <xf fontId="5001" applyFont="true" borderId="8" applyBorder="true" applyNumberFormat="true" numFmtId="1" fillId="22" applyFill="true">
      <alignment horizontal="center" vertical="center"/>
    </xf>
    <xf fontId="5002" applyFont="true" borderId="8" applyBorder="true" applyNumberFormat="true" numFmtId="1" fillId="22" applyFill="true">
      <alignment horizontal="center" vertical="center"/>
    </xf>
    <xf fontId="5003" applyFont="true" borderId="8" applyBorder="true" applyNumberFormat="true" numFmtId="165" fillId="22" applyFill="true">
      <alignment horizontal="center" vertical="center"/>
    </xf>
    <xf fontId="5004" applyFont="true" borderId="8" applyBorder="true" applyNumberFormat="true" numFmtId="165" fillId="22" applyFill="true">
      <alignment horizontal="center" vertical="center"/>
    </xf>
    <xf fontId="5005" applyFont="true" borderId="8" applyBorder="true" applyNumberFormat="true" numFmtId="1" fillId="22" applyFill="true">
      <alignment horizontal="center" vertical="center"/>
    </xf>
    <xf fontId="5006" applyFont="true" borderId="8" applyBorder="true" applyNumberFormat="true" numFmtId="1" fillId="22" applyFill="true">
      <alignment horizontal="center" vertical="center"/>
    </xf>
    <xf fontId="5007" applyFont="true" borderId="8" applyBorder="true" applyNumberFormat="true" numFmtId="1" fillId="22" applyFill="true">
      <alignment horizontal="center" vertical="center"/>
    </xf>
    <xf fontId="5008" applyFont="true" borderId="8" applyBorder="true" applyNumberFormat="true" numFmtId="167" fillId="22" applyFill="true">
      <alignment horizontal="center" vertical="center"/>
    </xf>
    <xf fontId="5009" applyFont="true" borderId="8" applyBorder="true" applyNumberFormat="true" numFmtId="1" fillId="22" applyFill="true">
      <alignment horizontal="center" vertical="center"/>
    </xf>
    <xf fontId="5010" applyFont="true" borderId="8" applyBorder="true" applyNumberFormat="true" numFmtId="167" fillId="22" applyFill="true">
      <alignment horizontal="center" vertical="center"/>
    </xf>
    <xf fontId="5011" applyFont="true" borderId="8" applyBorder="true" applyNumberFormat="true" numFmtId="1" fillId="22" applyFill="true">
      <alignment horizontal="center" vertical="center"/>
    </xf>
    <xf fontId="5012" applyFont="true" borderId="8" applyBorder="true" applyNumberFormat="true" numFmtId="167" fillId="22" applyFill="true">
      <alignment horizontal="center" vertical="center"/>
    </xf>
    <xf fontId="5013" applyFont="true" borderId="8" applyBorder="true" applyNumberFormat="true" numFmtId="1" fillId="22" applyFill="true">
      <alignment horizontal="center" vertical="center"/>
    </xf>
    <xf fontId="5014" applyFont="true" borderId="8" applyBorder="true" applyNumberFormat="true" numFmtId="167" fillId="22" applyFill="true">
      <alignment horizontal="center" vertical="center"/>
    </xf>
    <xf fontId="5015" applyFont="true" borderId="8" applyBorder="true" applyNumberFormat="true" numFmtId="167" fillId="22" applyFill="true">
      <alignment horizontal="center" vertical="center"/>
    </xf>
    <xf fontId="5016" applyFont="true" borderId="8" applyBorder="true" applyNumberFormat="true" numFmtId="1" fillId="22" applyFill="true">
      <alignment horizontal="center" vertical="center"/>
    </xf>
    <xf fontId="5017" applyFont="true" borderId="8" applyBorder="true" applyNumberFormat="true" numFmtId="1" fillId="22" applyFill="true">
      <alignment horizontal="center" vertical="center"/>
    </xf>
    <xf fontId="5018" applyFont="true" borderId="8" applyBorder="true" applyNumberFormat="true" numFmtId="1" fillId="22" applyFill="true">
      <alignment horizontal="center" vertical="center"/>
    </xf>
    <xf fontId="5019" applyFont="true" borderId="8" applyBorder="true" applyNumberFormat="true" numFmtId="167" fillId="22" applyFill="true">
      <alignment horizontal="center" vertical="center"/>
    </xf>
    <xf fontId="5020" applyFont="true" borderId="8" applyBorder="true" applyNumberFormat="true" numFmtId="166" fillId="22" applyFill="true">
      <alignment horizontal="center" vertical="center"/>
    </xf>
    <xf fontId="5021" applyFont="true" borderId="8" applyBorder="true" applyNumberFormat="true" numFmtId="166" fillId="22" applyFill="true">
      <alignment horizontal="center" vertical="center"/>
    </xf>
    <xf fontId="5022" applyFont="true" borderId="8" applyBorder="true" applyNumberFormat="true" numFmtId="1" fillId="22" applyFill="true">
      <alignment horizontal="center" vertical="center"/>
    </xf>
    <xf fontId="5023" applyFont="true" borderId="8" applyBorder="true" applyNumberFormat="true" numFmtId="1" fillId="22" applyFill="true">
      <alignment horizontal="center" vertical="center"/>
    </xf>
    <xf fontId="5024" applyFont="true" borderId="8" applyBorder="true" applyNumberFormat="true" numFmtId="1" fillId="22" applyFill="true">
      <alignment horizontal="center" vertical="center"/>
    </xf>
    <xf fontId="5025" applyFont="true" borderId="8" applyBorder="true" applyNumberFormat="true" numFmtId="167" fillId="22" applyFill="true">
      <alignment horizontal="center" vertical="center"/>
    </xf>
    <xf fontId="5026" applyFont="true" borderId="8" applyBorder="true" applyNumberFormat="true" numFmtId="1" fillId="22" applyFill="true">
      <alignment horizontal="center" vertical="center"/>
    </xf>
    <xf fontId="5027" applyFont="true" borderId="8" applyBorder="true" applyNumberFormat="true" numFmtId="167" fillId="22" applyFill="true">
      <alignment horizontal="center" vertical="center"/>
    </xf>
    <xf fontId="5028" applyFont="true" borderId="8" applyBorder="true" applyNumberFormat="true" numFmtId="1" fillId="22" applyFill="true">
      <alignment horizontal="center" vertical="center"/>
    </xf>
    <xf fontId="5029" applyFont="true" borderId="8" applyBorder="true" applyNumberFormat="true" numFmtId="1" fillId="22" applyFill="true">
      <alignment horizontal="center" vertical="center"/>
    </xf>
    <xf fontId="5030" applyFont="true" borderId="8" applyBorder="true" applyNumberFormat="true" numFmtId="1" fillId="22" applyFill="true">
      <alignment horizontal="center" vertical="center"/>
    </xf>
    <xf fontId="5031" applyFont="true" borderId="8" applyBorder="true" applyNumberFormat="true" numFmtId="1" fillId="22" applyFill="true">
      <alignment horizontal="center" vertical="center"/>
    </xf>
    <xf fontId="5032" applyFont="true" borderId="8" applyBorder="true" applyNumberFormat="true" numFmtId="167" fillId="22" applyFill="true">
      <alignment horizontal="center" vertical="center"/>
    </xf>
    <xf fontId="5033" applyFont="true" borderId="8" applyBorder="true" applyNumberFormat="true" numFmtId="1" fillId="22" applyFill="true">
      <alignment horizontal="center" vertical="center"/>
    </xf>
    <xf fontId="5034" applyFont="true" borderId="8" applyBorder="true" applyNumberFormat="true" numFmtId="167" fillId="22" applyFill="true">
      <alignment horizontal="center" vertical="center"/>
    </xf>
    <xf fontId="5035" applyFont="true" borderId="8" applyBorder="true" applyNumberFormat="true" numFmtId="1" fillId="22" applyFill="true">
      <alignment horizontal="center" vertical="center"/>
    </xf>
    <xf fontId="5036" applyFont="true" borderId="8" applyBorder="true" applyNumberFormat="true" numFmtId="167" fillId="22" applyFill="true">
      <alignment horizontal="center" vertical="center"/>
    </xf>
    <xf fontId="5037" applyFont="true" borderId="8" applyBorder="true" applyNumberFormat="true" numFmtId="2" fillId="22" applyFill="true">
      <alignment horizontal="center" vertical="center"/>
    </xf>
    <xf fontId="5038" applyFont="true" borderId="8" applyBorder="true" applyNumberFormat="true" numFmtId="2" fillId="22" applyFill="true">
      <alignment horizontal="center" vertical="center"/>
    </xf>
    <xf fontId="5039" applyFont="true" borderId="8" applyBorder="true" applyNumberFormat="true" numFmtId="2" fillId="22" applyFill="true">
      <alignment horizontal="center" vertical="center"/>
    </xf>
    <xf fontId="5040" applyFont="true" borderId="8" applyBorder="true" applyNumberFormat="true" numFmtId="2" fillId="22" applyFill="true">
      <alignment horizontal="center" vertical="center"/>
    </xf>
    <xf fontId="5041" applyFont="true" borderId="8" applyBorder="true" applyNumberFormat="true" numFmtId="2" fillId="22" applyFill="true">
      <alignment horizontal="center" vertical="center"/>
    </xf>
    <xf fontId="5042" applyFont="true" borderId="8" applyBorder="true" applyNumberFormat="true" numFmtId="2" fillId="22" applyFill="true">
      <alignment horizontal="center" vertical="center"/>
    </xf>
    <xf fontId="5043" applyFont="true" borderId="8" applyBorder="true" applyNumberFormat="true" numFmtId="2" fillId="22" applyFill="true">
      <alignment horizontal="center" vertical="center"/>
    </xf>
    <xf fontId="5044" applyFont="true" borderId="8" applyBorder="true" applyNumberFormat="true" numFmtId="2" fillId="22" applyFill="true">
      <alignment horizontal="center" vertical="center"/>
    </xf>
    <xf fontId="5045" applyFont="true" borderId="8" applyBorder="true" applyNumberFormat="true" numFmtId="2" fillId="22" applyFill="true">
      <alignment horizontal="center" vertical="center"/>
    </xf>
    <xf fontId="5046" applyFont="true" borderId="8" applyBorder="true" applyNumberFormat="true" numFmtId="2" fillId="22" applyFill="true">
      <alignment horizontal="center" vertical="center"/>
    </xf>
    <xf fontId="5047" applyFont="true" borderId="8" applyBorder="true" applyNumberFormat="true" numFmtId="2" fillId="22" applyFill="true">
      <alignment horizontal="center" vertical="center"/>
    </xf>
    <xf fontId="5048" applyFont="true" borderId="8" applyBorder="true" applyNumberFormat="true" numFmtId="2" fillId="22" applyFill="true">
      <alignment horizontal="center" vertical="center"/>
    </xf>
    <xf fontId="5049" applyFont="true" borderId="8" applyBorder="true" applyNumberFormat="true" numFmtId="2" fillId="22" applyFill="true">
      <alignment horizontal="center" vertical="center"/>
    </xf>
    <xf fontId="5050" applyFont="true" borderId="8" applyBorder="true" applyNumberFormat="true" numFmtId="2" fillId="22" applyFill="true">
      <alignment horizontal="center" vertical="center"/>
    </xf>
    <xf fontId="5051" applyFont="true" borderId="8" applyBorder="true" applyNumberFormat="true" numFmtId="2" fillId="22" applyFill="true">
      <alignment horizontal="center" vertical="center"/>
    </xf>
    <xf fontId="5052" applyFont="true" borderId="8" applyBorder="true" applyNumberFormat="true" numFmtId="2" fillId="22" applyFill="true">
      <alignment horizontal="center" vertical="center"/>
    </xf>
    <xf fontId="5053" applyFont="true" borderId="8" applyBorder="true" applyNumberFormat="true" numFmtId="2" fillId="22" applyFill="true">
      <alignment horizontal="center" vertical="center"/>
    </xf>
    <xf fontId="5054" applyFont="true" borderId="8" applyBorder="true" applyNumberFormat="true" numFmtId="2" fillId="22" applyFill="true">
      <alignment horizontal="center" vertical="center"/>
    </xf>
    <xf fontId="5055" applyFont="true" borderId="8" applyBorder="true" applyNumberFormat="true" numFmtId="2" fillId="22" applyFill="true">
      <alignment horizontal="center" vertical="center"/>
    </xf>
    <xf fontId="5056" applyFont="true" borderId="8" applyBorder="true" applyNumberFormat="true" numFmtId="2" fillId="22" applyFill="true">
      <alignment horizontal="center" vertical="center"/>
    </xf>
    <xf fontId="5057" applyFont="true" borderId="8" applyBorder="true" applyNumberFormat="true" numFmtId="2" fillId="22" applyFill="true">
      <alignment horizontal="center" vertical="center"/>
    </xf>
    <xf fontId="5058" applyFont="true" borderId="8" applyBorder="true" applyNumberFormat="true" numFmtId="2" fillId="22" applyFill="true">
      <alignment horizontal="center" vertical="center"/>
    </xf>
    <xf fontId="5059" applyFont="true" borderId="8" applyBorder="true" applyNumberFormat="true" numFmtId="2" fillId="22" applyFill="true">
      <alignment horizontal="center" vertical="center"/>
    </xf>
    <xf fontId="5060" applyFont="true" borderId="8" applyBorder="true" applyNumberFormat="true" numFmtId="2" fillId="22" applyFill="true">
      <alignment horizontal="center" vertical="center"/>
    </xf>
    <xf fontId="5061" applyFont="true" borderId="8" applyBorder="true" applyNumberFormat="true" numFmtId="2" fillId="22" applyFill="true">
      <alignment horizontal="center" vertical="center"/>
    </xf>
    <xf fontId="5062" applyFont="true" borderId="8" applyBorder="true" applyNumberFormat="true" numFmtId="2" fillId="22" applyFill="true">
      <alignment horizontal="center" vertical="center"/>
    </xf>
    <xf fontId="5063" applyFont="true" borderId="8" applyBorder="true" applyNumberFormat="true" numFmtId="2" fillId="22" applyFill="true">
      <alignment horizontal="center" vertical="center"/>
    </xf>
    <xf fontId="5064" applyFont="true" borderId="8" applyBorder="true" applyNumberFormat="true" numFmtId="2" fillId="22" applyFill="true">
      <alignment horizontal="center" vertical="center"/>
    </xf>
    <xf fontId="5065" applyFont="true" borderId="8" applyBorder="true" applyNumberFormat="true" numFmtId="2" fillId="22" applyFill="true">
      <alignment horizontal="center" vertical="center"/>
    </xf>
    <xf fontId="5066" applyFont="true" borderId="8" applyBorder="true" applyNumberFormat="true" numFmtId="2" fillId="22" applyFill="true">
      <alignment horizontal="center" vertical="center"/>
    </xf>
    <xf fontId="5067" applyFont="true" borderId="8" applyBorder="true" applyNumberFormat="true" numFmtId="2" fillId="22" applyFill="true">
      <alignment horizontal="center" vertical="center"/>
    </xf>
    <xf fontId="5068" applyFont="true" borderId="8" applyBorder="true" applyNumberFormat="true" numFmtId="2" fillId="22" applyFill="true">
      <alignment horizontal="center" vertical="center"/>
    </xf>
    <xf fontId="5069" applyFont="true" borderId="8" applyBorder="true" applyNumberFormat="true" numFmtId="2" fillId="22" applyFill="true">
      <alignment horizontal="center" vertical="center"/>
    </xf>
    <xf fontId="5070" applyFont="true" borderId="8" applyBorder="true" applyNumberFormat="true" numFmtId="2" fillId="22" applyFill="true">
      <alignment horizontal="center" vertical="center"/>
    </xf>
    <xf fontId="5071" applyFont="true" borderId="8" applyBorder="true" applyNumberFormat="true" numFmtId="165" fillId="19" applyFill="true">
      <alignment horizontal="left" vertical="center"/>
    </xf>
    <xf fontId="5072" applyFont="true" borderId="8" applyBorder="true" applyNumberFormat="true" numFmtId="165" fillId="22" applyFill="true">
      <alignment horizontal="center" vertical="center"/>
    </xf>
    <xf fontId="5073" applyFont="true" borderId="8" applyBorder="true" applyNumberFormat="true" numFmtId="166" fillId="22" applyFill="true">
      <alignment horizontal="center" vertical="center"/>
    </xf>
    <xf fontId="5074" applyFont="true" borderId="8" applyBorder="true" applyNumberFormat="true" numFmtId="1" fillId="22" applyFill="true">
      <alignment horizontal="center" vertical="center"/>
    </xf>
    <xf fontId="5075" applyFont="true" borderId="8" applyBorder="true" applyNumberFormat="true" numFmtId="1" fillId="22" applyFill="true">
      <alignment horizontal="center" vertical="center"/>
    </xf>
    <xf fontId="5076" applyFont="true" borderId="8" applyBorder="true" applyNumberFormat="true" numFmtId="1" fillId="22" applyFill="true">
      <alignment horizontal="center" vertical="center"/>
    </xf>
    <xf fontId="5077" applyFont="true" borderId="8" applyBorder="true" applyNumberFormat="true" numFmtId="1" fillId="22" applyFill="true">
      <alignment horizontal="center" vertical="center"/>
    </xf>
    <xf fontId="5078" applyFont="true" borderId="8" applyBorder="true" applyNumberFormat="true" numFmtId="1" fillId="22" applyFill="true">
      <alignment horizontal="center" vertical="center"/>
    </xf>
    <xf fontId="5079" applyFont="true" borderId="8" applyBorder="true" applyNumberFormat="true" numFmtId="1" fillId="22" applyFill="true">
      <alignment horizontal="center" vertical="center"/>
    </xf>
    <xf fontId="5080" applyFont="true" borderId="8" applyBorder="true" applyNumberFormat="true" numFmtId="1" fillId="22" applyFill="true">
      <alignment horizontal="center" vertical="center"/>
    </xf>
    <xf fontId="5081" applyFont="true" borderId="8" applyBorder="true" applyNumberFormat="true" numFmtId="165" fillId="22" applyFill="true">
      <alignment horizontal="center" vertical="center"/>
    </xf>
    <xf fontId="5082" applyFont="true" borderId="8" applyBorder="true" applyNumberFormat="true" numFmtId="165" fillId="22" applyFill="true">
      <alignment horizontal="center" vertical="center"/>
    </xf>
    <xf fontId="5083" applyFont="true" borderId="8" applyBorder="true" applyNumberFormat="true" numFmtId="1" fillId="22" applyFill="true">
      <alignment horizontal="center" vertical="center"/>
    </xf>
    <xf fontId="5084" applyFont="true" borderId="8" applyBorder="true" applyNumberFormat="true" numFmtId="1" fillId="22" applyFill="true">
      <alignment horizontal="center" vertical="center"/>
    </xf>
    <xf fontId="5085" applyFont="true" borderId="8" applyBorder="true" applyNumberFormat="true" numFmtId="1" fillId="22" applyFill="true">
      <alignment horizontal="center" vertical="center"/>
    </xf>
    <xf fontId="5086" applyFont="true" borderId="8" applyBorder="true" applyNumberFormat="true" numFmtId="167" fillId="22" applyFill="true">
      <alignment horizontal="center" vertical="center"/>
    </xf>
    <xf fontId="5087" applyFont="true" borderId="8" applyBorder="true" applyNumberFormat="true" numFmtId="1" fillId="22" applyFill="true">
      <alignment horizontal="center" vertical="center"/>
    </xf>
    <xf fontId="5088" applyFont="true" borderId="8" applyBorder="true" applyNumberFormat="true" numFmtId="167" fillId="22" applyFill="true">
      <alignment horizontal="center" vertical="center"/>
    </xf>
    <xf fontId="5089" applyFont="true" borderId="8" applyBorder="true" applyNumberFormat="true" numFmtId="1" fillId="22" applyFill="true">
      <alignment horizontal="center" vertical="center"/>
    </xf>
    <xf fontId="5090" applyFont="true" borderId="8" applyBorder="true" applyNumberFormat="true" numFmtId="167" fillId="22" applyFill="true">
      <alignment horizontal="center" vertical="center"/>
    </xf>
    <xf fontId="5091" applyFont="true" borderId="8" applyBorder="true" applyNumberFormat="true" numFmtId="1" fillId="22" applyFill="true">
      <alignment horizontal="center" vertical="center"/>
    </xf>
    <xf fontId="5092" applyFont="true" borderId="8" applyBorder="true" applyNumberFormat="true" numFmtId="167" fillId="22" applyFill="true">
      <alignment horizontal="center" vertical="center"/>
    </xf>
    <xf fontId="5093" applyFont="true" borderId="8" applyBorder="true" applyNumberFormat="true" numFmtId="167" fillId="22" applyFill="true">
      <alignment horizontal="center" vertical="center"/>
    </xf>
    <xf fontId="5094" applyFont="true" borderId="8" applyBorder="true" applyNumberFormat="true" numFmtId="1" fillId="22" applyFill="true">
      <alignment horizontal="center" vertical="center"/>
    </xf>
    <xf fontId="5095" applyFont="true" borderId="8" applyBorder="true" applyNumberFormat="true" numFmtId="1" fillId="22" applyFill="true">
      <alignment horizontal="center" vertical="center"/>
    </xf>
    <xf fontId="5096" applyFont="true" borderId="8" applyBorder="true" applyNumberFormat="true" numFmtId="1" fillId="22" applyFill="true">
      <alignment horizontal="center" vertical="center"/>
    </xf>
    <xf fontId="5097" applyFont="true" borderId="8" applyBorder="true" applyNumberFormat="true" numFmtId="167" fillId="22" applyFill="true">
      <alignment horizontal="center" vertical="center"/>
    </xf>
    <xf fontId="5098" applyFont="true" borderId="8" applyBorder="true" applyNumberFormat="true" numFmtId="166" fillId="22" applyFill="true">
      <alignment horizontal="center" vertical="center"/>
    </xf>
    <xf fontId="5099" applyFont="true" borderId="8" applyBorder="true" applyNumberFormat="true" numFmtId="166" fillId="22" applyFill="true">
      <alignment horizontal="center" vertical="center"/>
    </xf>
    <xf fontId="5100" applyFont="true" borderId="8" applyBorder="true" applyNumberFormat="true" numFmtId="1" fillId="22" applyFill="true">
      <alignment horizontal="center" vertical="center"/>
    </xf>
    <xf fontId="5101" applyFont="true" borderId="8" applyBorder="true" applyNumberFormat="true" numFmtId="1" fillId="22" applyFill="true">
      <alignment horizontal="center" vertical="center"/>
    </xf>
    <xf fontId="5102" applyFont="true" borderId="8" applyBorder="true" applyNumberFormat="true" numFmtId="1" fillId="22" applyFill="true">
      <alignment horizontal="center" vertical="center"/>
    </xf>
    <xf fontId="5103" applyFont="true" borderId="8" applyBorder="true" applyNumberFormat="true" numFmtId="167" fillId="22" applyFill="true">
      <alignment horizontal="center" vertical="center"/>
    </xf>
    <xf fontId="5104" applyFont="true" borderId="8" applyBorder="true" applyNumberFormat="true" numFmtId="1" fillId="22" applyFill="true">
      <alignment horizontal="center" vertical="center"/>
    </xf>
    <xf fontId="5105" applyFont="true" borderId="8" applyBorder="true" applyNumberFormat="true" numFmtId="167" fillId="22" applyFill="true">
      <alignment horizontal="center" vertical="center"/>
    </xf>
    <xf fontId="5106" applyFont="true" borderId="8" applyBorder="true" applyNumberFormat="true" numFmtId="1" fillId="22" applyFill="true">
      <alignment horizontal="center" vertical="center"/>
    </xf>
    <xf fontId="5107" applyFont="true" borderId="8" applyBorder="true" applyNumberFormat="true" numFmtId="1" fillId="22" applyFill="true">
      <alignment horizontal="center" vertical="center"/>
    </xf>
    <xf fontId="5108" applyFont="true" borderId="8" applyBorder="true" applyNumberFormat="true" numFmtId="1" fillId="22" applyFill="true">
      <alignment horizontal="center" vertical="center"/>
    </xf>
    <xf fontId="5109" applyFont="true" borderId="8" applyBorder="true" applyNumberFormat="true" numFmtId="1" fillId="22" applyFill="true">
      <alignment horizontal="center" vertical="center"/>
    </xf>
    <xf fontId="5110" applyFont="true" borderId="8" applyBorder="true" applyNumberFormat="true" numFmtId="167" fillId="22" applyFill="true">
      <alignment horizontal="center" vertical="center"/>
    </xf>
    <xf fontId="5111" applyFont="true" borderId="8" applyBorder="true" applyNumberFormat="true" numFmtId="1" fillId="22" applyFill="true">
      <alignment horizontal="center" vertical="center"/>
    </xf>
    <xf fontId="5112" applyFont="true" borderId="8" applyBorder="true" applyNumberFormat="true" numFmtId="167" fillId="22" applyFill="true">
      <alignment horizontal="center" vertical="center"/>
    </xf>
    <xf fontId="5113" applyFont="true" borderId="8" applyBorder="true" applyNumberFormat="true" numFmtId="1" fillId="22" applyFill="true">
      <alignment horizontal="center" vertical="center"/>
    </xf>
    <xf fontId="5114" applyFont="true" borderId="8" applyBorder="true" applyNumberFormat="true" numFmtId="167" fillId="22" applyFill="true">
      <alignment horizontal="center" vertical="center"/>
    </xf>
    <xf fontId="5115" applyFont="true" borderId="8" applyBorder="true" applyNumberFormat="true" numFmtId="2" fillId="22" applyFill="true">
      <alignment horizontal="center" vertical="center"/>
    </xf>
    <xf fontId="5116" applyFont="true" borderId="8" applyBorder="true" applyNumberFormat="true" numFmtId="2" fillId="22" applyFill="true">
      <alignment horizontal="center" vertical="center"/>
    </xf>
    <xf fontId="5117" applyFont="true" borderId="8" applyBorder="true" applyNumberFormat="true" numFmtId="2" fillId="22" applyFill="true">
      <alignment horizontal="center" vertical="center"/>
    </xf>
    <xf fontId="5118" applyFont="true" borderId="8" applyBorder="true" applyNumberFormat="true" numFmtId="2" fillId="22" applyFill="true">
      <alignment horizontal="center" vertical="center"/>
    </xf>
    <xf fontId="5119" applyFont="true" borderId="8" applyBorder="true" applyNumberFormat="true" numFmtId="2" fillId="22" applyFill="true">
      <alignment horizontal="center" vertical="center"/>
    </xf>
    <xf fontId="5120" applyFont="true" borderId="8" applyBorder="true" applyNumberFormat="true" numFmtId="2" fillId="22" applyFill="true">
      <alignment horizontal="center" vertical="center"/>
    </xf>
    <xf fontId="5121" applyFont="true" borderId="8" applyBorder="true" applyNumberFormat="true" numFmtId="2" fillId="22" applyFill="true">
      <alignment horizontal="center" vertical="center"/>
    </xf>
    <xf fontId="5122" applyFont="true" borderId="8" applyBorder="true" applyNumberFormat="true" numFmtId="2" fillId="22" applyFill="true">
      <alignment horizontal="center" vertical="center"/>
    </xf>
    <xf fontId="5123" applyFont="true" borderId="8" applyBorder="true" applyNumberFormat="true" numFmtId="2" fillId="22" applyFill="true">
      <alignment horizontal="center" vertical="center"/>
    </xf>
    <xf fontId="5124" applyFont="true" borderId="8" applyBorder="true" applyNumberFormat="true" numFmtId="2" fillId="22" applyFill="true">
      <alignment horizontal="center" vertical="center"/>
    </xf>
    <xf fontId="5125" applyFont="true" borderId="8" applyBorder="true" applyNumberFormat="true" numFmtId="2" fillId="22" applyFill="true">
      <alignment horizontal="center" vertical="center"/>
    </xf>
    <xf fontId="5126" applyFont="true" borderId="8" applyBorder="true" applyNumberFormat="true" numFmtId="2" fillId="22" applyFill="true">
      <alignment horizontal="center" vertical="center"/>
    </xf>
    <xf fontId="5127" applyFont="true" borderId="8" applyBorder="true" applyNumberFormat="true" numFmtId="2" fillId="22" applyFill="true">
      <alignment horizontal="center" vertical="center"/>
    </xf>
    <xf fontId="5128" applyFont="true" borderId="8" applyBorder="true" applyNumberFormat="true" numFmtId="2" fillId="22" applyFill="true">
      <alignment horizontal="center" vertical="center"/>
    </xf>
    <xf fontId="5129" applyFont="true" borderId="8" applyBorder="true" applyNumberFormat="true" numFmtId="2" fillId="22" applyFill="true">
      <alignment horizontal="center" vertical="center"/>
    </xf>
    <xf fontId="5130" applyFont="true" borderId="8" applyBorder="true" applyNumberFormat="true" numFmtId="2" fillId="22" applyFill="true">
      <alignment horizontal="center" vertical="center"/>
    </xf>
    <xf fontId="5131" applyFont="true" borderId="8" applyBorder="true" applyNumberFormat="true" numFmtId="2" fillId="22" applyFill="true">
      <alignment horizontal="center" vertical="center"/>
    </xf>
    <xf fontId="5132" applyFont="true" borderId="8" applyBorder="true" applyNumberFormat="true" numFmtId="2" fillId="22" applyFill="true">
      <alignment horizontal="center" vertical="center"/>
    </xf>
    <xf fontId="5133" applyFont="true" borderId="8" applyBorder="true" applyNumberFormat="true" numFmtId="2" fillId="22" applyFill="true">
      <alignment horizontal="center" vertical="center"/>
    </xf>
    <xf fontId="5134" applyFont="true" borderId="8" applyBorder="true" applyNumberFormat="true" numFmtId="2" fillId="22" applyFill="true">
      <alignment horizontal="center" vertical="center"/>
    </xf>
    <xf fontId="5135" applyFont="true" borderId="8" applyBorder="true" applyNumberFormat="true" numFmtId="2" fillId="22" applyFill="true">
      <alignment horizontal="center" vertical="center"/>
    </xf>
    <xf fontId="5136" applyFont="true" borderId="8" applyBorder="true" applyNumberFormat="true" numFmtId="2" fillId="22" applyFill="true">
      <alignment horizontal="center" vertical="center"/>
    </xf>
    <xf fontId="5137" applyFont="true" borderId="8" applyBorder="true" applyNumberFormat="true" numFmtId="2" fillId="22" applyFill="true">
      <alignment horizontal="center" vertical="center"/>
    </xf>
    <xf fontId="5138" applyFont="true" borderId="8" applyBorder="true" applyNumberFormat="true" numFmtId="2" fillId="22" applyFill="true">
      <alignment horizontal="center" vertical="center"/>
    </xf>
    <xf fontId="5139" applyFont="true" borderId="8" applyBorder="true" applyNumberFormat="true" numFmtId="2" fillId="22" applyFill="true">
      <alignment horizontal="center" vertical="center"/>
    </xf>
    <xf fontId="5140" applyFont="true" borderId="8" applyBorder="true" applyNumberFormat="true" numFmtId="2" fillId="22" applyFill="true">
      <alignment horizontal="center" vertical="center"/>
    </xf>
    <xf fontId="5141" applyFont="true" borderId="8" applyBorder="true" applyNumberFormat="true" numFmtId="2" fillId="22" applyFill="true">
      <alignment horizontal="center" vertical="center"/>
    </xf>
    <xf fontId="5142" applyFont="true" borderId="8" applyBorder="true" applyNumberFormat="true" numFmtId="2" fillId="22" applyFill="true">
      <alignment horizontal="center" vertical="center"/>
    </xf>
    <xf fontId="5143" applyFont="true" borderId="8" applyBorder="true" applyNumberFormat="true" numFmtId="2" fillId="22" applyFill="true">
      <alignment horizontal="center" vertical="center"/>
    </xf>
    <xf fontId="5144" applyFont="true" borderId="8" applyBorder="true" applyNumberFormat="true" numFmtId="2" fillId="22" applyFill="true">
      <alignment horizontal="center" vertical="center"/>
    </xf>
    <xf fontId="5145" applyFont="true" borderId="8" applyBorder="true" applyNumberFormat="true" numFmtId="2" fillId="22" applyFill="true">
      <alignment horizontal="center" vertical="center"/>
    </xf>
    <xf fontId="5146" applyFont="true" borderId="8" applyBorder="true" applyNumberFormat="true" numFmtId="2" fillId="22" applyFill="true">
      <alignment horizontal="center" vertical="center"/>
    </xf>
    <xf fontId="5147" applyFont="true" borderId="8" applyBorder="true" applyNumberFormat="true" numFmtId="2" fillId="22" applyFill="true">
      <alignment horizontal="center" vertical="center"/>
    </xf>
    <xf fontId="5148" applyFont="true" borderId="8" applyBorder="true" applyNumberFormat="true" numFmtId="2" fillId="22" applyFill="true">
      <alignment horizontal="center" vertical="center"/>
    </xf>
    <xf fontId="5149" applyFont="true" borderId="8" applyBorder="true" applyNumberFormat="true" numFmtId="165" fillId="19" applyFill="true">
      <alignment horizontal="left" vertical="center"/>
    </xf>
    <xf fontId="5150" applyFont="true" borderId="8" applyBorder="true" applyNumberFormat="true" numFmtId="165" fillId="22" applyFill="true">
      <alignment horizontal="center" vertical="center"/>
    </xf>
    <xf fontId="5151" applyFont="true" borderId="8" applyBorder="true" applyNumberFormat="true" numFmtId="166" fillId="22" applyFill="true">
      <alignment horizontal="center" vertical="center"/>
    </xf>
    <xf fontId="5152" applyFont="true" borderId="8" applyBorder="true" applyNumberFormat="true" numFmtId="1" fillId="22" applyFill="true">
      <alignment horizontal="center" vertical="center"/>
    </xf>
    <xf fontId="5153" applyFont="true" borderId="8" applyBorder="true" applyNumberFormat="true" numFmtId="1" fillId="22" applyFill="true">
      <alignment horizontal="center" vertical="center"/>
    </xf>
    <xf fontId="5154" applyFont="true" borderId="8" applyBorder="true" applyNumberFormat="true" numFmtId="1" fillId="22" applyFill="true">
      <alignment horizontal="center" vertical="center"/>
    </xf>
    <xf fontId="5155" applyFont="true" borderId="8" applyBorder="true" applyNumberFormat="true" numFmtId="1" fillId="22" applyFill="true">
      <alignment horizontal="center" vertical="center"/>
    </xf>
    <xf fontId="5156" applyFont="true" borderId="8" applyBorder="true" applyNumberFormat="true" numFmtId="1" fillId="22" applyFill="true">
      <alignment horizontal="center" vertical="center"/>
    </xf>
    <xf fontId="5157" applyFont="true" borderId="8" applyBorder="true" applyNumberFormat="true" numFmtId="1" fillId="22" applyFill="true">
      <alignment horizontal="center" vertical="center"/>
    </xf>
    <xf fontId="5158" applyFont="true" borderId="8" applyBorder="true" applyNumberFormat="true" numFmtId="1" fillId="22" applyFill="true">
      <alignment horizontal="center" vertical="center"/>
    </xf>
    <xf fontId="5159" applyFont="true" borderId="8" applyBorder="true" applyNumberFormat="true" numFmtId="165" fillId="22" applyFill="true">
      <alignment horizontal="center" vertical="center"/>
    </xf>
    <xf fontId="5160" applyFont="true" borderId="8" applyBorder="true" applyNumberFormat="true" numFmtId="165" fillId="22" applyFill="true">
      <alignment horizontal="center" vertical="center"/>
    </xf>
    <xf fontId="5161" applyFont="true" borderId="8" applyBorder="true" applyNumberFormat="true" numFmtId="1" fillId="22" applyFill="true">
      <alignment horizontal="center" vertical="center"/>
    </xf>
    <xf fontId="5162" applyFont="true" borderId="8" applyBorder="true" applyNumberFormat="true" numFmtId="1" fillId="22" applyFill="true">
      <alignment horizontal="center" vertical="center"/>
    </xf>
    <xf fontId="5163" applyFont="true" borderId="8" applyBorder="true" applyNumberFormat="true" numFmtId="1" fillId="22" applyFill="true">
      <alignment horizontal="center" vertical="center"/>
    </xf>
    <xf fontId="5164" applyFont="true" borderId="8" applyBorder="true" applyNumberFormat="true" numFmtId="167" fillId="22" applyFill="true">
      <alignment horizontal="center" vertical="center"/>
    </xf>
    <xf fontId="5165" applyFont="true" borderId="8" applyBorder="true" applyNumberFormat="true" numFmtId="1" fillId="22" applyFill="true">
      <alignment horizontal="center" vertical="center"/>
    </xf>
    <xf fontId="5166" applyFont="true" borderId="8" applyBorder="true" applyNumberFormat="true" numFmtId="167" fillId="22" applyFill="true">
      <alignment horizontal="center" vertical="center"/>
    </xf>
    <xf fontId="5167" applyFont="true" borderId="8" applyBorder="true" applyNumberFormat="true" numFmtId="1" fillId="22" applyFill="true">
      <alignment horizontal="center" vertical="center"/>
    </xf>
    <xf fontId="5168" applyFont="true" borderId="8" applyBorder="true" applyNumberFormat="true" numFmtId="167" fillId="22" applyFill="true">
      <alignment horizontal="center" vertical="center"/>
    </xf>
    <xf fontId="5169" applyFont="true" borderId="8" applyBorder="true" applyNumberFormat="true" numFmtId="1" fillId="22" applyFill="true">
      <alignment horizontal="center" vertical="center"/>
    </xf>
    <xf fontId="5170" applyFont="true" borderId="8" applyBorder="true" applyNumberFormat="true" numFmtId="167" fillId="22" applyFill="true">
      <alignment horizontal="center" vertical="center"/>
    </xf>
    <xf fontId="5171" applyFont="true" borderId="8" applyBorder="true" applyNumberFormat="true" numFmtId="167" fillId="22" applyFill="true">
      <alignment horizontal="center" vertical="center"/>
    </xf>
    <xf fontId="5172" applyFont="true" borderId="8" applyBorder="true" applyNumberFormat="true" numFmtId="1" fillId="22" applyFill="true">
      <alignment horizontal="center" vertical="center"/>
    </xf>
    <xf fontId="5173" applyFont="true" borderId="8" applyBorder="true" applyNumberFormat="true" numFmtId="1" fillId="22" applyFill="true">
      <alignment horizontal="center" vertical="center"/>
    </xf>
    <xf fontId="5174" applyFont="true" borderId="8" applyBorder="true" applyNumberFormat="true" numFmtId="1" fillId="22" applyFill="true">
      <alignment horizontal="center" vertical="center"/>
    </xf>
    <xf fontId="5175" applyFont="true" borderId="8" applyBorder="true" applyNumberFormat="true" numFmtId="167" fillId="22" applyFill="true">
      <alignment horizontal="center" vertical="center"/>
    </xf>
    <xf fontId="5176" applyFont="true" borderId="8" applyBorder="true" applyNumberFormat="true" numFmtId="166" fillId="22" applyFill="true">
      <alignment horizontal="center" vertical="center"/>
    </xf>
    <xf fontId="5177" applyFont="true" borderId="8" applyBorder="true" applyNumberFormat="true" numFmtId="166" fillId="22" applyFill="true">
      <alignment horizontal="center" vertical="center"/>
    </xf>
    <xf fontId="5178" applyFont="true" borderId="8" applyBorder="true" applyNumberFormat="true" numFmtId="1" fillId="22" applyFill="true">
      <alignment horizontal="center" vertical="center"/>
    </xf>
    <xf fontId="5179" applyFont="true" borderId="8" applyBorder="true" applyNumberFormat="true" numFmtId="1" fillId="22" applyFill="true">
      <alignment horizontal="center" vertical="center"/>
    </xf>
    <xf fontId="5180" applyFont="true" borderId="8" applyBorder="true" applyNumberFormat="true" numFmtId="1" fillId="22" applyFill="true">
      <alignment horizontal="center" vertical="center"/>
    </xf>
    <xf fontId="5181" applyFont="true" borderId="8" applyBorder="true" applyNumberFormat="true" numFmtId="167" fillId="22" applyFill="true">
      <alignment horizontal="center" vertical="center"/>
    </xf>
    <xf fontId="5182" applyFont="true" borderId="8" applyBorder="true" applyNumberFormat="true" numFmtId="1" fillId="22" applyFill="true">
      <alignment horizontal="center" vertical="center"/>
    </xf>
    <xf fontId="5183" applyFont="true" borderId="8" applyBorder="true" applyNumberFormat="true" numFmtId="167" fillId="22" applyFill="true">
      <alignment horizontal="center" vertical="center"/>
    </xf>
    <xf fontId="5184" applyFont="true" borderId="8" applyBorder="true" applyNumberFormat="true" numFmtId="1" fillId="22" applyFill="true">
      <alignment horizontal="center" vertical="center"/>
    </xf>
    <xf fontId="5185" applyFont="true" borderId="8" applyBorder="true" applyNumberFormat="true" numFmtId="1" fillId="22" applyFill="true">
      <alignment horizontal="center" vertical="center"/>
    </xf>
    <xf fontId="5186" applyFont="true" borderId="8" applyBorder="true" applyNumberFormat="true" numFmtId="1" fillId="22" applyFill="true">
      <alignment horizontal="center" vertical="center"/>
    </xf>
    <xf fontId="5187" applyFont="true" borderId="8" applyBorder="true" applyNumberFormat="true" numFmtId="1" fillId="22" applyFill="true">
      <alignment horizontal="center" vertical="center"/>
    </xf>
    <xf fontId="5188" applyFont="true" borderId="8" applyBorder="true" applyNumberFormat="true" numFmtId="167" fillId="22" applyFill="true">
      <alignment horizontal="center" vertical="center"/>
    </xf>
    <xf fontId="5189" applyFont="true" borderId="8" applyBorder="true" applyNumberFormat="true" numFmtId="1" fillId="22" applyFill="true">
      <alignment horizontal="center" vertical="center"/>
    </xf>
    <xf fontId="5190" applyFont="true" borderId="8" applyBorder="true" applyNumberFormat="true" numFmtId="167" fillId="22" applyFill="true">
      <alignment horizontal="center" vertical="center"/>
    </xf>
    <xf fontId="5191" applyFont="true" borderId="8" applyBorder="true" applyNumberFormat="true" numFmtId="1" fillId="22" applyFill="true">
      <alignment horizontal="center" vertical="center"/>
    </xf>
    <xf fontId="5192" applyFont="true" borderId="8" applyBorder="true" applyNumberFormat="true" numFmtId="167" fillId="22" applyFill="true">
      <alignment horizontal="center" vertical="center"/>
    </xf>
    <xf fontId="5193" applyFont="true" borderId="8" applyBorder="true" applyNumberFormat="true" numFmtId="2" fillId="22" applyFill="true">
      <alignment horizontal="center" vertical="center"/>
    </xf>
    <xf fontId="5194" applyFont="true" borderId="8" applyBorder="true" applyNumberFormat="true" numFmtId="2" fillId="22" applyFill="true">
      <alignment horizontal="center" vertical="center"/>
    </xf>
    <xf fontId="5195" applyFont="true" borderId="8" applyBorder="true" applyNumberFormat="true" numFmtId="2" fillId="22" applyFill="true">
      <alignment horizontal="center" vertical="center"/>
    </xf>
    <xf fontId="5196" applyFont="true" borderId="8" applyBorder="true" applyNumberFormat="true" numFmtId="2" fillId="22" applyFill="true">
      <alignment horizontal="center" vertical="center"/>
    </xf>
    <xf fontId="5197" applyFont="true" borderId="8" applyBorder="true" applyNumberFormat="true" numFmtId="2" fillId="22" applyFill="true">
      <alignment horizontal="center" vertical="center"/>
    </xf>
    <xf fontId="5198" applyFont="true" borderId="8" applyBorder="true" applyNumberFormat="true" numFmtId="2" fillId="22" applyFill="true">
      <alignment horizontal="center" vertical="center"/>
    </xf>
    <xf fontId="5199" applyFont="true" borderId="8" applyBorder="true" applyNumberFormat="true" numFmtId="2" fillId="22" applyFill="true">
      <alignment horizontal="center" vertical="center"/>
    </xf>
    <xf fontId="5200" applyFont="true" borderId="8" applyBorder="true" applyNumberFormat="true" numFmtId="2" fillId="22" applyFill="true">
      <alignment horizontal="center" vertical="center"/>
    </xf>
    <xf fontId="5201" applyFont="true" borderId="8" applyBorder="true" applyNumberFormat="true" numFmtId="2" fillId="22" applyFill="true">
      <alignment horizontal="center" vertical="center"/>
    </xf>
    <xf fontId="5202" applyFont="true" borderId="8" applyBorder="true" applyNumberFormat="true" numFmtId="2" fillId="22" applyFill="true">
      <alignment horizontal="center" vertical="center"/>
    </xf>
    <xf fontId="5203" applyFont="true" borderId="8" applyBorder="true" applyNumberFormat="true" numFmtId="2" fillId="22" applyFill="true">
      <alignment horizontal="center" vertical="center"/>
    </xf>
    <xf fontId="5204" applyFont="true" borderId="8" applyBorder="true" applyNumberFormat="true" numFmtId="2" fillId="22" applyFill="true">
      <alignment horizontal="center" vertical="center"/>
    </xf>
    <xf fontId="5205" applyFont="true" borderId="8" applyBorder="true" applyNumberFormat="true" numFmtId="2" fillId="22" applyFill="true">
      <alignment horizontal="center" vertical="center"/>
    </xf>
    <xf fontId="5206" applyFont="true" borderId="8" applyBorder="true" applyNumberFormat="true" numFmtId="2" fillId="22" applyFill="true">
      <alignment horizontal="center" vertical="center"/>
    </xf>
    <xf fontId="5207" applyFont="true" borderId="8" applyBorder="true" applyNumberFormat="true" numFmtId="2" fillId="22" applyFill="true">
      <alignment horizontal="center" vertical="center"/>
    </xf>
    <xf fontId="5208" applyFont="true" borderId="8" applyBorder="true" applyNumberFormat="true" numFmtId="2" fillId="22" applyFill="true">
      <alignment horizontal="center" vertical="center"/>
    </xf>
    <xf fontId="5209" applyFont="true" borderId="8" applyBorder="true" applyNumberFormat="true" numFmtId="2" fillId="22" applyFill="true">
      <alignment horizontal="center" vertical="center"/>
    </xf>
    <xf fontId="5210" applyFont="true" borderId="8" applyBorder="true" applyNumberFormat="true" numFmtId="2" fillId="22" applyFill="true">
      <alignment horizontal="center" vertical="center"/>
    </xf>
    <xf fontId="5211" applyFont="true" borderId="8" applyBorder="true" applyNumberFormat="true" numFmtId="2" fillId="22" applyFill="true">
      <alignment horizontal="center" vertical="center"/>
    </xf>
    <xf fontId="5212" applyFont="true" borderId="8" applyBorder="true" applyNumberFormat="true" numFmtId="2" fillId="22" applyFill="true">
      <alignment horizontal="center" vertical="center"/>
    </xf>
    <xf fontId="5213" applyFont="true" borderId="8" applyBorder="true" applyNumberFormat="true" numFmtId="2" fillId="22" applyFill="true">
      <alignment horizontal="center" vertical="center"/>
    </xf>
    <xf fontId="5214" applyFont="true" borderId="8" applyBorder="true" applyNumberFormat="true" numFmtId="2" fillId="22" applyFill="true">
      <alignment horizontal="center" vertical="center"/>
    </xf>
    <xf fontId="5215" applyFont="true" borderId="8" applyBorder="true" applyNumberFormat="true" numFmtId="2" fillId="22" applyFill="true">
      <alignment horizontal="center" vertical="center"/>
    </xf>
    <xf fontId="5216" applyFont="true" borderId="8" applyBorder="true" applyNumberFormat="true" numFmtId="2" fillId="22" applyFill="true">
      <alignment horizontal="center" vertical="center"/>
    </xf>
    <xf fontId="5217" applyFont="true" borderId="8" applyBorder="true" applyNumberFormat="true" numFmtId="2" fillId="22" applyFill="true">
      <alignment horizontal="center" vertical="center"/>
    </xf>
    <xf fontId="5218" applyFont="true" borderId="8" applyBorder="true" applyNumberFormat="true" numFmtId="2" fillId="22" applyFill="true">
      <alignment horizontal="center" vertical="center"/>
    </xf>
    <xf fontId="5219" applyFont="true" borderId="8" applyBorder="true" applyNumberFormat="true" numFmtId="2" fillId="22" applyFill="true">
      <alignment horizontal="center" vertical="center"/>
    </xf>
    <xf fontId="5220" applyFont="true" borderId="8" applyBorder="true" applyNumberFormat="true" numFmtId="2" fillId="22" applyFill="true">
      <alignment horizontal="center" vertical="center"/>
    </xf>
    <xf fontId="5221" applyFont="true" borderId="8" applyBorder="true" applyNumberFormat="true" numFmtId="2" fillId="22" applyFill="true">
      <alignment horizontal="center" vertical="center"/>
    </xf>
    <xf fontId="5222" applyFont="true" borderId="8" applyBorder="true" applyNumberFormat="true" numFmtId="2" fillId="22" applyFill="true">
      <alignment horizontal="center" vertical="center"/>
    </xf>
    <xf fontId="5223" applyFont="true" borderId="8" applyBorder="true" applyNumberFormat="true" numFmtId="2" fillId="22" applyFill="true">
      <alignment horizontal="center" vertical="center"/>
    </xf>
    <xf fontId="5224" applyFont="true" borderId="8" applyBorder="true" applyNumberFormat="true" numFmtId="2" fillId="22" applyFill="true">
      <alignment horizontal="center" vertical="center"/>
    </xf>
    <xf fontId="5225" applyFont="true" borderId="8" applyBorder="true" applyNumberFormat="true" numFmtId="2" fillId="22" applyFill="true">
      <alignment horizontal="center" vertical="center"/>
    </xf>
    <xf fontId="5226" applyFont="true" borderId="8" applyBorder="true" applyNumberFormat="true" numFmtId="2" fillId="22" applyFill="true">
      <alignment horizontal="center" vertical="center"/>
    </xf>
    <xf fontId="5227" applyFont="true" borderId="8" applyBorder="true" applyNumberFormat="true" numFmtId="165" fillId="19" applyFill="true">
      <alignment horizontal="left" vertical="center"/>
    </xf>
    <xf fontId="5228" applyFont="true" borderId="8" applyBorder="true" applyNumberFormat="true" numFmtId="165" fillId="22" applyFill="true">
      <alignment horizontal="center" vertical="center"/>
    </xf>
    <xf fontId="5229" applyFont="true" borderId="8" applyBorder="true" applyNumberFormat="true" numFmtId="166" fillId="22" applyFill="true">
      <alignment horizontal="center" vertical="center"/>
    </xf>
    <xf fontId="5230" applyFont="true" borderId="8" applyBorder="true" applyNumberFormat="true" numFmtId="1" fillId="22" applyFill="true">
      <alignment horizontal="center" vertical="center"/>
    </xf>
    <xf fontId="5231" applyFont="true" borderId="8" applyBorder="true" applyNumberFormat="true" numFmtId="1" fillId="22" applyFill="true">
      <alignment horizontal="center" vertical="center"/>
    </xf>
    <xf fontId="5232" applyFont="true" borderId="8" applyBorder="true" applyNumberFormat="true" numFmtId="1" fillId="22" applyFill="true">
      <alignment horizontal="center" vertical="center"/>
    </xf>
    <xf fontId="5233" applyFont="true" borderId="8" applyBorder="true" applyNumberFormat="true" numFmtId="1" fillId="22" applyFill="true">
      <alignment horizontal="center" vertical="center"/>
    </xf>
    <xf fontId="5234" applyFont="true" borderId="8" applyBorder="true" applyNumberFormat="true" numFmtId="1" fillId="22" applyFill="true">
      <alignment horizontal="center" vertical="center"/>
    </xf>
    <xf fontId="5235" applyFont="true" borderId="8" applyBorder="true" applyNumberFormat="true" numFmtId="1" fillId="22" applyFill="true">
      <alignment horizontal="center" vertical="center"/>
    </xf>
    <xf fontId="5236" applyFont="true" borderId="8" applyBorder="true" applyNumberFormat="true" numFmtId="1" fillId="22" applyFill="true">
      <alignment horizontal="center" vertical="center"/>
    </xf>
    <xf fontId="5237" applyFont="true" borderId="8" applyBorder="true" applyNumberFormat="true" numFmtId="165" fillId="22" applyFill="true">
      <alignment horizontal="center" vertical="center"/>
    </xf>
    <xf fontId="5238" applyFont="true" borderId="8" applyBorder="true" applyNumberFormat="true" numFmtId="165" fillId="22" applyFill="true">
      <alignment horizontal="center" vertical="center"/>
    </xf>
    <xf fontId="5239" applyFont="true" borderId="8" applyBorder="true" applyNumberFormat="true" numFmtId="1" fillId="22" applyFill="true">
      <alignment horizontal="center" vertical="center"/>
    </xf>
    <xf fontId="5240" applyFont="true" borderId="8" applyBorder="true" applyNumberFormat="true" numFmtId="1" fillId="22" applyFill="true">
      <alignment horizontal="center" vertical="center"/>
    </xf>
    <xf fontId="5241" applyFont="true" borderId="8" applyBorder="true" applyNumberFormat="true" numFmtId="1" fillId="22" applyFill="true">
      <alignment horizontal="center" vertical="center"/>
    </xf>
    <xf fontId="5242" applyFont="true" borderId="8" applyBorder="true" applyNumberFormat="true" numFmtId="167" fillId="22" applyFill="true">
      <alignment horizontal="center" vertical="center"/>
    </xf>
    <xf fontId="5243" applyFont="true" borderId="8" applyBorder="true" applyNumberFormat="true" numFmtId="1" fillId="22" applyFill="true">
      <alignment horizontal="center" vertical="center"/>
    </xf>
    <xf fontId="5244" applyFont="true" borderId="8" applyBorder="true" applyNumberFormat="true" numFmtId="167" fillId="22" applyFill="true">
      <alignment horizontal="center" vertical="center"/>
    </xf>
    <xf fontId="5245" applyFont="true" borderId="8" applyBorder="true" applyNumberFormat="true" numFmtId="1" fillId="22" applyFill="true">
      <alignment horizontal="center" vertical="center"/>
    </xf>
    <xf fontId="5246" applyFont="true" borderId="8" applyBorder="true" applyNumberFormat="true" numFmtId="167" fillId="22" applyFill="true">
      <alignment horizontal="center" vertical="center"/>
    </xf>
    <xf fontId="5247" applyFont="true" borderId="8" applyBorder="true" applyNumberFormat="true" numFmtId="1" fillId="22" applyFill="true">
      <alignment horizontal="center" vertical="center"/>
    </xf>
    <xf fontId="5248" applyFont="true" borderId="8" applyBorder="true" applyNumberFormat="true" numFmtId="167" fillId="22" applyFill="true">
      <alignment horizontal="center" vertical="center"/>
    </xf>
    <xf fontId="5249" applyFont="true" borderId="8" applyBorder="true" applyNumberFormat="true" numFmtId="167" fillId="22" applyFill="true">
      <alignment horizontal="center" vertical="center"/>
    </xf>
    <xf fontId="5250" applyFont="true" borderId="8" applyBorder="true" applyNumberFormat="true" numFmtId="1" fillId="22" applyFill="true">
      <alignment horizontal="center" vertical="center"/>
    </xf>
    <xf fontId="5251" applyFont="true" borderId="8" applyBorder="true" applyNumberFormat="true" numFmtId="1" fillId="22" applyFill="true">
      <alignment horizontal="center" vertical="center"/>
    </xf>
    <xf fontId="5252" applyFont="true" borderId="8" applyBorder="true" applyNumberFormat="true" numFmtId="1" fillId="22" applyFill="true">
      <alignment horizontal="center" vertical="center"/>
    </xf>
    <xf fontId="5253" applyFont="true" borderId="8" applyBorder="true" applyNumberFormat="true" numFmtId="167" fillId="22" applyFill="true">
      <alignment horizontal="center" vertical="center"/>
    </xf>
    <xf fontId="5254" applyFont="true" borderId="8" applyBorder="true" applyNumberFormat="true" numFmtId="166" fillId="22" applyFill="true">
      <alignment horizontal="center" vertical="center"/>
    </xf>
    <xf fontId="5255" applyFont="true" borderId="8" applyBorder="true" applyNumberFormat="true" numFmtId="166" fillId="22" applyFill="true">
      <alignment horizontal="center" vertical="center"/>
    </xf>
    <xf fontId="5256" applyFont="true" borderId="8" applyBorder="true" applyNumberFormat="true" numFmtId="1" fillId="22" applyFill="true">
      <alignment horizontal="center" vertical="center"/>
    </xf>
    <xf fontId="5257" applyFont="true" borderId="8" applyBorder="true" applyNumberFormat="true" numFmtId="1" fillId="22" applyFill="true">
      <alignment horizontal="center" vertical="center"/>
    </xf>
    <xf fontId="5258" applyFont="true" borderId="8" applyBorder="true" applyNumberFormat="true" numFmtId="1" fillId="22" applyFill="true">
      <alignment horizontal="center" vertical="center"/>
    </xf>
    <xf fontId="5259" applyFont="true" borderId="8" applyBorder="true" applyNumberFormat="true" numFmtId="167" fillId="22" applyFill="true">
      <alignment horizontal="center" vertical="center"/>
    </xf>
    <xf fontId="5260" applyFont="true" borderId="8" applyBorder="true" applyNumberFormat="true" numFmtId="1" fillId="22" applyFill="true">
      <alignment horizontal="center" vertical="center"/>
    </xf>
    <xf fontId="5261" applyFont="true" borderId="8" applyBorder="true" applyNumberFormat="true" numFmtId="167" fillId="22" applyFill="true">
      <alignment horizontal="center" vertical="center"/>
    </xf>
    <xf fontId="5262" applyFont="true" borderId="8" applyBorder="true" applyNumberFormat="true" numFmtId="1" fillId="22" applyFill="true">
      <alignment horizontal="center" vertical="center"/>
    </xf>
    <xf fontId="5263" applyFont="true" borderId="8" applyBorder="true" applyNumberFormat="true" numFmtId="1" fillId="22" applyFill="true">
      <alignment horizontal="center" vertical="center"/>
    </xf>
    <xf fontId="5264" applyFont="true" borderId="8" applyBorder="true" applyNumberFormat="true" numFmtId="1" fillId="22" applyFill="true">
      <alignment horizontal="center" vertical="center"/>
    </xf>
    <xf fontId="5265" applyFont="true" borderId="8" applyBorder="true" applyNumberFormat="true" numFmtId="1" fillId="22" applyFill="true">
      <alignment horizontal="center" vertical="center"/>
    </xf>
    <xf fontId="5266" applyFont="true" borderId="8" applyBorder="true" applyNumberFormat="true" numFmtId="167" fillId="22" applyFill="true">
      <alignment horizontal="center" vertical="center"/>
    </xf>
    <xf fontId="5267" applyFont="true" borderId="8" applyBorder="true" applyNumberFormat="true" numFmtId="1" fillId="22" applyFill="true">
      <alignment horizontal="center" vertical="center"/>
    </xf>
    <xf fontId="5268" applyFont="true" borderId="8" applyBorder="true" applyNumberFormat="true" numFmtId="167" fillId="22" applyFill="true">
      <alignment horizontal="center" vertical="center"/>
    </xf>
    <xf fontId="5269" applyFont="true" borderId="8" applyBorder="true" applyNumberFormat="true" numFmtId="1" fillId="22" applyFill="true">
      <alignment horizontal="center" vertical="center"/>
    </xf>
    <xf fontId="5270" applyFont="true" borderId="8" applyBorder="true" applyNumberFormat="true" numFmtId="167" fillId="22" applyFill="true">
      <alignment horizontal="center" vertical="center"/>
    </xf>
    <xf fontId="5271" applyFont="true" borderId="8" applyBorder="true" applyNumberFormat="true" numFmtId="2" fillId="22" applyFill="true">
      <alignment horizontal="center" vertical="center"/>
    </xf>
    <xf fontId="5272" applyFont="true" borderId="8" applyBorder="true" applyNumberFormat="true" numFmtId="2" fillId="22" applyFill="true">
      <alignment horizontal="center" vertical="center"/>
    </xf>
    <xf fontId="5273" applyFont="true" borderId="8" applyBorder="true" applyNumberFormat="true" numFmtId="2" fillId="22" applyFill="true">
      <alignment horizontal="center" vertical="center"/>
    </xf>
    <xf fontId="5274" applyFont="true" borderId="8" applyBorder="true" applyNumberFormat="true" numFmtId="2" fillId="22" applyFill="true">
      <alignment horizontal="center" vertical="center"/>
    </xf>
    <xf fontId="5275" applyFont="true" borderId="8" applyBorder="true" applyNumberFormat="true" numFmtId="2" fillId="22" applyFill="true">
      <alignment horizontal="center" vertical="center"/>
    </xf>
    <xf fontId="5276" applyFont="true" borderId="8" applyBorder="true" applyNumberFormat="true" numFmtId="2" fillId="22" applyFill="true">
      <alignment horizontal="center" vertical="center"/>
    </xf>
    <xf fontId="5277" applyFont="true" borderId="8" applyBorder="true" applyNumberFormat="true" numFmtId="2" fillId="22" applyFill="true">
      <alignment horizontal="center" vertical="center"/>
    </xf>
    <xf fontId="5278" applyFont="true" borderId="8" applyBorder="true" applyNumberFormat="true" numFmtId="2" fillId="22" applyFill="true">
      <alignment horizontal="center" vertical="center"/>
    </xf>
    <xf fontId="5279" applyFont="true" borderId="8" applyBorder="true" applyNumberFormat="true" numFmtId="2" fillId="22" applyFill="true">
      <alignment horizontal="center" vertical="center"/>
    </xf>
    <xf fontId="5280" applyFont="true" borderId="8" applyBorder="true" applyNumberFormat="true" numFmtId="2" fillId="22" applyFill="true">
      <alignment horizontal="center" vertical="center"/>
    </xf>
    <xf fontId="5281" applyFont="true" borderId="8" applyBorder="true" applyNumberFormat="true" numFmtId="2" fillId="22" applyFill="true">
      <alignment horizontal="center" vertical="center"/>
    </xf>
    <xf fontId="5282" applyFont="true" borderId="8" applyBorder="true" applyNumberFormat="true" numFmtId="2" fillId="22" applyFill="true">
      <alignment horizontal="center" vertical="center"/>
    </xf>
    <xf fontId="5283" applyFont="true" borderId="8" applyBorder="true" applyNumberFormat="true" numFmtId="2" fillId="22" applyFill="true">
      <alignment horizontal="center" vertical="center"/>
    </xf>
    <xf fontId="5284" applyFont="true" borderId="8" applyBorder="true" applyNumberFormat="true" numFmtId="2" fillId="22" applyFill="true">
      <alignment horizontal="center" vertical="center"/>
    </xf>
    <xf fontId="5285" applyFont="true" borderId="8" applyBorder="true" applyNumberFormat="true" numFmtId="2" fillId="22" applyFill="true">
      <alignment horizontal="center" vertical="center"/>
    </xf>
    <xf fontId="5286" applyFont="true" borderId="8" applyBorder="true" applyNumberFormat="true" numFmtId="2" fillId="22" applyFill="true">
      <alignment horizontal="center" vertical="center"/>
    </xf>
    <xf fontId="5287" applyFont="true" borderId="8" applyBorder="true" applyNumberFormat="true" numFmtId="2" fillId="22" applyFill="true">
      <alignment horizontal="center" vertical="center"/>
    </xf>
    <xf fontId="5288" applyFont="true" borderId="8" applyBorder="true" applyNumberFormat="true" numFmtId="2" fillId="22" applyFill="true">
      <alignment horizontal="center" vertical="center"/>
    </xf>
    <xf fontId="5289" applyFont="true" borderId="8" applyBorder="true" applyNumberFormat="true" numFmtId="2" fillId="22" applyFill="true">
      <alignment horizontal="center" vertical="center"/>
    </xf>
    <xf fontId="5290" applyFont="true" borderId="8" applyBorder="true" applyNumberFormat="true" numFmtId="2" fillId="22" applyFill="true">
      <alignment horizontal="center" vertical="center"/>
    </xf>
    <xf fontId="5291" applyFont="true" borderId="8" applyBorder="true" applyNumberFormat="true" numFmtId="2" fillId="22" applyFill="true">
      <alignment horizontal="center" vertical="center"/>
    </xf>
    <xf fontId="5292" applyFont="true" borderId="8" applyBorder="true" applyNumberFormat="true" numFmtId="2" fillId="22" applyFill="true">
      <alignment horizontal="center" vertical="center"/>
    </xf>
    <xf fontId="5293" applyFont="true" borderId="8" applyBorder="true" applyNumberFormat="true" numFmtId="2" fillId="22" applyFill="true">
      <alignment horizontal="center" vertical="center"/>
    </xf>
    <xf fontId="5294" applyFont="true" borderId="8" applyBorder="true" applyNumberFormat="true" numFmtId="2" fillId="22" applyFill="true">
      <alignment horizontal="center" vertical="center"/>
    </xf>
    <xf fontId="5295" applyFont="true" borderId="8" applyBorder="true" applyNumberFormat="true" numFmtId="2" fillId="22" applyFill="true">
      <alignment horizontal="center" vertical="center"/>
    </xf>
    <xf fontId="5296" applyFont="true" borderId="8" applyBorder="true" applyNumberFormat="true" numFmtId="2" fillId="22" applyFill="true">
      <alignment horizontal="center" vertical="center"/>
    </xf>
    <xf fontId="5297" applyFont="true" borderId="8" applyBorder="true" applyNumberFormat="true" numFmtId="2" fillId="22" applyFill="true">
      <alignment horizontal="center" vertical="center"/>
    </xf>
    <xf fontId="5298" applyFont="true" borderId="8" applyBorder="true" applyNumberFormat="true" numFmtId="2" fillId="22" applyFill="true">
      <alignment horizontal="center" vertical="center"/>
    </xf>
    <xf fontId="5299" applyFont="true" borderId="8" applyBorder="true" applyNumberFormat="true" numFmtId="2" fillId="22" applyFill="true">
      <alignment horizontal="center" vertical="center"/>
    </xf>
    <xf fontId="5300" applyFont="true" borderId="8" applyBorder="true" applyNumberFormat="true" numFmtId="2" fillId="22" applyFill="true">
      <alignment horizontal="center" vertical="center"/>
    </xf>
    <xf fontId="5301" applyFont="true" borderId="8" applyBorder="true" applyNumberFormat="true" numFmtId="2" fillId="22" applyFill="true">
      <alignment horizontal="center" vertical="center"/>
    </xf>
    <xf fontId="5302" applyFont="true" borderId="8" applyBorder="true" applyNumberFormat="true" numFmtId="2" fillId="22" applyFill="true">
      <alignment horizontal="center" vertical="center"/>
    </xf>
    <xf fontId="5303" applyFont="true" borderId="8" applyBorder="true" applyNumberFormat="true" numFmtId="2" fillId="22" applyFill="true">
      <alignment horizontal="center" vertical="center"/>
    </xf>
    <xf fontId="5304" applyFont="true" borderId="8" applyBorder="true" applyNumberFormat="true" numFmtId="2" fillId="22" applyFill="true">
      <alignment horizontal="center" vertical="center"/>
    </xf>
    <xf fontId="5305" applyFont="true" borderId="8" applyBorder="true" applyNumberFormat="true" numFmtId="165" fillId="19" applyFill="true">
      <alignment horizontal="left" vertical="center"/>
    </xf>
    <xf fontId="5306" applyFont="true" borderId="8" applyBorder="true" applyNumberFormat="true" numFmtId="165" fillId="22" applyFill="true">
      <alignment horizontal="center" vertical="center"/>
    </xf>
    <xf fontId="5307" applyFont="true" borderId="8" applyBorder="true" applyNumberFormat="true" numFmtId="166" fillId="22" applyFill="true">
      <alignment horizontal="center" vertical="center"/>
    </xf>
    <xf fontId="5308" applyFont="true" borderId="8" applyBorder="true" applyNumberFormat="true" numFmtId="1" fillId="22" applyFill="true">
      <alignment horizontal="center" vertical="center"/>
    </xf>
    <xf fontId="5309" applyFont="true" borderId="8" applyBorder="true" applyNumberFormat="true" numFmtId="1" fillId="22" applyFill="true">
      <alignment horizontal="center" vertical="center"/>
    </xf>
    <xf fontId="5310" applyFont="true" borderId="8" applyBorder="true" applyNumberFormat="true" numFmtId="1" fillId="22" applyFill="true">
      <alignment horizontal="center" vertical="center"/>
    </xf>
    <xf fontId="5311" applyFont="true" borderId="8" applyBorder="true" applyNumberFormat="true" numFmtId="1" fillId="22" applyFill="true">
      <alignment horizontal="center" vertical="center"/>
    </xf>
    <xf fontId="5312" applyFont="true" borderId="8" applyBorder="true" applyNumberFormat="true" numFmtId="1" fillId="22" applyFill="true">
      <alignment horizontal="center" vertical="center"/>
    </xf>
    <xf fontId="5313" applyFont="true" borderId="8" applyBorder="true" applyNumberFormat="true" numFmtId="1" fillId="22" applyFill="true">
      <alignment horizontal="center" vertical="center"/>
    </xf>
    <xf fontId="5314" applyFont="true" borderId="8" applyBorder="true" applyNumberFormat="true" numFmtId="1" fillId="22" applyFill="true">
      <alignment horizontal="center" vertical="center"/>
    </xf>
    <xf fontId="5315" applyFont="true" borderId="8" applyBorder="true" applyNumberFormat="true" numFmtId="165" fillId="22" applyFill="true">
      <alignment horizontal="center" vertical="center"/>
    </xf>
    <xf fontId="5316" applyFont="true" borderId="8" applyBorder="true" applyNumberFormat="true" numFmtId="165" fillId="22" applyFill="true">
      <alignment horizontal="center" vertical="center"/>
    </xf>
    <xf fontId="5317" applyFont="true" borderId="8" applyBorder="true" applyNumberFormat="true" numFmtId="1" fillId="22" applyFill="true">
      <alignment horizontal="center" vertical="center"/>
    </xf>
    <xf fontId="5318" applyFont="true" borderId="8" applyBorder="true" applyNumberFormat="true" numFmtId="1" fillId="22" applyFill="true">
      <alignment horizontal="center" vertical="center"/>
    </xf>
    <xf fontId="5319" applyFont="true" borderId="8" applyBorder="true" applyNumberFormat="true" numFmtId="1" fillId="22" applyFill="true">
      <alignment horizontal="center" vertical="center"/>
    </xf>
    <xf fontId="5320" applyFont="true" borderId="8" applyBorder="true" applyNumberFormat="true" numFmtId="167" fillId="22" applyFill="true">
      <alignment horizontal="center" vertical="center"/>
    </xf>
    <xf fontId="5321" applyFont="true" borderId="8" applyBorder="true" applyNumberFormat="true" numFmtId="1" fillId="22" applyFill="true">
      <alignment horizontal="center" vertical="center"/>
    </xf>
    <xf fontId="5322" applyFont="true" borderId="8" applyBorder="true" applyNumberFormat="true" numFmtId="167" fillId="22" applyFill="true">
      <alignment horizontal="center" vertical="center"/>
    </xf>
    <xf fontId="5323" applyFont="true" borderId="8" applyBorder="true" applyNumberFormat="true" numFmtId="1" fillId="22" applyFill="true">
      <alignment horizontal="center" vertical="center"/>
    </xf>
    <xf fontId="5324" applyFont="true" borderId="8" applyBorder="true" applyNumberFormat="true" numFmtId="167" fillId="22" applyFill="true">
      <alignment horizontal="center" vertical="center"/>
    </xf>
    <xf fontId="5325" applyFont="true" borderId="8" applyBorder="true" applyNumberFormat="true" numFmtId="1" fillId="22" applyFill="true">
      <alignment horizontal="center" vertical="center"/>
    </xf>
    <xf fontId="5326" applyFont="true" borderId="8" applyBorder="true" applyNumberFormat="true" numFmtId="167" fillId="22" applyFill="true">
      <alignment horizontal="center" vertical="center"/>
    </xf>
    <xf fontId="5327" applyFont="true" borderId="8" applyBorder="true" applyNumberFormat="true" numFmtId="167" fillId="22" applyFill="true">
      <alignment horizontal="center" vertical="center"/>
    </xf>
    <xf fontId="5328" applyFont="true" borderId="8" applyBorder="true" applyNumberFormat="true" numFmtId="1" fillId="22" applyFill="true">
      <alignment horizontal="center" vertical="center"/>
    </xf>
    <xf fontId="5329" applyFont="true" borderId="8" applyBorder="true" applyNumberFormat="true" numFmtId="1" fillId="22" applyFill="true">
      <alignment horizontal="center" vertical="center"/>
    </xf>
    <xf fontId="5330" applyFont="true" borderId="8" applyBorder="true" applyNumberFormat="true" numFmtId="1" fillId="22" applyFill="true">
      <alignment horizontal="center" vertical="center"/>
    </xf>
    <xf fontId="5331" applyFont="true" borderId="8" applyBorder="true" applyNumberFormat="true" numFmtId="167" fillId="22" applyFill="true">
      <alignment horizontal="center" vertical="center"/>
    </xf>
    <xf fontId="5332" applyFont="true" borderId="8" applyBorder="true" applyNumberFormat="true" numFmtId="166" fillId="22" applyFill="true">
      <alignment horizontal="center" vertical="center"/>
    </xf>
    <xf fontId="5333" applyFont="true" borderId="8" applyBorder="true" applyNumberFormat="true" numFmtId="166" fillId="22" applyFill="true">
      <alignment horizontal="center" vertical="center"/>
    </xf>
    <xf fontId="5334" applyFont="true" borderId="8" applyBorder="true" applyNumberFormat="true" numFmtId="1" fillId="22" applyFill="true">
      <alignment horizontal="center" vertical="center"/>
    </xf>
    <xf fontId="5335" applyFont="true" borderId="8" applyBorder="true" applyNumberFormat="true" numFmtId="1" fillId="22" applyFill="true">
      <alignment horizontal="center" vertical="center"/>
    </xf>
    <xf fontId="5336" applyFont="true" borderId="8" applyBorder="true" applyNumberFormat="true" numFmtId="1" fillId="22" applyFill="true">
      <alignment horizontal="center" vertical="center"/>
    </xf>
    <xf fontId="5337" applyFont="true" borderId="8" applyBorder="true" applyNumberFormat="true" numFmtId="167" fillId="22" applyFill="true">
      <alignment horizontal="center" vertical="center"/>
    </xf>
    <xf fontId="5338" applyFont="true" borderId="8" applyBorder="true" applyNumberFormat="true" numFmtId="1" fillId="22" applyFill="true">
      <alignment horizontal="center" vertical="center"/>
    </xf>
    <xf fontId="5339" applyFont="true" borderId="8" applyBorder="true" applyNumberFormat="true" numFmtId="167" fillId="22" applyFill="true">
      <alignment horizontal="center" vertical="center"/>
    </xf>
    <xf fontId="5340" applyFont="true" borderId="8" applyBorder="true" applyNumberFormat="true" numFmtId="1" fillId="22" applyFill="true">
      <alignment horizontal="center" vertical="center"/>
    </xf>
    <xf fontId="5341" applyFont="true" borderId="8" applyBorder="true" applyNumberFormat="true" numFmtId="1" fillId="22" applyFill="true">
      <alignment horizontal="center" vertical="center"/>
    </xf>
    <xf fontId="5342" applyFont="true" borderId="8" applyBorder="true" applyNumberFormat="true" numFmtId="1" fillId="22" applyFill="true">
      <alignment horizontal="center" vertical="center"/>
    </xf>
    <xf fontId="5343" applyFont="true" borderId="8" applyBorder="true" applyNumberFormat="true" numFmtId="1" fillId="22" applyFill="true">
      <alignment horizontal="center" vertical="center"/>
    </xf>
    <xf fontId="5344" applyFont="true" borderId="8" applyBorder="true" applyNumberFormat="true" numFmtId="167" fillId="22" applyFill="true">
      <alignment horizontal="center" vertical="center"/>
    </xf>
    <xf fontId="5345" applyFont="true" borderId="8" applyBorder="true" applyNumberFormat="true" numFmtId="1" fillId="22" applyFill="true">
      <alignment horizontal="center" vertical="center"/>
    </xf>
    <xf fontId="5346" applyFont="true" borderId="8" applyBorder="true" applyNumberFormat="true" numFmtId="167" fillId="22" applyFill="true">
      <alignment horizontal="center" vertical="center"/>
    </xf>
    <xf fontId="5347" applyFont="true" borderId="8" applyBorder="true" applyNumberFormat="true" numFmtId="1" fillId="22" applyFill="true">
      <alignment horizontal="center" vertical="center"/>
    </xf>
    <xf fontId="5348" applyFont="true" borderId="8" applyBorder="true" applyNumberFormat="true" numFmtId="167" fillId="22" applyFill="true">
      <alignment horizontal="center" vertical="center"/>
    </xf>
    <xf fontId="5349" applyFont="true" borderId="8" applyBorder="true" applyNumberFormat="true" numFmtId="2" fillId="22" applyFill="true">
      <alignment horizontal="center" vertical="center"/>
    </xf>
    <xf fontId="5350" applyFont="true" borderId="8" applyBorder="true" applyNumberFormat="true" numFmtId="2" fillId="22" applyFill="true">
      <alignment horizontal="center" vertical="center"/>
    </xf>
    <xf fontId="5351" applyFont="true" borderId="8" applyBorder="true" applyNumberFormat="true" numFmtId="2" fillId="22" applyFill="true">
      <alignment horizontal="center" vertical="center"/>
    </xf>
    <xf fontId="5352" applyFont="true" borderId="8" applyBorder="true" applyNumberFormat="true" numFmtId="2" fillId="22" applyFill="true">
      <alignment horizontal="center" vertical="center"/>
    </xf>
    <xf fontId="5353" applyFont="true" borderId="8" applyBorder="true" applyNumberFormat="true" numFmtId="2" fillId="22" applyFill="true">
      <alignment horizontal="center" vertical="center"/>
    </xf>
    <xf fontId="5354" applyFont="true" borderId="8" applyBorder="true" applyNumberFormat="true" numFmtId="2" fillId="22" applyFill="true">
      <alignment horizontal="center" vertical="center"/>
    </xf>
    <xf fontId="5355" applyFont="true" borderId="8" applyBorder="true" applyNumberFormat="true" numFmtId="2" fillId="22" applyFill="true">
      <alignment horizontal="center" vertical="center"/>
    </xf>
    <xf fontId="5356" applyFont="true" borderId="8" applyBorder="true" applyNumberFormat="true" numFmtId="2" fillId="22" applyFill="true">
      <alignment horizontal="center" vertical="center"/>
    </xf>
    <xf fontId="5357" applyFont="true" borderId="8" applyBorder="true" applyNumberFormat="true" numFmtId="2" fillId="22" applyFill="true">
      <alignment horizontal="center" vertical="center"/>
    </xf>
    <xf fontId="5358" applyFont="true" borderId="8" applyBorder="true" applyNumberFormat="true" numFmtId="2" fillId="22" applyFill="true">
      <alignment horizontal="center" vertical="center"/>
    </xf>
    <xf fontId="5359" applyFont="true" borderId="8" applyBorder="true" applyNumberFormat="true" numFmtId="2" fillId="22" applyFill="true">
      <alignment horizontal="center" vertical="center"/>
    </xf>
    <xf fontId="5360" applyFont="true" borderId="8" applyBorder="true" applyNumberFormat="true" numFmtId="2" fillId="22" applyFill="true">
      <alignment horizontal="center" vertical="center"/>
    </xf>
    <xf fontId="5361" applyFont="true" borderId="8" applyBorder="true" applyNumberFormat="true" numFmtId="2" fillId="22" applyFill="true">
      <alignment horizontal="center" vertical="center"/>
    </xf>
    <xf fontId="5362" applyFont="true" borderId="8" applyBorder="true" applyNumberFormat="true" numFmtId="2" fillId="22" applyFill="true">
      <alignment horizontal="center" vertical="center"/>
    </xf>
    <xf fontId="5363" applyFont="true" borderId="8" applyBorder="true" applyNumberFormat="true" numFmtId="2" fillId="22" applyFill="true">
      <alignment horizontal="center" vertical="center"/>
    </xf>
    <xf fontId="5364" applyFont="true" borderId="8" applyBorder="true" applyNumberFormat="true" numFmtId="2" fillId="22" applyFill="true">
      <alignment horizontal="center" vertical="center"/>
    </xf>
    <xf fontId="5365" applyFont="true" borderId="8" applyBorder="true" applyNumberFormat="true" numFmtId="2" fillId="22" applyFill="true">
      <alignment horizontal="center" vertical="center"/>
    </xf>
    <xf fontId="5366" applyFont="true" borderId="8" applyBorder="true" applyNumberFormat="true" numFmtId="2" fillId="22" applyFill="true">
      <alignment horizontal="center" vertical="center"/>
    </xf>
    <xf fontId="5367" applyFont="true" borderId="8" applyBorder="true" applyNumberFormat="true" numFmtId="2" fillId="22" applyFill="true">
      <alignment horizontal="center" vertical="center"/>
    </xf>
    <xf fontId="5368" applyFont="true" borderId="8" applyBorder="true" applyNumberFormat="true" numFmtId="2" fillId="22" applyFill="true">
      <alignment horizontal="center" vertical="center"/>
    </xf>
    <xf fontId="5369" applyFont="true" borderId="8" applyBorder="true" applyNumberFormat="true" numFmtId="2" fillId="22" applyFill="true">
      <alignment horizontal="center" vertical="center"/>
    </xf>
    <xf fontId="5370" applyFont="true" borderId="8" applyBorder="true" applyNumberFormat="true" numFmtId="2" fillId="22" applyFill="true">
      <alignment horizontal="center" vertical="center"/>
    </xf>
    <xf fontId="5371" applyFont="true" borderId="8" applyBorder="true" applyNumberFormat="true" numFmtId="2" fillId="22" applyFill="true">
      <alignment horizontal="center" vertical="center"/>
    </xf>
    <xf fontId="5372" applyFont="true" borderId="8" applyBorder="true" applyNumberFormat="true" numFmtId="2" fillId="22" applyFill="true">
      <alignment horizontal="center" vertical="center"/>
    </xf>
    <xf fontId="5373" applyFont="true" borderId="8" applyBorder="true" applyNumberFormat="true" numFmtId="2" fillId="22" applyFill="true">
      <alignment horizontal="center" vertical="center"/>
    </xf>
    <xf fontId="5374" applyFont="true" borderId="8" applyBorder="true" applyNumberFormat="true" numFmtId="2" fillId="22" applyFill="true">
      <alignment horizontal="center" vertical="center"/>
    </xf>
    <xf fontId="5375" applyFont="true" borderId="8" applyBorder="true" applyNumberFormat="true" numFmtId="2" fillId="22" applyFill="true">
      <alignment horizontal="center" vertical="center"/>
    </xf>
    <xf fontId="5376" applyFont="true" borderId="8" applyBorder="true" applyNumberFormat="true" numFmtId="2" fillId="22" applyFill="true">
      <alignment horizontal="center" vertical="center"/>
    </xf>
    <xf fontId="5377" applyFont="true" borderId="8" applyBorder="true" applyNumberFormat="true" numFmtId="2" fillId="22" applyFill="true">
      <alignment horizontal="center" vertical="center"/>
    </xf>
    <xf fontId="5378" applyFont="true" borderId="8" applyBorder="true" applyNumberFormat="true" numFmtId="2" fillId="22" applyFill="true">
      <alignment horizontal="center" vertical="center"/>
    </xf>
    <xf fontId="5379" applyFont="true" borderId="8" applyBorder="true" applyNumberFormat="true" numFmtId="2" fillId="22" applyFill="true">
      <alignment horizontal="center" vertical="center"/>
    </xf>
    <xf fontId="5380" applyFont="true" borderId="8" applyBorder="true" applyNumberFormat="true" numFmtId="2" fillId="22" applyFill="true">
      <alignment horizontal="center" vertical="center"/>
    </xf>
    <xf fontId="5381" applyFont="true" borderId="8" applyBorder="true" applyNumberFormat="true" numFmtId="2" fillId="22" applyFill="true">
      <alignment horizontal="center" vertical="center"/>
    </xf>
    <xf fontId="5382" applyFont="true" borderId="8" applyBorder="true" applyNumberFormat="true" numFmtId="2" fillId="22" applyFill="true">
      <alignment horizontal="center" vertical="center"/>
    </xf>
    <xf fontId="5383" applyFont="true" borderId="8" applyBorder="true" fillId="4" applyFill="true">
      <alignment horizontal="center" vertical="center"/>
    </xf>
    <xf fontId="5384" applyFont="true" borderId="8" applyBorder="true" fillId="4" applyFill="true">
      <alignment horizontal="center" vertical="center"/>
    </xf>
    <xf fontId="5385" applyFont="true" borderId="8" applyBorder="true" fillId="4" applyFill="true">
      <alignment horizontal="center" vertical="center"/>
    </xf>
    <xf fontId="5386" applyFont="true" borderId="8" applyBorder="true" fillId="4" applyFill="true">
      <alignment horizontal="center" vertical="center"/>
    </xf>
    <xf fontId="5387" applyFont="true" borderId="8" applyBorder="true" fillId="4" applyFill="true">
      <alignment horizontal="center" vertical="center"/>
    </xf>
    <xf fontId="5388" applyFont="true" borderId="8" applyBorder="true" fillId="4" applyFill="true">
      <alignment horizontal="center" vertical="center"/>
    </xf>
    <xf fontId="5389" applyFont="true" borderId="8" applyBorder="true" fillId="4" applyFill="true">
      <alignment horizontal="center" vertical="center"/>
    </xf>
    <xf fontId="5390" applyFont="true" borderId="8" applyBorder="true" fillId="4" applyFill="true">
      <alignment horizontal="center" vertical="center"/>
    </xf>
    <xf fontId="5391" applyFont="true" borderId="8" applyBorder="true" fillId="4" applyFill="true">
      <alignment horizontal="center" vertical="center"/>
    </xf>
    <xf fontId="5392" applyFont="true" borderId="8" applyBorder="true" fillId="4" applyFill="true">
      <alignment horizontal="center" vertical="center"/>
    </xf>
    <xf fontId="5393" applyFont="true" borderId="8" applyBorder="true" fillId="4" applyFill="true">
      <alignment horizontal="center" vertical="center"/>
    </xf>
    <xf fontId="5394" applyFont="true" borderId="8" applyBorder="true" fillId="4" applyFill="true">
      <alignment horizontal="center" vertical="center"/>
    </xf>
    <xf fontId="5395" applyFont="true" borderId="8" applyBorder="true" fillId="4" applyFill="true">
      <alignment horizontal="center" vertical="center"/>
    </xf>
    <xf fontId="5396" applyFont="true" borderId="8" applyBorder="true" fillId="4" applyFill="true">
      <alignment horizontal="center" vertical="center"/>
    </xf>
    <xf fontId="5397" applyFont="true" borderId="8" applyBorder="true" fillId="4" applyFill="true">
      <alignment horizontal="center" vertical="center"/>
    </xf>
    <xf fontId="5398" applyFont="true" borderId="8" applyBorder="true" fillId="4" applyFill="true">
      <alignment horizontal="center" vertical="center"/>
    </xf>
    <xf fontId="5399" applyFont="true" borderId="8" applyBorder="true" fillId="4" applyFill="true">
      <alignment horizontal="center" vertical="center"/>
    </xf>
    <xf fontId="5400" applyFont="true" borderId="8" applyBorder="true" fillId="4" applyFill="true">
      <alignment horizontal="center" vertical="center"/>
    </xf>
    <xf fontId="5401" applyFont="true" borderId="8" applyBorder="true" fillId="4" applyFill="true">
      <alignment horizontal="center" vertical="center"/>
    </xf>
    <xf fontId="5402" applyFont="true" borderId="8" applyBorder="true" fillId="4" applyFill="true">
      <alignment horizontal="center" vertical="center"/>
    </xf>
    <xf fontId="5403" applyFont="true" borderId="8" applyBorder="true" fillId="4" applyFill="true">
      <alignment horizontal="center" vertical="center"/>
    </xf>
    <xf fontId="5404" applyFont="true" borderId="8" applyBorder="true" fillId="4" applyFill="true">
      <alignment horizontal="center" vertical="center"/>
    </xf>
    <xf fontId="5405" applyFont="true" borderId="8" applyBorder="true" fillId="4" applyFill="true">
      <alignment horizontal="center" vertical="center"/>
    </xf>
    <xf fontId="5406" applyFont="true" borderId="8" applyBorder="true" fillId="4" applyFill="true">
      <alignment horizontal="center" vertical="center"/>
    </xf>
    <xf fontId="5407" applyFont="true" borderId="8" applyBorder="true" fillId="4" applyFill="true">
      <alignment horizontal="center" vertical="center"/>
    </xf>
    <xf fontId="5408" applyFont="true" borderId="8" applyBorder="true" fillId="4" applyFill="true">
      <alignment horizontal="center" vertical="center"/>
    </xf>
    <xf fontId="5409" applyFont="true" borderId="8" applyBorder="true" fillId="4" applyFill="true">
      <alignment horizontal="center" vertical="center"/>
    </xf>
    <xf fontId="5410" applyFont="true" borderId="8" applyBorder="true" fillId="4" applyFill="true">
      <alignment horizontal="center" vertical="center"/>
    </xf>
    <xf fontId="5411" applyFont="true" borderId="8" applyBorder="true" fillId="4" applyFill="true">
      <alignment horizontal="center" vertical="center"/>
    </xf>
    <xf fontId="5412" applyFont="true" borderId="8" applyBorder="true" fillId="4" applyFill="true">
      <alignment horizontal="center" vertical="center"/>
    </xf>
    <xf fontId="5413" applyFont="true" borderId="8" applyBorder="true" fillId="4" applyFill="true">
      <alignment horizontal="center" vertical="center"/>
    </xf>
    <xf fontId="5414" applyFont="true" borderId="8" applyBorder="true" fillId="4" applyFill="true">
      <alignment horizontal="center" vertical="center"/>
    </xf>
    <xf fontId="5415" applyFont="true" borderId="8" applyBorder="true" fillId="4" applyFill="true">
      <alignment horizontal="center" vertical="center"/>
    </xf>
    <xf fontId="5416" applyFont="true" borderId="8" applyBorder="true" fillId="4" applyFill="true">
      <alignment horizontal="center" vertical="center"/>
    </xf>
    <xf fontId="5417" applyFont="true" borderId="8" applyBorder="true" fillId="4" applyFill="true">
      <alignment horizontal="center" vertical="center"/>
    </xf>
    <xf fontId="5418" applyFont="true" borderId="8" applyBorder="true" fillId="4" applyFill="true">
      <alignment horizontal="center" vertical="center"/>
    </xf>
    <xf fontId="5419" applyFont="true" borderId="8" applyBorder="true" fillId="4" applyFill="true">
      <alignment horizontal="center" vertical="center"/>
    </xf>
    <xf fontId="5420" applyFont="true" borderId="8" applyBorder="true" fillId="4" applyFill="true">
      <alignment horizontal="center" vertical="center"/>
    </xf>
    <xf fontId="5421" applyFont="true" borderId="8" applyBorder="true" fillId="4" applyFill="true">
      <alignment horizontal="center" vertical="center"/>
    </xf>
    <xf fontId="5422" applyFont="true" borderId="8" applyBorder="true" fillId="4" applyFill="true">
      <alignment horizontal="center" vertical="center"/>
    </xf>
    <xf fontId="5423" applyFont="true" borderId="8" applyBorder="true" fillId="4" applyFill="true">
      <alignment horizontal="center" vertical="center"/>
    </xf>
    <xf fontId="5424" applyFont="true" borderId="8" applyBorder="true" fillId="4" applyFill="true">
      <alignment horizontal="center" vertical="center"/>
    </xf>
    <xf fontId="5425" applyFont="true" borderId="8" applyBorder="true" fillId="4" applyFill="true">
      <alignment horizontal="center" vertical="center"/>
    </xf>
    <xf fontId="5426" applyFont="true" borderId="8" applyBorder="true" fillId="4" applyFill="true">
      <alignment horizontal="center" vertical="center"/>
    </xf>
    <xf fontId="5427" applyFont="true" borderId="8" applyBorder="true" fillId="4" applyFill="true">
      <alignment horizontal="center" vertical="center"/>
    </xf>
    <xf fontId="5428" applyFont="true" borderId="8" applyBorder="true" fillId="4" applyFill="true">
      <alignment horizontal="center" vertical="center"/>
    </xf>
    <xf fontId="5429" applyFont="true" borderId="8" applyBorder="true" fillId="7" applyFill="true">
      <alignment horizontal="center" vertical="center"/>
    </xf>
    <xf fontId="5430" applyFont="true" borderId="8" applyBorder="true" fillId="7" applyFill="true">
      <alignment horizontal="center" vertical="center"/>
    </xf>
    <xf fontId="5431" applyFont="true" borderId="8" applyBorder="true" fillId="7" applyFill="true">
      <alignment horizontal="center" vertical="center"/>
    </xf>
    <xf fontId="5432" applyFont="true" borderId="8" applyBorder="true" fillId="7" applyFill="true">
      <alignment horizontal="center" vertical="center"/>
    </xf>
    <xf fontId="5433" applyFont="true" borderId="8" applyBorder="true" fillId="7" applyFill="true">
      <alignment horizontal="center" vertical="center"/>
    </xf>
    <xf fontId="5434" applyFont="true" borderId="8" applyBorder="true" fillId="7" applyFill="true">
      <alignment horizontal="center" vertical="center"/>
    </xf>
    <xf fontId="5435" applyFont="true" borderId="8" applyBorder="true" fillId="7" applyFill="true">
      <alignment horizontal="center" vertical="center"/>
    </xf>
    <xf fontId="5436" applyFont="true" borderId="8" applyBorder="true" fillId="7" applyFill="true">
      <alignment horizontal="center" vertical="center"/>
    </xf>
    <xf fontId="5437" applyFont="true" borderId="8" applyBorder="true" fillId="7" applyFill="true">
      <alignment horizontal="center" vertical="center"/>
    </xf>
    <xf fontId="5438" applyFont="true" borderId="8" applyBorder="true" fillId="7" applyFill="true">
      <alignment horizontal="center" vertical="center"/>
    </xf>
    <xf fontId="5439" applyFont="true" borderId="8" applyBorder="true" fillId="7" applyFill="true">
      <alignment horizontal="center" vertical="center"/>
    </xf>
    <xf fontId="5440" applyFont="true" borderId="8" applyBorder="true" fillId="7" applyFill="true">
      <alignment horizontal="center" vertical="center"/>
    </xf>
    <xf fontId="5441" applyFont="true" borderId="8" applyBorder="true" fillId="7" applyFill="true">
      <alignment horizontal="center" vertical="center"/>
    </xf>
    <xf fontId="5442" applyFont="true" borderId="8" applyBorder="true" fillId="7" applyFill="true">
      <alignment horizontal="center" vertical="center"/>
    </xf>
    <xf fontId="5443" applyFont="true" borderId="8" applyBorder="true" fillId="7" applyFill="true">
      <alignment horizontal="center" vertical="center"/>
    </xf>
    <xf fontId="5444" applyFont="true" borderId="8" applyBorder="true" fillId="7" applyFill="true">
      <alignment horizontal="center" vertical="center"/>
    </xf>
    <xf fontId="5445" applyFont="true" borderId="8" applyBorder="true" fillId="7" applyFill="true">
      <alignment horizontal="center" vertical="center"/>
    </xf>
    <xf fontId="5446" applyFont="true" borderId="8" applyBorder="true" fillId="7" applyFill="true">
      <alignment horizontal="center" vertical="center"/>
    </xf>
    <xf fontId="5447" applyFont="true" borderId="8" applyBorder="true" fillId="7" applyFill="true">
      <alignment horizontal="center" vertical="center"/>
    </xf>
    <xf fontId="5448" applyFont="true" borderId="8" applyBorder="true" fillId="7" applyFill="true">
      <alignment horizontal="center" vertical="center"/>
    </xf>
    <xf fontId="5449" applyFont="true" borderId="8" applyBorder="true" fillId="7" applyFill="true">
      <alignment horizontal="center" vertical="center"/>
    </xf>
    <xf fontId="5450" applyFont="true" borderId="8" applyBorder="true" fillId="7" applyFill="true">
      <alignment horizontal="center" vertical="center"/>
    </xf>
    <xf fontId="5451" applyFont="true" borderId="8" applyBorder="true" fillId="10" applyFill="true">
      <alignment horizontal="center" vertical="center"/>
    </xf>
    <xf fontId="5452" applyFont="true" borderId="8" applyBorder="true" fillId="10" applyFill="true">
      <alignment horizontal="center" vertical="center"/>
    </xf>
    <xf fontId="5453" applyFont="true" borderId="8" applyBorder="true" fillId="10" applyFill="true">
      <alignment horizontal="center" vertical="center"/>
    </xf>
    <xf fontId="5454" applyFont="true" borderId="8" applyBorder="true" fillId="10" applyFill="true">
      <alignment horizontal="center" vertical="center"/>
    </xf>
    <xf fontId="5455" applyFont="true" borderId="8" applyBorder="true" fillId="13" applyFill="true">
      <alignment horizontal="center" vertical="center"/>
    </xf>
    <xf fontId="5456" applyFont="true" borderId="8" applyBorder="true" fillId="13" applyFill="true">
      <alignment horizontal="center" vertical="center"/>
    </xf>
    <xf fontId="5457" applyFont="true" borderId="8" applyBorder="true" fillId="13" applyFill="true">
      <alignment horizontal="center" vertical="center"/>
    </xf>
    <xf fontId="5458" applyFont="true" borderId="8" applyBorder="true" fillId="16" applyFill="true">
      <alignment horizontal="center" vertical="center"/>
    </xf>
    <xf fontId="5459" applyFont="true" borderId="8" applyBorder="true" fillId="16" applyFill="true">
      <alignment horizontal="center" vertical="center"/>
    </xf>
    <xf fontId="5460" applyFont="true" borderId="8" applyBorder="true" fillId="16" applyFill="true">
      <alignment horizontal="center" vertical="center"/>
    </xf>
    <xf fontId="5461" applyFont="true" borderId="8" applyBorder="true" applyNumberFormat="true" numFmtId="165" fillId="19" applyFill="true">
      <alignment horizontal="left" vertical="center"/>
    </xf>
    <xf fontId="5462" applyFont="true" borderId="8" applyBorder="true" applyNumberFormat="true" numFmtId="165" fillId="22" applyFill="true">
      <alignment horizontal="center" vertical="center"/>
    </xf>
    <xf fontId="5463" applyFont="true" borderId="8" applyBorder="true" applyNumberFormat="true" numFmtId="166" fillId="22" applyFill="true">
      <alignment horizontal="center" vertical="center"/>
    </xf>
    <xf fontId="5464" applyFont="true" borderId="8" applyBorder="true" applyNumberFormat="true" numFmtId="1" fillId="22" applyFill="true">
      <alignment horizontal="center" vertical="center"/>
    </xf>
    <xf fontId="5465" applyFont="true" borderId="8" applyBorder="true" applyNumberFormat="true" numFmtId="1" fillId="22" applyFill="true">
      <alignment horizontal="center" vertical="center"/>
    </xf>
    <xf fontId="5466" applyFont="true" borderId="8" applyBorder="true" applyNumberFormat="true" numFmtId="1" fillId="22" applyFill="true">
      <alignment horizontal="center" vertical="center"/>
    </xf>
    <xf fontId="5467" applyFont="true" borderId="8" applyBorder="true" applyNumberFormat="true" numFmtId="1" fillId="22" applyFill="true">
      <alignment horizontal="center" vertical="center"/>
    </xf>
    <xf fontId="5468" applyFont="true" borderId="8" applyBorder="true" applyNumberFormat="true" numFmtId="1" fillId="22" applyFill="true">
      <alignment horizontal="center" vertical="center"/>
    </xf>
    <xf fontId="5469" applyFont="true" borderId="8" applyBorder="true" applyNumberFormat="true" numFmtId="1" fillId="22" applyFill="true">
      <alignment horizontal="center" vertical="center"/>
    </xf>
    <xf fontId="5470" applyFont="true" borderId="8" applyBorder="true" applyNumberFormat="true" numFmtId="1" fillId="22" applyFill="true">
      <alignment horizontal="center" vertical="center"/>
    </xf>
    <xf fontId="5471" applyFont="true" borderId="8" applyBorder="true" applyNumberFormat="true" numFmtId="165" fillId="22" applyFill="true">
      <alignment horizontal="center" vertical="center"/>
    </xf>
    <xf fontId="5472" applyFont="true" borderId="8" applyBorder="true" applyNumberFormat="true" numFmtId="165" fillId="22" applyFill="true">
      <alignment horizontal="center" vertical="center"/>
    </xf>
    <xf fontId="5473" applyFont="true" borderId="8" applyBorder="true" applyNumberFormat="true" numFmtId="1" fillId="22" applyFill="true">
      <alignment horizontal="center" vertical="center"/>
    </xf>
    <xf fontId="5474" applyFont="true" borderId="8" applyBorder="true" applyNumberFormat="true" numFmtId="1" fillId="22" applyFill="true">
      <alignment horizontal="center" vertical="center"/>
    </xf>
    <xf fontId="5475" applyFont="true" borderId="8" applyBorder="true" applyNumberFormat="true" numFmtId="1" fillId="22" applyFill="true">
      <alignment horizontal="center" vertical="center"/>
    </xf>
    <xf fontId="5476" applyFont="true" borderId="8" applyBorder="true" applyNumberFormat="true" numFmtId="167" fillId="22" applyFill="true">
      <alignment horizontal="center" vertical="center"/>
    </xf>
    <xf fontId="5477" applyFont="true" borderId="8" applyBorder="true" applyNumberFormat="true" numFmtId="1" fillId="22" applyFill="true">
      <alignment horizontal="center" vertical="center"/>
    </xf>
    <xf fontId="5478" applyFont="true" borderId="8" applyBorder="true" applyNumberFormat="true" numFmtId="167" fillId="22" applyFill="true">
      <alignment horizontal="center" vertical="center"/>
    </xf>
    <xf fontId="5479" applyFont="true" borderId="8" applyBorder="true" applyNumberFormat="true" numFmtId="1" fillId="22" applyFill="true">
      <alignment horizontal="center" vertical="center"/>
    </xf>
    <xf fontId="5480" applyFont="true" borderId="8" applyBorder="true" applyNumberFormat="true" numFmtId="167" fillId="22" applyFill="true">
      <alignment horizontal="center" vertical="center"/>
    </xf>
    <xf fontId="5481" applyFont="true" borderId="8" applyBorder="true" applyNumberFormat="true" numFmtId="1" fillId="22" applyFill="true">
      <alignment horizontal="center" vertical="center"/>
    </xf>
    <xf fontId="5482" applyFont="true" borderId="8" applyBorder="true" applyNumberFormat="true" numFmtId="167" fillId="22" applyFill="true">
      <alignment horizontal="center" vertical="center"/>
    </xf>
    <xf fontId="5483" applyFont="true" borderId="8" applyBorder="true" applyNumberFormat="true" numFmtId="167" fillId="22" applyFill="true">
      <alignment horizontal="center" vertical="center"/>
    </xf>
    <xf fontId="5484" applyFont="true" borderId="8" applyBorder="true" applyNumberFormat="true" numFmtId="1" fillId="22" applyFill="true">
      <alignment horizontal="center" vertical="center"/>
    </xf>
    <xf fontId="5485" applyFont="true" borderId="8" applyBorder="true" applyNumberFormat="true" numFmtId="1" fillId="22" applyFill="true">
      <alignment horizontal="center" vertical="center"/>
    </xf>
    <xf fontId="5486" applyFont="true" borderId="8" applyBorder="true" applyNumberFormat="true" numFmtId="1" fillId="22" applyFill="true">
      <alignment horizontal="center" vertical="center"/>
    </xf>
    <xf fontId="5487" applyFont="true" borderId="8" applyBorder="true" applyNumberFormat="true" numFmtId="167" fillId="22" applyFill="true">
      <alignment horizontal="center" vertical="center"/>
    </xf>
    <xf fontId="5488" applyFont="true" borderId="8" applyBorder="true" applyNumberFormat="true" numFmtId="166" fillId="22" applyFill="true">
      <alignment horizontal="center" vertical="center"/>
    </xf>
    <xf fontId="5489" applyFont="true" borderId="8" applyBorder="true" applyNumberFormat="true" numFmtId="166" fillId="22" applyFill="true">
      <alignment horizontal="center" vertical="center"/>
    </xf>
    <xf fontId="5490" applyFont="true" borderId="8" applyBorder="true" applyNumberFormat="true" numFmtId="1" fillId="22" applyFill="true">
      <alignment horizontal="center" vertical="center"/>
    </xf>
    <xf fontId="5491" applyFont="true" borderId="8" applyBorder="true" applyNumberFormat="true" numFmtId="1" fillId="22" applyFill="true">
      <alignment horizontal="center" vertical="center"/>
    </xf>
    <xf fontId="5492" applyFont="true" borderId="8" applyBorder="true" applyNumberFormat="true" numFmtId="1" fillId="22" applyFill="true">
      <alignment horizontal="center" vertical="center"/>
    </xf>
    <xf fontId="5493" applyFont="true" borderId="8" applyBorder="true" applyNumberFormat="true" numFmtId="167" fillId="22" applyFill="true">
      <alignment horizontal="center" vertical="center"/>
    </xf>
    <xf fontId="5494" applyFont="true" borderId="8" applyBorder="true" applyNumberFormat="true" numFmtId="1" fillId="22" applyFill="true">
      <alignment horizontal="center" vertical="center"/>
    </xf>
    <xf fontId="5495" applyFont="true" borderId="8" applyBorder="true" applyNumberFormat="true" numFmtId="167" fillId="22" applyFill="true">
      <alignment horizontal="center" vertical="center"/>
    </xf>
    <xf fontId="5496" applyFont="true" borderId="8" applyBorder="true" applyNumberFormat="true" numFmtId="1" fillId="22" applyFill="true">
      <alignment horizontal="center" vertical="center"/>
    </xf>
    <xf fontId="5497" applyFont="true" borderId="8" applyBorder="true" applyNumberFormat="true" numFmtId="1" fillId="22" applyFill="true">
      <alignment horizontal="center" vertical="center"/>
    </xf>
    <xf fontId="5498" applyFont="true" borderId="8" applyBorder="true" applyNumberFormat="true" numFmtId="1" fillId="22" applyFill="true">
      <alignment horizontal="center" vertical="center"/>
    </xf>
    <xf fontId="5499" applyFont="true" borderId="8" applyBorder="true" applyNumberFormat="true" numFmtId="1" fillId="22" applyFill="true">
      <alignment horizontal="center" vertical="center"/>
    </xf>
    <xf fontId="5500" applyFont="true" borderId="8" applyBorder="true" applyNumberFormat="true" numFmtId="167" fillId="22" applyFill="true">
      <alignment horizontal="center" vertical="center"/>
    </xf>
    <xf fontId="5501" applyFont="true" borderId="8" applyBorder="true" applyNumberFormat="true" numFmtId="1" fillId="22" applyFill="true">
      <alignment horizontal="center" vertical="center"/>
    </xf>
    <xf fontId="5502" applyFont="true" borderId="8" applyBorder="true" applyNumberFormat="true" numFmtId="167" fillId="22" applyFill="true">
      <alignment horizontal="center" vertical="center"/>
    </xf>
    <xf fontId="5503" applyFont="true" borderId="8" applyBorder="true" applyNumberFormat="true" numFmtId="1" fillId="22" applyFill="true">
      <alignment horizontal="center" vertical="center"/>
    </xf>
    <xf fontId="5504" applyFont="true" borderId="8" applyBorder="true" applyNumberFormat="true" numFmtId="167" fillId="22" applyFill="true">
      <alignment horizontal="center" vertical="center"/>
    </xf>
    <xf fontId="5505" applyFont="true" borderId="8" applyBorder="true" applyNumberFormat="true" numFmtId="2" fillId="22" applyFill="true">
      <alignment horizontal="center" vertical="center"/>
    </xf>
    <xf fontId="5506" applyFont="true" borderId="8" applyBorder="true" applyNumberFormat="true" numFmtId="2" fillId="22" applyFill="true">
      <alignment horizontal="center" vertical="center"/>
    </xf>
    <xf fontId="5507" applyFont="true" borderId="8" applyBorder="true" applyNumberFormat="true" numFmtId="2" fillId="22" applyFill="true">
      <alignment horizontal="center" vertical="center"/>
    </xf>
    <xf fontId="5508" applyFont="true" borderId="8" applyBorder="true" applyNumberFormat="true" numFmtId="2" fillId="22" applyFill="true">
      <alignment horizontal="center" vertical="center"/>
    </xf>
    <xf fontId="5509" applyFont="true" borderId="8" applyBorder="true" applyNumberFormat="true" numFmtId="2" fillId="22" applyFill="true">
      <alignment horizontal="center" vertical="center"/>
    </xf>
    <xf fontId="5510" applyFont="true" borderId="8" applyBorder="true" applyNumberFormat="true" numFmtId="2" fillId="22" applyFill="true">
      <alignment horizontal="center" vertical="center"/>
    </xf>
    <xf fontId="5511" applyFont="true" borderId="8" applyBorder="true" applyNumberFormat="true" numFmtId="2" fillId="22" applyFill="true">
      <alignment horizontal="center" vertical="center"/>
    </xf>
    <xf fontId="5512" applyFont="true" borderId="8" applyBorder="true" applyNumberFormat="true" numFmtId="2" fillId="22" applyFill="true">
      <alignment horizontal="center" vertical="center"/>
    </xf>
    <xf fontId="5513" applyFont="true" borderId="8" applyBorder="true" applyNumberFormat="true" numFmtId="2" fillId="22" applyFill="true">
      <alignment horizontal="center" vertical="center"/>
    </xf>
    <xf fontId="5514" applyFont="true" borderId="8" applyBorder="true" applyNumberFormat="true" numFmtId="2" fillId="22" applyFill="true">
      <alignment horizontal="center" vertical="center"/>
    </xf>
    <xf fontId="5515" applyFont="true" borderId="8" applyBorder="true" applyNumberFormat="true" numFmtId="2" fillId="22" applyFill="true">
      <alignment horizontal="center" vertical="center"/>
    </xf>
    <xf fontId="5516" applyFont="true" borderId="8" applyBorder="true" applyNumberFormat="true" numFmtId="2" fillId="22" applyFill="true">
      <alignment horizontal="center" vertical="center"/>
    </xf>
    <xf fontId="5517" applyFont="true" borderId="8" applyBorder="true" applyNumberFormat="true" numFmtId="2" fillId="22" applyFill="true">
      <alignment horizontal="center" vertical="center"/>
    </xf>
    <xf fontId="5518" applyFont="true" borderId="8" applyBorder="true" applyNumberFormat="true" numFmtId="2" fillId="22" applyFill="true">
      <alignment horizontal="center" vertical="center"/>
    </xf>
    <xf fontId="5519" applyFont="true" borderId="8" applyBorder="true" applyNumberFormat="true" numFmtId="2" fillId="22" applyFill="true">
      <alignment horizontal="center" vertical="center"/>
    </xf>
    <xf fontId="5520" applyFont="true" borderId="8" applyBorder="true" applyNumberFormat="true" numFmtId="2" fillId="22" applyFill="true">
      <alignment horizontal="center" vertical="center"/>
    </xf>
    <xf fontId="5521" applyFont="true" borderId="8" applyBorder="true" applyNumberFormat="true" numFmtId="2" fillId="22" applyFill="true">
      <alignment horizontal="center" vertical="center"/>
    </xf>
    <xf fontId="5522" applyFont="true" borderId="8" applyBorder="true" applyNumberFormat="true" numFmtId="2" fillId="22" applyFill="true">
      <alignment horizontal="center" vertical="center"/>
    </xf>
    <xf fontId="5523" applyFont="true" borderId="8" applyBorder="true" applyNumberFormat="true" numFmtId="2" fillId="22" applyFill="true">
      <alignment horizontal="center" vertical="center"/>
    </xf>
    <xf fontId="5524" applyFont="true" borderId="8" applyBorder="true" applyNumberFormat="true" numFmtId="2" fillId="22" applyFill="true">
      <alignment horizontal="center" vertical="center"/>
    </xf>
    <xf fontId="5525" applyFont="true" borderId="8" applyBorder="true" applyNumberFormat="true" numFmtId="2" fillId="22" applyFill="true">
      <alignment horizontal="center" vertical="center"/>
    </xf>
    <xf fontId="5526" applyFont="true" borderId="8" applyBorder="true" applyNumberFormat="true" numFmtId="2" fillId="22" applyFill="true">
      <alignment horizontal="center" vertical="center"/>
    </xf>
    <xf fontId="5527" applyFont="true" borderId="8" applyBorder="true" applyNumberFormat="true" numFmtId="2" fillId="22" applyFill="true">
      <alignment horizontal="center" vertical="center"/>
    </xf>
    <xf fontId="5528" applyFont="true" borderId="8" applyBorder="true" applyNumberFormat="true" numFmtId="2" fillId="22" applyFill="true">
      <alignment horizontal="center" vertical="center"/>
    </xf>
    <xf fontId="5529" applyFont="true" borderId="8" applyBorder="true" applyNumberFormat="true" numFmtId="2" fillId="22" applyFill="true">
      <alignment horizontal="center" vertical="center"/>
    </xf>
    <xf fontId="5530" applyFont="true" borderId="8" applyBorder="true" applyNumberFormat="true" numFmtId="2" fillId="22" applyFill="true">
      <alignment horizontal="center" vertical="center"/>
    </xf>
    <xf fontId="5531" applyFont="true" borderId="8" applyBorder="true" applyNumberFormat="true" numFmtId="2" fillId="22" applyFill="true">
      <alignment horizontal="center" vertical="center"/>
    </xf>
    <xf fontId="5532" applyFont="true" borderId="8" applyBorder="true" applyNumberFormat="true" numFmtId="2" fillId="22" applyFill="true">
      <alignment horizontal="center" vertical="center"/>
    </xf>
    <xf fontId="5533" applyFont="true" borderId="8" applyBorder="true" applyNumberFormat="true" numFmtId="2" fillId="22" applyFill="true">
      <alignment horizontal="center" vertical="center"/>
    </xf>
    <xf fontId="5534" applyFont="true" borderId="8" applyBorder="true" applyNumberFormat="true" numFmtId="2" fillId="22" applyFill="true">
      <alignment horizontal="center" vertical="center"/>
    </xf>
    <xf fontId="5535" applyFont="true" borderId="8" applyBorder="true" applyNumberFormat="true" numFmtId="2" fillId="22" applyFill="true">
      <alignment horizontal="center" vertical="center"/>
    </xf>
    <xf fontId="5536" applyFont="true" borderId="8" applyBorder="true" applyNumberFormat="true" numFmtId="2" fillId="22" applyFill="true">
      <alignment horizontal="center" vertical="center"/>
    </xf>
    <xf fontId="5537" applyFont="true" borderId="8" applyBorder="true" applyNumberFormat="true" numFmtId="2" fillId="22" applyFill="true">
      <alignment horizontal="center" vertical="center"/>
    </xf>
    <xf fontId="5538" applyFont="true" borderId="8" applyBorder="true" applyNumberFormat="true" numFmtId="2" fillId="22" applyFill="true">
      <alignment horizontal="center" vertical="center"/>
    </xf>
    <xf fontId="5539" applyFont="true" borderId="8" applyBorder="true" applyNumberFormat="true" numFmtId="165" fillId="19" applyFill="true">
      <alignment horizontal="left" vertical="center"/>
    </xf>
    <xf fontId="5540" applyFont="true" borderId="8" applyBorder="true" applyNumberFormat="true" numFmtId="165" fillId="22" applyFill="true">
      <alignment horizontal="center" vertical="center"/>
    </xf>
    <xf fontId="5541" applyFont="true" borderId="8" applyBorder="true" applyNumberFormat="true" numFmtId="166" fillId="22" applyFill="true">
      <alignment horizontal="center" vertical="center"/>
    </xf>
    <xf fontId="5542" applyFont="true" borderId="8" applyBorder="true" applyNumberFormat="true" numFmtId="1" fillId="22" applyFill="true">
      <alignment horizontal="center" vertical="center"/>
    </xf>
    <xf fontId="5543" applyFont="true" borderId="8" applyBorder="true" applyNumberFormat="true" numFmtId="1" fillId="22" applyFill="true">
      <alignment horizontal="center" vertical="center"/>
    </xf>
    <xf fontId="5544" applyFont="true" borderId="8" applyBorder="true" applyNumberFormat="true" numFmtId="1" fillId="22" applyFill="true">
      <alignment horizontal="center" vertical="center"/>
    </xf>
    <xf fontId="5545" applyFont="true" borderId="8" applyBorder="true" applyNumberFormat="true" numFmtId="1" fillId="22" applyFill="true">
      <alignment horizontal="center" vertical="center"/>
    </xf>
    <xf fontId="5546" applyFont="true" borderId="8" applyBorder="true" applyNumberFormat="true" numFmtId="1" fillId="22" applyFill="true">
      <alignment horizontal="center" vertical="center"/>
    </xf>
    <xf fontId="5547" applyFont="true" borderId="8" applyBorder="true" applyNumberFormat="true" numFmtId="1" fillId="22" applyFill="true">
      <alignment horizontal="center" vertical="center"/>
    </xf>
    <xf fontId="5548" applyFont="true" borderId="8" applyBorder="true" applyNumberFormat="true" numFmtId="1" fillId="22" applyFill="true">
      <alignment horizontal="center" vertical="center"/>
    </xf>
    <xf fontId="5549" applyFont="true" borderId="8" applyBorder="true" applyNumberFormat="true" numFmtId="165" fillId="22" applyFill="true">
      <alignment horizontal="center" vertical="center"/>
    </xf>
    <xf fontId="5550" applyFont="true" borderId="8" applyBorder="true" applyNumberFormat="true" numFmtId="165" fillId="22" applyFill="true">
      <alignment horizontal="center" vertical="center"/>
    </xf>
    <xf fontId="5551" applyFont="true" borderId="8" applyBorder="true" applyNumberFormat="true" numFmtId="1" fillId="22" applyFill="true">
      <alignment horizontal="center" vertical="center"/>
    </xf>
    <xf fontId="5552" applyFont="true" borderId="8" applyBorder="true" applyNumberFormat="true" numFmtId="1" fillId="22" applyFill="true">
      <alignment horizontal="center" vertical="center"/>
    </xf>
    <xf fontId="5553" applyFont="true" borderId="8" applyBorder="true" applyNumberFormat="true" numFmtId="1" fillId="22" applyFill="true">
      <alignment horizontal="center" vertical="center"/>
    </xf>
    <xf fontId="5554" applyFont="true" borderId="8" applyBorder="true" applyNumberFormat="true" numFmtId="167" fillId="22" applyFill="true">
      <alignment horizontal="center" vertical="center"/>
    </xf>
    <xf fontId="5555" applyFont="true" borderId="8" applyBorder="true" applyNumberFormat="true" numFmtId="1" fillId="22" applyFill="true">
      <alignment horizontal="center" vertical="center"/>
    </xf>
    <xf fontId="5556" applyFont="true" borderId="8" applyBorder="true" applyNumberFormat="true" numFmtId="167" fillId="22" applyFill="true">
      <alignment horizontal="center" vertical="center"/>
    </xf>
    <xf fontId="5557" applyFont="true" borderId="8" applyBorder="true" applyNumberFormat="true" numFmtId="1" fillId="22" applyFill="true">
      <alignment horizontal="center" vertical="center"/>
    </xf>
    <xf fontId="5558" applyFont="true" borderId="8" applyBorder="true" applyNumberFormat="true" numFmtId="167" fillId="22" applyFill="true">
      <alignment horizontal="center" vertical="center"/>
    </xf>
    <xf fontId="5559" applyFont="true" borderId="8" applyBorder="true" applyNumberFormat="true" numFmtId="1" fillId="22" applyFill="true">
      <alignment horizontal="center" vertical="center"/>
    </xf>
    <xf fontId="5560" applyFont="true" borderId="8" applyBorder="true" applyNumberFormat="true" numFmtId="167" fillId="22" applyFill="true">
      <alignment horizontal="center" vertical="center"/>
    </xf>
    <xf fontId="5561" applyFont="true" borderId="8" applyBorder="true" applyNumberFormat="true" numFmtId="167" fillId="22" applyFill="true">
      <alignment horizontal="center" vertical="center"/>
    </xf>
    <xf fontId="5562" applyFont="true" borderId="8" applyBorder="true" applyNumberFormat="true" numFmtId="1" fillId="22" applyFill="true">
      <alignment horizontal="center" vertical="center"/>
    </xf>
    <xf fontId="5563" applyFont="true" borderId="8" applyBorder="true" applyNumberFormat="true" numFmtId="1" fillId="22" applyFill="true">
      <alignment horizontal="center" vertical="center"/>
    </xf>
    <xf fontId="5564" applyFont="true" borderId="8" applyBorder="true" applyNumberFormat="true" numFmtId="1" fillId="22" applyFill="true">
      <alignment horizontal="center" vertical="center"/>
    </xf>
    <xf fontId="5565" applyFont="true" borderId="8" applyBorder="true" applyNumberFormat="true" numFmtId="167" fillId="22" applyFill="true">
      <alignment horizontal="center" vertical="center"/>
    </xf>
    <xf fontId="5566" applyFont="true" borderId="8" applyBorder="true" applyNumberFormat="true" numFmtId="166" fillId="22" applyFill="true">
      <alignment horizontal="center" vertical="center"/>
    </xf>
    <xf fontId="5567" applyFont="true" borderId="8" applyBorder="true" applyNumberFormat="true" numFmtId="166" fillId="22" applyFill="true">
      <alignment horizontal="center" vertical="center"/>
    </xf>
    <xf fontId="5568" applyFont="true" borderId="8" applyBorder="true" applyNumberFormat="true" numFmtId="1" fillId="22" applyFill="true">
      <alignment horizontal="center" vertical="center"/>
    </xf>
    <xf fontId="5569" applyFont="true" borderId="8" applyBorder="true" applyNumberFormat="true" numFmtId="1" fillId="22" applyFill="true">
      <alignment horizontal="center" vertical="center"/>
    </xf>
    <xf fontId="5570" applyFont="true" borderId="8" applyBorder="true" applyNumberFormat="true" numFmtId="1" fillId="22" applyFill="true">
      <alignment horizontal="center" vertical="center"/>
    </xf>
    <xf fontId="5571" applyFont="true" borderId="8" applyBorder="true" applyNumberFormat="true" numFmtId="167" fillId="22" applyFill="true">
      <alignment horizontal="center" vertical="center"/>
    </xf>
    <xf fontId="5572" applyFont="true" borderId="8" applyBorder="true" applyNumberFormat="true" numFmtId="1" fillId="22" applyFill="true">
      <alignment horizontal="center" vertical="center"/>
    </xf>
    <xf fontId="5573" applyFont="true" borderId="8" applyBorder="true" applyNumberFormat="true" numFmtId="167" fillId="22" applyFill="true">
      <alignment horizontal="center" vertical="center"/>
    </xf>
    <xf fontId="5574" applyFont="true" borderId="8" applyBorder="true" applyNumberFormat="true" numFmtId="1" fillId="22" applyFill="true">
      <alignment horizontal="center" vertical="center"/>
    </xf>
    <xf fontId="5575" applyFont="true" borderId="8" applyBorder="true" applyNumberFormat="true" numFmtId="1" fillId="22" applyFill="true">
      <alignment horizontal="center" vertical="center"/>
    </xf>
    <xf fontId="5576" applyFont="true" borderId="8" applyBorder="true" applyNumberFormat="true" numFmtId="1" fillId="22" applyFill="true">
      <alignment horizontal="center" vertical="center"/>
    </xf>
    <xf fontId="5577" applyFont="true" borderId="8" applyBorder="true" applyNumberFormat="true" numFmtId="1" fillId="22" applyFill="true">
      <alignment horizontal="center" vertical="center"/>
    </xf>
    <xf fontId="5578" applyFont="true" borderId="8" applyBorder="true" applyNumberFormat="true" numFmtId="167" fillId="22" applyFill="true">
      <alignment horizontal="center" vertical="center"/>
    </xf>
    <xf fontId="5579" applyFont="true" borderId="8" applyBorder="true" applyNumberFormat="true" numFmtId="1" fillId="22" applyFill="true">
      <alignment horizontal="center" vertical="center"/>
    </xf>
    <xf fontId="5580" applyFont="true" borderId="8" applyBorder="true" applyNumberFormat="true" numFmtId="167" fillId="22" applyFill="true">
      <alignment horizontal="center" vertical="center"/>
    </xf>
    <xf fontId="5581" applyFont="true" borderId="8" applyBorder="true" applyNumberFormat="true" numFmtId="1" fillId="22" applyFill="true">
      <alignment horizontal="center" vertical="center"/>
    </xf>
    <xf fontId="5582" applyFont="true" borderId="8" applyBorder="true" applyNumberFormat="true" numFmtId="167" fillId="22" applyFill="true">
      <alignment horizontal="center" vertical="center"/>
    </xf>
    <xf fontId="5583" applyFont="true" borderId="8" applyBorder="true" applyNumberFormat="true" numFmtId="2" fillId="22" applyFill="true">
      <alignment horizontal="center" vertical="center"/>
    </xf>
    <xf fontId="5584" applyFont="true" borderId="8" applyBorder="true" applyNumberFormat="true" numFmtId="2" fillId="22" applyFill="true">
      <alignment horizontal="center" vertical="center"/>
    </xf>
    <xf fontId="5585" applyFont="true" borderId="8" applyBorder="true" applyNumberFormat="true" numFmtId="2" fillId="22" applyFill="true">
      <alignment horizontal="center" vertical="center"/>
    </xf>
    <xf fontId="5586" applyFont="true" borderId="8" applyBorder="true" applyNumberFormat="true" numFmtId="2" fillId="22" applyFill="true">
      <alignment horizontal="center" vertical="center"/>
    </xf>
    <xf fontId="5587" applyFont="true" borderId="8" applyBorder="true" applyNumberFormat="true" numFmtId="2" fillId="22" applyFill="true">
      <alignment horizontal="center" vertical="center"/>
    </xf>
    <xf fontId="5588" applyFont="true" borderId="8" applyBorder="true" applyNumberFormat="true" numFmtId="2" fillId="22" applyFill="true">
      <alignment horizontal="center" vertical="center"/>
    </xf>
    <xf fontId="5589" applyFont="true" borderId="8" applyBorder="true" applyNumberFormat="true" numFmtId="2" fillId="22" applyFill="true">
      <alignment horizontal="center" vertical="center"/>
    </xf>
    <xf fontId="5590" applyFont="true" borderId="8" applyBorder="true" applyNumberFormat="true" numFmtId="2" fillId="22" applyFill="true">
      <alignment horizontal="center" vertical="center"/>
    </xf>
    <xf fontId="5591" applyFont="true" borderId="8" applyBorder="true" applyNumberFormat="true" numFmtId="2" fillId="22" applyFill="true">
      <alignment horizontal="center" vertical="center"/>
    </xf>
    <xf fontId="5592" applyFont="true" borderId="8" applyBorder="true" applyNumberFormat="true" numFmtId="2" fillId="22" applyFill="true">
      <alignment horizontal="center" vertical="center"/>
    </xf>
    <xf fontId="5593" applyFont="true" borderId="8" applyBorder="true" applyNumberFormat="true" numFmtId="2" fillId="22" applyFill="true">
      <alignment horizontal="center" vertical="center"/>
    </xf>
    <xf fontId="5594" applyFont="true" borderId="8" applyBorder="true" applyNumberFormat="true" numFmtId="2" fillId="22" applyFill="true">
      <alignment horizontal="center" vertical="center"/>
    </xf>
    <xf fontId="5595" applyFont="true" borderId="8" applyBorder="true" applyNumberFormat="true" numFmtId="2" fillId="22" applyFill="true">
      <alignment horizontal="center" vertical="center"/>
    </xf>
    <xf fontId="5596" applyFont="true" borderId="8" applyBorder="true" applyNumberFormat="true" numFmtId="2" fillId="22" applyFill="true">
      <alignment horizontal="center" vertical="center"/>
    </xf>
    <xf fontId="5597" applyFont="true" borderId="8" applyBorder="true" applyNumberFormat="true" numFmtId="2" fillId="22" applyFill="true">
      <alignment horizontal="center" vertical="center"/>
    </xf>
    <xf fontId="5598" applyFont="true" borderId="8" applyBorder="true" applyNumberFormat="true" numFmtId="2" fillId="22" applyFill="true">
      <alignment horizontal="center" vertical="center"/>
    </xf>
    <xf fontId="5599" applyFont="true" borderId="8" applyBorder="true" applyNumberFormat="true" numFmtId="2" fillId="22" applyFill="true">
      <alignment horizontal="center" vertical="center"/>
    </xf>
    <xf fontId="5600" applyFont="true" borderId="8" applyBorder="true" applyNumberFormat="true" numFmtId="2" fillId="22" applyFill="true">
      <alignment horizontal="center" vertical="center"/>
    </xf>
    <xf fontId="5601" applyFont="true" borderId="8" applyBorder="true" applyNumberFormat="true" numFmtId="2" fillId="22" applyFill="true">
      <alignment horizontal="center" vertical="center"/>
    </xf>
    <xf fontId="5602" applyFont="true" borderId="8" applyBorder="true" applyNumberFormat="true" numFmtId="2" fillId="22" applyFill="true">
      <alignment horizontal="center" vertical="center"/>
    </xf>
    <xf fontId="5603" applyFont="true" borderId="8" applyBorder="true" applyNumberFormat="true" numFmtId="2" fillId="22" applyFill="true">
      <alignment horizontal="center" vertical="center"/>
    </xf>
    <xf fontId="5604" applyFont="true" borderId="8" applyBorder="true" applyNumberFormat="true" numFmtId="2" fillId="22" applyFill="true">
      <alignment horizontal="center" vertical="center"/>
    </xf>
    <xf fontId="5605" applyFont="true" borderId="8" applyBorder="true" applyNumberFormat="true" numFmtId="2" fillId="22" applyFill="true">
      <alignment horizontal="center" vertical="center"/>
    </xf>
    <xf fontId="5606" applyFont="true" borderId="8" applyBorder="true" applyNumberFormat="true" numFmtId="2" fillId="22" applyFill="true">
      <alignment horizontal="center" vertical="center"/>
    </xf>
    <xf fontId="5607" applyFont="true" borderId="8" applyBorder="true" applyNumberFormat="true" numFmtId="2" fillId="22" applyFill="true">
      <alignment horizontal="center" vertical="center"/>
    </xf>
    <xf fontId="5608" applyFont="true" borderId="8" applyBorder="true" applyNumberFormat="true" numFmtId="2" fillId="22" applyFill="true">
      <alignment horizontal="center" vertical="center"/>
    </xf>
    <xf fontId="5609" applyFont="true" borderId="8" applyBorder="true" applyNumberFormat="true" numFmtId="2" fillId="22" applyFill="true">
      <alignment horizontal="center" vertical="center"/>
    </xf>
    <xf fontId="5610" applyFont="true" borderId="8" applyBorder="true" applyNumberFormat="true" numFmtId="2" fillId="22" applyFill="true">
      <alignment horizontal="center" vertical="center"/>
    </xf>
    <xf fontId="5611" applyFont="true" borderId="8" applyBorder="true" applyNumberFormat="true" numFmtId="2" fillId="22" applyFill="true">
      <alignment horizontal="center" vertical="center"/>
    </xf>
    <xf fontId="5612" applyFont="true" borderId="8" applyBorder="true" applyNumberFormat="true" numFmtId="2" fillId="22" applyFill="true">
      <alignment horizontal="center" vertical="center"/>
    </xf>
    <xf fontId="5613" applyFont="true" borderId="8" applyBorder="true" applyNumberFormat="true" numFmtId="2" fillId="22" applyFill="true">
      <alignment horizontal="center" vertical="center"/>
    </xf>
    <xf fontId="5614" applyFont="true" borderId="8" applyBorder="true" applyNumberFormat="true" numFmtId="2" fillId="22" applyFill="true">
      <alignment horizontal="center" vertical="center"/>
    </xf>
    <xf fontId="5615" applyFont="true" borderId="8" applyBorder="true" applyNumberFormat="true" numFmtId="2" fillId="22" applyFill="true">
      <alignment horizontal="center" vertical="center"/>
    </xf>
    <xf fontId="5616" applyFont="true" borderId="8" applyBorder="true" applyNumberFormat="true" numFmtId="2" fillId="22" applyFill="true">
      <alignment horizontal="center" vertical="center"/>
    </xf>
    <xf fontId="5617" applyFont="true" borderId="8" applyBorder="true" applyNumberFormat="true" numFmtId="165" fillId="19" applyFill="true">
      <alignment horizontal="left" vertical="center"/>
    </xf>
    <xf fontId="5618" applyFont="true" borderId="8" applyBorder="true" applyNumberFormat="true" numFmtId="165" fillId="22" applyFill="true">
      <alignment horizontal="center" vertical="center"/>
    </xf>
    <xf fontId="5619" applyFont="true" borderId="8" applyBorder="true" applyNumberFormat="true" numFmtId="166" fillId="22" applyFill="true">
      <alignment horizontal="center" vertical="center"/>
    </xf>
    <xf fontId="5620" applyFont="true" borderId="8" applyBorder="true" applyNumberFormat="true" numFmtId="1" fillId="22" applyFill="true">
      <alignment horizontal="center" vertical="center"/>
    </xf>
    <xf fontId="5621" applyFont="true" borderId="8" applyBorder="true" applyNumberFormat="true" numFmtId="1" fillId="22" applyFill="true">
      <alignment horizontal="center" vertical="center"/>
    </xf>
    <xf fontId="5622" applyFont="true" borderId="8" applyBorder="true" applyNumberFormat="true" numFmtId="1" fillId="22" applyFill="true">
      <alignment horizontal="center" vertical="center"/>
    </xf>
    <xf fontId="5623" applyFont="true" borderId="8" applyBorder="true" applyNumberFormat="true" numFmtId="1" fillId="22" applyFill="true">
      <alignment horizontal="center" vertical="center"/>
    </xf>
    <xf fontId="5624" applyFont="true" borderId="8" applyBorder="true" applyNumberFormat="true" numFmtId="1" fillId="22" applyFill="true">
      <alignment horizontal="center" vertical="center"/>
    </xf>
    <xf fontId="5625" applyFont="true" borderId="8" applyBorder="true" applyNumberFormat="true" numFmtId="1" fillId="22" applyFill="true">
      <alignment horizontal="center" vertical="center"/>
    </xf>
    <xf fontId="5626" applyFont="true" borderId="8" applyBorder="true" applyNumberFormat="true" numFmtId="1" fillId="22" applyFill="true">
      <alignment horizontal="center" vertical="center"/>
    </xf>
    <xf fontId="5627" applyFont="true" borderId="8" applyBorder="true" applyNumberFormat="true" numFmtId="165" fillId="22" applyFill="true">
      <alignment horizontal="center" vertical="center"/>
    </xf>
    <xf fontId="5628" applyFont="true" borderId="8" applyBorder="true" applyNumberFormat="true" numFmtId="165" fillId="22" applyFill="true">
      <alignment horizontal="center" vertical="center"/>
    </xf>
    <xf fontId="5629" applyFont="true" borderId="8" applyBorder="true" applyNumberFormat="true" numFmtId="1" fillId="22" applyFill="true">
      <alignment horizontal="center" vertical="center"/>
    </xf>
    <xf fontId="5630" applyFont="true" borderId="8" applyBorder="true" applyNumberFormat="true" numFmtId="1" fillId="22" applyFill="true">
      <alignment horizontal="center" vertical="center"/>
    </xf>
    <xf fontId="5631" applyFont="true" borderId="8" applyBorder="true" applyNumberFormat="true" numFmtId="1" fillId="22" applyFill="true">
      <alignment horizontal="center" vertical="center"/>
    </xf>
    <xf fontId="5632" applyFont="true" borderId="8" applyBorder="true" applyNumberFormat="true" numFmtId="167" fillId="22" applyFill="true">
      <alignment horizontal="center" vertical="center"/>
    </xf>
    <xf fontId="5633" applyFont="true" borderId="8" applyBorder="true" applyNumberFormat="true" numFmtId="1" fillId="22" applyFill="true">
      <alignment horizontal="center" vertical="center"/>
    </xf>
    <xf fontId="5634" applyFont="true" borderId="8" applyBorder="true" applyNumberFormat="true" numFmtId="167" fillId="22" applyFill="true">
      <alignment horizontal="center" vertical="center"/>
    </xf>
    <xf fontId="5635" applyFont="true" borderId="8" applyBorder="true" applyNumberFormat="true" numFmtId="1" fillId="22" applyFill="true">
      <alignment horizontal="center" vertical="center"/>
    </xf>
    <xf fontId="5636" applyFont="true" borderId="8" applyBorder="true" applyNumberFormat="true" numFmtId="167" fillId="22" applyFill="true">
      <alignment horizontal="center" vertical="center"/>
    </xf>
    <xf fontId="5637" applyFont="true" borderId="8" applyBorder="true" applyNumberFormat="true" numFmtId="1" fillId="22" applyFill="true">
      <alignment horizontal="center" vertical="center"/>
    </xf>
    <xf fontId="5638" applyFont="true" borderId="8" applyBorder="true" applyNumberFormat="true" numFmtId="167" fillId="22" applyFill="true">
      <alignment horizontal="center" vertical="center"/>
    </xf>
    <xf fontId="5639" applyFont="true" borderId="8" applyBorder="true" applyNumberFormat="true" numFmtId="167" fillId="22" applyFill="true">
      <alignment horizontal="center" vertical="center"/>
    </xf>
    <xf fontId="5640" applyFont="true" borderId="8" applyBorder="true" applyNumberFormat="true" numFmtId="1" fillId="22" applyFill="true">
      <alignment horizontal="center" vertical="center"/>
    </xf>
    <xf fontId="5641" applyFont="true" borderId="8" applyBorder="true" applyNumberFormat="true" numFmtId="1" fillId="22" applyFill="true">
      <alignment horizontal="center" vertical="center"/>
    </xf>
    <xf fontId="5642" applyFont="true" borderId="8" applyBorder="true" applyNumberFormat="true" numFmtId="1" fillId="22" applyFill="true">
      <alignment horizontal="center" vertical="center"/>
    </xf>
    <xf fontId="5643" applyFont="true" borderId="8" applyBorder="true" applyNumberFormat="true" numFmtId="167" fillId="22" applyFill="true">
      <alignment horizontal="center" vertical="center"/>
    </xf>
    <xf fontId="5644" applyFont="true" borderId="8" applyBorder="true" applyNumberFormat="true" numFmtId="166" fillId="22" applyFill="true">
      <alignment horizontal="center" vertical="center"/>
    </xf>
    <xf fontId="5645" applyFont="true" borderId="8" applyBorder="true" applyNumberFormat="true" numFmtId="166" fillId="22" applyFill="true">
      <alignment horizontal="center" vertical="center"/>
    </xf>
    <xf fontId="5646" applyFont="true" borderId="8" applyBorder="true" applyNumberFormat="true" numFmtId="1" fillId="22" applyFill="true">
      <alignment horizontal="center" vertical="center"/>
    </xf>
    <xf fontId="5647" applyFont="true" borderId="8" applyBorder="true" applyNumberFormat="true" numFmtId="1" fillId="22" applyFill="true">
      <alignment horizontal="center" vertical="center"/>
    </xf>
    <xf fontId="5648" applyFont="true" borderId="8" applyBorder="true" applyNumberFormat="true" numFmtId="1" fillId="22" applyFill="true">
      <alignment horizontal="center" vertical="center"/>
    </xf>
    <xf fontId="5649" applyFont="true" borderId="8" applyBorder="true" applyNumberFormat="true" numFmtId="167" fillId="22" applyFill="true">
      <alignment horizontal="center" vertical="center"/>
    </xf>
    <xf fontId="5650" applyFont="true" borderId="8" applyBorder="true" applyNumberFormat="true" numFmtId="1" fillId="22" applyFill="true">
      <alignment horizontal="center" vertical="center"/>
    </xf>
    <xf fontId="5651" applyFont="true" borderId="8" applyBorder="true" applyNumberFormat="true" numFmtId="167" fillId="22" applyFill="true">
      <alignment horizontal="center" vertical="center"/>
    </xf>
    <xf fontId="5652" applyFont="true" borderId="8" applyBorder="true" applyNumberFormat="true" numFmtId="1" fillId="22" applyFill="true">
      <alignment horizontal="center" vertical="center"/>
    </xf>
    <xf fontId="5653" applyFont="true" borderId="8" applyBorder="true" applyNumberFormat="true" numFmtId="1" fillId="22" applyFill="true">
      <alignment horizontal="center" vertical="center"/>
    </xf>
    <xf fontId="5654" applyFont="true" borderId="8" applyBorder="true" applyNumberFormat="true" numFmtId="1" fillId="22" applyFill="true">
      <alignment horizontal="center" vertical="center"/>
    </xf>
    <xf fontId="5655" applyFont="true" borderId="8" applyBorder="true" applyNumberFormat="true" numFmtId="1" fillId="22" applyFill="true">
      <alignment horizontal="center" vertical="center"/>
    </xf>
    <xf fontId="5656" applyFont="true" borderId="8" applyBorder="true" applyNumberFormat="true" numFmtId="167" fillId="22" applyFill="true">
      <alignment horizontal="center" vertical="center"/>
    </xf>
    <xf fontId="5657" applyFont="true" borderId="8" applyBorder="true" applyNumberFormat="true" numFmtId="1" fillId="22" applyFill="true">
      <alignment horizontal="center" vertical="center"/>
    </xf>
    <xf fontId="5658" applyFont="true" borderId="8" applyBorder="true" applyNumberFormat="true" numFmtId="167" fillId="22" applyFill="true">
      <alignment horizontal="center" vertical="center"/>
    </xf>
    <xf fontId="5659" applyFont="true" borderId="8" applyBorder="true" applyNumberFormat="true" numFmtId="1" fillId="22" applyFill="true">
      <alignment horizontal="center" vertical="center"/>
    </xf>
    <xf fontId="5660" applyFont="true" borderId="8" applyBorder="true" applyNumberFormat="true" numFmtId="167" fillId="22" applyFill="true">
      <alignment horizontal="center" vertical="center"/>
    </xf>
    <xf fontId="5661" applyFont="true" borderId="8" applyBorder="true" applyNumberFormat="true" numFmtId="2" fillId="22" applyFill="true">
      <alignment horizontal="center" vertical="center"/>
    </xf>
    <xf fontId="5662" applyFont="true" borderId="8" applyBorder="true" applyNumberFormat="true" numFmtId="2" fillId="22" applyFill="true">
      <alignment horizontal="center" vertical="center"/>
    </xf>
    <xf fontId="5663" applyFont="true" borderId="8" applyBorder="true" applyNumberFormat="true" numFmtId="2" fillId="22" applyFill="true">
      <alignment horizontal="center" vertical="center"/>
    </xf>
    <xf fontId="5664" applyFont="true" borderId="8" applyBorder="true" applyNumberFormat="true" numFmtId="2" fillId="22" applyFill="true">
      <alignment horizontal="center" vertical="center"/>
    </xf>
    <xf fontId="5665" applyFont="true" borderId="8" applyBorder="true" applyNumberFormat="true" numFmtId="2" fillId="22" applyFill="true">
      <alignment horizontal="center" vertical="center"/>
    </xf>
    <xf fontId="5666" applyFont="true" borderId="8" applyBorder="true" applyNumberFormat="true" numFmtId="2" fillId="22" applyFill="true">
      <alignment horizontal="center" vertical="center"/>
    </xf>
    <xf fontId="5667" applyFont="true" borderId="8" applyBorder="true" applyNumberFormat="true" numFmtId="2" fillId="22" applyFill="true">
      <alignment horizontal="center" vertical="center"/>
    </xf>
    <xf fontId="5668" applyFont="true" borderId="8" applyBorder="true" applyNumberFormat="true" numFmtId="2" fillId="22" applyFill="true">
      <alignment horizontal="center" vertical="center"/>
    </xf>
    <xf fontId="5669" applyFont="true" borderId="8" applyBorder="true" applyNumberFormat="true" numFmtId="2" fillId="22" applyFill="true">
      <alignment horizontal="center" vertical="center"/>
    </xf>
    <xf fontId="5670" applyFont="true" borderId="8" applyBorder="true" applyNumberFormat="true" numFmtId="2" fillId="22" applyFill="true">
      <alignment horizontal="center" vertical="center"/>
    </xf>
    <xf fontId="5671" applyFont="true" borderId="8" applyBorder="true" applyNumberFormat="true" numFmtId="2" fillId="22" applyFill="true">
      <alignment horizontal="center" vertical="center"/>
    </xf>
    <xf fontId="5672" applyFont="true" borderId="8" applyBorder="true" applyNumberFormat="true" numFmtId="2" fillId="22" applyFill="true">
      <alignment horizontal="center" vertical="center"/>
    </xf>
    <xf fontId="5673" applyFont="true" borderId="8" applyBorder="true" applyNumberFormat="true" numFmtId="2" fillId="22" applyFill="true">
      <alignment horizontal="center" vertical="center"/>
    </xf>
    <xf fontId="5674" applyFont="true" borderId="8" applyBorder="true" applyNumberFormat="true" numFmtId="2" fillId="22" applyFill="true">
      <alignment horizontal="center" vertical="center"/>
    </xf>
    <xf fontId="5675" applyFont="true" borderId="8" applyBorder="true" applyNumberFormat="true" numFmtId="2" fillId="22" applyFill="true">
      <alignment horizontal="center" vertical="center"/>
    </xf>
    <xf fontId="5676" applyFont="true" borderId="8" applyBorder="true" applyNumberFormat="true" numFmtId="2" fillId="22" applyFill="true">
      <alignment horizontal="center" vertical="center"/>
    </xf>
    <xf fontId="5677" applyFont="true" borderId="8" applyBorder="true" applyNumberFormat="true" numFmtId="2" fillId="22" applyFill="true">
      <alignment horizontal="center" vertical="center"/>
    </xf>
    <xf fontId="5678" applyFont="true" borderId="8" applyBorder="true" applyNumberFormat="true" numFmtId="2" fillId="22" applyFill="true">
      <alignment horizontal="center" vertical="center"/>
    </xf>
    <xf fontId="5679" applyFont="true" borderId="8" applyBorder="true" applyNumberFormat="true" numFmtId="2" fillId="22" applyFill="true">
      <alignment horizontal="center" vertical="center"/>
    </xf>
    <xf fontId="5680" applyFont="true" borderId="8" applyBorder="true" applyNumberFormat="true" numFmtId="2" fillId="22" applyFill="true">
      <alignment horizontal="center" vertical="center"/>
    </xf>
    <xf fontId="5681" applyFont="true" borderId="8" applyBorder="true" applyNumberFormat="true" numFmtId="2" fillId="22" applyFill="true">
      <alignment horizontal="center" vertical="center"/>
    </xf>
    <xf fontId="5682" applyFont="true" borderId="8" applyBorder="true" applyNumberFormat="true" numFmtId="2" fillId="22" applyFill="true">
      <alignment horizontal="center" vertical="center"/>
    </xf>
    <xf fontId="5683" applyFont="true" borderId="8" applyBorder="true" applyNumberFormat="true" numFmtId="2" fillId="22" applyFill="true">
      <alignment horizontal="center" vertical="center"/>
    </xf>
    <xf fontId="5684" applyFont="true" borderId="8" applyBorder="true" applyNumberFormat="true" numFmtId="2" fillId="22" applyFill="true">
      <alignment horizontal="center" vertical="center"/>
    </xf>
    <xf fontId="5685" applyFont="true" borderId="8" applyBorder="true" applyNumberFormat="true" numFmtId="2" fillId="22" applyFill="true">
      <alignment horizontal="center" vertical="center"/>
    </xf>
    <xf fontId="5686" applyFont="true" borderId="8" applyBorder="true" applyNumberFormat="true" numFmtId="2" fillId="22" applyFill="true">
      <alignment horizontal="center" vertical="center"/>
    </xf>
    <xf fontId="5687" applyFont="true" borderId="8" applyBorder="true" applyNumberFormat="true" numFmtId="2" fillId="22" applyFill="true">
      <alignment horizontal="center" vertical="center"/>
    </xf>
    <xf fontId="5688" applyFont="true" borderId="8" applyBorder="true" applyNumberFormat="true" numFmtId="2" fillId="22" applyFill="true">
      <alignment horizontal="center" vertical="center"/>
    </xf>
    <xf fontId="5689" applyFont="true" borderId="8" applyBorder="true" applyNumberFormat="true" numFmtId="2" fillId="22" applyFill="true">
      <alignment horizontal="center" vertical="center"/>
    </xf>
    <xf fontId="5690" applyFont="true" borderId="8" applyBorder="true" applyNumberFormat="true" numFmtId="2" fillId="22" applyFill="true">
      <alignment horizontal="center" vertical="center"/>
    </xf>
    <xf fontId="5691" applyFont="true" borderId="8" applyBorder="true" applyNumberFormat="true" numFmtId="2" fillId="22" applyFill="true">
      <alignment horizontal="center" vertical="center"/>
    </xf>
    <xf fontId="5692" applyFont="true" borderId="8" applyBorder="true" applyNumberFormat="true" numFmtId="2" fillId="22" applyFill="true">
      <alignment horizontal="center" vertical="center"/>
    </xf>
    <xf fontId="5693" applyFont="true" borderId="8" applyBorder="true" applyNumberFormat="true" numFmtId="2" fillId="22" applyFill="true">
      <alignment horizontal="center" vertical="center"/>
    </xf>
    <xf fontId="5694" applyFont="true" borderId="8" applyBorder="true" applyNumberFormat="true" numFmtId="2" fillId="22" applyFill="true">
      <alignment horizontal="center" vertical="center"/>
    </xf>
    <xf fontId="5695" applyFont="true" borderId="8" applyBorder="true" applyNumberFormat="true" numFmtId="165" fillId="19" applyFill="true">
      <alignment horizontal="left" vertical="center"/>
    </xf>
    <xf fontId="5696" applyFont="true" borderId="8" applyBorder="true" applyNumberFormat="true" numFmtId="165" fillId="22" applyFill="true">
      <alignment horizontal="center" vertical="center"/>
    </xf>
    <xf fontId="5697" applyFont="true" borderId="8" applyBorder="true" applyNumberFormat="true" numFmtId="166" fillId="22" applyFill="true">
      <alignment horizontal="center" vertical="center"/>
    </xf>
    <xf fontId="5698" applyFont="true" borderId="8" applyBorder="true" applyNumberFormat="true" numFmtId="1" fillId="22" applyFill="true">
      <alignment horizontal="center" vertical="center"/>
    </xf>
    <xf fontId="5699" applyFont="true" borderId="8" applyBorder="true" applyNumberFormat="true" numFmtId="1" fillId="22" applyFill="true">
      <alignment horizontal="center" vertical="center"/>
    </xf>
    <xf fontId="5700" applyFont="true" borderId="8" applyBorder="true" applyNumberFormat="true" numFmtId="1" fillId="22" applyFill="true">
      <alignment horizontal="center" vertical="center"/>
    </xf>
    <xf fontId="5701" applyFont="true" borderId="8" applyBorder="true" applyNumberFormat="true" numFmtId="1" fillId="22" applyFill="true">
      <alignment horizontal="center" vertical="center"/>
    </xf>
    <xf fontId="5702" applyFont="true" borderId="8" applyBorder="true" applyNumberFormat="true" numFmtId="1" fillId="22" applyFill="true">
      <alignment horizontal="center" vertical="center"/>
    </xf>
    <xf fontId="5703" applyFont="true" borderId="8" applyBorder="true" applyNumberFormat="true" numFmtId="1" fillId="22" applyFill="true">
      <alignment horizontal="center" vertical="center"/>
    </xf>
    <xf fontId="5704" applyFont="true" borderId="8" applyBorder="true" applyNumberFormat="true" numFmtId="1" fillId="22" applyFill="true">
      <alignment horizontal="center" vertical="center"/>
    </xf>
    <xf fontId="5705" applyFont="true" borderId="8" applyBorder="true" applyNumberFormat="true" numFmtId="165" fillId="22" applyFill="true">
      <alignment horizontal="center" vertical="center"/>
    </xf>
    <xf fontId="5706" applyFont="true" borderId="8" applyBorder="true" applyNumberFormat="true" numFmtId="165" fillId="22" applyFill="true">
      <alignment horizontal="center" vertical="center"/>
    </xf>
    <xf fontId="5707" applyFont="true" borderId="8" applyBorder="true" applyNumberFormat="true" numFmtId="1" fillId="22" applyFill="true">
      <alignment horizontal="center" vertical="center"/>
    </xf>
    <xf fontId="5708" applyFont="true" borderId="8" applyBorder="true" applyNumberFormat="true" numFmtId="1" fillId="22" applyFill="true">
      <alignment horizontal="center" vertical="center"/>
    </xf>
    <xf fontId="5709" applyFont="true" borderId="8" applyBorder="true" applyNumberFormat="true" numFmtId="1" fillId="22" applyFill="true">
      <alignment horizontal="center" vertical="center"/>
    </xf>
    <xf fontId="5710" applyFont="true" borderId="8" applyBorder="true" applyNumberFormat="true" numFmtId="167" fillId="22" applyFill="true">
      <alignment horizontal="center" vertical="center"/>
    </xf>
    <xf fontId="5711" applyFont="true" borderId="8" applyBorder="true" applyNumberFormat="true" numFmtId="1" fillId="22" applyFill="true">
      <alignment horizontal="center" vertical="center"/>
    </xf>
    <xf fontId="5712" applyFont="true" borderId="8" applyBorder="true" applyNumberFormat="true" numFmtId="167" fillId="22" applyFill="true">
      <alignment horizontal="center" vertical="center"/>
    </xf>
    <xf fontId="5713" applyFont="true" borderId="8" applyBorder="true" applyNumberFormat="true" numFmtId="1" fillId="22" applyFill="true">
      <alignment horizontal="center" vertical="center"/>
    </xf>
    <xf fontId="5714" applyFont="true" borderId="8" applyBorder="true" applyNumberFormat="true" numFmtId="167" fillId="22" applyFill="true">
      <alignment horizontal="center" vertical="center"/>
    </xf>
    <xf fontId="5715" applyFont="true" borderId="8" applyBorder="true" applyNumberFormat="true" numFmtId="1" fillId="22" applyFill="true">
      <alignment horizontal="center" vertical="center"/>
    </xf>
    <xf fontId="5716" applyFont="true" borderId="8" applyBorder="true" applyNumberFormat="true" numFmtId="167" fillId="22" applyFill="true">
      <alignment horizontal="center" vertical="center"/>
    </xf>
    <xf fontId="5717" applyFont="true" borderId="8" applyBorder="true" applyNumberFormat="true" numFmtId="167" fillId="22" applyFill="true">
      <alignment horizontal="center" vertical="center"/>
    </xf>
    <xf fontId="5718" applyFont="true" borderId="8" applyBorder="true" applyNumberFormat="true" numFmtId="1" fillId="22" applyFill="true">
      <alignment horizontal="center" vertical="center"/>
    </xf>
    <xf fontId="5719" applyFont="true" borderId="8" applyBorder="true" applyNumberFormat="true" numFmtId="1" fillId="22" applyFill="true">
      <alignment horizontal="center" vertical="center"/>
    </xf>
    <xf fontId="5720" applyFont="true" borderId="8" applyBorder="true" applyNumberFormat="true" numFmtId="1" fillId="22" applyFill="true">
      <alignment horizontal="center" vertical="center"/>
    </xf>
    <xf fontId="5721" applyFont="true" borderId="8" applyBorder="true" applyNumberFormat="true" numFmtId="167" fillId="22" applyFill="true">
      <alignment horizontal="center" vertical="center"/>
    </xf>
    <xf fontId="5722" applyFont="true" borderId="8" applyBorder="true" applyNumberFormat="true" numFmtId="166" fillId="22" applyFill="true">
      <alignment horizontal="center" vertical="center"/>
    </xf>
    <xf fontId="5723" applyFont="true" borderId="8" applyBorder="true" applyNumberFormat="true" numFmtId="166" fillId="22" applyFill="true">
      <alignment horizontal="center" vertical="center"/>
    </xf>
    <xf fontId="5724" applyFont="true" borderId="8" applyBorder="true" applyNumberFormat="true" numFmtId="1" fillId="22" applyFill="true">
      <alignment horizontal="center" vertical="center"/>
    </xf>
    <xf fontId="5725" applyFont="true" borderId="8" applyBorder="true" applyNumberFormat="true" numFmtId="1" fillId="22" applyFill="true">
      <alignment horizontal="center" vertical="center"/>
    </xf>
    <xf fontId="5726" applyFont="true" borderId="8" applyBorder="true" applyNumberFormat="true" numFmtId="1" fillId="22" applyFill="true">
      <alignment horizontal="center" vertical="center"/>
    </xf>
    <xf fontId="5727" applyFont="true" borderId="8" applyBorder="true" applyNumberFormat="true" numFmtId="167" fillId="22" applyFill="true">
      <alignment horizontal="center" vertical="center"/>
    </xf>
    <xf fontId="5728" applyFont="true" borderId="8" applyBorder="true" applyNumberFormat="true" numFmtId="1" fillId="22" applyFill="true">
      <alignment horizontal="center" vertical="center"/>
    </xf>
    <xf fontId="5729" applyFont="true" borderId="8" applyBorder="true" applyNumberFormat="true" numFmtId="167" fillId="22" applyFill="true">
      <alignment horizontal="center" vertical="center"/>
    </xf>
    <xf fontId="5730" applyFont="true" borderId="8" applyBorder="true" applyNumberFormat="true" numFmtId="1" fillId="22" applyFill="true">
      <alignment horizontal="center" vertical="center"/>
    </xf>
    <xf fontId="5731" applyFont="true" borderId="8" applyBorder="true" applyNumberFormat="true" numFmtId="1" fillId="22" applyFill="true">
      <alignment horizontal="center" vertical="center"/>
    </xf>
    <xf fontId="5732" applyFont="true" borderId="8" applyBorder="true" applyNumberFormat="true" numFmtId="1" fillId="22" applyFill="true">
      <alignment horizontal="center" vertical="center"/>
    </xf>
    <xf fontId="5733" applyFont="true" borderId="8" applyBorder="true" applyNumberFormat="true" numFmtId="1" fillId="22" applyFill="true">
      <alignment horizontal="center" vertical="center"/>
    </xf>
    <xf fontId="5734" applyFont="true" borderId="8" applyBorder="true" applyNumberFormat="true" numFmtId="167" fillId="22" applyFill="true">
      <alignment horizontal="center" vertical="center"/>
    </xf>
    <xf fontId="5735" applyFont="true" borderId="8" applyBorder="true" applyNumberFormat="true" numFmtId="1" fillId="22" applyFill="true">
      <alignment horizontal="center" vertical="center"/>
    </xf>
    <xf fontId="5736" applyFont="true" borderId="8" applyBorder="true" applyNumberFormat="true" numFmtId="167" fillId="22" applyFill="true">
      <alignment horizontal="center" vertical="center"/>
    </xf>
    <xf fontId="5737" applyFont="true" borderId="8" applyBorder="true" applyNumberFormat="true" numFmtId="1" fillId="22" applyFill="true">
      <alignment horizontal="center" vertical="center"/>
    </xf>
    <xf fontId="5738" applyFont="true" borderId="8" applyBorder="true" applyNumberFormat="true" numFmtId="167" fillId="22" applyFill="true">
      <alignment horizontal="center" vertical="center"/>
    </xf>
    <xf fontId="5739" applyFont="true" borderId="8" applyBorder="true" applyNumberFormat="true" numFmtId="2" fillId="22" applyFill="true">
      <alignment horizontal="center" vertical="center"/>
    </xf>
    <xf fontId="5740" applyFont="true" borderId="8" applyBorder="true" applyNumberFormat="true" numFmtId="2" fillId="22" applyFill="true">
      <alignment horizontal="center" vertical="center"/>
    </xf>
    <xf fontId="5741" applyFont="true" borderId="8" applyBorder="true" applyNumberFormat="true" numFmtId="2" fillId="22" applyFill="true">
      <alignment horizontal="center" vertical="center"/>
    </xf>
    <xf fontId="5742" applyFont="true" borderId="8" applyBorder="true" applyNumberFormat="true" numFmtId="2" fillId="22" applyFill="true">
      <alignment horizontal="center" vertical="center"/>
    </xf>
    <xf fontId="5743" applyFont="true" borderId="8" applyBorder="true" applyNumberFormat="true" numFmtId="2" fillId="22" applyFill="true">
      <alignment horizontal="center" vertical="center"/>
    </xf>
    <xf fontId="5744" applyFont="true" borderId="8" applyBorder="true" applyNumberFormat="true" numFmtId="2" fillId="22" applyFill="true">
      <alignment horizontal="center" vertical="center"/>
    </xf>
    <xf fontId="5745" applyFont="true" borderId="8" applyBorder="true" applyNumberFormat="true" numFmtId="2" fillId="22" applyFill="true">
      <alignment horizontal="center" vertical="center"/>
    </xf>
    <xf fontId="5746" applyFont="true" borderId="8" applyBorder="true" applyNumberFormat="true" numFmtId="2" fillId="22" applyFill="true">
      <alignment horizontal="center" vertical="center"/>
    </xf>
    <xf fontId="5747" applyFont="true" borderId="8" applyBorder="true" applyNumberFormat="true" numFmtId="2" fillId="22" applyFill="true">
      <alignment horizontal="center" vertical="center"/>
    </xf>
    <xf fontId="5748" applyFont="true" borderId="8" applyBorder="true" applyNumberFormat="true" numFmtId="2" fillId="22" applyFill="true">
      <alignment horizontal="center" vertical="center"/>
    </xf>
    <xf fontId="5749" applyFont="true" borderId="8" applyBorder="true" applyNumberFormat="true" numFmtId="2" fillId="22" applyFill="true">
      <alignment horizontal="center" vertical="center"/>
    </xf>
    <xf fontId="5750" applyFont="true" borderId="8" applyBorder="true" applyNumberFormat="true" numFmtId="2" fillId="22" applyFill="true">
      <alignment horizontal="center" vertical="center"/>
    </xf>
    <xf fontId="5751" applyFont="true" borderId="8" applyBorder="true" applyNumberFormat="true" numFmtId="2" fillId="22" applyFill="true">
      <alignment horizontal="center" vertical="center"/>
    </xf>
    <xf fontId="5752" applyFont="true" borderId="8" applyBorder="true" applyNumberFormat="true" numFmtId="2" fillId="22" applyFill="true">
      <alignment horizontal="center" vertical="center"/>
    </xf>
    <xf fontId="5753" applyFont="true" borderId="8" applyBorder="true" applyNumberFormat="true" numFmtId="2" fillId="22" applyFill="true">
      <alignment horizontal="center" vertical="center"/>
    </xf>
    <xf fontId="5754" applyFont="true" borderId="8" applyBorder="true" applyNumberFormat="true" numFmtId="2" fillId="22" applyFill="true">
      <alignment horizontal="center" vertical="center"/>
    </xf>
    <xf fontId="5755" applyFont="true" borderId="8" applyBorder="true" applyNumberFormat="true" numFmtId="2" fillId="22" applyFill="true">
      <alignment horizontal="center" vertical="center"/>
    </xf>
    <xf fontId="5756" applyFont="true" borderId="8" applyBorder="true" applyNumberFormat="true" numFmtId="2" fillId="22" applyFill="true">
      <alignment horizontal="center" vertical="center"/>
    </xf>
    <xf fontId="5757" applyFont="true" borderId="8" applyBorder="true" applyNumberFormat="true" numFmtId="2" fillId="22" applyFill="true">
      <alignment horizontal="center" vertical="center"/>
    </xf>
    <xf fontId="5758" applyFont="true" borderId="8" applyBorder="true" applyNumberFormat="true" numFmtId="2" fillId="22" applyFill="true">
      <alignment horizontal="center" vertical="center"/>
    </xf>
    <xf fontId="5759" applyFont="true" borderId="8" applyBorder="true" applyNumberFormat="true" numFmtId="2" fillId="22" applyFill="true">
      <alignment horizontal="center" vertical="center"/>
    </xf>
    <xf fontId="5760" applyFont="true" borderId="8" applyBorder="true" applyNumberFormat="true" numFmtId="2" fillId="22" applyFill="true">
      <alignment horizontal="center" vertical="center"/>
    </xf>
    <xf fontId="5761" applyFont="true" borderId="8" applyBorder="true" applyNumberFormat="true" numFmtId="2" fillId="22" applyFill="true">
      <alignment horizontal="center" vertical="center"/>
    </xf>
    <xf fontId="5762" applyFont="true" borderId="8" applyBorder="true" applyNumberFormat="true" numFmtId="2" fillId="22" applyFill="true">
      <alignment horizontal="center" vertical="center"/>
    </xf>
    <xf fontId="5763" applyFont="true" borderId="8" applyBorder="true" applyNumberFormat="true" numFmtId="2" fillId="22" applyFill="true">
      <alignment horizontal="center" vertical="center"/>
    </xf>
    <xf fontId="5764" applyFont="true" borderId="8" applyBorder="true" applyNumberFormat="true" numFmtId="2" fillId="22" applyFill="true">
      <alignment horizontal="center" vertical="center"/>
    </xf>
    <xf fontId="5765" applyFont="true" borderId="8" applyBorder="true" applyNumberFormat="true" numFmtId="2" fillId="22" applyFill="true">
      <alignment horizontal="center" vertical="center"/>
    </xf>
    <xf fontId="5766" applyFont="true" borderId="8" applyBorder="true" applyNumberFormat="true" numFmtId="2" fillId="22" applyFill="true">
      <alignment horizontal="center" vertical="center"/>
    </xf>
    <xf fontId="5767" applyFont="true" borderId="8" applyBorder="true" applyNumberFormat="true" numFmtId="2" fillId="22" applyFill="true">
      <alignment horizontal="center" vertical="center"/>
    </xf>
    <xf fontId="5768" applyFont="true" borderId="8" applyBorder="true" applyNumberFormat="true" numFmtId="2" fillId="22" applyFill="true">
      <alignment horizontal="center" vertical="center"/>
    </xf>
    <xf fontId="5769" applyFont="true" borderId="8" applyBorder="true" applyNumberFormat="true" numFmtId="2" fillId="22" applyFill="true">
      <alignment horizontal="center" vertical="center"/>
    </xf>
    <xf fontId="5770" applyFont="true" borderId="8" applyBorder="true" applyNumberFormat="true" numFmtId="2" fillId="22" applyFill="true">
      <alignment horizontal="center" vertical="center"/>
    </xf>
    <xf fontId="5771" applyFont="true" borderId="8" applyBorder="true" applyNumberFormat="true" numFmtId="2" fillId="22" applyFill="true">
      <alignment horizontal="center" vertical="center"/>
    </xf>
    <xf fontId="5772" applyFont="true" borderId="8" applyBorder="true" applyNumberFormat="true" numFmtId="2" fillId="22" applyFill="true">
      <alignment horizontal="center" vertical="center"/>
    </xf>
    <xf fontId="5773" applyFont="true" borderId="8" applyBorder="true" applyNumberFormat="true" numFmtId="165" fillId="19" applyFill="true">
      <alignment horizontal="left" vertical="center"/>
    </xf>
    <xf fontId="5774" applyFont="true" borderId="8" applyBorder="true" applyNumberFormat="true" numFmtId="165" fillId="22" applyFill="true">
      <alignment horizontal="center" vertical="center"/>
    </xf>
    <xf fontId="5775" applyFont="true" borderId="8" applyBorder="true" applyNumberFormat="true" numFmtId="166" fillId="22" applyFill="true">
      <alignment horizontal="center" vertical="center"/>
    </xf>
    <xf fontId="5776" applyFont="true" borderId="8" applyBorder="true" applyNumberFormat="true" numFmtId="1" fillId="22" applyFill="true">
      <alignment horizontal="center" vertical="center"/>
    </xf>
    <xf fontId="5777" applyFont="true" borderId="8" applyBorder="true" applyNumberFormat="true" numFmtId="1" fillId="22" applyFill="true">
      <alignment horizontal="center" vertical="center"/>
    </xf>
    <xf fontId="5778" applyFont="true" borderId="8" applyBorder="true" applyNumberFormat="true" numFmtId="1" fillId="22" applyFill="true">
      <alignment horizontal="center" vertical="center"/>
    </xf>
    <xf fontId="5779" applyFont="true" borderId="8" applyBorder="true" applyNumberFormat="true" numFmtId="1" fillId="22" applyFill="true">
      <alignment horizontal="center" vertical="center"/>
    </xf>
    <xf fontId="5780" applyFont="true" borderId="8" applyBorder="true" applyNumberFormat="true" numFmtId="1" fillId="22" applyFill="true">
      <alignment horizontal="center" vertical="center"/>
    </xf>
    <xf fontId="5781" applyFont="true" borderId="8" applyBorder="true" applyNumberFormat="true" numFmtId="1" fillId="22" applyFill="true">
      <alignment horizontal="center" vertical="center"/>
    </xf>
    <xf fontId="5782" applyFont="true" borderId="8" applyBorder="true" applyNumberFormat="true" numFmtId="1" fillId="22" applyFill="true">
      <alignment horizontal="center" vertical="center"/>
    </xf>
    <xf fontId="5783" applyFont="true" borderId="8" applyBorder="true" applyNumberFormat="true" numFmtId="165" fillId="22" applyFill="true">
      <alignment horizontal="center" vertical="center"/>
    </xf>
    <xf fontId="5784" applyFont="true" borderId="8" applyBorder="true" applyNumberFormat="true" numFmtId="165" fillId="22" applyFill="true">
      <alignment horizontal="center" vertical="center"/>
    </xf>
    <xf fontId="5785" applyFont="true" borderId="8" applyBorder="true" applyNumberFormat="true" numFmtId="1" fillId="22" applyFill="true">
      <alignment horizontal="center" vertical="center"/>
    </xf>
    <xf fontId="5786" applyFont="true" borderId="8" applyBorder="true" applyNumberFormat="true" numFmtId="1" fillId="22" applyFill="true">
      <alignment horizontal="center" vertical="center"/>
    </xf>
    <xf fontId="5787" applyFont="true" borderId="8" applyBorder="true" applyNumberFormat="true" numFmtId="1" fillId="22" applyFill="true">
      <alignment horizontal="center" vertical="center"/>
    </xf>
    <xf fontId="5788" applyFont="true" borderId="8" applyBorder="true" applyNumberFormat="true" numFmtId="167" fillId="22" applyFill="true">
      <alignment horizontal="center" vertical="center"/>
    </xf>
    <xf fontId="5789" applyFont="true" borderId="8" applyBorder="true" applyNumberFormat="true" numFmtId="1" fillId="22" applyFill="true">
      <alignment horizontal="center" vertical="center"/>
    </xf>
    <xf fontId="5790" applyFont="true" borderId="8" applyBorder="true" applyNumberFormat="true" numFmtId="167" fillId="22" applyFill="true">
      <alignment horizontal="center" vertical="center"/>
    </xf>
    <xf fontId="5791" applyFont="true" borderId="8" applyBorder="true" applyNumberFormat="true" numFmtId="1" fillId="22" applyFill="true">
      <alignment horizontal="center" vertical="center"/>
    </xf>
    <xf fontId="5792" applyFont="true" borderId="8" applyBorder="true" applyNumberFormat="true" numFmtId="167" fillId="22" applyFill="true">
      <alignment horizontal="center" vertical="center"/>
    </xf>
    <xf fontId="5793" applyFont="true" borderId="8" applyBorder="true" applyNumberFormat="true" numFmtId="1" fillId="22" applyFill="true">
      <alignment horizontal="center" vertical="center"/>
    </xf>
    <xf fontId="5794" applyFont="true" borderId="8" applyBorder="true" applyNumberFormat="true" numFmtId="167" fillId="22" applyFill="true">
      <alignment horizontal="center" vertical="center"/>
    </xf>
    <xf fontId="5795" applyFont="true" borderId="8" applyBorder="true" applyNumberFormat="true" numFmtId="167" fillId="22" applyFill="true">
      <alignment horizontal="center" vertical="center"/>
    </xf>
    <xf fontId="5796" applyFont="true" borderId="8" applyBorder="true" applyNumberFormat="true" numFmtId="1" fillId="22" applyFill="true">
      <alignment horizontal="center" vertical="center"/>
    </xf>
    <xf fontId="5797" applyFont="true" borderId="8" applyBorder="true" applyNumberFormat="true" numFmtId="1" fillId="22" applyFill="true">
      <alignment horizontal="center" vertical="center"/>
    </xf>
    <xf fontId="5798" applyFont="true" borderId="8" applyBorder="true" applyNumberFormat="true" numFmtId="1" fillId="22" applyFill="true">
      <alignment horizontal="center" vertical="center"/>
    </xf>
    <xf fontId="5799" applyFont="true" borderId="8" applyBorder="true" applyNumberFormat="true" numFmtId="167" fillId="22" applyFill="true">
      <alignment horizontal="center" vertical="center"/>
    </xf>
    <xf fontId="5800" applyFont="true" borderId="8" applyBorder="true" applyNumberFormat="true" numFmtId="166" fillId="22" applyFill="true">
      <alignment horizontal="center" vertical="center"/>
    </xf>
    <xf fontId="5801" applyFont="true" borderId="8" applyBorder="true" applyNumberFormat="true" numFmtId="166" fillId="22" applyFill="true">
      <alignment horizontal="center" vertical="center"/>
    </xf>
    <xf fontId="5802" applyFont="true" borderId="8" applyBorder="true" applyNumberFormat="true" numFmtId="1" fillId="22" applyFill="true">
      <alignment horizontal="center" vertical="center"/>
    </xf>
    <xf fontId="5803" applyFont="true" borderId="8" applyBorder="true" applyNumberFormat="true" numFmtId="1" fillId="22" applyFill="true">
      <alignment horizontal="center" vertical="center"/>
    </xf>
    <xf fontId="5804" applyFont="true" borderId="8" applyBorder="true" applyNumberFormat="true" numFmtId="1" fillId="22" applyFill="true">
      <alignment horizontal="center" vertical="center"/>
    </xf>
    <xf fontId="5805" applyFont="true" borderId="8" applyBorder="true" applyNumberFormat="true" numFmtId="167" fillId="22" applyFill="true">
      <alignment horizontal="center" vertical="center"/>
    </xf>
    <xf fontId="5806" applyFont="true" borderId="8" applyBorder="true" applyNumberFormat="true" numFmtId="1" fillId="22" applyFill="true">
      <alignment horizontal="center" vertical="center"/>
    </xf>
    <xf fontId="5807" applyFont="true" borderId="8" applyBorder="true" applyNumberFormat="true" numFmtId="167" fillId="22" applyFill="true">
      <alignment horizontal="center" vertical="center"/>
    </xf>
    <xf fontId="5808" applyFont="true" borderId="8" applyBorder="true" applyNumberFormat="true" numFmtId="1" fillId="22" applyFill="true">
      <alignment horizontal="center" vertical="center"/>
    </xf>
    <xf fontId="5809" applyFont="true" borderId="8" applyBorder="true" applyNumberFormat="true" numFmtId="1" fillId="22" applyFill="true">
      <alignment horizontal="center" vertical="center"/>
    </xf>
    <xf fontId="5810" applyFont="true" borderId="8" applyBorder="true" applyNumberFormat="true" numFmtId="1" fillId="22" applyFill="true">
      <alignment horizontal="center" vertical="center"/>
    </xf>
    <xf fontId="5811" applyFont="true" borderId="8" applyBorder="true" applyNumberFormat="true" numFmtId="1" fillId="22" applyFill="true">
      <alignment horizontal="center" vertical="center"/>
    </xf>
    <xf fontId="5812" applyFont="true" borderId="8" applyBorder="true" applyNumberFormat="true" numFmtId="167" fillId="22" applyFill="true">
      <alignment horizontal="center" vertical="center"/>
    </xf>
    <xf fontId="5813" applyFont="true" borderId="8" applyBorder="true" applyNumberFormat="true" numFmtId="1" fillId="22" applyFill="true">
      <alignment horizontal="center" vertical="center"/>
    </xf>
    <xf fontId="5814" applyFont="true" borderId="8" applyBorder="true" applyNumberFormat="true" numFmtId="167" fillId="22" applyFill="true">
      <alignment horizontal="center" vertical="center"/>
    </xf>
    <xf fontId="5815" applyFont="true" borderId="8" applyBorder="true" applyNumberFormat="true" numFmtId="1" fillId="22" applyFill="true">
      <alignment horizontal="center" vertical="center"/>
    </xf>
    <xf fontId="5816" applyFont="true" borderId="8" applyBorder="true" applyNumberFormat="true" numFmtId="167" fillId="22" applyFill="true">
      <alignment horizontal="center" vertical="center"/>
    </xf>
    <xf fontId="5817" applyFont="true" borderId="8" applyBorder="true" applyNumberFormat="true" numFmtId="2" fillId="22" applyFill="true">
      <alignment horizontal="center" vertical="center"/>
    </xf>
    <xf fontId="5818" applyFont="true" borderId="8" applyBorder="true" applyNumberFormat="true" numFmtId="2" fillId="22" applyFill="true">
      <alignment horizontal="center" vertical="center"/>
    </xf>
    <xf fontId="5819" applyFont="true" borderId="8" applyBorder="true" applyNumberFormat="true" numFmtId="2" fillId="22" applyFill="true">
      <alignment horizontal="center" vertical="center"/>
    </xf>
    <xf fontId="5820" applyFont="true" borderId="8" applyBorder="true" applyNumberFormat="true" numFmtId="2" fillId="22" applyFill="true">
      <alignment horizontal="center" vertical="center"/>
    </xf>
    <xf fontId="5821" applyFont="true" borderId="8" applyBorder="true" applyNumberFormat="true" numFmtId="2" fillId="22" applyFill="true">
      <alignment horizontal="center" vertical="center"/>
    </xf>
    <xf fontId="5822" applyFont="true" borderId="8" applyBorder="true" applyNumberFormat="true" numFmtId="2" fillId="22" applyFill="true">
      <alignment horizontal="center" vertical="center"/>
    </xf>
    <xf fontId="5823" applyFont="true" borderId="8" applyBorder="true" applyNumberFormat="true" numFmtId="2" fillId="22" applyFill="true">
      <alignment horizontal="center" vertical="center"/>
    </xf>
    <xf fontId="5824" applyFont="true" borderId="8" applyBorder="true" applyNumberFormat="true" numFmtId="2" fillId="22" applyFill="true">
      <alignment horizontal="center" vertical="center"/>
    </xf>
    <xf fontId="5825" applyFont="true" borderId="8" applyBorder="true" applyNumberFormat="true" numFmtId="2" fillId="22" applyFill="true">
      <alignment horizontal="center" vertical="center"/>
    </xf>
    <xf fontId="5826" applyFont="true" borderId="8" applyBorder="true" applyNumberFormat="true" numFmtId="2" fillId="22" applyFill="true">
      <alignment horizontal="center" vertical="center"/>
    </xf>
    <xf fontId="5827" applyFont="true" borderId="8" applyBorder="true" applyNumberFormat="true" numFmtId="2" fillId="22" applyFill="true">
      <alignment horizontal="center" vertical="center"/>
    </xf>
    <xf fontId="5828" applyFont="true" borderId="8" applyBorder="true" applyNumberFormat="true" numFmtId="2" fillId="22" applyFill="true">
      <alignment horizontal="center" vertical="center"/>
    </xf>
    <xf fontId="5829" applyFont="true" borderId="8" applyBorder="true" applyNumberFormat="true" numFmtId="2" fillId="22" applyFill="true">
      <alignment horizontal="center" vertical="center"/>
    </xf>
    <xf fontId="5830" applyFont="true" borderId="8" applyBorder="true" applyNumberFormat="true" numFmtId="2" fillId="22" applyFill="true">
      <alignment horizontal="center" vertical="center"/>
    </xf>
    <xf fontId="5831" applyFont="true" borderId="8" applyBorder="true" applyNumberFormat="true" numFmtId="2" fillId="22" applyFill="true">
      <alignment horizontal="center" vertical="center"/>
    </xf>
    <xf fontId="5832" applyFont="true" borderId="8" applyBorder="true" applyNumberFormat="true" numFmtId="2" fillId="22" applyFill="true">
      <alignment horizontal="center" vertical="center"/>
    </xf>
    <xf fontId="5833" applyFont="true" borderId="8" applyBorder="true" applyNumberFormat="true" numFmtId="2" fillId="22" applyFill="true">
      <alignment horizontal="center" vertical="center"/>
    </xf>
    <xf fontId="5834" applyFont="true" borderId="8" applyBorder="true" applyNumberFormat="true" numFmtId="2" fillId="22" applyFill="true">
      <alignment horizontal="center" vertical="center"/>
    </xf>
    <xf fontId="5835" applyFont="true" borderId="8" applyBorder="true" applyNumberFormat="true" numFmtId="2" fillId="22" applyFill="true">
      <alignment horizontal="center" vertical="center"/>
    </xf>
    <xf fontId="5836" applyFont="true" borderId="8" applyBorder="true" applyNumberFormat="true" numFmtId="2" fillId="22" applyFill="true">
      <alignment horizontal="center" vertical="center"/>
    </xf>
    <xf fontId="5837" applyFont="true" borderId="8" applyBorder="true" applyNumberFormat="true" numFmtId="2" fillId="22" applyFill="true">
      <alignment horizontal="center" vertical="center"/>
    </xf>
    <xf fontId="5838" applyFont="true" borderId="8" applyBorder="true" applyNumberFormat="true" numFmtId="2" fillId="22" applyFill="true">
      <alignment horizontal="center" vertical="center"/>
    </xf>
    <xf fontId="5839" applyFont="true" borderId="8" applyBorder="true" applyNumberFormat="true" numFmtId="2" fillId="22" applyFill="true">
      <alignment horizontal="center" vertical="center"/>
    </xf>
    <xf fontId="5840" applyFont="true" borderId="8" applyBorder="true" applyNumberFormat="true" numFmtId="2" fillId="22" applyFill="true">
      <alignment horizontal="center" vertical="center"/>
    </xf>
    <xf fontId="5841" applyFont="true" borderId="8" applyBorder="true" applyNumberFormat="true" numFmtId="2" fillId="22" applyFill="true">
      <alignment horizontal="center" vertical="center"/>
    </xf>
    <xf fontId="5842" applyFont="true" borderId="8" applyBorder="true" applyNumberFormat="true" numFmtId="2" fillId="22" applyFill="true">
      <alignment horizontal="center" vertical="center"/>
    </xf>
    <xf fontId="5843" applyFont="true" borderId="8" applyBorder="true" applyNumberFormat="true" numFmtId="2" fillId="22" applyFill="true">
      <alignment horizontal="center" vertical="center"/>
    </xf>
    <xf fontId="5844" applyFont="true" borderId="8" applyBorder="true" applyNumberFormat="true" numFmtId="2" fillId="22" applyFill="true">
      <alignment horizontal="center" vertical="center"/>
    </xf>
    <xf fontId="5845" applyFont="true" borderId="8" applyBorder="true" applyNumberFormat="true" numFmtId="2" fillId="22" applyFill="true">
      <alignment horizontal="center" vertical="center"/>
    </xf>
    <xf fontId="5846" applyFont="true" borderId="8" applyBorder="true" applyNumberFormat="true" numFmtId="2" fillId="22" applyFill="true">
      <alignment horizontal="center" vertical="center"/>
    </xf>
    <xf fontId="5847" applyFont="true" borderId="8" applyBorder="true" applyNumberFormat="true" numFmtId="2" fillId="22" applyFill="true">
      <alignment horizontal="center" vertical="center"/>
    </xf>
    <xf fontId="5848" applyFont="true" borderId="8" applyBorder="true" applyNumberFormat="true" numFmtId="2" fillId="22" applyFill="true">
      <alignment horizontal="center" vertical="center"/>
    </xf>
    <xf fontId="5849" applyFont="true" borderId="8" applyBorder="true" applyNumberFormat="true" numFmtId="2" fillId="22" applyFill="true">
      <alignment horizontal="center" vertical="center"/>
    </xf>
    <xf fontId="5850" applyFont="true" borderId="8" applyBorder="true" applyNumberFormat="true" numFmtId="2" fillId="22" applyFill="true">
      <alignment horizontal="center" vertical="center"/>
    </xf>
    <xf fontId="5851" applyFont="true" borderId="8" applyBorder="true" applyNumberFormat="true" numFmtId="165" fillId="19" applyFill="true">
      <alignment horizontal="left" vertical="center"/>
    </xf>
    <xf fontId="5852" applyFont="true" borderId="8" applyBorder="true" applyNumberFormat="true" numFmtId="165" fillId="22" applyFill="true">
      <alignment horizontal="center" vertical="center"/>
    </xf>
    <xf fontId="5853" applyFont="true" borderId="8" applyBorder="true" applyNumberFormat="true" numFmtId="166" fillId="22" applyFill="true">
      <alignment horizontal="center" vertical="center"/>
    </xf>
    <xf fontId="5854" applyFont="true" borderId="8" applyBorder="true" applyNumberFormat="true" numFmtId="1" fillId="22" applyFill="true">
      <alignment horizontal="center" vertical="center"/>
    </xf>
    <xf fontId="5855" applyFont="true" borderId="8" applyBorder="true" applyNumberFormat="true" numFmtId="1" fillId="22" applyFill="true">
      <alignment horizontal="center" vertical="center"/>
    </xf>
    <xf fontId="5856" applyFont="true" borderId="8" applyBorder="true" applyNumberFormat="true" numFmtId="1" fillId="22" applyFill="true">
      <alignment horizontal="center" vertical="center"/>
    </xf>
    <xf fontId="5857" applyFont="true" borderId="8" applyBorder="true" applyNumberFormat="true" numFmtId="1" fillId="22" applyFill="true">
      <alignment horizontal="center" vertical="center"/>
    </xf>
    <xf fontId="5858" applyFont="true" borderId="8" applyBorder="true" applyNumberFormat="true" numFmtId="1" fillId="22" applyFill="true">
      <alignment horizontal="center" vertical="center"/>
    </xf>
    <xf fontId="5859" applyFont="true" borderId="8" applyBorder="true" applyNumberFormat="true" numFmtId="1" fillId="22" applyFill="true">
      <alignment horizontal="center" vertical="center"/>
    </xf>
    <xf fontId="5860" applyFont="true" borderId="8" applyBorder="true" applyNumberFormat="true" numFmtId="1" fillId="22" applyFill="true">
      <alignment horizontal="center" vertical="center"/>
    </xf>
    <xf fontId="5861" applyFont="true" borderId="8" applyBorder="true" applyNumberFormat="true" numFmtId="165" fillId="22" applyFill="true">
      <alignment horizontal="center" vertical="center"/>
    </xf>
    <xf fontId="5862" applyFont="true" borderId="8" applyBorder="true" applyNumberFormat="true" numFmtId="165" fillId="22" applyFill="true">
      <alignment horizontal="center" vertical="center"/>
    </xf>
    <xf fontId="5863" applyFont="true" borderId="8" applyBorder="true" applyNumberFormat="true" numFmtId="1" fillId="22" applyFill="true">
      <alignment horizontal="center" vertical="center"/>
    </xf>
    <xf fontId="5864" applyFont="true" borderId="8" applyBorder="true" applyNumberFormat="true" numFmtId="1" fillId="22" applyFill="true">
      <alignment horizontal="center" vertical="center"/>
    </xf>
    <xf fontId="5865" applyFont="true" borderId="8" applyBorder="true" applyNumberFormat="true" numFmtId="1" fillId="22" applyFill="true">
      <alignment horizontal="center" vertical="center"/>
    </xf>
    <xf fontId="5866" applyFont="true" borderId="8" applyBorder="true" applyNumberFormat="true" numFmtId="167" fillId="22" applyFill="true">
      <alignment horizontal="center" vertical="center"/>
    </xf>
    <xf fontId="5867" applyFont="true" borderId="8" applyBorder="true" applyNumberFormat="true" numFmtId="1" fillId="22" applyFill="true">
      <alignment horizontal="center" vertical="center"/>
    </xf>
    <xf fontId="5868" applyFont="true" borderId="8" applyBorder="true" applyNumberFormat="true" numFmtId="167" fillId="22" applyFill="true">
      <alignment horizontal="center" vertical="center"/>
    </xf>
    <xf fontId="5869" applyFont="true" borderId="8" applyBorder="true" applyNumberFormat="true" numFmtId="1" fillId="22" applyFill="true">
      <alignment horizontal="center" vertical="center"/>
    </xf>
    <xf fontId="5870" applyFont="true" borderId="8" applyBorder="true" applyNumberFormat="true" numFmtId="167" fillId="22" applyFill="true">
      <alignment horizontal="center" vertical="center"/>
    </xf>
    <xf fontId="5871" applyFont="true" borderId="8" applyBorder="true" applyNumberFormat="true" numFmtId="1" fillId="22" applyFill="true">
      <alignment horizontal="center" vertical="center"/>
    </xf>
    <xf fontId="5872" applyFont="true" borderId="8" applyBorder="true" applyNumberFormat="true" numFmtId="167" fillId="22" applyFill="true">
      <alignment horizontal="center" vertical="center"/>
    </xf>
    <xf fontId="5873" applyFont="true" borderId="8" applyBorder="true" applyNumberFormat="true" numFmtId="167" fillId="22" applyFill="true">
      <alignment horizontal="center" vertical="center"/>
    </xf>
    <xf fontId="5874" applyFont="true" borderId="8" applyBorder="true" applyNumberFormat="true" numFmtId="1" fillId="22" applyFill="true">
      <alignment horizontal="center" vertical="center"/>
    </xf>
    <xf fontId="5875" applyFont="true" borderId="8" applyBorder="true" applyNumberFormat="true" numFmtId="1" fillId="22" applyFill="true">
      <alignment horizontal="center" vertical="center"/>
    </xf>
    <xf fontId="5876" applyFont="true" borderId="8" applyBorder="true" applyNumberFormat="true" numFmtId="1" fillId="22" applyFill="true">
      <alignment horizontal="center" vertical="center"/>
    </xf>
    <xf fontId="5877" applyFont="true" borderId="8" applyBorder="true" applyNumberFormat="true" numFmtId="167" fillId="22" applyFill="true">
      <alignment horizontal="center" vertical="center"/>
    </xf>
    <xf fontId="5878" applyFont="true" borderId="8" applyBorder="true" applyNumberFormat="true" numFmtId="166" fillId="22" applyFill="true">
      <alignment horizontal="center" vertical="center"/>
    </xf>
    <xf fontId="5879" applyFont="true" borderId="8" applyBorder="true" applyNumberFormat="true" numFmtId="166" fillId="22" applyFill="true">
      <alignment horizontal="center" vertical="center"/>
    </xf>
    <xf fontId="5880" applyFont="true" borderId="8" applyBorder="true" applyNumberFormat="true" numFmtId="1" fillId="22" applyFill="true">
      <alignment horizontal="center" vertical="center"/>
    </xf>
    <xf fontId="5881" applyFont="true" borderId="8" applyBorder="true" applyNumberFormat="true" numFmtId="1" fillId="22" applyFill="true">
      <alignment horizontal="center" vertical="center"/>
    </xf>
    <xf fontId="5882" applyFont="true" borderId="8" applyBorder="true" applyNumberFormat="true" numFmtId="1" fillId="22" applyFill="true">
      <alignment horizontal="center" vertical="center"/>
    </xf>
    <xf fontId="5883" applyFont="true" borderId="8" applyBorder="true" applyNumberFormat="true" numFmtId="167" fillId="22" applyFill="true">
      <alignment horizontal="center" vertical="center"/>
    </xf>
    <xf fontId="5884" applyFont="true" borderId="8" applyBorder="true" applyNumberFormat="true" numFmtId="1" fillId="22" applyFill="true">
      <alignment horizontal="center" vertical="center"/>
    </xf>
    <xf fontId="5885" applyFont="true" borderId="8" applyBorder="true" applyNumberFormat="true" numFmtId="167" fillId="22" applyFill="true">
      <alignment horizontal="center" vertical="center"/>
    </xf>
    <xf fontId="5886" applyFont="true" borderId="8" applyBorder="true" applyNumberFormat="true" numFmtId="1" fillId="22" applyFill="true">
      <alignment horizontal="center" vertical="center"/>
    </xf>
    <xf fontId="5887" applyFont="true" borderId="8" applyBorder="true" applyNumberFormat="true" numFmtId="1" fillId="22" applyFill="true">
      <alignment horizontal="center" vertical="center"/>
    </xf>
    <xf fontId="5888" applyFont="true" borderId="8" applyBorder="true" applyNumberFormat="true" numFmtId="1" fillId="22" applyFill="true">
      <alignment horizontal="center" vertical="center"/>
    </xf>
    <xf fontId="5889" applyFont="true" borderId="8" applyBorder="true" applyNumberFormat="true" numFmtId="1" fillId="22" applyFill="true">
      <alignment horizontal="center" vertical="center"/>
    </xf>
    <xf fontId="5890" applyFont="true" borderId="8" applyBorder="true" applyNumberFormat="true" numFmtId="167" fillId="22" applyFill="true">
      <alignment horizontal="center" vertical="center"/>
    </xf>
    <xf fontId="5891" applyFont="true" borderId="8" applyBorder="true" applyNumberFormat="true" numFmtId="1" fillId="22" applyFill="true">
      <alignment horizontal="center" vertical="center"/>
    </xf>
    <xf fontId="5892" applyFont="true" borderId="8" applyBorder="true" applyNumberFormat="true" numFmtId="167" fillId="22" applyFill="true">
      <alignment horizontal="center" vertical="center"/>
    </xf>
    <xf fontId="5893" applyFont="true" borderId="8" applyBorder="true" applyNumberFormat="true" numFmtId="1" fillId="22" applyFill="true">
      <alignment horizontal="center" vertical="center"/>
    </xf>
    <xf fontId="5894" applyFont="true" borderId="8" applyBorder="true" applyNumberFormat="true" numFmtId="167" fillId="22" applyFill="true">
      <alignment horizontal="center" vertical="center"/>
    </xf>
    <xf fontId="5895" applyFont="true" borderId="8" applyBorder="true" applyNumberFormat="true" numFmtId="2" fillId="22" applyFill="true">
      <alignment horizontal="center" vertical="center"/>
    </xf>
    <xf fontId="5896" applyFont="true" borderId="8" applyBorder="true" applyNumberFormat="true" numFmtId="2" fillId="22" applyFill="true">
      <alignment horizontal="center" vertical="center"/>
    </xf>
    <xf fontId="5897" applyFont="true" borderId="8" applyBorder="true" applyNumberFormat="true" numFmtId="2" fillId="22" applyFill="true">
      <alignment horizontal="center" vertical="center"/>
    </xf>
    <xf fontId="5898" applyFont="true" borderId="8" applyBorder="true" applyNumberFormat="true" numFmtId="2" fillId="22" applyFill="true">
      <alignment horizontal="center" vertical="center"/>
    </xf>
    <xf fontId="5899" applyFont="true" borderId="8" applyBorder="true" applyNumberFormat="true" numFmtId="2" fillId="22" applyFill="true">
      <alignment horizontal="center" vertical="center"/>
    </xf>
    <xf fontId="5900" applyFont="true" borderId="8" applyBorder="true" applyNumberFormat="true" numFmtId="2" fillId="22" applyFill="true">
      <alignment horizontal="center" vertical="center"/>
    </xf>
    <xf fontId="5901" applyFont="true" borderId="8" applyBorder="true" applyNumberFormat="true" numFmtId="2" fillId="22" applyFill="true">
      <alignment horizontal="center" vertical="center"/>
    </xf>
    <xf fontId="5902" applyFont="true" borderId="8" applyBorder="true" applyNumberFormat="true" numFmtId="2" fillId="22" applyFill="true">
      <alignment horizontal="center" vertical="center"/>
    </xf>
    <xf fontId="5903" applyFont="true" borderId="8" applyBorder="true" applyNumberFormat="true" numFmtId="2" fillId="22" applyFill="true">
      <alignment horizontal="center" vertical="center"/>
    </xf>
    <xf fontId="5904" applyFont="true" borderId="8" applyBorder="true" applyNumberFormat="true" numFmtId="2" fillId="22" applyFill="true">
      <alignment horizontal="center" vertical="center"/>
    </xf>
    <xf fontId="5905" applyFont="true" borderId="8" applyBorder="true" applyNumberFormat="true" numFmtId="2" fillId="22" applyFill="true">
      <alignment horizontal="center" vertical="center"/>
    </xf>
    <xf fontId="5906" applyFont="true" borderId="8" applyBorder="true" applyNumberFormat="true" numFmtId="2" fillId="22" applyFill="true">
      <alignment horizontal="center" vertical="center"/>
    </xf>
    <xf fontId="5907" applyFont="true" borderId="8" applyBorder="true" applyNumberFormat="true" numFmtId="2" fillId="22" applyFill="true">
      <alignment horizontal="center" vertical="center"/>
    </xf>
    <xf fontId="5908" applyFont="true" borderId="8" applyBorder="true" applyNumberFormat="true" numFmtId="2" fillId="22" applyFill="true">
      <alignment horizontal="center" vertical="center"/>
    </xf>
    <xf fontId="5909" applyFont="true" borderId="8" applyBorder="true" applyNumberFormat="true" numFmtId="2" fillId="22" applyFill="true">
      <alignment horizontal="center" vertical="center"/>
    </xf>
    <xf fontId="5910" applyFont="true" borderId="8" applyBorder="true" applyNumberFormat="true" numFmtId="2" fillId="22" applyFill="true">
      <alignment horizontal="center" vertical="center"/>
    </xf>
    <xf fontId="5911" applyFont="true" borderId="8" applyBorder="true" applyNumberFormat="true" numFmtId="2" fillId="22" applyFill="true">
      <alignment horizontal="center" vertical="center"/>
    </xf>
    <xf fontId="5912" applyFont="true" borderId="8" applyBorder="true" applyNumberFormat="true" numFmtId="2" fillId="22" applyFill="true">
      <alignment horizontal="center" vertical="center"/>
    </xf>
    <xf fontId="5913" applyFont="true" borderId="8" applyBorder="true" applyNumberFormat="true" numFmtId="2" fillId="22" applyFill="true">
      <alignment horizontal="center" vertical="center"/>
    </xf>
    <xf fontId="5914" applyFont="true" borderId="8" applyBorder="true" applyNumberFormat="true" numFmtId="2" fillId="22" applyFill="true">
      <alignment horizontal="center" vertical="center"/>
    </xf>
    <xf fontId="5915" applyFont="true" borderId="8" applyBorder="true" applyNumberFormat="true" numFmtId="2" fillId="22" applyFill="true">
      <alignment horizontal="center" vertical="center"/>
    </xf>
    <xf fontId="5916" applyFont="true" borderId="8" applyBorder="true" applyNumberFormat="true" numFmtId="2" fillId="22" applyFill="true">
      <alignment horizontal="center" vertical="center"/>
    </xf>
    <xf fontId="5917" applyFont="true" borderId="8" applyBorder="true" applyNumberFormat="true" numFmtId="2" fillId="22" applyFill="true">
      <alignment horizontal="center" vertical="center"/>
    </xf>
    <xf fontId="5918" applyFont="true" borderId="8" applyBorder="true" applyNumberFormat="true" numFmtId="2" fillId="22" applyFill="true">
      <alignment horizontal="center" vertical="center"/>
    </xf>
    <xf fontId="5919" applyFont="true" borderId="8" applyBorder="true" applyNumberFormat="true" numFmtId="2" fillId="22" applyFill="true">
      <alignment horizontal="center" vertical="center"/>
    </xf>
    <xf fontId="5920" applyFont="true" borderId="8" applyBorder="true" applyNumberFormat="true" numFmtId="2" fillId="22" applyFill="true">
      <alignment horizontal="center" vertical="center"/>
    </xf>
    <xf fontId="5921" applyFont="true" borderId="8" applyBorder="true" applyNumberFormat="true" numFmtId="2" fillId="22" applyFill="true">
      <alignment horizontal="center" vertical="center"/>
    </xf>
    <xf fontId="5922" applyFont="true" borderId="8" applyBorder="true" applyNumberFormat="true" numFmtId="2" fillId="22" applyFill="true">
      <alignment horizontal="center" vertical="center"/>
    </xf>
    <xf fontId="5923" applyFont="true" borderId="8" applyBorder="true" applyNumberFormat="true" numFmtId="2" fillId="22" applyFill="true">
      <alignment horizontal="center" vertical="center"/>
    </xf>
    <xf fontId="5924" applyFont="true" borderId="8" applyBorder="true" applyNumberFormat="true" numFmtId="2" fillId="22" applyFill="true">
      <alignment horizontal="center" vertical="center"/>
    </xf>
    <xf fontId="5925" applyFont="true" borderId="8" applyBorder="true" applyNumberFormat="true" numFmtId="2" fillId="22" applyFill="true">
      <alignment horizontal="center" vertical="center"/>
    </xf>
    <xf fontId="5926" applyFont="true" borderId="8" applyBorder="true" applyNumberFormat="true" numFmtId="2" fillId="22" applyFill="true">
      <alignment horizontal="center" vertical="center"/>
    </xf>
    <xf fontId="5927" applyFont="true" borderId="8" applyBorder="true" applyNumberFormat="true" numFmtId="2" fillId="22" applyFill="true">
      <alignment horizontal="center" vertical="center"/>
    </xf>
    <xf fontId="5928" applyFont="true" borderId="8" applyBorder="true" applyNumberFormat="true" numFmtId="2" fillId="22" applyFill="true">
      <alignment horizontal="center" vertical="center"/>
    </xf>
    <xf fontId="5929" applyFont="true" borderId="8" applyBorder="true" applyNumberFormat="true" numFmtId="165" fillId="19" applyFill="true">
      <alignment horizontal="left" vertical="center"/>
    </xf>
    <xf fontId="5930" applyFont="true" borderId="8" applyBorder="true" applyNumberFormat="true" numFmtId="165" fillId="22" applyFill="true">
      <alignment horizontal="center" vertical="center"/>
    </xf>
    <xf fontId="5931" applyFont="true" borderId="8" applyBorder="true" applyNumberFormat="true" numFmtId="166" fillId="22" applyFill="true">
      <alignment horizontal="center" vertical="center"/>
    </xf>
    <xf fontId="5932" applyFont="true" borderId="8" applyBorder="true" applyNumberFormat="true" numFmtId="1" fillId="22" applyFill="true">
      <alignment horizontal="center" vertical="center"/>
    </xf>
    <xf fontId="5933" applyFont="true" borderId="8" applyBorder="true" applyNumberFormat="true" numFmtId="1" fillId="22" applyFill="true">
      <alignment horizontal="center" vertical="center"/>
    </xf>
    <xf fontId="5934" applyFont="true" borderId="8" applyBorder="true" applyNumberFormat="true" numFmtId="1" fillId="22" applyFill="true">
      <alignment horizontal="center" vertical="center"/>
    </xf>
    <xf fontId="5935" applyFont="true" borderId="8" applyBorder="true" applyNumberFormat="true" numFmtId="1" fillId="22" applyFill="true">
      <alignment horizontal="center" vertical="center"/>
    </xf>
    <xf fontId="5936" applyFont="true" borderId="8" applyBorder="true" applyNumberFormat="true" numFmtId="1" fillId="22" applyFill="true">
      <alignment horizontal="center" vertical="center"/>
    </xf>
    <xf fontId="5937" applyFont="true" borderId="8" applyBorder="true" applyNumberFormat="true" numFmtId="1" fillId="22" applyFill="true">
      <alignment horizontal="center" vertical="center"/>
    </xf>
    <xf fontId="5938" applyFont="true" borderId="8" applyBorder="true" applyNumberFormat="true" numFmtId="1" fillId="22" applyFill="true">
      <alignment horizontal="center" vertical="center"/>
    </xf>
    <xf fontId="5939" applyFont="true" borderId="8" applyBorder="true" applyNumberFormat="true" numFmtId="165" fillId="22" applyFill="true">
      <alignment horizontal="center" vertical="center"/>
    </xf>
    <xf fontId="5940" applyFont="true" borderId="8" applyBorder="true" applyNumberFormat="true" numFmtId="165" fillId="22" applyFill="true">
      <alignment horizontal="center" vertical="center"/>
    </xf>
    <xf fontId="5941" applyFont="true" borderId="8" applyBorder="true" applyNumberFormat="true" numFmtId="1" fillId="22" applyFill="true">
      <alignment horizontal="center" vertical="center"/>
    </xf>
    <xf fontId="5942" applyFont="true" borderId="8" applyBorder="true" applyNumberFormat="true" numFmtId="1" fillId="22" applyFill="true">
      <alignment horizontal="center" vertical="center"/>
    </xf>
    <xf fontId="5943" applyFont="true" borderId="8" applyBorder="true" applyNumberFormat="true" numFmtId="1" fillId="22" applyFill="true">
      <alignment horizontal="center" vertical="center"/>
    </xf>
    <xf fontId="5944" applyFont="true" borderId="8" applyBorder="true" applyNumberFormat="true" numFmtId="167" fillId="22" applyFill="true">
      <alignment horizontal="center" vertical="center"/>
    </xf>
    <xf fontId="5945" applyFont="true" borderId="8" applyBorder="true" applyNumberFormat="true" numFmtId="1" fillId="22" applyFill="true">
      <alignment horizontal="center" vertical="center"/>
    </xf>
    <xf fontId="5946" applyFont="true" borderId="8" applyBorder="true" applyNumberFormat="true" numFmtId="167" fillId="22" applyFill="true">
      <alignment horizontal="center" vertical="center"/>
    </xf>
    <xf fontId="5947" applyFont="true" borderId="8" applyBorder="true" applyNumberFormat="true" numFmtId="1" fillId="22" applyFill="true">
      <alignment horizontal="center" vertical="center"/>
    </xf>
    <xf fontId="5948" applyFont="true" borderId="8" applyBorder="true" applyNumberFormat="true" numFmtId="167" fillId="22" applyFill="true">
      <alignment horizontal="center" vertical="center"/>
    </xf>
    <xf fontId="5949" applyFont="true" borderId="8" applyBorder="true" applyNumberFormat="true" numFmtId="1" fillId="22" applyFill="true">
      <alignment horizontal="center" vertical="center"/>
    </xf>
    <xf fontId="5950" applyFont="true" borderId="8" applyBorder="true" applyNumberFormat="true" numFmtId="167" fillId="22" applyFill="true">
      <alignment horizontal="center" vertical="center"/>
    </xf>
    <xf fontId="5951" applyFont="true" borderId="8" applyBorder="true" applyNumberFormat="true" numFmtId="167" fillId="22" applyFill="true">
      <alignment horizontal="center" vertical="center"/>
    </xf>
    <xf fontId="5952" applyFont="true" borderId="8" applyBorder="true" applyNumberFormat="true" numFmtId="1" fillId="22" applyFill="true">
      <alignment horizontal="center" vertical="center"/>
    </xf>
    <xf fontId="5953" applyFont="true" borderId="8" applyBorder="true" applyNumberFormat="true" numFmtId="1" fillId="22" applyFill="true">
      <alignment horizontal="center" vertical="center"/>
    </xf>
    <xf fontId="5954" applyFont="true" borderId="8" applyBorder="true" applyNumberFormat="true" numFmtId="1" fillId="22" applyFill="true">
      <alignment horizontal="center" vertical="center"/>
    </xf>
    <xf fontId="5955" applyFont="true" borderId="8" applyBorder="true" applyNumberFormat="true" numFmtId="167" fillId="22" applyFill="true">
      <alignment horizontal="center" vertical="center"/>
    </xf>
    <xf fontId="5956" applyFont="true" borderId="8" applyBorder="true" applyNumberFormat="true" numFmtId="166" fillId="22" applyFill="true">
      <alignment horizontal="center" vertical="center"/>
    </xf>
    <xf fontId="5957" applyFont="true" borderId="8" applyBorder="true" applyNumberFormat="true" numFmtId="166" fillId="22" applyFill="true">
      <alignment horizontal="center" vertical="center"/>
    </xf>
    <xf fontId="5958" applyFont="true" borderId="8" applyBorder="true" applyNumberFormat="true" numFmtId="1" fillId="22" applyFill="true">
      <alignment horizontal="center" vertical="center"/>
    </xf>
    <xf fontId="5959" applyFont="true" borderId="8" applyBorder="true" applyNumberFormat="true" numFmtId="1" fillId="22" applyFill="true">
      <alignment horizontal="center" vertical="center"/>
    </xf>
    <xf fontId="5960" applyFont="true" borderId="8" applyBorder="true" applyNumberFormat="true" numFmtId="1" fillId="22" applyFill="true">
      <alignment horizontal="center" vertical="center"/>
    </xf>
    <xf fontId="5961" applyFont="true" borderId="8" applyBorder="true" applyNumberFormat="true" numFmtId="167" fillId="22" applyFill="true">
      <alignment horizontal="center" vertical="center"/>
    </xf>
    <xf fontId="5962" applyFont="true" borderId="8" applyBorder="true" applyNumberFormat="true" numFmtId="1" fillId="22" applyFill="true">
      <alignment horizontal="center" vertical="center"/>
    </xf>
    <xf fontId="5963" applyFont="true" borderId="8" applyBorder="true" applyNumberFormat="true" numFmtId="167" fillId="22" applyFill="true">
      <alignment horizontal="center" vertical="center"/>
    </xf>
    <xf fontId="5964" applyFont="true" borderId="8" applyBorder="true" applyNumberFormat="true" numFmtId="1" fillId="22" applyFill="true">
      <alignment horizontal="center" vertical="center"/>
    </xf>
    <xf fontId="5965" applyFont="true" borderId="8" applyBorder="true" applyNumberFormat="true" numFmtId="1" fillId="22" applyFill="true">
      <alignment horizontal="center" vertical="center"/>
    </xf>
    <xf fontId="5966" applyFont="true" borderId="8" applyBorder="true" applyNumberFormat="true" numFmtId="1" fillId="22" applyFill="true">
      <alignment horizontal="center" vertical="center"/>
    </xf>
    <xf fontId="5967" applyFont="true" borderId="8" applyBorder="true" applyNumberFormat="true" numFmtId="1" fillId="22" applyFill="true">
      <alignment horizontal="center" vertical="center"/>
    </xf>
    <xf fontId="5968" applyFont="true" borderId="8" applyBorder="true" applyNumberFormat="true" numFmtId="167" fillId="22" applyFill="true">
      <alignment horizontal="center" vertical="center"/>
    </xf>
    <xf fontId="5969" applyFont="true" borderId="8" applyBorder="true" applyNumberFormat="true" numFmtId="1" fillId="22" applyFill="true">
      <alignment horizontal="center" vertical="center"/>
    </xf>
    <xf fontId="5970" applyFont="true" borderId="8" applyBorder="true" applyNumberFormat="true" numFmtId="167" fillId="22" applyFill="true">
      <alignment horizontal="center" vertical="center"/>
    </xf>
    <xf fontId="5971" applyFont="true" borderId="8" applyBorder="true" applyNumberFormat="true" numFmtId="1" fillId="22" applyFill="true">
      <alignment horizontal="center" vertical="center"/>
    </xf>
    <xf fontId="5972" applyFont="true" borderId="8" applyBorder="true" applyNumberFormat="true" numFmtId="167" fillId="22" applyFill="true">
      <alignment horizontal="center" vertical="center"/>
    </xf>
    <xf fontId="5973" applyFont="true" borderId="8" applyBorder="true" applyNumberFormat="true" numFmtId="2" fillId="22" applyFill="true">
      <alignment horizontal="center" vertical="center"/>
    </xf>
    <xf fontId="5974" applyFont="true" borderId="8" applyBorder="true" applyNumberFormat="true" numFmtId="2" fillId="22" applyFill="true">
      <alignment horizontal="center" vertical="center"/>
    </xf>
    <xf fontId="5975" applyFont="true" borderId="8" applyBorder="true" applyNumberFormat="true" numFmtId="2" fillId="22" applyFill="true">
      <alignment horizontal="center" vertical="center"/>
    </xf>
    <xf fontId="5976" applyFont="true" borderId="8" applyBorder="true" applyNumberFormat="true" numFmtId="2" fillId="22" applyFill="true">
      <alignment horizontal="center" vertical="center"/>
    </xf>
    <xf fontId="5977" applyFont="true" borderId="8" applyBorder="true" applyNumberFormat="true" numFmtId="2" fillId="22" applyFill="true">
      <alignment horizontal="center" vertical="center"/>
    </xf>
    <xf fontId="5978" applyFont="true" borderId="8" applyBorder="true" applyNumberFormat="true" numFmtId="2" fillId="22" applyFill="true">
      <alignment horizontal="center" vertical="center"/>
    </xf>
    <xf fontId="5979" applyFont="true" borderId="8" applyBorder="true" applyNumberFormat="true" numFmtId="2" fillId="22" applyFill="true">
      <alignment horizontal="center" vertical="center"/>
    </xf>
    <xf fontId="5980" applyFont="true" borderId="8" applyBorder="true" applyNumberFormat="true" numFmtId="2" fillId="22" applyFill="true">
      <alignment horizontal="center" vertical="center"/>
    </xf>
    <xf fontId="5981" applyFont="true" borderId="8" applyBorder="true" applyNumberFormat="true" numFmtId="2" fillId="22" applyFill="true">
      <alignment horizontal="center" vertical="center"/>
    </xf>
    <xf fontId="5982" applyFont="true" borderId="8" applyBorder="true" applyNumberFormat="true" numFmtId="2" fillId="22" applyFill="true">
      <alignment horizontal="center" vertical="center"/>
    </xf>
    <xf fontId="5983" applyFont="true" borderId="8" applyBorder="true" applyNumberFormat="true" numFmtId="2" fillId="22" applyFill="true">
      <alignment horizontal="center" vertical="center"/>
    </xf>
    <xf fontId="5984" applyFont="true" borderId="8" applyBorder="true" applyNumberFormat="true" numFmtId="2" fillId="22" applyFill="true">
      <alignment horizontal="center" vertical="center"/>
    </xf>
    <xf fontId="5985" applyFont="true" borderId="8" applyBorder="true" applyNumberFormat="true" numFmtId="2" fillId="22" applyFill="true">
      <alignment horizontal="center" vertical="center"/>
    </xf>
    <xf fontId="5986" applyFont="true" borderId="8" applyBorder="true" applyNumberFormat="true" numFmtId="2" fillId="22" applyFill="true">
      <alignment horizontal="center" vertical="center"/>
    </xf>
    <xf fontId="5987" applyFont="true" borderId="8" applyBorder="true" applyNumberFormat="true" numFmtId="2" fillId="22" applyFill="true">
      <alignment horizontal="center" vertical="center"/>
    </xf>
    <xf fontId="5988" applyFont="true" borderId="8" applyBorder="true" applyNumberFormat="true" numFmtId="2" fillId="22" applyFill="true">
      <alignment horizontal="center" vertical="center"/>
    </xf>
    <xf fontId="5989" applyFont="true" borderId="8" applyBorder="true" applyNumberFormat="true" numFmtId="2" fillId="22" applyFill="true">
      <alignment horizontal="center" vertical="center"/>
    </xf>
    <xf fontId="5990" applyFont="true" borderId="8" applyBorder="true" applyNumberFormat="true" numFmtId="2" fillId="22" applyFill="true">
      <alignment horizontal="center" vertical="center"/>
    </xf>
    <xf fontId="5991" applyFont="true" borderId="8" applyBorder="true" applyNumberFormat="true" numFmtId="2" fillId="22" applyFill="true">
      <alignment horizontal="center" vertical="center"/>
    </xf>
    <xf fontId="5992" applyFont="true" borderId="8" applyBorder="true" applyNumberFormat="true" numFmtId="2" fillId="22" applyFill="true">
      <alignment horizontal="center" vertical="center"/>
    </xf>
    <xf fontId="5993" applyFont="true" borderId="8" applyBorder="true" applyNumberFormat="true" numFmtId="2" fillId="22" applyFill="true">
      <alignment horizontal="center" vertical="center"/>
    </xf>
    <xf fontId="5994" applyFont="true" borderId="8" applyBorder="true" applyNumberFormat="true" numFmtId="2" fillId="22" applyFill="true">
      <alignment horizontal="center" vertical="center"/>
    </xf>
    <xf fontId="5995" applyFont="true" borderId="8" applyBorder="true" applyNumberFormat="true" numFmtId="2" fillId="22" applyFill="true">
      <alignment horizontal="center" vertical="center"/>
    </xf>
    <xf fontId="5996" applyFont="true" borderId="8" applyBorder="true" applyNumberFormat="true" numFmtId="2" fillId="22" applyFill="true">
      <alignment horizontal="center" vertical="center"/>
    </xf>
    <xf fontId="5997" applyFont="true" borderId="8" applyBorder="true" applyNumberFormat="true" numFmtId="2" fillId="22" applyFill="true">
      <alignment horizontal="center" vertical="center"/>
    </xf>
    <xf fontId="5998" applyFont="true" borderId="8" applyBorder="true" applyNumberFormat="true" numFmtId="2" fillId="22" applyFill="true">
      <alignment horizontal="center" vertical="center"/>
    </xf>
    <xf fontId="5999" applyFont="true" borderId="8" applyBorder="true" applyNumberFormat="true" numFmtId="2" fillId="22" applyFill="true">
      <alignment horizontal="center" vertical="center"/>
    </xf>
    <xf fontId="6000" applyFont="true" borderId="8" applyBorder="true" applyNumberFormat="true" numFmtId="2" fillId="22" applyFill="true">
      <alignment horizontal="center" vertical="center"/>
    </xf>
    <xf fontId="6001" applyFont="true" borderId="8" applyBorder="true" applyNumberFormat="true" numFmtId="2" fillId="22" applyFill="true">
      <alignment horizontal="center" vertical="center"/>
    </xf>
    <xf fontId="6002" applyFont="true" borderId="8" applyBorder="true" applyNumberFormat="true" numFmtId="2" fillId="22" applyFill="true">
      <alignment horizontal="center" vertical="center"/>
    </xf>
    <xf fontId="6003" applyFont="true" borderId="8" applyBorder="true" applyNumberFormat="true" numFmtId="2" fillId="22" applyFill="true">
      <alignment horizontal="center" vertical="center"/>
    </xf>
    <xf fontId="6004" applyFont="true" borderId="8" applyBorder="true" applyNumberFormat="true" numFmtId="2" fillId="22" applyFill="true">
      <alignment horizontal="center" vertical="center"/>
    </xf>
    <xf fontId="6005" applyFont="true" borderId="8" applyBorder="true" applyNumberFormat="true" numFmtId="2" fillId="22" applyFill="true">
      <alignment horizontal="center" vertical="center"/>
    </xf>
    <xf fontId="6006" applyFont="true" borderId="8" applyBorder="true" applyNumberFormat="true" numFmtId="2" fillId="22" applyFill="true">
      <alignment horizontal="center" vertical="center"/>
    </xf>
    <xf fontId="6007" applyFont="true" borderId="8" applyBorder="true" applyNumberFormat="true" numFmtId="165" fillId="19" applyFill="true">
      <alignment horizontal="left" vertical="center"/>
    </xf>
    <xf fontId="6008" applyFont="true" borderId="8" applyBorder="true" applyNumberFormat="true" numFmtId="165" fillId="22" applyFill="true">
      <alignment horizontal="center" vertical="center"/>
    </xf>
    <xf fontId="6009" applyFont="true" borderId="8" applyBorder="true" applyNumberFormat="true" numFmtId="166" fillId="22" applyFill="true">
      <alignment horizontal="center" vertical="center"/>
    </xf>
    <xf fontId="6010" applyFont="true" borderId="8" applyBorder="true" applyNumberFormat="true" numFmtId="1" fillId="22" applyFill="true">
      <alignment horizontal="center" vertical="center"/>
    </xf>
    <xf fontId="6011" applyFont="true" borderId="8" applyBorder="true" applyNumberFormat="true" numFmtId="1" fillId="22" applyFill="true">
      <alignment horizontal="center" vertical="center"/>
    </xf>
    <xf fontId="6012" applyFont="true" borderId="8" applyBorder="true" applyNumberFormat="true" numFmtId="1" fillId="22" applyFill="true">
      <alignment horizontal="center" vertical="center"/>
    </xf>
    <xf fontId="6013" applyFont="true" borderId="8" applyBorder="true" applyNumberFormat="true" numFmtId="1" fillId="22" applyFill="true">
      <alignment horizontal="center" vertical="center"/>
    </xf>
    <xf fontId="6014" applyFont="true" borderId="8" applyBorder="true" applyNumberFormat="true" numFmtId="1" fillId="22" applyFill="true">
      <alignment horizontal="center" vertical="center"/>
    </xf>
    <xf fontId="6015" applyFont="true" borderId="8" applyBorder="true" applyNumberFormat="true" numFmtId="1" fillId="22" applyFill="true">
      <alignment horizontal="center" vertical="center"/>
    </xf>
    <xf fontId="6016" applyFont="true" borderId="8" applyBorder="true" applyNumberFormat="true" numFmtId="1" fillId="22" applyFill="true">
      <alignment horizontal="center" vertical="center"/>
    </xf>
    <xf fontId="6017" applyFont="true" borderId="8" applyBorder="true" applyNumberFormat="true" numFmtId="165" fillId="22" applyFill="true">
      <alignment horizontal="center" vertical="center"/>
    </xf>
    <xf fontId="6018" applyFont="true" borderId="8" applyBorder="true" applyNumberFormat="true" numFmtId="165" fillId="22" applyFill="true">
      <alignment horizontal="center" vertical="center"/>
    </xf>
    <xf fontId="6019" applyFont="true" borderId="8" applyBorder="true" applyNumberFormat="true" numFmtId="1" fillId="22" applyFill="true">
      <alignment horizontal="center" vertical="center"/>
    </xf>
    <xf fontId="6020" applyFont="true" borderId="8" applyBorder="true" applyNumberFormat="true" numFmtId="1" fillId="22" applyFill="true">
      <alignment horizontal="center" vertical="center"/>
    </xf>
    <xf fontId="6021" applyFont="true" borderId="8" applyBorder="true" applyNumberFormat="true" numFmtId="1" fillId="22" applyFill="true">
      <alignment horizontal="center" vertical="center"/>
    </xf>
    <xf fontId="6022" applyFont="true" borderId="8" applyBorder="true" applyNumberFormat="true" numFmtId="167" fillId="22" applyFill="true">
      <alignment horizontal="center" vertical="center"/>
    </xf>
    <xf fontId="6023" applyFont="true" borderId="8" applyBorder="true" applyNumberFormat="true" numFmtId="1" fillId="22" applyFill="true">
      <alignment horizontal="center" vertical="center"/>
    </xf>
    <xf fontId="6024" applyFont="true" borderId="8" applyBorder="true" applyNumberFormat="true" numFmtId="167" fillId="22" applyFill="true">
      <alignment horizontal="center" vertical="center"/>
    </xf>
    <xf fontId="6025" applyFont="true" borderId="8" applyBorder="true" applyNumberFormat="true" numFmtId="1" fillId="22" applyFill="true">
      <alignment horizontal="center" vertical="center"/>
    </xf>
    <xf fontId="6026" applyFont="true" borderId="8" applyBorder="true" applyNumberFormat="true" numFmtId="167" fillId="22" applyFill="true">
      <alignment horizontal="center" vertical="center"/>
    </xf>
    <xf fontId="6027" applyFont="true" borderId="8" applyBorder="true" applyNumberFormat="true" numFmtId="1" fillId="22" applyFill="true">
      <alignment horizontal="center" vertical="center"/>
    </xf>
    <xf fontId="6028" applyFont="true" borderId="8" applyBorder="true" applyNumberFormat="true" numFmtId="167" fillId="22" applyFill="true">
      <alignment horizontal="center" vertical="center"/>
    </xf>
    <xf fontId="6029" applyFont="true" borderId="8" applyBorder="true" applyNumberFormat="true" numFmtId="167" fillId="22" applyFill="true">
      <alignment horizontal="center" vertical="center"/>
    </xf>
    <xf fontId="6030" applyFont="true" borderId="8" applyBorder="true" applyNumberFormat="true" numFmtId="1" fillId="22" applyFill="true">
      <alignment horizontal="center" vertical="center"/>
    </xf>
    <xf fontId="6031" applyFont="true" borderId="8" applyBorder="true" applyNumberFormat="true" numFmtId="1" fillId="22" applyFill="true">
      <alignment horizontal="center" vertical="center"/>
    </xf>
    <xf fontId="6032" applyFont="true" borderId="8" applyBorder="true" applyNumberFormat="true" numFmtId="1" fillId="22" applyFill="true">
      <alignment horizontal="center" vertical="center"/>
    </xf>
    <xf fontId="6033" applyFont="true" borderId="8" applyBorder="true" applyNumberFormat="true" numFmtId="167" fillId="22" applyFill="true">
      <alignment horizontal="center" vertical="center"/>
    </xf>
    <xf fontId="6034" applyFont="true" borderId="8" applyBorder="true" applyNumberFormat="true" numFmtId="166" fillId="22" applyFill="true">
      <alignment horizontal="center" vertical="center"/>
    </xf>
    <xf fontId="6035" applyFont="true" borderId="8" applyBorder="true" applyNumberFormat="true" numFmtId="166" fillId="22" applyFill="true">
      <alignment horizontal="center" vertical="center"/>
    </xf>
    <xf fontId="6036" applyFont="true" borderId="8" applyBorder="true" applyNumberFormat="true" numFmtId="1" fillId="22" applyFill="true">
      <alignment horizontal="center" vertical="center"/>
    </xf>
    <xf fontId="6037" applyFont="true" borderId="8" applyBorder="true" applyNumberFormat="true" numFmtId="1" fillId="22" applyFill="true">
      <alignment horizontal="center" vertical="center"/>
    </xf>
    <xf fontId="6038" applyFont="true" borderId="8" applyBorder="true" applyNumberFormat="true" numFmtId="1" fillId="22" applyFill="true">
      <alignment horizontal="center" vertical="center"/>
    </xf>
    <xf fontId="6039" applyFont="true" borderId="8" applyBorder="true" applyNumberFormat="true" numFmtId="167" fillId="22" applyFill="true">
      <alignment horizontal="center" vertical="center"/>
    </xf>
    <xf fontId="6040" applyFont="true" borderId="8" applyBorder="true" applyNumberFormat="true" numFmtId="1" fillId="22" applyFill="true">
      <alignment horizontal="center" vertical="center"/>
    </xf>
    <xf fontId="6041" applyFont="true" borderId="8" applyBorder="true" applyNumberFormat="true" numFmtId="167" fillId="22" applyFill="true">
      <alignment horizontal="center" vertical="center"/>
    </xf>
    <xf fontId="6042" applyFont="true" borderId="8" applyBorder="true" applyNumberFormat="true" numFmtId="1" fillId="22" applyFill="true">
      <alignment horizontal="center" vertical="center"/>
    </xf>
    <xf fontId="6043" applyFont="true" borderId="8" applyBorder="true" applyNumberFormat="true" numFmtId="1" fillId="22" applyFill="true">
      <alignment horizontal="center" vertical="center"/>
    </xf>
    <xf fontId="6044" applyFont="true" borderId="8" applyBorder="true" applyNumberFormat="true" numFmtId="1" fillId="22" applyFill="true">
      <alignment horizontal="center" vertical="center"/>
    </xf>
    <xf fontId="6045" applyFont="true" borderId="8" applyBorder="true" applyNumberFormat="true" numFmtId="1" fillId="22" applyFill="true">
      <alignment horizontal="center" vertical="center"/>
    </xf>
    <xf fontId="6046" applyFont="true" borderId="8" applyBorder="true" applyNumberFormat="true" numFmtId="167" fillId="22" applyFill="true">
      <alignment horizontal="center" vertical="center"/>
    </xf>
    <xf fontId="6047" applyFont="true" borderId="8" applyBorder="true" applyNumberFormat="true" numFmtId="1" fillId="22" applyFill="true">
      <alignment horizontal="center" vertical="center"/>
    </xf>
    <xf fontId="6048" applyFont="true" borderId="8" applyBorder="true" applyNumberFormat="true" numFmtId="167" fillId="22" applyFill="true">
      <alignment horizontal="center" vertical="center"/>
    </xf>
    <xf fontId="6049" applyFont="true" borderId="8" applyBorder="true" applyNumberFormat="true" numFmtId="1" fillId="22" applyFill="true">
      <alignment horizontal="center" vertical="center"/>
    </xf>
    <xf fontId="6050" applyFont="true" borderId="8" applyBorder="true" applyNumberFormat="true" numFmtId="167" fillId="22" applyFill="true">
      <alignment horizontal="center" vertical="center"/>
    </xf>
    <xf fontId="6051" applyFont="true" borderId="8" applyBorder="true" applyNumberFormat="true" numFmtId="2" fillId="22" applyFill="true">
      <alignment horizontal="center" vertical="center"/>
    </xf>
    <xf fontId="6052" applyFont="true" borderId="8" applyBorder="true" applyNumberFormat="true" numFmtId="2" fillId="22" applyFill="true">
      <alignment horizontal="center" vertical="center"/>
    </xf>
    <xf fontId="6053" applyFont="true" borderId="8" applyBorder="true" applyNumberFormat="true" numFmtId="2" fillId="22" applyFill="true">
      <alignment horizontal="center" vertical="center"/>
    </xf>
    <xf fontId="6054" applyFont="true" borderId="8" applyBorder="true" applyNumberFormat="true" numFmtId="2" fillId="22" applyFill="true">
      <alignment horizontal="center" vertical="center"/>
    </xf>
    <xf fontId="6055" applyFont="true" borderId="8" applyBorder="true" applyNumberFormat="true" numFmtId="2" fillId="22" applyFill="true">
      <alignment horizontal="center" vertical="center"/>
    </xf>
    <xf fontId="6056" applyFont="true" borderId="8" applyBorder="true" applyNumberFormat="true" numFmtId="2" fillId="22" applyFill="true">
      <alignment horizontal="center" vertical="center"/>
    </xf>
    <xf fontId="6057" applyFont="true" borderId="8" applyBorder="true" applyNumberFormat="true" numFmtId="2" fillId="22" applyFill="true">
      <alignment horizontal="center" vertical="center"/>
    </xf>
    <xf fontId="6058" applyFont="true" borderId="8" applyBorder="true" applyNumberFormat="true" numFmtId="2" fillId="22" applyFill="true">
      <alignment horizontal="center" vertical="center"/>
    </xf>
    <xf fontId="6059" applyFont="true" borderId="8" applyBorder="true" applyNumberFormat="true" numFmtId="2" fillId="22" applyFill="true">
      <alignment horizontal="center" vertical="center"/>
    </xf>
    <xf fontId="6060" applyFont="true" borderId="8" applyBorder="true" applyNumberFormat="true" numFmtId="2" fillId="22" applyFill="true">
      <alignment horizontal="center" vertical="center"/>
    </xf>
    <xf fontId="6061" applyFont="true" borderId="8" applyBorder="true" applyNumberFormat="true" numFmtId="2" fillId="22" applyFill="true">
      <alignment horizontal="center" vertical="center"/>
    </xf>
    <xf fontId="6062" applyFont="true" borderId="8" applyBorder="true" applyNumberFormat="true" numFmtId="2" fillId="22" applyFill="true">
      <alignment horizontal="center" vertical="center"/>
    </xf>
    <xf fontId="6063" applyFont="true" borderId="8" applyBorder="true" applyNumberFormat="true" numFmtId="2" fillId="22" applyFill="true">
      <alignment horizontal="center" vertical="center"/>
    </xf>
    <xf fontId="6064" applyFont="true" borderId="8" applyBorder="true" applyNumberFormat="true" numFmtId="2" fillId="22" applyFill="true">
      <alignment horizontal="center" vertical="center"/>
    </xf>
    <xf fontId="6065" applyFont="true" borderId="8" applyBorder="true" applyNumberFormat="true" numFmtId="2" fillId="22" applyFill="true">
      <alignment horizontal="center" vertical="center"/>
    </xf>
    <xf fontId="6066" applyFont="true" borderId="8" applyBorder="true" applyNumberFormat="true" numFmtId="2" fillId="22" applyFill="true">
      <alignment horizontal="center" vertical="center"/>
    </xf>
    <xf fontId="6067" applyFont="true" borderId="8" applyBorder="true" applyNumberFormat="true" numFmtId="2" fillId="22" applyFill="true">
      <alignment horizontal="center" vertical="center"/>
    </xf>
    <xf fontId="6068" applyFont="true" borderId="8" applyBorder="true" applyNumberFormat="true" numFmtId="2" fillId="22" applyFill="true">
      <alignment horizontal="center" vertical="center"/>
    </xf>
    <xf fontId="6069" applyFont="true" borderId="8" applyBorder="true" applyNumberFormat="true" numFmtId="2" fillId="22" applyFill="true">
      <alignment horizontal="center" vertical="center"/>
    </xf>
    <xf fontId="6070" applyFont="true" borderId="8" applyBorder="true" applyNumberFormat="true" numFmtId="2" fillId="22" applyFill="true">
      <alignment horizontal="center" vertical="center"/>
    </xf>
    <xf fontId="6071" applyFont="true" borderId="8" applyBorder="true" applyNumberFormat="true" numFmtId="2" fillId="22" applyFill="true">
      <alignment horizontal="center" vertical="center"/>
    </xf>
    <xf fontId="6072" applyFont="true" borderId="8" applyBorder="true" applyNumberFormat="true" numFmtId="2" fillId="22" applyFill="true">
      <alignment horizontal="center" vertical="center"/>
    </xf>
    <xf fontId="6073" applyFont="true" borderId="8" applyBorder="true" applyNumberFormat="true" numFmtId="2" fillId="22" applyFill="true">
      <alignment horizontal="center" vertical="center"/>
    </xf>
    <xf fontId="6074" applyFont="true" borderId="8" applyBorder="true" applyNumberFormat="true" numFmtId="2" fillId="22" applyFill="true">
      <alignment horizontal="center" vertical="center"/>
    </xf>
    <xf fontId="6075" applyFont="true" borderId="8" applyBorder="true" applyNumberFormat="true" numFmtId="2" fillId="22" applyFill="true">
      <alignment horizontal="center" vertical="center"/>
    </xf>
    <xf fontId="6076" applyFont="true" borderId="8" applyBorder="true" applyNumberFormat="true" numFmtId="2" fillId="22" applyFill="true">
      <alignment horizontal="center" vertical="center"/>
    </xf>
    <xf fontId="6077" applyFont="true" borderId="8" applyBorder="true" applyNumberFormat="true" numFmtId="2" fillId="22" applyFill="true">
      <alignment horizontal="center" vertical="center"/>
    </xf>
    <xf fontId="6078" applyFont="true" borderId="8" applyBorder="true" applyNumberFormat="true" numFmtId="2" fillId="22" applyFill="true">
      <alignment horizontal="center" vertical="center"/>
    </xf>
    <xf fontId="6079" applyFont="true" borderId="8" applyBorder="true" applyNumberFormat="true" numFmtId="2" fillId="22" applyFill="true">
      <alignment horizontal="center" vertical="center"/>
    </xf>
    <xf fontId="6080" applyFont="true" borderId="8" applyBorder="true" applyNumberFormat="true" numFmtId="2" fillId="22" applyFill="true">
      <alignment horizontal="center" vertical="center"/>
    </xf>
    <xf fontId="6081" applyFont="true" borderId="8" applyBorder="true" applyNumberFormat="true" numFmtId="2" fillId="22" applyFill="true">
      <alignment horizontal="center" vertical="center"/>
    </xf>
    <xf fontId="6082" applyFont="true" borderId="8" applyBorder="true" applyNumberFormat="true" numFmtId="2" fillId="22" applyFill="true">
      <alignment horizontal="center" vertical="center"/>
    </xf>
    <xf fontId="6083" applyFont="true" borderId="8" applyBorder="true" applyNumberFormat="true" numFmtId="2" fillId="22" applyFill="true">
      <alignment horizontal="center" vertical="center"/>
    </xf>
    <xf fontId="6084" applyFont="true" borderId="8" applyBorder="true" applyNumberFormat="true" numFmtId="2" fillId="22" applyFill="true">
      <alignment horizontal="center" vertical="center"/>
    </xf>
    <xf fontId="6085" applyFont="true" borderId="8" applyBorder="true" applyNumberFormat="true" numFmtId="165" fillId="19" applyFill="true">
      <alignment horizontal="left" vertical="center"/>
    </xf>
    <xf fontId="6086" applyFont="true" borderId="8" applyBorder="true" applyNumberFormat="true" numFmtId="165" fillId="22" applyFill="true">
      <alignment horizontal="center" vertical="center"/>
    </xf>
    <xf fontId="6087" applyFont="true" borderId="8" applyBorder="true" applyNumberFormat="true" numFmtId="166" fillId="22" applyFill="true">
      <alignment horizontal="center" vertical="center"/>
    </xf>
    <xf fontId="6088" applyFont="true" borderId="8" applyBorder="true" applyNumberFormat="true" numFmtId="1" fillId="22" applyFill="true">
      <alignment horizontal="center" vertical="center"/>
    </xf>
    <xf fontId="6089" applyFont="true" borderId="8" applyBorder="true" applyNumberFormat="true" numFmtId="1" fillId="22" applyFill="true">
      <alignment horizontal="center" vertical="center"/>
    </xf>
    <xf fontId="6090" applyFont="true" borderId="8" applyBorder="true" applyNumberFormat="true" numFmtId="1" fillId="22" applyFill="true">
      <alignment horizontal="center" vertical="center"/>
    </xf>
    <xf fontId="6091" applyFont="true" borderId="8" applyBorder="true" applyNumberFormat="true" numFmtId="1" fillId="22" applyFill="true">
      <alignment horizontal="center" vertical="center"/>
    </xf>
    <xf fontId="6092" applyFont="true" borderId="8" applyBorder="true" applyNumberFormat="true" numFmtId="1" fillId="22" applyFill="true">
      <alignment horizontal="center" vertical="center"/>
    </xf>
    <xf fontId="6093" applyFont="true" borderId="8" applyBorder="true" applyNumberFormat="true" numFmtId="1" fillId="22" applyFill="true">
      <alignment horizontal="center" vertical="center"/>
    </xf>
    <xf fontId="6094" applyFont="true" borderId="8" applyBorder="true" applyNumberFormat="true" numFmtId="1" fillId="22" applyFill="true">
      <alignment horizontal="center" vertical="center"/>
    </xf>
    <xf fontId="6095" applyFont="true" borderId="8" applyBorder="true" applyNumberFormat="true" numFmtId="165" fillId="22" applyFill="true">
      <alignment horizontal="center" vertical="center"/>
    </xf>
    <xf fontId="6096" applyFont="true" borderId="8" applyBorder="true" applyNumberFormat="true" numFmtId="165" fillId="22" applyFill="true">
      <alignment horizontal="center" vertical="center"/>
    </xf>
    <xf fontId="6097" applyFont="true" borderId="8" applyBorder="true" applyNumberFormat="true" numFmtId="1" fillId="22" applyFill="true">
      <alignment horizontal="center" vertical="center"/>
    </xf>
    <xf fontId="6098" applyFont="true" borderId="8" applyBorder="true" applyNumberFormat="true" numFmtId="1" fillId="22" applyFill="true">
      <alignment horizontal="center" vertical="center"/>
    </xf>
    <xf fontId="6099" applyFont="true" borderId="8" applyBorder="true" applyNumberFormat="true" numFmtId="1" fillId="22" applyFill="true">
      <alignment horizontal="center" vertical="center"/>
    </xf>
    <xf fontId="6100" applyFont="true" borderId="8" applyBorder="true" applyNumberFormat="true" numFmtId="167" fillId="22" applyFill="true">
      <alignment horizontal="center" vertical="center"/>
    </xf>
    <xf fontId="6101" applyFont="true" borderId="8" applyBorder="true" applyNumberFormat="true" numFmtId="1" fillId="22" applyFill="true">
      <alignment horizontal="center" vertical="center"/>
    </xf>
    <xf fontId="6102" applyFont="true" borderId="8" applyBorder="true" applyNumberFormat="true" numFmtId="167" fillId="22" applyFill="true">
      <alignment horizontal="center" vertical="center"/>
    </xf>
    <xf fontId="6103" applyFont="true" borderId="8" applyBorder="true" applyNumberFormat="true" numFmtId="1" fillId="22" applyFill="true">
      <alignment horizontal="center" vertical="center"/>
    </xf>
    <xf fontId="6104" applyFont="true" borderId="8" applyBorder="true" applyNumberFormat="true" numFmtId="167" fillId="22" applyFill="true">
      <alignment horizontal="center" vertical="center"/>
    </xf>
    <xf fontId="6105" applyFont="true" borderId="8" applyBorder="true" applyNumberFormat="true" numFmtId="1" fillId="22" applyFill="true">
      <alignment horizontal="center" vertical="center"/>
    </xf>
    <xf fontId="6106" applyFont="true" borderId="8" applyBorder="true" applyNumberFormat="true" numFmtId="167" fillId="22" applyFill="true">
      <alignment horizontal="center" vertical="center"/>
    </xf>
    <xf fontId="6107" applyFont="true" borderId="8" applyBorder="true" applyNumberFormat="true" numFmtId="167" fillId="22" applyFill="true">
      <alignment horizontal="center" vertical="center"/>
    </xf>
    <xf fontId="6108" applyFont="true" borderId="8" applyBorder="true" applyNumberFormat="true" numFmtId="1" fillId="22" applyFill="true">
      <alignment horizontal="center" vertical="center"/>
    </xf>
    <xf fontId="6109" applyFont="true" borderId="8" applyBorder="true" applyNumberFormat="true" numFmtId="1" fillId="22" applyFill="true">
      <alignment horizontal="center" vertical="center"/>
    </xf>
    <xf fontId="6110" applyFont="true" borderId="8" applyBorder="true" applyNumberFormat="true" numFmtId="1" fillId="22" applyFill="true">
      <alignment horizontal="center" vertical="center"/>
    </xf>
    <xf fontId="6111" applyFont="true" borderId="8" applyBorder="true" applyNumberFormat="true" numFmtId="167" fillId="22" applyFill="true">
      <alignment horizontal="center" vertical="center"/>
    </xf>
    <xf fontId="6112" applyFont="true" borderId="8" applyBorder="true" applyNumberFormat="true" numFmtId="166" fillId="22" applyFill="true">
      <alignment horizontal="center" vertical="center"/>
    </xf>
    <xf fontId="6113" applyFont="true" borderId="8" applyBorder="true" applyNumberFormat="true" numFmtId="166" fillId="22" applyFill="true">
      <alignment horizontal="center" vertical="center"/>
    </xf>
    <xf fontId="6114" applyFont="true" borderId="8" applyBorder="true" applyNumberFormat="true" numFmtId="1" fillId="22" applyFill="true">
      <alignment horizontal="center" vertical="center"/>
    </xf>
    <xf fontId="6115" applyFont="true" borderId="8" applyBorder="true" applyNumberFormat="true" numFmtId="1" fillId="22" applyFill="true">
      <alignment horizontal="center" vertical="center"/>
    </xf>
    <xf fontId="6116" applyFont="true" borderId="8" applyBorder="true" applyNumberFormat="true" numFmtId="1" fillId="22" applyFill="true">
      <alignment horizontal="center" vertical="center"/>
    </xf>
    <xf fontId="6117" applyFont="true" borderId="8" applyBorder="true" applyNumberFormat="true" numFmtId="167" fillId="22" applyFill="true">
      <alignment horizontal="center" vertical="center"/>
    </xf>
    <xf fontId="6118" applyFont="true" borderId="8" applyBorder="true" applyNumberFormat="true" numFmtId="1" fillId="22" applyFill="true">
      <alignment horizontal="center" vertical="center"/>
    </xf>
    <xf fontId="6119" applyFont="true" borderId="8" applyBorder="true" applyNumberFormat="true" numFmtId="167" fillId="22" applyFill="true">
      <alignment horizontal="center" vertical="center"/>
    </xf>
    <xf fontId="6120" applyFont="true" borderId="8" applyBorder="true" applyNumberFormat="true" numFmtId="1" fillId="22" applyFill="true">
      <alignment horizontal="center" vertical="center"/>
    </xf>
    <xf fontId="6121" applyFont="true" borderId="8" applyBorder="true" applyNumberFormat="true" numFmtId="1" fillId="22" applyFill="true">
      <alignment horizontal="center" vertical="center"/>
    </xf>
    <xf fontId="6122" applyFont="true" borderId="8" applyBorder="true" applyNumberFormat="true" numFmtId="1" fillId="22" applyFill="true">
      <alignment horizontal="center" vertical="center"/>
    </xf>
    <xf fontId="6123" applyFont="true" borderId="8" applyBorder="true" applyNumberFormat="true" numFmtId="1" fillId="22" applyFill="true">
      <alignment horizontal="center" vertical="center"/>
    </xf>
    <xf fontId="6124" applyFont="true" borderId="8" applyBorder="true" applyNumberFormat="true" numFmtId="167" fillId="22" applyFill="true">
      <alignment horizontal="center" vertical="center"/>
    </xf>
    <xf fontId="6125" applyFont="true" borderId="8" applyBorder="true" applyNumberFormat="true" numFmtId="1" fillId="22" applyFill="true">
      <alignment horizontal="center" vertical="center"/>
    </xf>
    <xf fontId="6126" applyFont="true" borderId="8" applyBorder="true" applyNumberFormat="true" numFmtId="167" fillId="22" applyFill="true">
      <alignment horizontal="center" vertical="center"/>
    </xf>
    <xf fontId="6127" applyFont="true" borderId="8" applyBorder="true" applyNumberFormat="true" numFmtId="1" fillId="22" applyFill="true">
      <alignment horizontal="center" vertical="center"/>
    </xf>
    <xf fontId="6128" applyFont="true" borderId="8" applyBorder="true" applyNumberFormat="true" numFmtId="167" fillId="22" applyFill="true">
      <alignment horizontal="center" vertical="center"/>
    </xf>
    <xf fontId="6129" applyFont="true" borderId="8" applyBorder="true" applyNumberFormat="true" numFmtId="2" fillId="22" applyFill="true">
      <alignment horizontal="center" vertical="center"/>
    </xf>
    <xf fontId="6130" applyFont="true" borderId="8" applyBorder="true" applyNumberFormat="true" numFmtId="2" fillId="22" applyFill="true">
      <alignment horizontal="center" vertical="center"/>
    </xf>
    <xf fontId="6131" applyFont="true" borderId="8" applyBorder="true" applyNumberFormat="true" numFmtId="2" fillId="22" applyFill="true">
      <alignment horizontal="center" vertical="center"/>
    </xf>
    <xf fontId="6132" applyFont="true" borderId="8" applyBorder="true" applyNumberFormat="true" numFmtId="2" fillId="22" applyFill="true">
      <alignment horizontal="center" vertical="center"/>
    </xf>
    <xf fontId="6133" applyFont="true" borderId="8" applyBorder="true" applyNumberFormat="true" numFmtId="2" fillId="22" applyFill="true">
      <alignment horizontal="center" vertical="center"/>
    </xf>
    <xf fontId="6134" applyFont="true" borderId="8" applyBorder="true" applyNumberFormat="true" numFmtId="2" fillId="22" applyFill="true">
      <alignment horizontal="center" vertical="center"/>
    </xf>
    <xf fontId="6135" applyFont="true" borderId="8" applyBorder="true" applyNumberFormat="true" numFmtId="2" fillId="22" applyFill="true">
      <alignment horizontal="center" vertical="center"/>
    </xf>
    <xf fontId="6136" applyFont="true" borderId="8" applyBorder="true" applyNumberFormat="true" numFmtId="2" fillId="22" applyFill="true">
      <alignment horizontal="center" vertical="center"/>
    </xf>
    <xf fontId="6137" applyFont="true" borderId="8" applyBorder="true" applyNumberFormat="true" numFmtId="2" fillId="22" applyFill="true">
      <alignment horizontal="center" vertical="center"/>
    </xf>
    <xf fontId="6138" applyFont="true" borderId="8" applyBorder="true" applyNumberFormat="true" numFmtId="2" fillId="22" applyFill="true">
      <alignment horizontal="center" vertical="center"/>
    </xf>
    <xf fontId="6139" applyFont="true" borderId="8" applyBorder="true" applyNumberFormat="true" numFmtId="2" fillId="22" applyFill="true">
      <alignment horizontal="center" vertical="center"/>
    </xf>
    <xf fontId="6140" applyFont="true" borderId="8" applyBorder="true" applyNumberFormat="true" numFmtId="2" fillId="22" applyFill="true">
      <alignment horizontal="center" vertical="center"/>
    </xf>
    <xf fontId="6141" applyFont="true" borderId="8" applyBorder="true" applyNumberFormat="true" numFmtId="2" fillId="22" applyFill="true">
      <alignment horizontal="center" vertical="center"/>
    </xf>
    <xf fontId="6142" applyFont="true" borderId="8" applyBorder="true" applyNumberFormat="true" numFmtId="2" fillId="22" applyFill="true">
      <alignment horizontal="center" vertical="center"/>
    </xf>
    <xf fontId="6143" applyFont="true" borderId="8" applyBorder="true" applyNumberFormat="true" numFmtId="2" fillId="22" applyFill="true">
      <alignment horizontal="center" vertical="center"/>
    </xf>
    <xf fontId="6144" applyFont="true" borderId="8" applyBorder="true" applyNumberFormat="true" numFmtId="2" fillId="22" applyFill="true">
      <alignment horizontal="center" vertical="center"/>
    </xf>
    <xf fontId="6145" applyFont="true" borderId="8" applyBorder="true" applyNumberFormat="true" numFmtId="2" fillId="22" applyFill="true">
      <alignment horizontal="center" vertical="center"/>
    </xf>
    <xf fontId="6146" applyFont="true" borderId="8" applyBorder="true" applyNumberFormat="true" numFmtId="2" fillId="22" applyFill="true">
      <alignment horizontal="center" vertical="center"/>
    </xf>
    <xf fontId="6147" applyFont="true" borderId="8" applyBorder="true" applyNumberFormat="true" numFmtId="2" fillId="22" applyFill="true">
      <alignment horizontal="center" vertical="center"/>
    </xf>
    <xf fontId="6148" applyFont="true" borderId="8" applyBorder="true" applyNumberFormat="true" numFmtId="2" fillId="22" applyFill="true">
      <alignment horizontal="center" vertical="center"/>
    </xf>
    <xf fontId="6149" applyFont="true" borderId="8" applyBorder="true" applyNumberFormat="true" numFmtId="2" fillId="22" applyFill="true">
      <alignment horizontal="center" vertical="center"/>
    </xf>
    <xf fontId="6150" applyFont="true" borderId="8" applyBorder="true" applyNumberFormat="true" numFmtId="2" fillId="22" applyFill="true">
      <alignment horizontal="center" vertical="center"/>
    </xf>
    <xf fontId="6151" applyFont="true" borderId="8" applyBorder="true" applyNumberFormat="true" numFmtId="2" fillId="22" applyFill="true">
      <alignment horizontal="center" vertical="center"/>
    </xf>
    <xf fontId="6152" applyFont="true" borderId="8" applyBorder="true" applyNumberFormat="true" numFmtId="2" fillId="22" applyFill="true">
      <alignment horizontal="center" vertical="center"/>
    </xf>
    <xf fontId="6153" applyFont="true" borderId="8" applyBorder="true" applyNumberFormat="true" numFmtId="2" fillId="22" applyFill="true">
      <alignment horizontal="center" vertical="center"/>
    </xf>
    <xf fontId="6154" applyFont="true" borderId="8" applyBorder="true" applyNumberFormat="true" numFmtId="2" fillId="22" applyFill="true">
      <alignment horizontal="center" vertical="center"/>
    </xf>
    <xf fontId="6155" applyFont="true" borderId="8" applyBorder="true" applyNumberFormat="true" numFmtId="2" fillId="22" applyFill="true">
      <alignment horizontal="center" vertical="center"/>
    </xf>
    <xf fontId="6156" applyFont="true" borderId="8" applyBorder="true" applyNumberFormat="true" numFmtId="2" fillId="22" applyFill="true">
      <alignment horizontal="center" vertical="center"/>
    </xf>
    <xf fontId="6157" applyFont="true" borderId="8" applyBorder="true" applyNumberFormat="true" numFmtId="2" fillId="22" applyFill="true">
      <alignment horizontal="center" vertical="center"/>
    </xf>
    <xf fontId="6158" applyFont="true" borderId="8" applyBorder="true" applyNumberFormat="true" numFmtId="2" fillId="22" applyFill="true">
      <alignment horizontal="center" vertical="center"/>
    </xf>
    <xf fontId="6159" applyFont="true" borderId="8" applyBorder="true" applyNumberFormat="true" numFmtId="2" fillId="22" applyFill="true">
      <alignment horizontal="center" vertical="center"/>
    </xf>
    <xf fontId="6160" applyFont="true" borderId="8" applyBorder="true" applyNumberFormat="true" numFmtId="2" fillId="22" applyFill="true">
      <alignment horizontal="center" vertical="center"/>
    </xf>
    <xf fontId="6161" applyFont="true" borderId="8" applyBorder="true" applyNumberFormat="true" numFmtId="2" fillId="22" applyFill="true">
      <alignment horizontal="center" vertical="center"/>
    </xf>
    <xf fontId="6162" applyFont="true" borderId="8" applyBorder="true" applyNumberFormat="true" numFmtId="2" fillId="22" applyFill="true">
      <alignment horizontal="center" vertical="center"/>
    </xf>
    <xf fontId="6163" applyFont="true" borderId="8" applyBorder="true" applyNumberFormat="true" numFmtId="165" fillId="19" applyFill="true">
      <alignment horizontal="left" vertical="center"/>
    </xf>
    <xf fontId="6164" applyFont="true" borderId="8" applyBorder="true" applyNumberFormat="true" numFmtId="165" fillId="22" applyFill="true">
      <alignment horizontal="center" vertical="center"/>
    </xf>
    <xf fontId="6165" applyFont="true" borderId="8" applyBorder="true" applyNumberFormat="true" numFmtId="166" fillId="22" applyFill="true">
      <alignment horizontal="center" vertical="center"/>
    </xf>
    <xf fontId="6166" applyFont="true" borderId="8" applyBorder="true" applyNumberFormat="true" numFmtId="1" fillId="22" applyFill="true">
      <alignment horizontal="center" vertical="center"/>
    </xf>
    <xf fontId="6167" applyFont="true" borderId="8" applyBorder="true" applyNumberFormat="true" numFmtId="1" fillId="22" applyFill="true">
      <alignment horizontal="center" vertical="center"/>
    </xf>
    <xf fontId="6168" applyFont="true" borderId="8" applyBorder="true" applyNumberFormat="true" numFmtId="1" fillId="22" applyFill="true">
      <alignment horizontal="center" vertical="center"/>
    </xf>
    <xf fontId="6169" applyFont="true" borderId="8" applyBorder="true" applyNumberFormat="true" numFmtId="1" fillId="22" applyFill="true">
      <alignment horizontal="center" vertical="center"/>
    </xf>
    <xf fontId="6170" applyFont="true" borderId="8" applyBorder="true" applyNumberFormat="true" numFmtId="1" fillId="22" applyFill="true">
      <alignment horizontal="center" vertical="center"/>
    </xf>
    <xf fontId="6171" applyFont="true" borderId="8" applyBorder="true" applyNumberFormat="true" numFmtId="1" fillId="22" applyFill="true">
      <alignment horizontal="center" vertical="center"/>
    </xf>
    <xf fontId="6172" applyFont="true" borderId="8" applyBorder="true" applyNumberFormat="true" numFmtId="1" fillId="22" applyFill="true">
      <alignment horizontal="center" vertical="center"/>
    </xf>
    <xf fontId="6173" applyFont="true" borderId="8" applyBorder="true" applyNumberFormat="true" numFmtId="165" fillId="22" applyFill="true">
      <alignment horizontal="center" vertical="center"/>
    </xf>
    <xf fontId="6174" applyFont="true" borderId="8" applyBorder="true" applyNumberFormat="true" numFmtId="165" fillId="22" applyFill="true">
      <alignment horizontal="center" vertical="center"/>
    </xf>
    <xf fontId="6175" applyFont="true" borderId="8" applyBorder="true" applyNumberFormat="true" numFmtId="1" fillId="22" applyFill="true">
      <alignment horizontal="center" vertical="center"/>
    </xf>
    <xf fontId="6176" applyFont="true" borderId="8" applyBorder="true" applyNumberFormat="true" numFmtId="1" fillId="22" applyFill="true">
      <alignment horizontal="center" vertical="center"/>
    </xf>
    <xf fontId="6177" applyFont="true" borderId="8" applyBorder="true" applyNumberFormat="true" numFmtId="1" fillId="22" applyFill="true">
      <alignment horizontal="center" vertical="center"/>
    </xf>
    <xf fontId="6178" applyFont="true" borderId="8" applyBorder="true" applyNumberFormat="true" numFmtId="167" fillId="22" applyFill="true">
      <alignment horizontal="center" vertical="center"/>
    </xf>
    <xf fontId="6179" applyFont="true" borderId="8" applyBorder="true" applyNumberFormat="true" numFmtId="1" fillId="22" applyFill="true">
      <alignment horizontal="center" vertical="center"/>
    </xf>
    <xf fontId="6180" applyFont="true" borderId="8" applyBorder="true" applyNumberFormat="true" numFmtId="167" fillId="22" applyFill="true">
      <alignment horizontal="center" vertical="center"/>
    </xf>
    <xf fontId="6181" applyFont="true" borderId="8" applyBorder="true" applyNumberFormat="true" numFmtId="1" fillId="22" applyFill="true">
      <alignment horizontal="center" vertical="center"/>
    </xf>
    <xf fontId="6182" applyFont="true" borderId="8" applyBorder="true" applyNumberFormat="true" numFmtId="167" fillId="22" applyFill="true">
      <alignment horizontal="center" vertical="center"/>
    </xf>
    <xf fontId="6183" applyFont="true" borderId="8" applyBorder="true" applyNumberFormat="true" numFmtId="1" fillId="22" applyFill="true">
      <alignment horizontal="center" vertical="center"/>
    </xf>
    <xf fontId="6184" applyFont="true" borderId="8" applyBorder="true" applyNumberFormat="true" numFmtId="167" fillId="22" applyFill="true">
      <alignment horizontal="center" vertical="center"/>
    </xf>
    <xf fontId="6185" applyFont="true" borderId="8" applyBorder="true" applyNumberFormat="true" numFmtId="167" fillId="22" applyFill="true">
      <alignment horizontal="center" vertical="center"/>
    </xf>
    <xf fontId="6186" applyFont="true" borderId="8" applyBorder="true" applyNumberFormat="true" numFmtId="1" fillId="22" applyFill="true">
      <alignment horizontal="center" vertical="center"/>
    </xf>
    <xf fontId="6187" applyFont="true" borderId="8" applyBorder="true" applyNumberFormat="true" numFmtId="1" fillId="22" applyFill="true">
      <alignment horizontal="center" vertical="center"/>
    </xf>
    <xf fontId="6188" applyFont="true" borderId="8" applyBorder="true" applyNumberFormat="true" numFmtId="1" fillId="22" applyFill="true">
      <alignment horizontal="center" vertical="center"/>
    </xf>
    <xf fontId="6189" applyFont="true" borderId="8" applyBorder="true" applyNumberFormat="true" numFmtId="167" fillId="22" applyFill="true">
      <alignment horizontal="center" vertical="center"/>
    </xf>
    <xf fontId="6190" applyFont="true" borderId="8" applyBorder="true" applyNumberFormat="true" numFmtId="166" fillId="22" applyFill="true">
      <alignment horizontal="center" vertical="center"/>
    </xf>
    <xf fontId="6191" applyFont="true" borderId="8" applyBorder="true" applyNumberFormat="true" numFmtId="166" fillId="22" applyFill="true">
      <alignment horizontal="center" vertical="center"/>
    </xf>
    <xf fontId="6192" applyFont="true" borderId="8" applyBorder="true" applyNumberFormat="true" numFmtId="1" fillId="22" applyFill="true">
      <alignment horizontal="center" vertical="center"/>
    </xf>
    <xf fontId="6193" applyFont="true" borderId="8" applyBorder="true" applyNumberFormat="true" numFmtId="1" fillId="22" applyFill="true">
      <alignment horizontal="center" vertical="center"/>
    </xf>
    <xf fontId="6194" applyFont="true" borderId="8" applyBorder="true" applyNumberFormat="true" numFmtId="1" fillId="22" applyFill="true">
      <alignment horizontal="center" vertical="center"/>
    </xf>
    <xf fontId="6195" applyFont="true" borderId="8" applyBorder="true" applyNumberFormat="true" numFmtId="167" fillId="22" applyFill="true">
      <alignment horizontal="center" vertical="center"/>
    </xf>
    <xf fontId="6196" applyFont="true" borderId="8" applyBorder="true" applyNumberFormat="true" numFmtId="1" fillId="22" applyFill="true">
      <alignment horizontal="center" vertical="center"/>
    </xf>
    <xf fontId="6197" applyFont="true" borderId="8" applyBorder="true" applyNumberFormat="true" numFmtId="167" fillId="22" applyFill="true">
      <alignment horizontal="center" vertical="center"/>
    </xf>
    <xf fontId="6198" applyFont="true" borderId="8" applyBorder="true" applyNumberFormat="true" numFmtId="1" fillId="22" applyFill="true">
      <alignment horizontal="center" vertical="center"/>
    </xf>
    <xf fontId="6199" applyFont="true" borderId="8" applyBorder="true" applyNumberFormat="true" numFmtId="1" fillId="22" applyFill="true">
      <alignment horizontal="center" vertical="center"/>
    </xf>
    <xf fontId="6200" applyFont="true" borderId="8" applyBorder="true" applyNumberFormat="true" numFmtId="1" fillId="22" applyFill="true">
      <alignment horizontal="center" vertical="center"/>
    </xf>
    <xf fontId="6201" applyFont="true" borderId="8" applyBorder="true" applyNumberFormat="true" numFmtId="1" fillId="22" applyFill="true">
      <alignment horizontal="center" vertical="center"/>
    </xf>
    <xf fontId="6202" applyFont="true" borderId="8" applyBorder="true" applyNumberFormat="true" numFmtId="167" fillId="22" applyFill="true">
      <alignment horizontal="center" vertical="center"/>
    </xf>
    <xf fontId="6203" applyFont="true" borderId="8" applyBorder="true" applyNumberFormat="true" numFmtId="1" fillId="22" applyFill="true">
      <alignment horizontal="center" vertical="center"/>
    </xf>
    <xf fontId="6204" applyFont="true" borderId="8" applyBorder="true" applyNumberFormat="true" numFmtId="167" fillId="22" applyFill="true">
      <alignment horizontal="center" vertical="center"/>
    </xf>
    <xf fontId="6205" applyFont="true" borderId="8" applyBorder="true" applyNumberFormat="true" numFmtId="1" fillId="22" applyFill="true">
      <alignment horizontal="center" vertical="center"/>
    </xf>
    <xf fontId="6206" applyFont="true" borderId="8" applyBorder="true" applyNumberFormat="true" numFmtId="167" fillId="22" applyFill="true">
      <alignment horizontal="center" vertical="center"/>
    </xf>
    <xf fontId="6207" applyFont="true" borderId="8" applyBorder="true" applyNumberFormat="true" numFmtId="2" fillId="22" applyFill="true">
      <alignment horizontal="center" vertical="center"/>
    </xf>
    <xf fontId="6208" applyFont="true" borderId="8" applyBorder="true" applyNumberFormat="true" numFmtId="2" fillId="22" applyFill="true">
      <alignment horizontal="center" vertical="center"/>
    </xf>
    <xf fontId="6209" applyFont="true" borderId="8" applyBorder="true" applyNumberFormat="true" numFmtId="2" fillId="22" applyFill="true">
      <alignment horizontal="center" vertical="center"/>
    </xf>
    <xf fontId="6210" applyFont="true" borderId="8" applyBorder="true" applyNumberFormat="true" numFmtId="2" fillId="22" applyFill="true">
      <alignment horizontal="center" vertical="center"/>
    </xf>
    <xf fontId="6211" applyFont="true" borderId="8" applyBorder="true" applyNumberFormat="true" numFmtId="2" fillId="22" applyFill="true">
      <alignment horizontal="center" vertical="center"/>
    </xf>
    <xf fontId="6212" applyFont="true" borderId="8" applyBorder="true" applyNumberFormat="true" numFmtId="2" fillId="22" applyFill="true">
      <alignment horizontal="center" vertical="center"/>
    </xf>
    <xf fontId="6213" applyFont="true" borderId="8" applyBorder="true" applyNumberFormat="true" numFmtId="2" fillId="22" applyFill="true">
      <alignment horizontal="center" vertical="center"/>
    </xf>
    <xf fontId="6214" applyFont="true" borderId="8" applyBorder="true" applyNumberFormat="true" numFmtId="2" fillId="22" applyFill="true">
      <alignment horizontal="center" vertical="center"/>
    </xf>
    <xf fontId="6215" applyFont="true" borderId="8" applyBorder="true" applyNumberFormat="true" numFmtId="2" fillId="22" applyFill="true">
      <alignment horizontal="center" vertical="center"/>
    </xf>
    <xf fontId="6216" applyFont="true" borderId="8" applyBorder="true" applyNumberFormat="true" numFmtId="2" fillId="22" applyFill="true">
      <alignment horizontal="center" vertical="center"/>
    </xf>
    <xf fontId="6217" applyFont="true" borderId="8" applyBorder="true" applyNumberFormat="true" numFmtId="2" fillId="22" applyFill="true">
      <alignment horizontal="center" vertical="center"/>
    </xf>
    <xf fontId="6218" applyFont="true" borderId="8" applyBorder="true" applyNumberFormat="true" numFmtId="2" fillId="22" applyFill="true">
      <alignment horizontal="center" vertical="center"/>
    </xf>
    <xf fontId="6219" applyFont="true" borderId="8" applyBorder="true" applyNumberFormat="true" numFmtId="2" fillId="22" applyFill="true">
      <alignment horizontal="center" vertical="center"/>
    </xf>
    <xf fontId="6220" applyFont="true" borderId="8" applyBorder="true" applyNumberFormat="true" numFmtId="2" fillId="22" applyFill="true">
      <alignment horizontal="center" vertical="center"/>
    </xf>
    <xf fontId="6221" applyFont="true" borderId="8" applyBorder="true" applyNumberFormat="true" numFmtId="2" fillId="22" applyFill="true">
      <alignment horizontal="center" vertical="center"/>
    </xf>
    <xf fontId="6222" applyFont="true" borderId="8" applyBorder="true" applyNumberFormat="true" numFmtId="2" fillId="22" applyFill="true">
      <alignment horizontal="center" vertical="center"/>
    </xf>
    <xf fontId="6223" applyFont="true" borderId="8" applyBorder="true" applyNumberFormat="true" numFmtId="2" fillId="22" applyFill="true">
      <alignment horizontal="center" vertical="center"/>
    </xf>
    <xf fontId="6224" applyFont="true" borderId="8" applyBorder="true" applyNumberFormat="true" numFmtId="2" fillId="22" applyFill="true">
      <alignment horizontal="center" vertical="center"/>
    </xf>
    <xf fontId="6225" applyFont="true" borderId="8" applyBorder="true" applyNumberFormat="true" numFmtId="2" fillId="22" applyFill="true">
      <alignment horizontal="center" vertical="center"/>
    </xf>
    <xf fontId="6226" applyFont="true" borderId="8" applyBorder="true" applyNumberFormat="true" numFmtId="2" fillId="22" applyFill="true">
      <alignment horizontal="center" vertical="center"/>
    </xf>
    <xf fontId="6227" applyFont="true" borderId="8" applyBorder="true" applyNumberFormat="true" numFmtId="2" fillId="22" applyFill="true">
      <alignment horizontal="center" vertical="center"/>
    </xf>
    <xf fontId="6228" applyFont="true" borderId="8" applyBorder="true" applyNumberFormat="true" numFmtId="2" fillId="22" applyFill="true">
      <alignment horizontal="center" vertical="center"/>
    </xf>
    <xf fontId="6229" applyFont="true" borderId="8" applyBorder="true" applyNumberFormat="true" numFmtId="2" fillId="22" applyFill="true">
      <alignment horizontal="center" vertical="center"/>
    </xf>
    <xf fontId="6230" applyFont="true" borderId="8" applyBorder="true" applyNumberFormat="true" numFmtId="2" fillId="22" applyFill="true">
      <alignment horizontal="center" vertical="center"/>
    </xf>
    <xf fontId="6231" applyFont="true" borderId="8" applyBorder="true" applyNumberFormat="true" numFmtId="2" fillId="22" applyFill="true">
      <alignment horizontal="center" vertical="center"/>
    </xf>
    <xf fontId="6232" applyFont="true" borderId="8" applyBorder="true" applyNumberFormat="true" numFmtId="2" fillId="22" applyFill="true">
      <alignment horizontal="center" vertical="center"/>
    </xf>
    <xf fontId="6233" applyFont="true" borderId="8" applyBorder="true" applyNumberFormat="true" numFmtId="2" fillId="22" applyFill="true">
      <alignment horizontal="center" vertical="center"/>
    </xf>
    <xf fontId="6234" applyFont="true" borderId="8" applyBorder="true" applyNumberFormat="true" numFmtId="2" fillId="22" applyFill="true">
      <alignment horizontal="center" vertical="center"/>
    </xf>
    <xf fontId="6235" applyFont="true" borderId="8" applyBorder="true" applyNumberFormat="true" numFmtId="2" fillId="22" applyFill="true">
      <alignment horizontal="center" vertical="center"/>
    </xf>
    <xf fontId="6236" applyFont="true" borderId="8" applyBorder="true" applyNumberFormat="true" numFmtId="2" fillId="22" applyFill="true">
      <alignment horizontal="center" vertical="center"/>
    </xf>
    <xf fontId="6237" applyFont="true" borderId="8" applyBorder="true" applyNumberFormat="true" numFmtId="2" fillId="22" applyFill="true">
      <alignment horizontal="center" vertical="center"/>
    </xf>
    <xf fontId="6238" applyFont="true" borderId="8" applyBorder="true" applyNumberFormat="true" numFmtId="2" fillId="22" applyFill="true">
      <alignment horizontal="center" vertical="center"/>
    </xf>
    <xf fontId="6239" applyFont="true" borderId="8" applyBorder="true" applyNumberFormat="true" numFmtId="2" fillId="22" applyFill="true">
      <alignment horizontal="center" vertical="center"/>
    </xf>
    <xf fontId="6240" applyFont="true" borderId="8" applyBorder="true" applyNumberFormat="true" numFmtId="2" fillId="22" applyFill="true">
      <alignment horizontal="center" vertical="center"/>
    </xf>
    <xf fontId="6241" applyFont="true" borderId="8" applyBorder="true" applyNumberFormat="true" numFmtId="165" fillId="19" applyFill="true">
      <alignment horizontal="left" vertical="center"/>
    </xf>
    <xf fontId="6242" applyFont="true" borderId="8" applyBorder="true" applyNumberFormat="true" numFmtId="165" fillId="22" applyFill="true">
      <alignment horizontal="center" vertical="center"/>
    </xf>
    <xf fontId="6243" applyFont="true" borderId="8" applyBorder="true" applyNumberFormat="true" numFmtId="166" fillId="22" applyFill="true">
      <alignment horizontal="center" vertical="center"/>
    </xf>
    <xf fontId="6244" applyFont="true" borderId="8" applyBorder="true" applyNumberFormat="true" numFmtId="1" fillId="22" applyFill="true">
      <alignment horizontal="center" vertical="center"/>
    </xf>
    <xf fontId="6245" applyFont="true" borderId="8" applyBorder="true" applyNumberFormat="true" numFmtId="1" fillId="22" applyFill="true">
      <alignment horizontal="center" vertical="center"/>
    </xf>
    <xf fontId="6246" applyFont="true" borderId="8" applyBorder="true" applyNumberFormat="true" numFmtId="1" fillId="22" applyFill="true">
      <alignment horizontal="center" vertical="center"/>
    </xf>
    <xf fontId="6247" applyFont="true" borderId="8" applyBorder="true" applyNumberFormat="true" numFmtId="1" fillId="22" applyFill="true">
      <alignment horizontal="center" vertical="center"/>
    </xf>
    <xf fontId="6248" applyFont="true" borderId="8" applyBorder="true" applyNumberFormat="true" numFmtId="1" fillId="22" applyFill="true">
      <alignment horizontal="center" vertical="center"/>
    </xf>
    <xf fontId="6249" applyFont="true" borderId="8" applyBorder="true" applyNumberFormat="true" numFmtId="1" fillId="22" applyFill="true">
      <alignment horizontal="center" vertical="center"/>
    </xf>
    <xf fontId="6250" applyFont="true" borderId="8" applyBorder="true" applyNumberFormat="true" numFmtId="1" fillId="22" applyFill="true">
      <alignment horizontal="center" vertical="center"/>
    </xf>
    <xf fontId="6251" applyFont="true" borderId="8" applyBorder="true" applyNumberFormat="true" numFmtId="165" fillId="22" applyFill="true">
      <alignment horizontal="center" vertical="center"/>
    </xf>
    <xf fontId="6252" applyFont="true" borderId="8" applyBorder="true" applyNumberFormat="true" numFmtId="165" fillId="22" applyFill="true">
      <alignment horizontal="center" vertical="center"/>
    </xf>
    <xf fontId="6253" applyFont="true" borderId="8" applyBorder="true" applyNumberFormat="true" numFmtId="1" fillId="22" applyFill="true">
      <alignment horizontal="center" vertical="center"/>
    </xf>
    <xf fontId="6254" applyFont="true" borderId="8" applyBorder="true" applyNumberFormat="true" numFmtId="1" fillId="22" applyFill="true">
      <alignment horizontal="center" vertical="center"/>
    </xf>
    <xf fontId="6255" applyFont="true" borderId="8" applyBorder="true" applyNumberFormat="true" numFmtId="1" fillId="22" applyFill="true">
      <alignment horizontal="center" vertical="center"/>
    </xf>
    <xf fontId="6256" applyFont="true" borderId="8" applyBorder="true" applyNumberFormat="true" numFmtId="167" fillId="22" applyFill="true">
      <alignment horizontal="center" vertical="center"/>
    </xf>
    <xf fontId="6257" applyFont="true" borderId="8" applyBorder="true" applyNumberFormat="true" numFmtId="1" fillId="22" applyFill="true">
      <alignment horizontal="center" vertical="center"/>
    </xf>
    <xf fontId="6258" applyFont="true" borderId="8" applyBorder="true" applyNumberFormat="true" numFmtId="167" fillId="22" applyFill="true">
      <alignment horizontal="center" vertical="center"/>
    </xf>
    <xf fontId="6259" applyFont="true" borderId="8" applyBorder="true" applyNumberFormat="true" numFmtId="1" fillId="22" applyFill="true">
      <alignment horizontal="center" vertical="center"/>
    </xf>
    <xf fontId="6260" applyFont="true" borderId="8" applyBorder="true" applyNumberFormat="true" numFmtId="167" fillId="22" applyFill="true">
      <alignment horizontal="center" vertical="center"/>
    </xf>
    <xf fontId="6261" applyFont="true" borderId="8" applyBorder="true" applyNumberFormat="true" numFmtId="1" fillId="22" applyFill="true">
      <alignment horizontal="center" vertical="center"/>
    </xf>
    <xf fontId="6262" applyFont="true" borderId="8" applyBorder="true" applyNumberFormat="true" numFmtId="167" fillId="22" applyFill="true">
      <alignment horizontal="center" vertical="center"/>
    </xf>
    <xf fontId="6263" applyFont="true" borderId="8" applyBorder="true" applyNumberFormat="true" numFmtId="167" fillId="22" applyFill="true">
      <alignment horizontal="center" vertical="center"/>
    </xf>
    <xf fontId="6264" applyFont="true" borderId="8" applyBorder="true" applyNumberFormat="true" numFmtId="1" fillId="22" applyFill="true">
      <alignment horizontal="center" vertical="center"/>
    </xf>
    <xf fontId="6265" applyFont="true" borderId="8" applyBorder="true" applyNumberFormat="true" numFmtId="1" fillId="22" applyFill="true">
      <alignment horizontal="center" vertical="center"/>
    </xf>
    <xf fontId="6266" applyFont="true" borderId="8" applyBorder="true" applyNumberFormat="true" numFmtId="1" fillId="22" applyFill="true">
      <alignment horizontal="center" vertical="center"/>
    </xf>
    <xf fontId="6267" applyFont="true" borderId="8" applyBorder="true" applyNumberFormat="true" numFmtId="167" fillId="22" applyFill="true">
      <alignment horizontal="center" vertical="center"/>
    </xf>
    <xf fontId="6268" applyFont="true" borderId="8" applyBorder="true" applyNumberFormat="true" numFmtId="166" fillId="22" applyFill="true">
      <alignment horizontal="center" vertical="center"/>
    </xf>
    <xf fontId="6269" applyFont="true" borderId="8" applyBorder="true" applyNumberFormat="true" numFmtId="166" fillId="22" applyFill="true">
      <alignment horizontal="center" vertical="center"/>
    </xf>
    <xf fontId="6270" applyFont="true" borderId="8" applyBorder="true" applyNumberFormat="true" numFmtId="1" fillId="22" applyFill="true">
      <alignment horizontal="center" vertical="center"/>
    </xf>
    <xf fontId="6271" applyFont="true" borderId="8" applyBorder="true" applyNumberFormat="true" numFmtId="1" fillId="22" applyFill="true">
      <alignment horizontal="center" vertical="center"/>
    </xf>
    <xf fontId="6272" applyFont="true" borderId="8" applyBorder="true" applyNumberFormat="true" numFmtId="1" fillId="22" applyFill="true">
      <alignment horizontal="center" vertical="center"/>
    </xf>
    <xf fontId="6273" applyFont="true" borderId="8" applyBorder="true" applyNumberFormat="true" numFmtId="167" fillId="22" applyFill="true">
      <alignment horizontal="center" vertical="center"/>
    </xf>
    <xf fontId="6274" applyFont="true" borderId="8" applyBorder="true" applyNumberFormat="true" numFmtId="1" fillId="22" applyFill="true">
      <alignment horizontal="center" vertical="center"/>
    </xf>
    <xf fontId="6275" applyFont="true" borderId="8" applyBorder="true" applyNumberFormat="true" numFmtId="167" fillId="22" applyFill="true">
      <alignment horizontal="center" vertical="center"/>
    </xf>
    <xf fontId="6276" applyFont="true" borderId="8" applyBorder="true" applyNumberFormat="true" numFmtId="1" fillId="22" applyFill="true">
      <alignment horizontal="center" vertical="center"/>
    </xf>
    <xf fontId="6277" applyFont="true" borderId="8" applyBorder="true" applyNumberFormat="true" numFmtId="1" fillId="22" applyFill="true">
      <alignment horizontal="center" vertical="center"/>
    </xf>
    <xf fontId="6278" applyFont="true" borderId="8" applyBorder="true" applyNumberFormat="true" numFmtId="1" fillId="22" applyFill="true">
      <alignment horizontal="center" vertical="center"/>
    </xf>
    <xf fontId="6279" applyFont="true" borderId="8" applyBorder="true" applyNumberFormat="true" numFmtId="1" fillId="22" applyFill="true">
      <alignment horizontal="center" vertical="center"/>
    </xf>
    <xf fontId="6280" applyFont="true" borderId="8" applyBorder="true" applyNumberFormat="true" numFmtId="167" fillId="22" applyFill="true">
      <alignment horizontal="center" vertical="center"/>
    </xf>
    <xf fontId="6281" applyFont="true" borderId="8" applyBorder="true" applyNumberFormat="true" numFmtId="1" fillId="22" applyFill="true">
      <alignment horizontal="center" vertical="center"/>
    </xf>
    <xf fontId="6282" applyFont="true" borderId="8" applyBorder="true" applyNumberFormat="true" numFmtId="167" fillId="22" applyFill="true">
      <alignment horizontal="center" vertical="center"/>
    </xf>
    <xf fontId="6283" applyFont="true" borderId="8" applyBorder="true" applyNumberFormat="true" numFmtId="1" fillId="22" applyFill="true">
      <alignment horizontal="center" vertical="center"/>
    </xf>
    <xf fontId="6284" applyFont="true" borderId="8" applyBorder="true" applyNumberFormat="true" numFmtId="167" fillId="22" applyFill="true">
      <alignment horizontal="center" vertical="center"/>
    </xf>
    <xf fontId="6285" applyFont="true" borderId="8" applyBorder="true" applyNumberFormat="true" numFmtId="2" fillId="22" applyFill="true">
      <alignment horizontal="center" vertical="center"/>
    </xf>
    <xf fontId="6286" applyFont="true" borderId="8" applyBorder="true" applyNumberFormat="true" numFmtId="2" fillId="22" applyFill="true">
      <alignment horizontal="center" vertical="center"/>
    </xf>
    <xf fontId="6287" applyFont="true" borderId="8" applyBorder="true" applyNumberFormat="true" numFmtId="2" fillId="22" applyFill="true">
      <alignment horizontal="center" vertical="center"/>
    </xf>
    <xf fontId="6288" applyFont="true" borderId="8" applyBorder="true" applyNumberFormat="true" numFmtId="2" fillId="22" applyFill="true">
      <alignment horizontal="center" vertical="center"/>
    </xf>
    <xf fontId="6289" applyFont="true" borderId="8" applyBorder="true" applyNumberFormat="true" numFmtId="2" fillId="22" applyFill="true">
      <alignment horizontal="center" vertical="center"/>
    </xf>
    <xf fontId="6290" applyFont="true" borderId="8" applyBorder="true" applyNumberFormat="true" numFmtId="2" fillId="22" applyFill="true">
      <alignment horizontal="center" vertical="center"/>
    </xf>
    <xf fontId="6291" applyFont="true" borderId="8" applyBorder="true" applyNumberFormat="true" numFmtId="2" fillId="22" applyFill="true">
      <alignment horizontal="center" vertical="center"/>
    </xf>
    <xf fontId="6292" applyFont="true" borderId="8" applyBorder="true" applyNumberFormat="true" numFmtId="2" fillId="22" applyFill="true">
      <alignment horizontal="center" vertical="center"/>
    </xf>
    <xf fontId="6293" applyFont="true" borderId="8" applyBorder="true" applyNumberFormat="true" numFmtId="2" fillId="22" applyFill="true">
      <alignment horizontal="center" vertical="center"/>
    </xf>
    <xf fontId="6294" applyFont="true" borderId="8" applyBorder="true" applyNumberFormat="true" numFmtId="2" fillId="22" applyFill="true">
      <alignment horizontal="center" vertical="center"/>
    </xf>
    <xf fontId="6295" applyFont="true" borderId="8" applyBorder="true" applyNumberFormat="true" numFmtId="2" fillId="22" applyFill="true">
      <alignment horizontal="center" vertical="center"/>
    </xf>
    <xf fontId="6296" applyFont="true" borderId="8" applyBorder="true" applyNumberFormat="true" numFmtId="2" fillId="22" applyFill="true">
      <alignment horizontal="center" vertical="center"/>
    </xf>
    <xf fontId="6297" applyFont="true" borderId="8" applyBorder="true" applyNumberFormat="true" numFmtId="2" fillId="22" applyFill="true">
      <alignment horizontal="center" vertical="center"/>
    </xf>
    <xf fontId="6298" applyFont="true" borderId="8" applyBorder="true" applyNumberFormat="true" numFmtId="2" fillId="22" applyFill="true">
      <alignment horizontal="center" vertical="center"/>
    </xf>
    <xf fontId="6299" applyFont="true" borderId="8" applyBorder="true" applyNumberFormat="true" numFmtId="2" fillId="22" applyFill="true">
      <alignment horizontal="center" vertical="center"/>
    </xf>
    <xf fontId="6300" applyFont="true" borderId="8" applyBorder="true" applyNumberFormat="true" numFmtId="2" fillId="22" applyFill="true">
      <alignment horizontal="center" vertical="center"/>
    </xf>
    <xf fontId="6301" applyFont="true" borderId="8" applyBorder="true" applyNumberFormat="true" numFmtId="2" fillId="22" applyFill="true">
      <alignment horizontal="center" vertical="center"/>
    </xf>
    <xf fontId="6302" applyFont="true" borderId="8" applyBorder="true" applyNumberFormat="true" numFmtId="2" fillId="22" applyFill="true">
      <alignment horizontal="center" vertical="center"/>
    </xf>
    <xf fontId="6303" applyFont="true" borderId="8" applyBorder="true" applyNumberFormat="true" numFmtId="2" fillId="22" applyFill="true">
      <alignment horizontal="center" vertical="center"/>
    </xf>
    <xf fontId="6304" applyFont="true" borderId="8" applyBorder="true" applyNumberFormat="true" numFmtId="2" fillId="22" applyFill="true">
      <alignment horizontal="center" vertical="center"/>
    </xf>
    <xf fontId="6305" applyFont="true" borderId="8" applyBorder="true" applyNumberFormat="true" numFmtId="2" fillId="22" applyFill="true">
      <alignment horizontal="center" vertical="center"/>
    </xf>
    <xf fontId="6306" applyFont="true" borderId="8" applyBorder="true" applyNumberFormat="true" numFmtId="2" fillId="22" applyFill="true">
      <alignment horizontal="center" vertical="center"/>
    </xf>
    <xf fontId="6307" applyFont="true" borderId="8" applyBorder="true" applyNumberFormat="true" numFmtId="2" fillId="22" applyFill="true">
      <alignment horizontal="center" vertical="center"/>
    </xf>
    <xf fontId="6308" applyFont="true" borderId="8" applyBorder="true" applyNumberFormat="true" numFmtId="2" fillId="22" applyFill="true">
      <alignment horizontal="center" vertical="center"/>
    </xf>
    <xf fontId="6309" applyFont="true" borderId="8" applyBorder="true" applyNumberFormat="true" numFmtId="2" fillId="22" applyFill="true">
      <alignment horizontal="center" vertical="center"/>
    </xf>
    <xf fontId="6310" applyFont="true" borderId="8" applyBorder="true" applyNumberFormat="true" numFmtId="2" fillId="22" applyFill="true">
      <alignment horizontal="center" vertical="center"/>
    </xf>
    <xf fontId="6311" applyFont="true" borderId="8" applyBorder="true" applyNumberFormat="true" numFmtId="2" fillId="22" applyFill="true">
      <alignment horizontal="center" vertical="center"/>
    </xf>
    <xf fontId="6312" applyFont="true" borderId="8" applyBorder="true" applyNumberFormat="true" numFmtId="2" fillId="22" applyFill="true">
      <alignment horizontal="center" vertical="center"/>
    </xf>
    <xf fontId="6313" applyFont="true" borderId="8" applyBorder="true" applyNumberFormat="true" numFmtId="2" fillId="22" applyFill="true">
      <alignment horizontal="center" vertical="center"/>
    </xf>
    <xf fontId="6314" applyFont="true" borderId="8" applyBorder="true" applyNumberFormat="true" numFmtId="2" fillId="22" applyFill="true">
      <alignment horizontal="center" vertical="center"/>
    </xf>
    <xf fontId="6315" applyFont="true" borderId="8" applyBorder="true" applyNumberFormat="true" numFmtId="2" fillId="22" applyFill="true">
      <alignment horizontal="center" vertical="center"/>
    </xf>
    <xf fontId="6316" applyFont="true" borderId="8" applyBorder="true" applyNumberFormat="true" numFmtId="2" fillId="22" applyFill="true">
      <alignment horizontal="center" vertical="center"/>
    </xf>
    <xf fontId="6317" applyFont="true" borderId="8" applyBorder="true" applyNumberFormat="true" numFmtId="2" fillId="22" applyFill="true">
      <alignment horizontal="center" vertical="center"/>
    </xf>
    <xf fontId="6318" applyFont="true" borderId="8" applyBorder="true" applyNumberFormat="true" numFmtId="2" fillId="22" applyFill="true">
      <alignment horizontal="center" vertical="center"/>
    </xf>
    <xf fontId="6319" applyFont="true" borderId="8" applyBorder="true" applyNumberFormat="true" numFmtId="165" fillId="19" applyFill="true">
      <alignment horizontal="left" vertical="center"/>
    </xf>
    <xf fontId="6320" applyFont="true" borderId="8" applyBorder="true" applyNumberFormat="true" numFmtId="165" fillId="22" applyFill="true">
      <alignment horizontal="center" vertical="center"/>
    </xf>
    <xf fontId="6321" applyFont="true" borderId="8" applyBorder="true" applyNumberFormat="true" numFmtId="166" fillId="22" applyFill="true">
      <alignment horizontal="center" vertical="center"/>
    </xf>
    <xf fontId="6322" applyFont="true" borderId="8" applyBorder="true" applyNumberFormat="true" numFmtId="1" fillId="22" applyFill="true">
      <alignment horizontal="center" vertical="center"/>
    </xf>
    <xf fontId="6323" applyFont="true" borderId="8" applyBorder="true" applyNumberFormat="true" numFmtId="1" fillId="22" applyFill="true">
      <alignment horizontal="center" vertical="center"/>
    </xf>
    <xf fontId="6324" applyFont="true" borderId="8" applyBorder="true" applyNumberFormat="true" numFmtId="1" fillId="22" applyFill="true">
      <alignment horizontal="center" vertical="center"/>
    </xf>
    <xf fontId="6325" applyFont="true" borderId="8" applyBorder="true" applyNumberFormat="true" numFmtId="1" fillId="22" applyFill="true">
      <alignment horizontal="center" vertical="center"/>
    </xf>
    <xf fontId="6326" applyFont="true" borderId="8" applyBorder="true" applyNumberFormat="true" numFmtId="1" fillId="22" applyFill="true">
      <alignment horizontal="center" vertical="center"/>
    </xf>
    <xf fontId="6327" applyFont="true" borderId="8" applyBorder="true" applyNumberFormat="true" numFmtId="1" fillId="22" applyFill="true">
      <alignment horizontal="center" vertical="center"/>
    </xf>
    <xf fontId="6328" applyFont="true" borderId="8" applyBorder="true" applyNumberFormat="true" numFmtId="1" fillId="22" applyFill="true">
      <alignment horizontal="center" vertical="center"/>
    </xf>
    <xf fontId="6329" applyFont="true" borderId="8" applyBorder="true" applyNumberFormat="true" numFmtId="165" fillId="22" applyFill="true">
      <alignment horizontal="center" vertical="center"/>
    </xf>
    <xf fontId="6330" applyFont="true" borderId="8" applyBorder="true" applyNumberFormat="true" numFmtId="165" fillId="22" applyFill="true">
      <alignment horizontal="center" vertical="center"/>
    </xf>
    <xf fontId="6331" applyFont="true" borderId="8" applyBorder="true" applyNumberFormat="true" numFmtId="1" fillId="22" applyFill="true">
      <alignment horizontal="center" vertical="center"/>
    </xf>
    <xf fontId="6332" applyFont="true" borderId="8" applyBorder="true" applyNumberFormat="true" numFmtId="1" fillId="22" applyFill="true">
      <alignment horizontal="center" vertical="center"/>
    </xf>
    <xf fontId="6333" applyFont="true" borderId="8" applyBorder="true" applyNumberFormat="true" numFmtId="1" fillId="22" applyFill="true">
      <alignment horizontal="center" vertical="center"/>
    </xf>
    <xf fontId="6334" applyFont="true" borderId="8" applyBorder="true" applyNumberFormat="true" numFmtId="167" fillId="22" applyFill="true">
      <alignment horizontal="center" vertical="center"/>
    </xf>
    <xf fontId="6335" applyFont="true" borderId="8" applyBorder="true" applyNumberFormat="true" numFmtId="1" fillId="22" applyFill="true">
      <alignment horizontal="center" vertical="center"/>
    </xf>
    <xf fontId="6336" applyFont="true" borderId="8" applyBorder="true" applyNumberFormat="true" numFmtId="167" fillId="22" applyFill="true">
      <alignment horizontal="center" vertical="center"/>
    </xf>
    <xf fontId="6337" applyFont="true" borderId="8" applyBorder="true" applyNumberFormat="true" numFmtId="1" fillId="22" applyFill="true">
      <alignment horizontal="center" vertical="center"/>
    </xf>
    <xf fontId="6338" applyFont="true" borderId="8" applyBorder="true" applyNumberFormat="true" numFmtId="167" fillId="22" applyFill="true">
      <alignment horizontal="center" vertical="center"/>
    </xf>
    <xf fontId="6339" applyFont="true" borderId="8" applyBorder="true" applyNumberFormat="true" numFmtId="1" fillId="22" applyFill="true">
      <alignment horizontal="center" vertical="center"/>
    </xf>
    <xf fontId="6340" applyFont="true" borderId="8" applyBorder="true" applyNumberFormat="true" numFmtId="167" fillId="22" applyFill="true">
      <alignment horizontal="center" vertical="center"/>
    </xf>
    <xf fontId="6341" applyFont="true" borderId="8" applyBorder="true" applyNumberFormat="true" numFmtId="167" fillId="22" applyFill="true">
      <alignment horizontal="center" vertical="center"/>
    </xf>
    <xf fontId="6342" applyFont="true" borderId="8" applyBorder="true" applyNumberFormat="true" numFmtId="1" fillId="22" applyFill="true">
      <alignment horizontal="center" vertical="center"/>
    </xf>
    <xf fontId="6343" applyFont="true" borderId="8" applyBorder="true" applyNumberFormat="true" numFmtId="1" fillId="22" applyFill="true">
      <alignment horizontal="center" vertical="center"/>
    </xf>
    <xf fontId="6344" applyFont="true" borderId="8" applyBorder="true" applyNumberFormat="true" numFmtId="1" fillId="22" applyFill="true">
      <alignment horizontal="center" vertical="center"/>
    </xf>
    <xf fontId="6345" applyFont="true" borderId="8" applyBorder="true" applyNumberFormat="true" numFmtId="167" fillId="22" applyFill="true">
      <alignment horizontal="center" vertical="center"/>
    </xf>
    <xf fontId="6346" applyFont="true" borderId="8" applyBorder="true" applyNumberFormat="true" numFmtId="166" fillId="22" applyFill="true">
      <alignment horizontal="center" vertical="center"/>
    </xf>
    <xf fontId="6347" applyFont="true" borderId="8" applyBorder="true" applyNumberFormat="true" numFmtId="166" fillId="22" applyFill="true">
      <alignment horizontal="center" vertical="center"/>
    </xf>
    <xf fontId="6348" applyFont="true" borderId="8" applyBorder="true" applyNumberFormat="true" numFmtId="1" fillId="22" applyFill="true">
      <alignment horizontal="center" vertical="center"/>
    </xf>
    <xf fontId="6349" applyFont="true" borderId="8" applyBorder="true" applyNumberFormat="true" numFmtId="1" fillId="22" applyFill="true">
      <alignment horizontal="center" vertical="center"/>
    </xf>
    <xf fontId="6350" applyFont="true" borderId="8" applyBorder="true" applyNumberFormat="true" numFmtId="1" fillId="22" applyFill="true">
      <alignment horizontal="center" vertical="center"/>
    </xf>
    <xf fontId="6351" applyFont="true" borderId="8" applyBorder="true" applyNumberFormat="true" numFmtId="167" fillId="22" applyFill="true">
      <alignment horizontal="center" vertical="center"/>
    </xf>
    <xf fontId="6352" applyFont="true" borderId="8" applyBorder="true" applyNumberFormat="true" numFmtId="1" fillId="22" applyFill="true">
      <alignment horizontal="center" vertical="center"/>
    </xf>
    <xf fontId="6353" applyFont="true" borderId="8" applyBorder="true" applyNumberFormat="true" numFmtId="167" fillId="22" applyFill="true">
      <alignment horizontal="center" vertical="center"/>
    </xf>
    <xf fontId="6354" applyFont="true" borderId="8" applyBorder="true" applyNumberFormat="true" numFmtId="1" fillId="22" applyFill="true">
      <alignment horizontal="center" vertical="center"/>
    </xf>
    <xf fontId="6355" applyFont="true" borderId="8" applyBorder="true" applyNumberFormat="true" numFmtId="1" fillId="22" applyFill="true">
      <alignment horizontal="center" vertical="center"/>
    </xf>
    <xf fontId="6356" applyFont="true" borderId="8" applyBorder="true" applyNumberFormat="true" numFmtId="1" fillId="22" applyFill="true">
      <alignment horizontal="center" vertical="center"/>
    </xf>
    <xf fontId="6357" applyFont="true" borderId="8" applyBorder="true" applyNumberFormat="true" numFmtId="1" fillId="22" applyFill="true">
      <alignment horizontal="center" vertical="center"/>
    </xf>
    <xf fontId="6358" applyFont="true" borderId="8" applyBorder="true" applyNumberFormat="true" numFmtId="167" fillId="22" applyFill="true">
      <alignment horizontal="center" vertical="center"/>
    </xf>
    <xf fontId="6359" applyFont="true" borderId="8" applyBorder="true" applyNumberFormat="true" numFmtId="1" fillId="22" applyFill="true">
      <alignment horizontal="center" vertical="center"/>
    </xf>
    <xf fontId="6360" applyFont="true" borderId="8" applyBorder="true" applyNumberFormat="true" numFmtId="167" fillId="22" applyFill="true">
      <alignment horizontal="center" vertical="center"/>
    </xf>
    <xf fontId="6361" applyFont="true" borderId="8" applyBorder="true" applyNumberFormat="true" numFmtId="1" fillId="22" applyFill="true">
      <alignment horizontal="center" vertical="center"/>
    </xf>
    <xf fontId="6362" applyFont="true" borderId="8" applyBorder="true" applyNumberFormat="true" numFmtId="167" fillId="22" applyFill="true">
      <alignment horizontal="center" vertical="center"/>
    </xf>
    <xf fontId="6363" applyFont="true" borderId="8" applyBorder="true" applyNumberFormat="true" numFmtId="2" fillId="22" applyFill="true">
      <alignment horizontal="center" vertical="center"/>
    </xf>
    <xf fontId="6364" applyFont="true" borderId="8" applyBorder="true" applyNumberFormat="true" numFmtId="2" fillId="22" applyFill="true">
      <alignment horizontal="center" vertical="center"/>
    </xf>
    <xf fontId="6365" applyFont="true" borderId="8" applyBorder="true" applyNumberFormat="true" numFmtId="2" fillId="22" applyFill="true">
      <alignment horizontal="center" vertical="center"/>
    </xf>
    <xf fontId="6366" applyFont="true" borderId="8" applyBorder="true" applyNumberFormat="true" numFmtId="2" fillId="22" applyFill="true">
      <alignment horizontal="center" vertical="center"/>
    </xf>
    <xf fontId="6367" applyFont="true" borderId="8" applyBorder="true" applyNumberFormat="true" numFmtId="2" fillId="22" applyFill="true">
      <alignment horizontal="center" vertical="center"/>
    </xf>
    <xf fontId="6368" applyFont="true" borderId="8" applyBorder="true" applyNumberFormat="true" numFmtId="2" fillId="22" applyFill="true">
      <alignment horizontal="center" vertical="center"/>
    </xf>
    <xf fontId="6369" applyFont="true" borderId="8" applyBorder="true" applyNumberFormat="true" numFmtId="2" fillId="22" applyFill="true">
      <alignment horizontal="center" vertical="center"/>
    </xf>
    <xf fontId="6370" applyFont="true" borderId="8" applyBorder="true" applyNumberFormat="true" numFmtId="2" fillId="22" applyFill="true">
      <alignment horizontal="center" vertical="center"/>
    </xf>
    <xf fontId="6371" applyFont="true" borderId="8" applyBorder="true" applyNumberFormat="true" numFmtId="2" fillId="22" applyFill="true">
      <alignment horizontal="center" vertical="center"/>
    </xf>
    <xf fontId="6372" applyFont="true" borderId="8" applyBorder="true" applyNumberFormat="true" numFmtId="2" fillId="22" applyFill="true">
      <alignment horizontal="center" vertical="center"/>
    </xf>
    <xf fontId="6373" applyFont="true" borderId="8" applyBorder="true" applyNumberFormat="true" numFmtId="2" fillId="22" applyFill="true">
      <alignment horizontal="center" vertical="center"/>
    </xf>
    <xf fontId="6374" applyFont="true" borderId="8" applyBorder="true" applyNumberFormat="true" numFmtId="2" fillId="22" applyFill="true">
      <alignment horizontal="center" vertical="center"/>
    </xf>
    <xf fontId="6375" applyFont="true" borderId="8" applyBorder="true" applyNumberFormat="true" numFmtId="2" fillId="22" applyFill="true">
      <alignment horizontal="center" vertical="center"/>
    </xf>
    <xf fontId="6376" applyFont="true" borderId="8" applyBorder="true" applyNumberFormat="true" numFmtId="2" fillId="22" applyFill="true">
      <alignment horizontal="center" vertical="center"/>
    </xf>
    <xf fontId="6377" applyFont="true" borderId="8" applyBorder="true" applyNumberFormat="true" numFmtId="2" fillId="22" applyFill="true">
      <alignment horizontal="center" vertical="center"/>
    </xf>
    <xf fontId="6378" applyFont="true" borderId="8" applyBorder="true" applyNumberFormat="true" numFmtId="2" fillId="22" applyFill="true">
      <alignment horizontal="center" vertical="center"/>
    </xf>
    <xf fontId="6379" applyFont="true" borderId="8" applyBorder="true" applyNumberFormat="true" numFmtId="2" fillId="22" applyFill="true">
      <alignment horizontal="center" vertical="center"/>
    </xf>
    <xf fontId="6380" applyFont="true" borderId="8" applyBorder="true" applyNumberFormat="true" numFmtId="2" fillId="22" applyFill="true">
      <alignment horizontal="center" vertical="center"/>
    </xf>
    <xf fontId="6381" applyFont="true" borderId="8" applyBorder="true" applyNumberFormat="true" numFmtId="2" fillId="22" applyFill="true">
      <alignment horizontal="center" vertical="center"/>
    </xf>
    <xf fontId="6382" applyFont="true" borderId="8" applyBorder="true" applyNumberFormat="true" numFmtId="2" fillId="22" applyFill="true">
      <alignment horizontal="center" vertical="center"/>
    </xf>
    <xf fontId="6383" applyFont="true" borderId="8" applyBorder="true" applyNumberFormat="true" numFmtId="2" fillId="22" applyFill="true">
      <alignment horizontal="center" vertical="center"/>
    </xf>
    <xf fontId="6384" applyFont="true" borderId="8" applyBorder="true" applyNumberFormat="true" numFmtId="2" fillId="22" applyFill="true">
      <alignment horizontal="center" vertical="center"/>
    </xf>
    <xf fontId="6385" applyFont="true" borderId="8" applyBorder="true" applyNumberFormat="true" numFmtId="2" fillId="22" applyFill="true">
      <alignment horizontal="center" vertical="center"/>
    </xf>
    <xf fontId="6386" applyFont="true" borderId="8" applyBorder="true" applyNumberFormat="true" numFmtId="2" fillId="22" applyFill="true">
      <alignment horizontal="center" vertical="center"/>
    </xf>
    <xf fontId="6387" applyFont="true" borderId="8" applyBorder="true" applyNumberFormat="true" numFmtId="2" fillId="22" applyFill="true">
      <alignment horizontal="center" vertical="center"/>
    </xf>
    <xf fontId="6388" applyFont="true" borderId="8" applyBorder="true" applyNumberFormat="true" numFmtId="2" fillId="22" applyFill="true">
      <alignment horizontal="center" vertical="center"/>
    </xf>
    <xf fontId="6389" applyFont="true" borderId="8" applyBorder="true" applyNumberFormat="true" numFmtId="2" fillId="22" applyFill="true">
      <alignment horizontal="center" vertical="center"/>
    </xf>
    <xf fontId="6390" applyFont="true" borderId="8" applyBorder="true" applyNumberFormat="true" numFmtId="2" fillId="22" applyFill="true">
      <alignment horizontal="center" vertical="center"/>
    </xf>
    <xf fontId="6391" applyFont="true" borderId="8" applyBorder="true" applyNumberFormat="true" numFmtId="2" fillId="22" applyFill="true">
      <alignment horizontal="center" vertical="center"/>
    </xf>
    <xf fontId="6392" applyFont="true" borderId="8" applyBorder="true" applyNumberFormat="true" numFmtId="2" fillId="22" applyFill="true">
      <alignment horizontal="center" vertical="center"/>
    </xf>
    <xf fontId="6393" applyFont="true" borderId="8" applyBorder="true" applyNumberFormat="true" numFmtId="2" fillId="22" applyFill="true">
      <alignment horizontal="center" vertical="center"/>
    </xf>
    <xf fontId="6394" applyFont="true" borderId="8" applyBorder="true" applyNumberFormat="true" numFmtId="2" fillId="22" applyFill="true">
      <alignment horizontal="center" vertical="center"/>
    </xf>
    <xf fontId="6395" applyFont="true" borderId="8" applyBorder="true" applyNumberFormat="true" numFmtId="2" fillId="22" applyFill="true">
      <alignment horizontal="center" vertical="center"/>
    </xf>
    <xf fontId="6396" applyFont="true" borderId="8" applyBorder="true" applyNumberFormat="true" numFmtId="2" fillId="22" applyFill="true">
      <alignment horizontal="center" vertical="center"/>
    </xf>
    <xf fontId="6397" applyFont="true" borderId="8" applyBorder="true" applyNumberFormat="true" numFmtId="165" fillId="19" applyFill="true">
      <alignment horizontal="left" vertical="center"/>
    </xf>
    <xf fontId="6398" applyFont="true" borderId="8" applyBorder="true" applyNumberFormat="true" numFmtId="165" fillId="22" applyFill="true">
      <alignment horizontal="center" vertical="center"/>
    </xf>
    <xf fontId="6399" applyFont="true" borderId="8" applyBorder="true" applyNumberFormat="true" numFmtId="166" fillId="22" applyFill="true">
      <alignment horizontal="center" vertical="center"/>
    </xf>
    <xf fontId="6400" applyFont="true" borderId="8" applyBorder="true" applyNumberFormat="true" numFmtId="1" fillId="22" applyFill="true">
      <alignment horizontal="center" vertical="center"/>
    </xf>
    <xf fontId="6401" applyFont="true" borderId="8" applyBorder="true" applyNumberFormat="true" numFmtId="1" fillId="22" applyFill="true">
      <alignment horizontal="center" vertical="center"/>
    </xf>
    <xf fontId="6402" applyFont="true" borderId="8" applyBorder="true" applyNumberFormat="true" numFmtId="1" fillId="22" applyFill="true">
      <alignment horizontal="center" vertical="center"/>
    </xf>
    <xf fontId="6403" applyFont="true" borderId="8" applyBorder="true" applyNumberFormat="true" numFmtId="1" fillId="22" applyFill="true">
      <alignment horizontal="center" vertical="center"/>
    </xf>
    <xf fontId="6404" applyFont="true" borderId="8" applyBorder="true" applyNumberFormat="true" numFmtId="1" fillId="22" applyFill="true">
      <alignment horizontal="center" vertical="center"/>
    </xf>
    <xf fontId="6405" applyFont="true" borderId="8" applyBorder="true" applyNumberFormat="true" numFmtId="1" fillId="22" applyFill="true">
      <alignment horizontal="center" vertical="center"/>
    </xf>
    <xf fontId="6406" applyFont="true" borderId="8" applyBorder="true" applyNumberFormat="true" numFmtId="1" fillId="22" applyFill="true">
      <alignment horizontal="center" vertical="center"/>
    </xf>
    <xf fontId="6407" applyFont="true" borderId="8" applyBorder="true" applyNumberFormat="true" numFmtId="165" fillId="22" applyFill="true">
      <alignment horizontal="center" vertical="center"/>
    </xf>
    <xf fontId="6408" applyFont="true" borderId="8" applyBorder="true" applyNumberFormat="true" numFmtId="165" fillId="22" applyFill="true">
      <alignment horizontal="center" vertical="center"/>
    </xf>
    <xf fontId="6409" applyFont="true" borderId="8" applyBorder="true" applyNumberFormat="true" numFmtId="1" fillId="22" applyFill="true">
      <alignment horizontal="center" vertical="center"/>
    </xf>
    <xf fontId="6410" applyFont="true" borderId="8" applyBorder="true" applyNumberFormat="true" numFmtId="1" fillId="22" applyFill="true">
      <alignment horizontal="center" vertical="center"/>
    </xf>
    <xf fontId="6411" applyFont="true" borderId="8" applyBorder="true" applyNumberFormat="true" numFmtId="1" fillId="22" applyFill="true">
      <alignment horizontal="center" vertical="center"/>
    </xf>
    <xf fontId="6412" applyFont="true" borderId="8" applyBorder="true" applyNumberFormat="true" numFmtId="167" fillId="22" applyFill="true">
      <alignment horizontal="center" vertical="center"/>
    </xf>
    <xf fontId="6413" applyFont="true" borderId="8" applyBorder="true" applyNumberFormat="true" numFmtId="1" fillId="22" applyFill="true">
      <alignment horizontal="center" vertical="center"/>
    </xf>
    <xf fontId="6414" applyFont="true" borderId="8" applyBorder="true" applyNumberFormat="true" numFmtId="167" fillId="22" applyFill="true">
      <alignment horizontal="center" vertical="center"/>
    </xf>
    <xf fontId="6415" applyFont="true" borderId="8" applyBorder="true" applyNumberFormat="true" numFmtId="1" fillId="22" applyFill="true">
      <alignment horizontal="center" vertical="center"/>
    </xf>
    <xf fontId="6416" applyFont="true" borderId="8" applyBorder="true" applyNumberFormat="true" numFmtId="167" fillId="22" applyFill="true">
      <alignment horizontal="center" vertical="center"/>
    </xf>
    <xf fontId="6417" applyFont="true" borderId="8" applyBorder="true" applyNumberFormat="true" numFmtId="1" fillId="22" applyFill="true">
      <alignment horizontal="center" vertical="center"/>
    </xf>
    <xf fontId="6418" applyFont="true" borderId="8" applyBorder="true" applyNumberFormat="true" numFmtId="167" fillId="22" applyFill="true">
      <alignment horizontal="center" vertical="center"/>
    </xf>
    <xf fontId="6419" applyFont="true" borderId="8" applyBorder="true" applyNumberFormat="true" numFmtId="167" fillId="22" applyFill="true">
      <alignment horizontal="center" vertical="center"/>
    </xf>
    <xf fontId="6420" applyFont="true" borderId="8" applyBorder="true" applyNumberFormat="true" numFmtId="1" fillId="22" applyFill="true">
      <alignment horizontal="center" vertical="center"/>
    </xf>
    <xf fontId="6421" applyFont="true" borderId="8" applyBorder="true" applyNumberFormat="true" numFmtId="1" fillId="22" applyFill="true">
      <alignment horizontal="center" vertical="center"/>
    </xf>
    <xf fontId="6422" applyFont="true" borderId="8" applyBorder="true" applyNumberFormat="true" numFmtId="1" fillId="22" applyFill="true">
      <alignment horizontal="center" vertical="center"/>
    </xf>
    <xf fontId="6423" applyFont="true" borderId="8" applyBorder="true" applyNumberFormat="true" numFmtId="167" fillId="22" applyFill="true">
      <alignment horizontal="center" vertical="center"/>
    </xf>
    <xf fontId="6424" applyFont="true" borderId="8" applyBorder="true" applyNumberFormat="true" numFmtId="166" fillId="22" applyFill="true">
      <alignment horizontal="center" vertical="center"/>
    </xf>
    <xf fontId="6425" applyFont="true" borderId="8" applyBorder="true" applyNumberFormat="true" numFmtId="166" fillId="22" applyFill="true">
      <alignment horizontal="center" vertical="center"/>
    </xf>
    <xf fontId="6426" applyFont="true" borderId="8" applyBorder="true" applyNumberFormat="true" numFmtId="1" fillId="22" applyFill="true">
      <alignment horizontal="center" vertical="center"/>
    </xf>
    <xf fontId="6427" applyFont="true" borderId="8" applyBorder="true" applyNumberFormat="true" numFmtId="1" fillId="22" applyFill="true">
      <alignment horizontal="center" vertical="center"/>
    </xf>
    <xf fontId="6428" applyFont="true" borderId="8" applyBorder="true" applyNumberFormat="true" numFmtId="1" fillId="22" applyFill="true">
      <alignment horizontal="center" vertical="center"/>
    </xf>
    <xf fontId="6429" applyFont="true" borderId="8" applyBorder="true" applyNumberFormat="true" numFmtId="167" fillId="22" applyFill="true">
      <alignment horizontal="center" vertical="center"/>
    </xf>
    <xf fontId="6430" applyFont="true" borderId="8" applyBorder="true" applyNumberFormat="true" numFmtId="1" fillId="22" applyFill="true">
      <alignment horizontal="center" vertical="center"/>
    </xf>
    <xf fontId="6431" applyFont="true" borderId="8" applyBorder="true" applyNumberFormat="true" numFmtId="167" fillId="22" applyFill="true">
      <alignment horizontal="center" vertical="center"/>
    </xf>
    <xf fontId="6432" applyFont="true" borderId="8" applyBorder="true" applyNumberFormat="true" numFmtId="1" fillId="22" applyFill="true">
      <alignment horizontal="center" vertical="center"/>
    </xf>
    <xf fontId="6433" applyFont="true" borderId="8" applyBorder="true" applyNumberFormat="true" numFmtId="1" fillId="22" applyFill="true">
      <alignment horizontal="center" vertical="center"/>
    </xf>
    <xf fontId="6434" applyFont="true" borderId="8" applyBorder="true" applyNumberFormat="true" numFmtId="1" fillId="22" applyFill="true">
      <alignment horizontal="center" vertical="center"/>
    </xf>
    <xf fontId="6435" applyFont="true" borderId="8" applyBorder="true" applyNumberFormat="true" numFmtId="1" fillId="22" applyFill="true">
      <alignment horizontal="center" vertical="center"/>
    </xf>
    <xf fontId="6436" applyFont="true" borderId="8" applyBorder="true" applyNumberFormat="true" numFmtId="167" fillId="22" applyFill="true">
      <alignment horizontal="center" vertical="center"/>
    </xf>
    <xf fontId="6437" applyFont="true" borderId="8" applyBorder="true" applyNumberFormat="true" numFmtId="1" fillId="22" applyFill="true">
      <alignment horizontal="center" vertical="center"/>
    </xf>
    <xf fontId="6438" applyFont="true" borderId="8" applyBorder="true" applyNumberFormat="true" numFmtId="167" fillId="22" applyFill="true">
      <alignment horizontal="center" vertical="center"/>
    </xf>
    <xf fontId="6439" applyFont="true" borderId="8" applyBorder="true" applyNumberFormat="true" numFmtId="1" fillId="22" applyFill="true">
      <alignment horizontal="center" vertical="center"/>
    </xf>
    <xf fontId="6440" applyFont="true" borderId="8" applyBorder="true" applyNumberFormat="true" numFmtId="167" fillId="22" applyFill="true">
      <alignment horizontal="center" vertical="center"/>
    </xf>
    <xf fontId="6441" applyFont="true" borderId="8" applyBorder="true" applyNumberFormat="true" numFmtId="2" fillId="22" applyFill="true">
      <alignment horizontal="center" vertical="center"/>
    </xf>
    <xf fontId="6442" applyFont="true" borderId="8" applyBorder="true" applyNumberFormat="true" numFmtId="2" fillId="22" applyFill="true">
      <alignment horizontal="center" vertical="center"/>
    </xf>
    <xf fontId="6443" applyFont="true" borderId="8" applyBorder="true" applyNumberFormat="true" numFmtId="2" fillId="22" applyFill="true">
      <alignment horizontal="center" vertical="center"/>
    </xf>
    <xf fontId="6444" applyFont="true" borderId="8" applyBorder="true" applyNumberFormat="true" numFmtId="2" fillId="22" applyFill="true">
      <alignment horizontal="center" vertical="center"/>
    </xf>
    <xf fontId="6445" applyFont="true" borderId="8" applyBorder="true" applyNumberFormat="true" numFmtId="2" fillId="22" applyFill="true">
      <alignment horizontal="center" vertical="center"/>
    </xf>
    <xf fontId="6446" applyFont="true" borderId="8" applyBorder="true" applyNumberFormat="true" numFmtId="2" fillId="22" applyFill="true">
      <alignment horizontal="center" vertical="center"/>
    </xf>
    <xf fontId="6447" applyFont="true" borderId="8" applyBorder="true" applyNumberFormat="true" numFmtId="2" fillId="22" applyFill="true">
      <alignment horizontal="center" vertical="center"/>
    </xf>
    <xf fontId="6448" applyFont="true" borderId="8" applyBorder="true" applyNumberFormat="true" numFmtId="2" fillId="22" applyFill="true">
      <alignment horizontal="center" vertical="center"/>
    </xf>
    <xf fontId="6449" applyFont="true" borderId="8" applyBorder="true" applyNumberFormat="true" numFmtId="2" fillId="22" applyFill="true">
      <alignment horizontal="center" vertical="center"/>
    </xf>
    <xf fontId="6450" applyFont="true" borderId="8" applyBorder="true" applyNumberFormat="true" numFmtId="2" fillId="22" applyFill="true">
      <alignment horizontal="center" vertical="center"/>
    </xf>
    <xf fontId="6451" applyFont="true" borderId="8" applyBorder="true" applyNumberFormat="true" numFmtId="2" fillId="22" applyFill="true">
      <alignment horizontal="center" vertical="center"/>
    </xf>
    <xf fontId="6452" applyFont="true" borderId="8" applyBorder="true" applyNumberFormat="true" numFmtId="2" fillId="22" applyFill="true">
      <alignment horizontal="center" vertical="center"/>
    </xf>
    <xf fontId="6453" applyFont="true" borderId="8" applyBorder="true" applyNumberFormat="true" numFmtId="2" fillId="22" applyFill="true">
      <alignment horizontal="center" vertical="center"/>
    </xf>
    <xf fontId="6454" applyFont="true" borderId="8" applyBorder="true" applyNumberFormat="true" numFmtId="2" fillId="22" applyFill="true">
      <alignment horizontal="center" vertical="center"/>
    </xf>
    <xf fontId="6455" applyFont="true" borderId="8" applyBorder="true" applyNumberFormat="true" numFmtId="2" fillId="22" applyFill="true">
      <alignment horizontal="center" vertical="center"/>
    </xf>
    <xf fontId="6456" applyFont="true" borderId="8" applyBorder="true" applyNumberFormat="true" numFmtId="2" fillId="22" applyFill="true">
      <alignment horizontal="center" vertical="center"/>
    </xf>
    <xf fontId="6457" applyFont="true" borderId="8" applyBorder="true" applyNumberFormat="true" numFmtId="2" fillId="22" applyFill="true">
      <alignment horizontal="center" vertical="center"/>
    </xf>
    <xf fontId="6458" applyFont="true" borderId="8" applyBorder="true" applyNumberFormat="true" numFmtId="2" fillId="22" applyFill="true">
      <alignment horizontal="center" vertical="center"/>
    </xf>
    <xf fontId="6459" applyFont="true" borderId="8" applyBorder="true" applyNumberFormat="true" numFmtId="2" fillId="22" applyFill="true">
      <alignment horizontal="center" vertical="center"/>
    </xf>
    <xf fontId="6460" applyFont="true" borderId="8" applyBorder="true" applyNumberFormat="true" numFmtId="2" fillId="22" applyFill="true">
      <alignment horizontal="center" vertical="center"/>
    </xf>
    <xf fontId="6461" applyFont="true" borderId="8" applyBorder="true" applyNumberFormat="true" numFmtId="2" fillId="22" applyFill="true">
      <alignment horizontal="center" vertical="center"/>
    </xf>
    <xf fontId="6462" applyFont="true" borderId="8" applyBorder="true" applyNumberFormat="true" numFmtId="2" fillId="22" applyFill="true">
      <alignment horizontal="center" vertical="center"/>
    </xf>
    <xf fontId="6463" applyFont="true" borderId="8" applyBorder="true" applyNumberFormat="true" numFmtId="2" fillId="22" applyFill="true">
      <alignment horizontal="center" vertical="center"/>
    </xf>
    <xf fontId="6464" applyFont="true" borderId="8" applyBorder="true" applyNumberFormat="true" numFmtId="2" fillId="22" applyFill="true">
      <alignment horizontal="center" vertical="center"/>
    </xf>
    <xf fontId="6465" applyFont="true" borderId="8" applyBorder="true" applyNumberFormat="true" numFmtId="2" fillId="22" applyFill="true">
      <alignment horizontal="center" vertical="center"/>
    </xf>
    <xf fontId="6466" applyFont="true" borderId="8" applyBorder="true" applyNumberFormat="true" numFmtId="2" fillId="22" applyFill="true">
      <alignment horizontal="center" vertical="center"/>
    </xf>
    <xf fontId="6467" applyFont="true" borderId="8" applyBorder="true" applyNumberFormat="true" numFmtId="2" fillId="22" applyFill="true">
      <alignment horizontal="center" vertical="center"/>
    </xf>
    <xf fontId="6468" applyFont="true" borderId="8" applyBorder="true" applyNumberFormat="true" numFmtId="2" fillId="22" applyFill="true">
      <alignment horizontal="center" vertical="center"/>
    </xf>
    <xf fontId="6469" applyFont="true" borderId="8" applyBorder="true" applyNumberFormat="true" numFmtId="2" fillId="22" applyFill="true">
      <alignment horizontal="center" vertical="center"/>
    </xf>
    <xf fontId="6470" applyFont="true" borderId="8" applyBorder="true" applyNumberFormat="true" numFmtId="2" fillId="22" applyFill="true">
      <alignment horizontal="center" vertical="center"/>
    </xf>
    <xf fontId="6471" applyFont="true" borderId="8" applyBorder="true" applyNumberFormat="true" numFmtId="2" fillId="22" applyFill="true">
      <alignment horizontal="center" vertical="center"/>
    </xf>
    <xf fontId="6472" applyFont="true" borderId="8" applyBorder="true" applyNumberFormat="true" numFmtId="2" fillId="22" applyFill="true">
      <alignment horizontal="center" vertical="center"/>
    </xf>
    <xf fontId="6473" applyFont="true" borderId="8" applyBorder="true" applyNumberFormat="true" numFmtId="2" fillId="22" applyFill="true">
      <alignment horizontal="center" vertical="center"/>
    </xf>
    <xf fontId="6474" applyFont="true" borderId="8" applyBorder="true" applyNumberFormat="true" numFmtId="2" fillId="22" applyFill="true">
      <alignment horizontal="center" vertical="center"/>
    </xf>
    <xf fontId="6475" applyFont="true" borderId="8" applyBorder="true" applyNumberFormat="true" numFmtId="165" fillId="19" applyFill="true">
      <alignment horizontal="left" vertical="center"/>
    </xf>
    <xf fontId="6476" applyFont="true" borderId="8" applyBorder="true" applyNumberFormat="true" numFmtId="165" fillId="22" applyFill="true">
      <alignment horizontal="center" vertical="center"/>
    </xf>
    <xf fontId="6477" applyFont="true" borderId="8" applyBorder="true" applyNumberFormat="true" numFmtId="166" fillId="22" applyFill="true">
      <alignment horizontal="center" vertical="center"/>
    </xf>
    <xf fontId="6478" applyFont="true" borderId="8" applyBorder="true" applyNumberFormat="true" numFmtId="1" fillId="22" applyFill="true">
      <alignment horizontal="center" vertical="center"/>
    </xf>
    <xf fontId="6479" applyFont="true" borderId="8" applyBorder="true" applyNumberFormat="true" numFmtId="1" fillId="22" applyFill="true">
      <alignment horizontal="center" vertical="center"/>
    </xf>
    <xf fontId="6480" applyFont="true" borderId="8" applyBorder="true" applyNumberFormat="true" numFmtId="1" fillId="22" applyFill="true">
      <alignment horizontal="center" vertical="center"/>
    </xf>
    <xf fontId="6481" applyFont="true" borderId="8" applyBorder="true" applyNumberFormat="true" numFmtId="1" fillId="22" applyFill="true">
      <alignment horizontal="center" vertical="center"/>
    </xf>
    <xf fontId="6482" applyFont="true" borderId="8" applyBorder="true" applyNumberFormat="true" numFmtId="1" fillId="22" applyFill="true">
      <alignment horizontal="center" vertical="center"/>
    </xf>
    <xf fontId="6483" applyFont="true" borderId="8" applyBorder="true" applyNumberFormat="true" numFmtId="1" fillId="22" applyFill="true">
      <alignment horizontal="center" vertical="center"/>
    </xf>
    <xf fontId="6484" applyFont="true" borderId="8" applyBorder="true" applyNumberFormat="true" numFmtId="1" fillId="22" applyFill="true">
      <alignment horizontal="center" vertical="center"/>
    </xf>
    <xf fontId="6485" applyFont="true" borderId="8" applyBorder="true" applyNumberFormat="true" numFmtId="165" fillId="22" applyFill="true">
      <alignment horizontal="center" vertical="center"/>
    </xf>
    <xf fontId="6486" applyFont="true" borderId="8" applyBorder="true" applyNumberFormat="true" numFmtId="165" fillId="22" applyFill="true">
      <alignment horizontal="center" vertical="center"/>
    </xf>
    <xf fontId="6487" applyFont="true" borderId="8" applyBorder="true" applyNumberFormat="true" numFmtId="1" fillId="22" applyFill="true">
      <alignment horizontal="center" vertical="center"/>
    </xf>
    <xf fontId="6488" applyFont="true" borderId="8" applyBorder="true" applyNumberFormat="true" numFmtId="1" fillId="22" applyFill="true">
      <alignment horizontal="center" vertical="center"/>
    </xf>
    <xf fontId="6489" applyFont="true" borderId="8" applyBorder="true" applyNumberFormat="true" numFmtId="1" fillId="22" applyFill="true">
      <alignment horizontal="center" vertical="center"/>
    </xf>
    <xf fontId="6490" applyFont="true" borderId="8" applyBorder="true" applyNumberFormat="true" numFmtId="167" fillId="22" applyFill="true">
      <alignment horizontal="center" vertical="center"/>
    </xf>
    <xf fontId="6491" applyFont="true" borderId="8" applyBorder="true" applyNumberFormat="true" numFmtId="1" fillId="22" applyFill="true">
      <alignment horizontal="center" vertical="center"/>
    </xf>
    <xf fontId="6492" applyFont="true" borderId="8" applyBorder="true" applyNumberFormat="true" numFmtId="167" fillId="22" applyFill="true">
      <alignment horizontal="center" vertical="center"/>
    </xf>
    <xf fontId="6493" applyFont="true" borderId="8" applyBorder="true" applyNumberFormat="true" numFmtId="1" fillId="22" applyFill="true">
      <alignment horizontal="center" vertical="center"/>
    </xf>
    <xf fontId="6494" applyFont="true" borderId="8" applyBorder="true" applyNumberFormat="true" numFmtId="167" fillId="22" applyFill="true">
      <alignment horizontal="center" vertical="center"/>
    </xf>
    <xf fontId="6495" applyFont="true" borderId="8" applyBorder="true" applyNumberFormat="true" numFmtId="1" fillId="22" applyFill="true">
      <alignment horizontal="center" vertical="center"/>
    </xf>
    <xf fontId="6496" applyFont="true" borderId="8" applyBorder="true" applyNumberFormat="true" numFmtId="167" fillId="22" applyFill="true">
      <alignment horizontal="center" vertical="center"/>
    </xf>
    <xf fontId="6497" applyFont="true" borderId="8" applyBorder="true" applyNumberFormat="true" numFmtId="167" fillId="22" applyFill="true">
      <alignment horizontal="center" vertical="center"/>
    </xf>
    <xf fontId="6498" applyFont="true" borderId="8" applyBorder="true" applyNumberFormat="true" numFmtId="1" fillId="22" applyFill="true">
      <alignment horizontal="center" vertical="center"/>
    </xf>
    <xf fontId="6499" applyFont="true" borderId="8" applyBorder="true" applyNumberFormat="true" numFmtId="1" fillId="22" applyFill="true">
      <alignment horizontal="center" vertical="center"/>
    </xf>
    <xf fontId="6500" applyFont="true" borderId="8" applyBorder="true" applyNumberFormat="true" numFmtId="1" fillId="22" applyFill="true">
      <alignment horizontal="center" vertical="center"/>
    </xf>
    <xf fontId="6501" applyFont="true" borderId="8" applyBorder="true" applyNumberFormat="true" numFmtId="167" fillId="22" applyFill="true">
      <alignment horizontal="center" vertical="center"/>
    </xf>
    <xf fontId="6502" applyFont="true" borderId="8" applyBorder="true" applyNumberFormat="true" numFmtId="166" fillId="22" applyFill="true">
      <alignment horizontal="center" vertical="center"/>
    </xf>
    <xf fontId="6503" applyFont="true" borderId="8" applyBorder="true" applyNumberFormat="true" numFmtId="166" fillId="22" applyFill="true">
      <alignment horizontal="center" vertical="center"/>
    </xf>
    <xf fontId="6504" applyFont="true" borderId="8" applyBorder="true" applyNumberFormat="true" numFmtId="1" fillId="22" applyFill="true">
      <alignment horizontal="center" vertical="center"/>
    </xf>
    <xf fontId="6505" applyFont="true" borderId="8" applyBorder="true" applyNumberFormat="true" numFmtId="1" fillId="22" applyFill="true">
      <alignment horizontal="center" vertical="center"/>
    </xf>
    <xf fontId="6506" applyFont="true" borderId="8" applyBorder="true" applyNumberFormat="true" numFmtId="1" fillId="22" applyFill="true">
      <alignment horizontal="center" vertical="center"/>
    </xf>
    <xf fontId="6507" applyFont="true" borderId="8" applyBorder="true" applyNumberFormat="true" numFmtId="167" fillId="22" applyFill="true">
      <alignment horizontal="center" vertical="center"/>
    </xf>
    <xf fontId="6508" applyFont="true" borderId="8" applyBorder="true" applyNumberFormat="true" numFmtId="1" fillId="22" applyFill="true">
      <alignment horizontal="center" vertical="center"/>
    </xf>
    <xf fontId="6509" applyFont="true" borderId="8" applyBorder="true" applyNumberFormat="true" numFmtId="167" fillId="22" applyFill="true">
      <alignment horizontal="center" vertical="center"/>
    </xf>
    <xf fontId="6510" applyFont="true" borderId="8" applyBorder="true" applyNumberFormat="true" numFmtId="1" fillId="22" applyFill="true">
      <alignment horizontal="center" vertical="center"/>
    </xf>
    <xf fontId="6511" applyFont="true" borderId="8" applyBorder="true" applyNumberFormat="true" numFmtId="1" fillId="22" applyFill="true">
      <alignment horizontal="center" vertical="center"/>
    </xf>
    <xf fontId="6512" applyFont="true" borderId="8" applyBorder="true" applyNumberFormat="true" numFmtId="1" fillId="22" applyFill="true">
      <alignment horizontal="center" vertical="center"/>
    </xf>
    <xf fontId="6513" applyFont="true" borderId="8" applyBorder="true" applyNumberFormat="true" numFmtId="1" fillId="22" applyFill="true">
      <alignment horizontal="center" vertical="center"/>
    </xf>
    <xf fontId="6514" applyFont="true" borderId="8" applyBorder="true" applyNumberFormat="true" numFmtId="167" fillId="22" applyFill="true">
      <alignment horizontal="center" vertical="center"/>
    </xf>
    <xf fontId="6515" applyFont="true" borderId="8" applyBorder="true" applyNumberFormat="true" numFmtId="1" fillId="22" applyFill="true">
      <alignment horizontal="center" vertical="center"/>
    </xf>
    <xf fontId="6516" applyFont="true" borderId="8" applyBorder="true" applyNumberFormat="true" numFmtId="167" fillId="22" applyFill="true">
      <alignment horizontal="center" vertical="center"/>
    </xf>
    <xf fontId="6517" applyFont="true" borderId="8" applyBorder="true" applyNumberFormat="true" numFmtId="1" fillId="22" applyFill="true">
      <alignment horizontal="center" vertical="center"/>
    </xf>
    <xf fontId="6518" applyFont="true" borderId="8" applyBorder="true" applyNumberFormat="true" numFmtId="167" fillId="22" applyFill="true">
      <alignment horizontal="center" vertical="center"/>
    </xf>
    <xf fontId="6519" applyFont="true" borderId="8" applyBorder="true" applyNumberFormat="true" numFmtId="2" fillId="22" applyFill="true">
      <alignment horizontal="center" vertical="center"/>
    </xf>
    <xf fontId="6520" applyFont="true" borderId="8" applyBorder="true" applyNumberFormat="true" numFmtId="2" fillId="22" applyFill="true">
      <alignment horizontal="center" vertical="center"/>
    </xf>
    <xf fontId="6521" applyFont="true" borderId="8" applyBorder="true" applyNumberFormat="true" numFmtId="2" fillId="22" applyFill="true">
      <alignment horizontal="center" vertical="center"/>
    </xf>
    <xf fontId="6522" applyFont="true" borderId="8" applyBorder="true" applyNumberFormat="true" numFmtId="2" fillId="22" applyFill="true">
      <alignment horizontal="center" vertical="center"/>
    </xf>
    <xf fontId="6523" applyFont="true" borderId="8" applyBorder="true" applyNumberFormat="true" numFmtId="2" fillId="22" applyFill="true">
      <alignment horizontal="center" vertical="center"/>
    </xf>
    <xf fontId="6524" applyFont="true" borderId="8" applyBorder="true" applyNumberFormat="true" numFmtId="2" fillId="22" applyFill="true">
      <alignment horizontal="center" vertical="center"/>
    </xf>
    <xf fontId="6525" applyFont="true" borderId="8" applyBorder="true" applyNumberFormat="true" numFmtId="2" fillId="22" applyFill="true">
      <alignment horizontal="center" vertical="center"/>
    </xf>
    <xf fontId="6526" applyFont="true" borderId="8" applyBorder="true" applyNumberFormat="true" numFmtId="2" fillId="22" applyFill="true">
      <alignment horizontal="center" vertical="center"/>
    </xf>
    <xf fontId="6527" applyFont="true" borderId="8" applyBorder="true" applyNumberFormat="true" numFmtId="2" fillId="22" applyFill="true">
      <alignment horizontal="center" vertical="center"/>
    </xf>
    <xf fontId="6528" applyFont="true" borderId="8" applyBorder="true" applyNumberFormat="true" numFmtId="2" fillId="22" applyFill="true">
      <alignment horizontal="center" vertical="center"/>
    </xf>
    <xf fontId="6529" applyFont="true" borderId="8" applyBorder="true" applyNumberFormat="true" numFmtId="2" fillId="22" applyFill="true">
      <alignment horizontal="center" vertical="center"/>
    </xf>
    <xf fontId="6530" applyFont="true" borderId="8" applyBorder="true" applyNumberFormat="true" numFmtId="2" fillId="22" applyFill="true">
      <alignment horizontal="center" vertical="center"/>
    </xf>
    <xf fontId="6531" applyFont="true" borderId="8" applyBorder="true" applyNumberFormat="true" numFmtId="2" fillId="22" applyFill="true">
      <alignment horizontal="center" vertical="center"/>
    </xf>
    <xf fontId="6532" applyFont="true" borderId="8" applyBorder="true" applyNumberFormat="true" numFmtId="2" fillId="22" applyFill="true">
      <alignment horizontal="center" vertical="center"/>
    </xf>
    <xf fontId="6533" applyFont="true" borderId="8" applyBorder="true" applyNumberFormat="true" numFmtId="2" fillId="22" applyFill="true">
      <alignment horizontal="center" vertical="center"/>
    </xf>
    <xf fontId="6534" applyFont="true" borderId="8" applyBorder="true" applyNumberFormat="true" numFmtId="2" fillId="22" applyFill="true">
      <alignment horizontal="center" vertical="center"/>
    </xf>
    <xf fontId="6535" applyFont="true" borderId="8" applyBorder="true" applyNumberFormat="true" numFmtId="2" fillId="22" applyFill="true">
      <alignment horizontal="center" vertical="center"/>
    </xf>
    <xf fontId="6536" applyFont="true" borderId="8" applyBorder="true" applyNumberFormat="true" numFmtId="2" fillId="22" applyFill="true">
      <alignment horizontal="center" vertical="center"/>
    </xf>
    <xf fontId="6537" applyFont="true" borderId="8" applyBorder="true" applyNumberFormat="true" numFmtId="2" fillId="22" applyFill="true">
      <alignment horizontal="center" vertical="center"/>
    </xf>
    <xf fontId="6538" applyFont="true" borderId="8" applyBorder="true" applyNumberFormat="true" numFmtId="2" fillId="22" applyFill="true">
      <alignment horizontal="center" vertical="center"/>
    </xf>
    <xf fontId="6539" applyFont="true" borderId="8" applyBorder="true" applyNumberFormat="true" numFmtId="2" fillId="22" applyFill="true">
      <alignment horizontal="center" vertical="center"/>
    </xf>
    <xf fontId="6540" applyFont="true" borderId="8" applyBorder="true" applyNumberFormat="true" numFmtId="2" fillId="22" applyFill="true">
      <alignment horizontal="center" vertical="center"/>
    </xf>
    <xf fontId="6541" applyFont="true" borderId="8" applyBorder="true" applyNumberFormat="true" numFmtId="2" fillId="22" applyFill="true">
      <alignment horizontal="center" vertical="center"/>
    </xf>
    <xf fontId="6542" applyFont="true" borderId="8" applyBorder="true" applyNumberFormat="true" numFmtId="2" fillId="22" applyFill="true">
      <alignment horizontal="center" vertical="center"/>
    </xf>
    <xf fontId="6543" applyFont="true" borderId="8" applyBorder="true" applyNumberFormat="true" numFmtId="2" fillId="22" applyFill="true">
      <alignment horizontal="center" vertical="center"/>
    </xf>
    <xf fontId="6544" applyFont="true" borderId="8" applyBorder="true" applyNumberFormat="true" numFmtId="2" fillId="22" applyFill="true">
      <alignment horizontal="center" vertical="center"/>
    </xf>
    <xf fontId="6545" applyFont="true" borderId="8" applyBorder="true" applyNumberFormat="true" numFmtId="2" fillId="22" applyFill="true">
      <alignment horizontal="center" vertical="center"/>
    </xf>
    <xf fontId="6546" applyFont="true" borderId="8" applyBorder="true" applyNumberFormat="true" numFmtId="2" fillId="22" applyFill="true">
      <alignment horizontal="center" vertical="center"/>
    </xf>
    <xf fontId="6547" applyFont="true" borderId="8" applyBorder="true" applyNumberFormat="true" numFmtId="2" fillId="22" applyFill="true">
      <alignment horizontal="center" vertical="center"/>
    </xf>
    <xf fontId="6548" applyFont="true" borderId="8" applyBorder="true" applyNumberFormat="true" numFmtId="2" fillId="22" applyFill="true">
      <alignment horizontal="center" vertical="center"/>
    </xf>
    <xf fontId="6549" applyFont="true" borderId="8" applyBorder="true" applyNumberFormat="true" numFmtId="2" fillId="22" applyFill="true">
      <alignment horizontal="center" vertical="center"/>
    </xf>
    <xf fontId="6550" applyFont="true" borderId="8" applyBorder="true" applyNumberFormat="true" numFmtId="2" fillId="22" applyFill="true">
      <alignment horizontal="center" vertical="center"/>
    </xf>
    <xf fontId="6551" applyFont="true" borderId="8" applyBorder="true" applyNumberFormat="true" numFmtId="2" fillId="22" applyFill="true">
      <alignment horizontal="center" vertical="center"/>
    </xf>
    <xf fontId="6552" applyFont="true" borderId="8" applyBorder="true" applyNumberFormat="true" numFmtId="2" fillId="22" applyFill="true">
      <alignment horizontal="center" vertical="center"/>
    </xf>
    <xf fontId="6553" applyFont="true" borderId="8" applyBorder="true" applyNumberFormat="true" numFmtId="165" fillId="19" applyFill="true">
      <alignment horizontal="left" vertical="center"/>
    </xf>
    <xf fontId="6554" applyFont="true" borderId="8" applyBorder="true" applyNumberFormat="true" numFmtId="165" fillId="22" applyFill="true">
      <alignment horizontal="center" vertical="center"/>
    </xf>
    <xf fontId="6555" applyFont="true" borderId="8" applyBorder="true" applyNumberFormat="true" numFmtId="166" fillId="22" applyFill="true">
      <alignment horizontal="center" vertical="center"/>
    </xf>
    <xf fontId="6556" applyFont="true" borderId="8" applyBorder="true" applyNumberFormat="true" numFmtId="1" fillId="22" applyFill="true">
      <alignment horizontal="center" vertical="center"/>
    </xf>
    <xf fontId="6557" applyFont="true" borderId="8" applyBorder="true" applyNumberFormat="true" numFmtId="1" fillId="22" applyFill="true">
      <alignment horizontal="center" vertical="center"/>
    </xf>
    <xf fontId="6558" applyFont="true" borderId="8" applyBorder="true" applyNumberFormat="true" numFmtId="1" fillId="22" applyFill="true">
      <alignment horizontal="center" vertical="center"/>
    </xf>
    <xf fontId="6559" applyFont="true" borderId="8" applyBorder="true" applyNumberFormat="true" numFmtId="1" fillId="22" applyFill="true">
      <alignment horizontal="center" vertical="center"/>
    </xf>
    <xf fontId="6560" applyFont="true" borderId="8" applyBorder="true" applyNumberFormat="true" numFmtId="1" fillId="22" applyFill="true">
      <alignment horizontal="center" vertical="center"/>
    </xf>
    <xf fontId="6561" applyFont="true" borderId="8" applyBorder="true" applyNumberFormat="true" numFmtId="1" fillId="22" applyFill="true">
      <alignment horizontal="center" vertical="center"/>
    </xf>
    <xf fontId="6562" applyFont="true" borderId="8" applyBorder="true" applyNumberFormat="true" numFmtId="1" fillId="22" applyFill="true">
      <alignment horizontal="center" vertical="center"/>
    </xf>
    <xf fontId="6563" applyFont="true" borderId="8" applyBorder="true" applyNumberFormat="true" numFmtId="165" fillId="22" applyFill="true">
      <alignment horizontal="center" vertical="center"/>
    </xf>
    <xf fontId="6564" applyFont="true" borderId="8" applyBorder="true" applyNumberFormat="true" numFmtId="165" fillId="22" applyFill="true">
      <alignment horizontal="center" vertical="center"/>
    </xf>
    <xf fontId="6565" applyFont="true" borderId="8" applyBorder="true" applyNumberFormat="true" numFmtId="1" fillId="22" applyFill="true">
      <alignment horizontal="center" vertical="center"/>
    </xf>
    <xf fontId="6566" applyFont="true" borderId="8" applyBorder="true" applyNumberFormat="true" numFmtId="1" fillId="22" applyFill="true">
      <alignment horizontal="center" vertical="center"/>
    </xf>
    <xf fontId="6567" applyFont="true" borderId="8" applyBorder="true" applyNumberFormat="true" numFmtId="1" fillId="22" applyFill="true">
      <alignment horizontal="center" vertical="center"/>
    </xf>
    <xf fontId="6568" applyFont="true" borderId="8" applyBorder="true" applyNumberFormat="true" numFmtId="167" fillId="22" applyFill="true">
      <alignment horizontal="center" vertical="center"/>
    </xf>
    <xf fontId="6569" applyFont="true" borderId="8" applyBorder="true" applyNumberFormat="true" numFmtId="1" fillId="22" applyFill="true">
      <alignment horizontal="center" vertical="center"/>
    </xf>
    <xf fontId="6570" applyFont="true" borderId="8" applyBorder="true" applyNumberFormat="true" numFmtId="167" fillId="22" applyFill="true">
      <alignment horizontal="center" vertical="center"/>
    </xf>
    <xf fontId="6571" applyFont="true" borderId="8" applyBorder="true" applyNumberFormat="true" numFmtId="1" fillId="22" applyFill="true">
      <alignment horizontal="center" vertical="center"/>
    </xf>
    <xf fontId="6572" applyFont="true" borderId="8" applyBorder="true" applyNumberFormat="true" numFmtId="167" fillId="22" applyFill="true">
      <alignment horizontal="center" vertical="center"/>
    </xf>
    <xf fontId="6573" applyFont="true" borderId="8" applyBorder="true" applyNumberFormat="true" numFmtId="1" fillId="22" applyFill="true">
      <alignment horizontal="center" vertical="center"/>
    </xf>
    <xf fontId="6574" applyFont="true" borderId="8" applyBorder="true" applyNumberFormat="true" numFmtId="167" fillId="22" applyFill="true">
      <alignment horizontal="center" vertical="center"/>
    </xf>
    <xf fontId="6575" applyFont="true" borderId="8" applyBorder="true" applyNumberFormat="true" numFmtId="167" fillId="22" applyFill="true">
      <alignment horizontal="center" vertical="center"/>
    </xf>
    <xf fontId="6576" applyFont="true" borderId="8" applyBorder="true" applyNumberFormat="true" numFmtId="1" fillId="22" applyFill="true">
      <alignment horizontal="center" vertical="center"/>
    </xf>
    <xf fontId="6577" applyFont="true" borderId="8" applyBorder="true" applyNumberFormat="true" numFmtId="1" fillId="22" applyFill="true">
      <alignment horizontal="center" vertical="center"/>
    </xf>
    <xf fontId="6578" applyFont="true" borderId="8" applyBorder="true" applyNumberFormat="true" numFmtId="1" fillId="22" applyFill="true">
      <alignment horizontal="center" vertical="center"/>
    </xf>
    <xf fontId="6579" applyFont="true" borderId="8" applyBorder="true" applyNumberFormat="true" numFmtId="167" fillId="22" applyFill="true">
      <alignment horizontal="center" vertical="center"/>
    </xf>
    <xf fontId="6580" applyFont="true" borderId="8" applyBorder="true" applyNumberFormat="true" numFmtId="166" fillId="22" applyFill="true">
      <alignment horizontal="center" vertical="center"/>
    </xf>
    <xf fontId="6581" applyFont="true" borderId="8" applyBorder="true" applyNumberFormat="true" numFmtId="166" fillId="22" applyFill="true">
      <alignment horizontal="center" vertical="center"/>
    </xf>
    <xf fontId="6582" applyFont="true" borderId="8" applyBorder="true" applyNumberFormat="true" numFmtId="1" fillId="22" applyFill="true">
      <alignment horizontal="center" vertical="center"/>
    </xf>
    <xf fontId="6583" applyFont="true" borderId="8" applyBorder="true" applyNumberFormat="true" numFmtId="1" fillId="22" applyFill="true">
      <alignment horizontal="center" vertical="center"/>
    </xf>
    <xf fontId="6584" applyFont="true" borderId="8" applyBorder="true" applyNumberFormat="true" numFmtId="1" fillId="22" applyFill="true">
      <alignment horizontal="center" vertical="center"/>
    </xf>
    <xf fontId="6585" applyFont="true" borderId="8" applyBorder="true" applyNumberFormat="true" numFmtId="167" fillId="22" applyFill="true">
      <alignment horizontal="center" vertical="center"/>
    </xf>
    <xf fontId="6586" applyFont="true" borderId="8" applyBorder="true" applyNumberFormat="true" numFmtId="1" fillId="22" applyFill="true">
      <alignment horizontal="center" vertical="center"/>
    </xf>
    <xf fontId="6587" applyFont="true" borderId="8" applyBorder="true" applyNumberFormat="true" numFmtId="167" fillId="22" applyFill="true">
      <alignment horizontal="center" vertical="center"/>
    </xf>
    <xf fontId="6588" applyFont="true" borderId="8" applyBorder="true" applyNumberFormat="true" numFmtId="1" fillId="22" applyFill="true">
      <alignment horizontal="center" vertical="center"/>
    </xf>
    <xf fontId="6589" applyFont="true" borderId="8" applyBorder="true" applyNumberFormat="true" numFmtId="1" fillId="22" applyFill="true">
      <alignment horizontal="center" vertical="center"/>
    </xf>
    <xf fontId="6590" applyFont="true" borderId="8" applyBorder="true" applyNumberFormat="true" numFmtId="1" fillId="22" applyFill="true">
      <alignment horizontal="center" vertical="center"/>
    </xf>
    <xf fontId="6591" applyFont="true" borderId="8" applyBorder="true" applyNumberFormat="true" numFmtId="1" fillId="22" applyFill="true">
      <alignment horizontal="center" vertical="center"/>
    </xf>
    <xf fontId="6592" applyFont="true" borderId="8" applyBorder="true" applyNumberFormat="true" numFmtId="167" fillId="22" applyFill="true">
      <alignment horizontal="center" vertical="center"/>
    </xf>
    <xf fontId="6593" applyFont="true" borderId="8" applyBorder="true" applyNumberFormat="true" numFmtId="1" fillId="22" applyFill="true">
      <alignment horizontal="center" vertical="center"/>
    </xf>
    <xf fontId="6594" applyFont="true" borderId="8" applyBorder="true" applyNumberFormat="true" numFmtId="167" fillId="22" applyFill="true">
      <alignment horizontal="center" vertical="center"/>
    </xf>
    <xf fontId="6595" applyFont="true" borderId="8" applyBorder="true" applyNumberFormat="true" numFmtId="1" fillId="22" applyFill="true">
      <alignment horizontal="center" vertical="center"/>
    </xf>
    <xf fontId="6596" applyFont="true" borderId="8" applyBorder="true" applyNumberFormat="true" numFmtId="167" fillId="22" applyFill="true">
      <alignment horizontal="center" vertical="center"/>
    </xf>
    <xf fontId="6597" applyFont="true" borderId="8" applyBorder="true" applyNumberFormat="true" numFmtId="2" fillId="22" applyFill="true">
      <alignment horizontal="center" vertical="center"/>
    </xf>
    <xf fontId="6598" applyFont="true" borderId="8" applyBorder="true" applyNumberFormat="true" numFmtId="2" fillId="22" applyFill="true">
      <alignment horizontal="center" vertical="center"/>
    </xf>
    <xf fontId="6599" applyFont="true" borderId="8" applyBorder="true" applyNumberFormat="true" numFmtId="2" fillId="22" applyFill="true">
      <alignment horizontal="center" vertical="center"/>
    </xf>
    <xf fontId="6600" applyFont="true" borderId="8" applyBorder="true" applyNumberFormat="true" numFmtId="2" fillId="22" applyFill="true">
      <alignment horizontal="center" vertical="center"/>
    </xf>
    <xf fontId="6601" applyFont="true" borderId="8" applyBorder="true" applyNumberFormat="true" numFmtId="2" fillId="22" applyFill="true">
      <alignment horizontal="center" vertical="center"/>
    </xf>
    <xf fontId="6602" applyFont="true" borderId="8" applyBorder="true" applyNumberFormat="true" numFmtId="2" fillId="22" applyFill="true">
      <alignment horizontal="center" vertical="center"/>
    </xf>
    <xf fontId="6603" applyFont="true" borderId="8" applyBorder="true" applyNumberFormat="true" numFmtId="2" fillId="22" applyFill="true">
      <alignment horizontal="center" vertical="center"/>
    </xf>
    <xf fontId="6604" applyFont="true" borderId="8" applyBorder="true" applyNumberFormat="true" numFmtId="2" fillId="22" applyFill="true">
      <alignment horizontal="center" vertical="center"/>
    </xf>
    <xf fontId="6605" applyFont="true" borderId="8" applyBorder="true" applyNumberFormat="true" numFmtId="2" fillId="22" applyFill="true">
      <alignment horizontal="center" vertical="center"/>
    </xf>
    <xf fontId="6606" applyFont="true" borderId="8" applyBorder="true" applyNumberFormat="true" numFmtId="2" fillId="22" applyFill="true">
      <alignment horizontal="center" vertical="center"/>
    </xf>
    <xf fontId="6607" applyFont="true" borderId="8" applyBorder="true" applyNumberFormat="true" numFmtId="2" fillId="22" applyFill="true">
      <alignment horizontal="center" vertical="center"/>
    </xf>
    <xf fontId="6608" applyFont="true" borderId="8" applyBorder="true" applyNumberFormat="true" numFmtId="2" fillId="22" applyFill="true">
      <alignment horizontal="center" vertical="center"/>
    </xf>
    <xf fontId="6609" applyFont="true" borderId="8" applyBorder="true" applyNumberFormat="true" numFmtId="2" fillId="22" applyFill="true">
      <alignment horizontal="center" vertical="center"/>
    </xf>
    <xf fontId="6610" applyFont="true" borderId="8" applyBorder="true" applyNumberFormat="true" numFmtId="2" fillId="22" applyFill="true">
      <alignment horizontal="center" vertical="center"/>
    </xf>
    <xf fontId="6611" applyFont="true" borderId="8" applyBorder="true" applyNumberFormat="true" numFmtId="2" fillId="22" applyFill="true">
      <alignment horizontal="center" vertical="center"/>
    </xf>
    <xf fontId="6612" applyFont="true" borderId="8" applyBorder="true" applyNumberFormat="true" numFmtId="2" fillId="22" applyFill="true">
      <alignment horizontal="center" vertical="center"/>
    </xf>
    <xf fontId="6613" applyFont="true" borderId="8" applyBorder="true" applyNumberFormat="true" numFmtId="2" fillId="22" applyFill="true">
      <alignment horizontal="center" vertical="center"/>
    </xf>
    <xf fontId="6614" applyFont="true" borderId="8" applyBorder="true" applyNumberFormat="true" numFmtId="2" fillId="22" applyFill="true">
      <alignment horizontal="center" vertical="center"/>
    </xf>
    <xf fontId="6615" applyFont="true" borderId="8" applyBorder="true" applyNumberFormat="true" numFmtId="2" fillId="22" applyFill="true">
      <alignment horizontal="center" vertical="center"/>
    </xf>
    <xf fontId="6616" applyFont="true" borderId="8" applyBorder="true" applyNumberFormat="true" numFmtId="2" fillId="22" applyFill="true">
      <alignment horizontal="center" vertical="center"/>
    </xf>
    <xf fontId="6617" applyFont="true" borderId="8" applyBorder="true" applyNumberFormat="true" numFmtId="2" fillId="22" applyFill="true">
      <alignment horizontal="center" vertical="center"/>
    </xf>
    <xf fontId="6618" applyFont="true" borderId="8" applyBorder="true" applyNumberFormat="true" numFmtId="2" fillId="22" applyFill="true">
      <alignment horizontal="center" vertical="center"/>
    </xf>
    <xf fontId="6619" applyFont="true" borderId="8" applyBorder="true" applyNumberFormat="true" numFmtId="2" fillId="22" applyFill="true">
      <alignment horizontal="center" vertical="center"/>
    </xf>
    <xf fontId="6620" applyFont="true" borderId="8" applyBorder="true" applyNumberFormat="true" numFmtId="2" fillId="22" applyFill="true">
      <alignment horizontal="center" vertical="center"/>
    </xf>
    <xf fontId="6621" applyFont="true" borderId="8" applyBorder="true" applyNumberFormat="true" numFmtId="2" fillId="22" applyFill="true">
      <alignment horizontal="center" vertical="center"/>
    </xf>
    <xf fontId="6622" applyFont="true" borderId="8" applyBorder="true" applyNumberFormat="true" numFmtId="2" fillId="22" applyFill="true">
      <alignment horizontal="center" vertical="center"/>
    </xf>
    <xf fontId="6623" applyFont="true" borderId="8" applyBorder="true" applyNumberFormat="true" numFmtId="2" fillId="22" applyFill="true">
      <alignment horizontal="center" vertical="center"/>
    </xf>
    <xf fontId="6624" applyFont="true" borderId="8" applyBorder="true" applyNumberFormat="true" numFmtId="2" fillId="22" applyFill="true">
      <alignment horizontal="center" vertical="center"/>
    </xf>
    <xf fontId="6625" applyFont="true" borderId="8" applyBorder="true" applyNumberFormat="true" numFmtId="2" fillId="22" applyFill="true">
      <alignment horizontal="center" vertical="center"/>
    </xf>
    <xf fontId="6626" applyFont="true" borderId="8" applyBorder="true" applyNumberFormat="true" numFmtId="2" fillId="22" applyFill="true">
      <alignment horizontal="center" vertical="center"/>
    </xf>
    <xf fontId="6627" applyFont="true" borderId="8" applyBorder="true" applyNumberFormat="true" numFmtId="2" fillId="22" applyFill="true">
      <alignment horizontal="center" vertical="center"/>
    </xf>
    <xf fontId="6628" applyFont="true" borderId="8" applyBorder="true" applyNumberFormat="true" numFmtId="2" fillId="22" applyFill="true">
      <alignment horizontal="center" vertical="center"/>
    </xf>
    <xf fontId="6629" applyFont="true" borderId="8" applyBorder="true" applyNumberFormat="true" numFmtId="2" fillId="22" applyFill="true">
      <alignment horizontal="center" vertical="center"/>
    </xf>
    <xf fontId="6630" applyFont="true" borderId="8" applyBorder="true" applyNumberFormat="true" numFmtId="2" fillId="22" applyFill="true">
      <alignment horizontal="center" vertical="center"/>
    </xf>
    <xf fontId="6631" applyFont="true" borderId="8" applyBorder="true" applyNumberFormat="true" numFmtId="165" fillId="19" applyFill="true">
      <alignment horizontal="left" vertical="center"/>
    </xf>
    <xf fontId="6632" applyFont="true" borderId="8" applyBorder="true" applyNumberFormat="true" numFmtId="165" fillId="22" applyFill="true">
      <alignment horizontal="center" vertical="center"/>
    </xf>
    <xf fontId="6633" applyFont="true" borderId="8" applyBorder="true" applyNumberFormat="true" numFmtId="166" fillId="22" applyFill="true">
      <alignment horizontal="center" vertical="center"/>
    </xf>
    <xf fontId="6634" applyFont="true" borderId="8" applyBorder="true" applyNumberFormat="true" numFmtId="1" fillId="22" applyFill="true">
      <alignment horizontal="center" vertical="center"/>
    </xf>
    <xf fontId="6635" applyFont="true" borderId="8" applyBorder="true" applyNumberFormat="true" numFmtId="1" fillId="22" applyFill="true">
      <alignment horizontal="center" vertical="center"/>
    </xf>
    <xf fontId="6636" applyFont="true" borderId="8" applyBorder="true" applyNumberFormat="true" numFmtId="1" fillId="22" applyFill="true">
      <alignment horizontal="center" vertical="center"/>
    </xf>
    <xf fontId="6637" applyFont="true" borderId="8" applyBorder="true" applyNumberFormat="true" numFmtId="1" fillId="22" applyFill="true">
      <alignment horizontal="center" vertical="center"/>
    </xf>
    <xf fontId="6638" applyFont="true" borderId="8" applyBorder="true" applyNumberFormat="true" numFmtId="1" fillId="22" applyFill="true">
      <alignment horizontal="center" vertical="center"/>
    </xf>
    <xf fontId="6639" applyFont="true" borderId="8" applyBorder="true" applyNumberFormat="true" numFmtId="1" fillId="22" applyFill="true">
      <alignment horizontal="center" vertical="center"/>
    </xf>
    <xf fontId="6640" applyFont="true" borderId="8" applyBorder="true" applyNumberFormat="true" numFmtId="1" fillId="22" applyFill="true">
      <alignment horizontal="center" vertical="center"/>
    </xf>
    <xf fontId="6641" applyFont="true" borderId="8" applyBorder="true" applyNumberFormat="true" numFmtId="165" fillId="22" applyFill="true">
      <alignment horizontal="center" vertical="center"/>
    </xf>
    <xf fontId="6642" applyFont="true" borderId="8" applyBorder="true" applyNumberFormat="true" numFmtId="165" fillId="22" applyFill="true">
      <alignment horizontal="center" vertical="center"/>
    </xf>
    <xf fontId="6643" applyFont="true" borderId="8" applyBorder="true" applyNumberFormat="true" numFmtId="1" fillId="22" applyFill="true">
      <alignment horizontal="center" vertical="center"/>
    </xf>
    <xf fontId="6644" applyFont="true" borderId="8" applyBorder="true" applyNumberFormat="true" numFmtId="1" fillId="22" applyFill="true">
      <alignment horizontal="center" vertical="center"/>
    </xf>
    <xf fontId="6645" applyFont="true" borderId="8" applyBorder="true" applyNumberFormat="true" numFmtId="1" fillId="22" applyFill="true">
      <alignment horizontal="center" vertical="center"/>
    </xf>
    <xf fontId="6646" applyFont="true" borderId="8" applyBorder="true" applyNumberFormat="true" numFmtId="167" fillId="22" applyFill="true">
      <alignment horizontal="center" vertical="center"/>
    </xf>
    <xf fontId="6647" applyFont="true" borderId="8" applyBorder="true" applyNumberFormat="true" numFmtId="1" fillId="22" applyFill="true">
      <alignment horizontal="center" vertical="center"/>
    </xf>
    <xf fontId="6648" applyFont="true" borderId="8" applyBorder="true" applyNumberFormat="true" numFmtId="167" fillId="22" applyFill="true">
      <alignment horizontal="center" vertical="center"/>
    </xf>
    <xf fontId="6649" applyFont="true" borderId="8" applyBorder="true" applyNumberFormat="true" numFmtId="1" fillId="22" applyFill="true">
      <alignment horizontal="center" vertical="center"/>
    </xf>
    <xf fontId="6650" applyFont="true" borderId="8" applyBorder="true" applyNumberFormat="true" numFmtId="167" fillId="22" applyFill="true">
      <alignment horizontal="center" vertical="center"/>
    </xf>
    <xf fontId="6651" applyFont="true" borderId="8" applyBorder="true" applyNumberFormat="true" numFmtId="1" fillId="22" applyFill="true">
      <alignment horizontal="center" vertical="center"/>
    </xf>
    <xf fontId="6652" applyFont="true" borderId="8" applyBorder="true" applyNumberFormat="true" numFmtId="167" fillId="22" applyFill="true">
      <alignment horizontal="center" vertical="center"/>
    </xf>
    <xf fontId="6653" applyFont="true" borderId="8" applyBorder="true" applyNumberFormat="true" numFmtId="167" fillId="22" applyFill="true">
      <alignment horizontal="center" vertical="center"/>
    </xf>
    <xf fontId="6654" applyFont="true" borderId="8" applyBorder="true" applyNumberFormat="true" numFmtId="1" fillId="22" applyFill="true">
      <alignment horizontal="center" vertical="center"/>
    </xf>
    <xf fontId="6655" applyFont="true" borderId="8" applyBorder="true" applyNumberFormat="true" numFmtId="1" fillId="22" applyFill="true">
      <alignment horizontal="center" vertical="center"/>
    </xf>
    <xf fontId="6656" applyFont="true" borderId="8" applyBorder="true" applyNumberFormat="true" numFmtId="1" fillId="22" applyFill="true">
      <alignment horizontal="center" vertical="center"/>
    </xf>
    <xf fontId="6657" applyFont="true" borderId="8" applyBorder="true" applyNumberFormat="true" numFmtId="167" fillId="22" applyFill="true">
      <alignment horizontal="center" vertical="center"/>
    </xf>
    <xf fontId="6658" applyFont="true" borderId="8" applyBorder="true" applyNumberFormat="true" numFmtId="166" fillId="22" applyFill="true">
      <alignment horizontal="center" vertical="center"/>
    </xf>
    <xf fontId="6659" applyFont="true" borderId="8" applyBorder="true" applyNumberFormat="true" numFmtId="166" fillId="22" applyFill="true">
      <alignment horizontal="center" vertical="center"/>
    </xf>
    <xf fontId="6660" applyFont="true" borderId="8" applyBorder="true" applyNumberFormat="true" numFmtId="1" fillId="22" applyFill="true">
      <alignment horizontal="center" vertical="center"/>
    </xf>
    <xf fontId="6661" applyFont="true" borderId="8" applyBorder="true" applyNumberFormat="true" numFmtId="1" fillId="22" applyFill="true">
      <alignment horizontal="center" vertical="center"/>
    </xf>
    <xf fontId="6662" applyFont="true" borderId="8" applyBorder="true" applyNumberFormat="true" numFmtId="1" fillId="22" applyFill="true">
      <alignment horizontal="center" vertical="center"/>
    </xf>
    <xf fontId="6663" applyFont="true" borderId="8" applyBorder="true" applyNumberFormat="true" numFmtId="167" fillId="22" applyFill="true">
      <alignment horizontal="center" vertical="center"/>
    </xf>
    <xf fontId="6664" applyFont="true" borderId="8" applyBorder="true" applyNumberFormat="true" numFmtId="1" fillId="22" applyFill="true">
      <alignment horizontal="center" vertical="center"/>
    </xf>
    <xf fontId="6665" applyFont="true" borderId="8" applyBorder="true" applyNumberFormat="true" numFmtId="167" fillId="22" applyFill="true">
      <alignment horizontal="center" vertical="center"/>
    </xf>
    <xf fontId="6666" applyFont="true" borderId="8" applyBorder="true" applyNumberFormat="true" numFmtId="1" fillId="22" applyFill="true">
      <alignment horizontal="center" vertical="center"/>
    </xf>
    <xf fontId="6667" applyFont="true" borderId="8" applyBorder="true" applyNumberFormat="true" numFmtId="1" fillId="22" applyFill="true">
      <alignment horizontal="center" vertical="center"/>
    </xf>
    <xf fontId="6668" applyFont="true" borderId="8" applyBorder="true" applyNumberFormat="true" numFmtId="1" fillId="22" applyFill="true">
      <alignment horizontal="center" vertical="center"/>
    </xf>
    <xf fontId="6669" applyFont="true" borderId="8" applyBorder="true" applyNumberFormat="true" numFmtId="1" fillId="22" applyFill="true">
      <alignment horizontal="center" vertical="center"/>
    </xf>
    <xf fontId="6670" applyFont="true" borderId="8" applyBorder="true" applyNumberFormat="true" numFmtId="167" fillId="22" applyFill="true">
      <alignment horizontal="center" vertical="center"/>
    </xf>
    <xf fontId="6671" applyFont="true" borderId="8" applyBorder="true" applyNumberFormat="true" numFmtId="1" fillId="22" applyFill="true">
      <alignment horizontal="center" vertical="center"/>
    </xf>
    <xf fontId="6672" applyFont="true" borderId="8" applyBorder="true" applyNumberFormat="true" numFmtId="167" fillId="22" applyFill="true">
      <alignment horizontal="center" vertical="center"/>
    </xf>
    <xf fontId="6673" applyFont="true" borderId="8" applyBorder="true" applyNumberFormat="true" numFmtId="1" fillId="22" applyFill="true">
      <alignment horizontal="center" vertical="center"/>
    </xf>
    <xf fontId="6674" applyFont="true" borderId="8" applyBorder="true" applyNumberFormat="true" numFmtId="167" fillId="22" applyFill="true">
      <alignment horizontal="center" vertical="center"/>
    </xf>
    <xf fontId="6675" applyFont="true" borderId="8" applyBorder="true" applyNumberFormat="true" numFmtId="2" fillId="22" applyFill="true">
      <alignment horizontal="center" vertical="center"/>
    </xf>
    <xf fontId="6676" applyFont="true" borderId="8" applyBorder="true" applyNumberFormat="true" numFmtId="2" fillId="22" applyFill="true">
      <alignment horizontal="center" vertical="center"/>
    </xf>
    <xf fontId="6677" applyFont="true" borderId="8" applyBorder="true" applyNumberFormat="true" numFmtId="2" fillId="22" applyFill="true">
      <alignment horizontal="center" vertical="center"/>
    </xf>
    <xf fontId="6678" applyFont="true" borderId="8" applyBorder="true" applyNumberFormat="true" numFmtId="2" fillId="22" applyFill="true">
      <alignment horizontal="center" vertical="center"/>
    </xf>
    <xf fontId="6679" applyFont="true" borderId="8" applyBorder="true" applyNumberFormat="true" numFmtId="2" fillId="22" applyFill="true">
      <alignment horizontal="center" vertical="center"/>
    </xf>
    <xf fontId="6680" applyFont="true" borderId="8" applyBorder="true" applyNumberFormat="true" numFmtId="2" fillId="22" applyFill="true">
      <alignment horizontal="center" vertical="center"/>
    </xf>
    <xf fontId="6681" applyFont="true" borderId="8" applyBorder="true" applyNumberFormat="true" numFmtId="2" fillId="22" applyFill="true">
      <alignment horizontal="center" vertical="center"/>
    </xf>
    <xf fontId="6682" applyFont="true" borderId="8" applyBorder="true" applyNumberFormat="true" numFmtId="2" fillId="22" applyFill="true">
      <alignment horizontal="center" vertical="center"/>
    </xf>
    <xf fontId="6683" applyFont="true" borderId="8" applyBorder="true" applyNumberFormat="true" numFmtId="2" fillId="22" applyFill="true">
      <alignment horizontal="center" vertical="center"/>
    </xf>
    <xf fontId="6684" applyFont="true" borderId="8" applyBorder="true" applyNumberFormat="true" numFmtId="2" fillId="22" applyFill="true">
      <alignment horizontal="center" vertical="center"/>
    </xf>
    <xf fontId="6685" applyFont="true" borderId="8" applyBorder="true" applyNumberFormat="true" numFmtId="2" fillId="22" applyFill="true">
      <alignment horizontal="center" vertical="center"/>
    </xf>
    <xf fontId="6686" applyFont="true" borderId="8" applyBorder="true" applyNumberFormat="true" numFmtId="2" fillId="22" applyFill="true">
      <alignment horizontal="center" vertical="center"/>
    </xf>
    <xf fontId="6687" applyFont="true" borderId="8" applyBorder="true" applyNumberFormat="true" numFmtId="2" fillId="22" applyFill="true">
      <alignment horizontal="center" vertical="center"/>
    </xf>
    <xf fontId="6688" applyFont="true" borderId="8" applyBorder="true" applyNumberFormat="true" numFmtId="2" fillId="22" applyFill="true">
      <alignment horizontal="center" vertical="center"/>
    </xf>
    <xf fontId="6689" applyFont="true" borderId="8" applyBorder="true" applyNumberFormat="true" numFmtId="2" fillId="22" applyFill="true">
      <alignment horizontal="center" vertical="center"/>
    </xf>
    <xf fontId="6690" applyFont="true" borderId="8" applyBorder="true" applyNumberFormat="true" numFmtId="2" fillId="22" applyFill="true">
      <alignment horizontal="center" vertical="center"/>
    </xf>
    <xf fontId="6691" applyFont="true" borderId="8" applyBorder="true" applyNumberFormat="true" numFmtId="2" fillId="22" applyFill="true">
      <alignment horizontal="center" vertical="center"/>
    </xf>
    <xf fontId="6692" applyFont="true" borderId="8" applyBorder="true" applyNumberFormat="true" numFmtId="2" fillId="22" applyFill="true">
      <alignment horizontal="center" vertical="center"/>
    </xf>
    <xf fontId="6693" applyFont="true" borderId="8" applyBorder="true" applyNumberFormat="true" numFmtId="2" fillId="22" applyFill="true">
      <alignment horizontal="center" vertical="center"/>
    </xf>
    <xf fontId="6694" applyFont="true" borderId="8" applyBorder="true" applyNumberFormat="true" numFmtId="2" fillId="22" applyFill="true">
      <alignment horizontal="center" vertical="center"/>
    </xf>
    <xf fontId="6695" applyFont="true" borderId="8" applyBorder="true" applyNumberFormat="true" numFmtId="2" fillId="22" applyFill="true">
      <alignment horizontal="center" vertical="center"/>
    </xf>
    <xf fontId="6696" applyFont="true" borderId="8" applyBorder="true" applyNumberFormat="true" numFmtId="2" fillId="22" applyFill="true">
      <alignment horizontal="center" vertical="center"/>
    </xf>
    <xf fontId="6697" applyFont="true" borderId="8" applyBorder="true" applyNumberFormat="true" numFmtId="2" fillId="22" applyFill="true">
      <alignment horizontal="center" vertical="center"/>
    </xf>
    <xf fontId="6698" applyFont="true" borderId="8" applyBorder="true" applyNumberFormat="true" numFmtId="2" fillId="22" applyFill="true">
      <alignment horizontal="center" vertical="center"/>
    </xf>
    <xf fontId="6699" applyFont="true" borderId="8" applyBorder="true" applyNumberFormat="true" numFmtId="2" fillId="22" applyFill="true">
      <alignment horizontal="center" vertical="center"/>
    </xf>
    <xf fontId="6700" applyFont="true" borderId="8" applyBorder="true" applyNumberFormat="true" numFmtId="2" fillId="22" applyFill="true">
      <alignment horizontal="center" vertical="center"/>
    </xf>
    <xf fontId="6701" applyFont="true" borderId="8" applyBorder="true" applyNumberFormat="true" numFmtId="2" fillId="22" applyFill="true">
      <alignment horizontal="center" vertical="center"/>
    </xf>
    <xf fontId="6702" applyFont="true" borderId="8" applyBorder="true" applyNumberFormat="true" numFmtId="2" fillId="22" applyFill="true">
      <alignment horizontal="center" vertical="center"/>
    </xf>
    <xf fontId="6703" applyFont="true" borderId="8" applyBorder="true" applyNumberFormat="true" numFmtId="2" fillId="22" applyFill="true">
      <alignment horizontal="center" vertical="center"/>
    </xf>
    <xf fontId="6704" applyFont="true" borderId="8" applyBorder="true" applyNumberFormat="true" numFmtId="2" fillId="22" applyFill="true">
      <alignment horizontal="center" vertical="center"/>
    </xf>
    <xf fontId="6705" applyFont="true" borderId="8" applyBorder="true" applyNumberFormat="true" numFmtId="2" fillId="22" applyFill="true">
      <alignment horizontal="center" vertical="center"/>
    </xf>
    <xf fontId="6706" applyFont="true" borderId="8" applyBorder="true" applyNumberFormat="true" numFmtId="2" fillId="22" applyFill="true">
      <alignment horizontal="center" vertical="center"/>
    </xf>
    <xf fontId="6707" applyFont="true" borderId="8" applyBorder="true" applyNumberFormat="true" numFmtId="2" fillId="22" applyFill="true">
      <alignment horizontal="center" vertical="center"/>
    </xf>
    <xf fontId="6708" applyFont="true" borderId="8" applyBorder="true" applyNumberFormat="true" numFmtId="2" fillId="22" applyFill="true">
      <alignment horizontal="center" vertical="center"/>
    </xf>
    <xf fontId="6709" applyFont="true" borderId="8" applyBorder="true" applyNumberFormat="true" numFmtId="165" fillId="19" applyFill="true">
      <alignment horizontal="left" vertical="center"/>
    </xf>
    <xf fontId="6710" applyFont="true" borderId="8" applyBorder="true" applyNumberFormat="true" numFmtId="165" fillId="22" applyFill="true">
      <alignment horizontal="center" vertical="center"/>
    </xf>
    <xf fontId="6711" applyFont="true" borderId="8" applyBorder="true" applyNumberFormat="true" numFmtId="166" fillId="22" applyFill="true">
      <alignment horizontal="center" vertical="center"/>
    </xf>
    <xf fontId="6712" applyFont="true" borderId="8" applyBorder="true" applyNumberFormat="true" numFmtId="1" fillId="22" applyFill="true">
      <alignment horizontal="center" vertical="center"/>
    </xf>
    <xf fontId="6713" applyFont="true" borderId="8" applyBorder="true" applyNumberFormat="true" numFmtId="1" fillId="22" applyFill="true">
      <alignment horizontal="center" vertical="center"/>
    </xf>
    <xf fontId="6714" applyFont="true" borderId="8" applyBorder="true" applyNumberFormat="true" numFmtId="1" fillId="22" applyFill="true">
      <alignment horizontal="center" vertical="center"/>
    </xf>
    <xf fontId="6715" applyFont="true" borderId="8" applyBorder="true" applyNumberFormat="true" numFmtId="1" fillId="22" applyFill="true">
      <alignment horizontal="center" vertical="center"/>
    </xf>
    <xf fontId="6716" applyFont="true" borderId="8" applyBorder="true" applyNumberFormat="true" numFmtId="1" fillId="22" applyFill="true">
      <alignment horizontal="center" vertical="center"/>
    </xf>
    <xf fontId="6717" applyFont="true" borderId="8" applyBorder="true" applyNumberFormat="true" numFmtId="1" fillId="22" applyFill="true">
      <alignment horizontal="center" vertical="center"/>
    </xf>
    <xf fontId="6718" applyFont="true" borderId="8" applyBorder="true" applyNumberFormat="true" numFmtId="1" fillId="22" applyFill="true">
      <alignment horizontal="center" vertical="center"/>
    </xf>
    <xf fontId="6719" applyFont="true" borderId="8" applyBorder="true" applyNumberFormat="true" numFmtId="165" fillId="22" applyFill="true">
      <alignment horizontal="center" vertical="center"/>
    </xf>
    <xf fontId="6720" applyFont="true" borderId="8" applyBorder="true" applyNumberFormat="true" numFmtId="165" fillId="22" applyFill="true">
      <alignment horizontal="center" vertical="center"/>
    </xf>
    <xf fontId="6721" applyFont="true" borderId="8" applyBorder="true" applyNumberFormat="true" numFmtId="1" fillId="22" applyFill="true">
      <alignment horizontal="center" vertical="center"/>
    </xf>
    <xf fontId="6722" applyFont="true" borderId="8" applyBorder="true" applyNumberFormat="true" numFmtId="1" fillId="22" applyFill="true">
      <alignment horizontal="center" vertical="center"/>
    </xf>
    <xf fontId="6723" applyFont="true" borderId="8" applyBorder="true" applyNumberFormat="true" numFmtId="1" fillId="22" applyFill="true">
      <alignment horizontal="center" vertical="center"/>
    </xf>
    <xf fontId="6724" applyFont="true" borderId="8" applyBorder="true" applyNumberFormat="true" numFmtId="167" fillId="22" applyFill="true">
      <alignment horizontal="center" vertical="center"/>
    </xf>
    <xf fontId="6725" applyFont="true" borderId="8" applyBorder="true" applyNumberFormat="true" numFmtId="1" fillId="22" applyFill="true">
      <alignment horizontal="center" vertical="center"/>
    </xf>
    <xf fontId="6726" applyFont="true" borderId="8" applyBorder="true" applyNumberFormat="true" numFmtId="167" fillId="22" applyFill="true">
      <alignment horizontal="center" vertical="center"/>
    </xf>
    <xf fontId="6727" applyFont="true" borderId="8" applyBorder="true" applyNumberFormat="true" numFmtId="1" fillId="22" applyFill="true">
      <alignment horizontal="center" vertical="center"/>
    </xf>
    <xf fontId="6728" applyFont="true" borderId="8" applyBorder="true" applyNumberFormat="true" numFmtId="167" fillId="22" applyFill="true">
      <alignment horizontal="center" vertical="center"/>
    </xf>
    <xf fontId="6729" applyFont="true" borderId="8" applyBorder="true" applyNumberFormat="true" numFmtId="1" fillId="22" applyFill="true">
      <alignment horizontal="center" vertical="center"/>
    </xf>
    <xf fontId="6730" applyFont="true" borderId="8" applyBorder="true" applyNumberFormat="true" numFmtId="167" fillId="22" applyFill="true">
      <alignment horizontal="center" vertical="center"/>
    </xf>
    <xf fontId="6731" applyFont="true" borderId="8" applyBorder="true" applyNumberFormat="true" numFmtId="167" fillId="22" applyFill="true">
      <alignment horizontal="center" vertical="center"/>
    </xf>
    <xf fontId="6732" applyFont="true" borderId="8" applyBorder="true" applyNumberFormat="true" numFmtId="1" fillId="22" applyFill="true">
      <alignment horizontal="center" vertical="center"/>
    </xf>
    <xf fontId="6733" applyFont="true" borderId="8" applyBorder="true" applyNumberFormat="true" numFmtId="1" fillId="22" applyFill="true">
      <alignment horizontal="center" vertical="center"/>
    </xf>
    <xf fontId="6734" applyFont="true" borderId="8" applyBorder="true" applyNumberFormat="true" numFmtId="1" fillId="22" applyFill="true">
      <alignment horizontal="center" vertical="center"/>
    </xf>
    <xf fontId="6735" applyFont="true" borderId="8" applyBorder="true" applyNumberFormat="true" numFmtId="167" fillId="22" applyFill="true">
      <alignment horizontal="center" vertical="center"/>
    </xf>
    <xf fontId="6736" applyFont="true" borderId="8" applyBorder="true" applyNumberFormat="true" numFmtId="166" fillId="22" applyFill="true">
      <alignment horizontal="center" vertical="center"/>
    </xf>
    <xf fontId="6737" applyFont="true" borderId="8" applyBorder="true" applyNumberFormat="true" numFmtId="166" fillId="22" applyFill="true">
      <alignment horizontal="center" vertical="center"/>
    </xf>
    <xf fontId="6738" applyFont="true" borderId="8" applyBorder="true" applyNumberFormat="true" numFmtId="1" fillId="22" applyFill="true">
      <alignment horizontal="center" vertical="center"/>
    </xf>
    <xf fontId="6739" applyFont="true" borderId="8" applyBorder="true" applyNumberFormat="true" numFmtId="1" fillId="22" applyFill="true">
      <alignment horizontal="center" vertical="center"/>
    </xf>
    <xf fontId="6740" applyFont="true" borderId="8" applyBorder="true" applyNumberFormat="true" numFmtId="1" fillId="22" applyFill="true">
      <alignment horizontal="center" vertical="center"/>
    </xf>
    <xf fontId="6741" applyFont="true" borderId="8" applyBorder="true" applyNumberFormat="true" numFmtId="167" fillId="22" applyFill="true">
      <alignment horizontal="center" vertical="center"/>
    </xf>
    <xf fontId="6742" applyFont="true" borderId="8" applyBorder="true" applyNumberFormat="true" numFmtId="1" fillId="22" applyFill="true">
      <alignment horizontal="center" vertical="center"/>
    </xf>
    <xf fontId="6743" applyFont="true" borderId="8" applyBorder="true" applyNumberFormat="true" numFmtId="167" fillId="22" applyFill="true">
      <alignment horizontal="center" vertical="center"/>
    </xf>
    <xf fontId="6744" applyFont="true" borderId="8" applyBorder="true" applyNumberFormat="true" numFmtId="1" fillId="22" applyFill="true">
      <alignment horizontal="center" vertical="center"/>
    </xf>
    <xf fontId="6745" applyFont="true" borderId="8" applyBorder="true" applyNumberFormat="true" numFmtId="1" fillId="22" applyFill="true">
      <alignment horizontal="center" vertical="center"/>
    </xf>
    <xf fontId="6746" applyFont="true" borderId="8" applyBorder="true" applyNumberFormat="true" numFmtId="1" fillId="22" applyFill="true">
      <alignment horizontal="center" vertical="center"/>
    </xf>
    <xf fontId="6747" applyFont="true" borderId="8" applyBorder="true" applyNumberFormat="true" numFmtId="1" fillId="22" applyFill="true">
      <alignment horizontal="center" vertical="center"/>
    </xf>
    <xf fontId="6748" applyFont="true" borderId="8" applyBorder="true" applyNumberFormat="true" numFmtId="167" fillId="22" applyFill="true">
      <alignment horizontal="center" vertical="center"/>
    </xf>
    <xf fontId="6749" applyFont="true" borderId="8" applyBorder="true" applyNumberFormat="true" numFmtId="1" fillId="22" applyFill="true">
      <alignment horizontal="center" vertical="center"/>
    </xf>
    <xf fontId="6750" applyFont="true" borderId="8" applyBorder="true" applyNumberFormat="true" numFmtId="167" fillId="22" applyFill="true">
      <alignment horizontal="center" vertical="center"/>
    </xf>
    <xf fontId="6751" applyFont="true" borderId="8" applyBorder="true" applyNumberFormat="true" numFmtId="1" fillId="22" applyFill="true">
      <alignment horizontal="center" vertical="center"/>
    </xf>
    <xf fontId="6752" applyFont="true" borderId="8" applyBorder="true" applyNumberFormat="true" numFmtId="167" fillId="22" applyFill="true">
      <alignment horizontal="center" vertical="center"/>
    </xf>
    <xf fontId="6753" applyFont="true" borderId="8" applyBorder="true" applyNumberFormat="true" numFmtId="2" fillId="22" applyFill="true">
      <alignment horizontal="center" vertical="center"/>
    </xf>
    <xf fontId="6754" applyFont="true" borderId="8" applyBorder="true" applyNumberFormat="true" numFmtId="2" fillId="22" applyFill="true">
      <alignment horizontal="center" vertical="center"/>
    </xf>
    <xf fontId="6755" applyFont="true" borderId="8" applyBorder="true" applyNumberFormat="true" numFmtId="2" fillId="22" applyFill="true">
      <alignment horizontal="center" vertical="center"/>
    </xf>
    <xf fontId="6756" applyFont="true" borderId="8" applyBorder="true" applyNumberFormat="true" numFmtId="2" fillId="22" applyFill="true">
      <alignment horizontal="center" vertical="center"/>
    </xf>
    <xf fontId="6757" applyFont="true" borderId="8" applyBorder="true" applyNumberFormat="true" numFmtId="2" fillId="22" applyFill="true">
      <alignment horizontal="center" vertical="center"/>
    </xf>
    <xf fontId="6758" applyFont="true" borderId="8" applyBorder="true" applyNumberFormat="true" numFmtId="2" fillId="22" applyFill="true">
      <alignment horizontal="center" vertical="center"/>
    </xf>
    <xf fontId="6759" applyFont="true" borderId="8" applyBorder="true" applyNumberFormat="true" numFmtId="2" fillId="22" applyFill="true">
      <alignment horizontal="center" vertical="center"/>
    </xf>
    <xf fontId="6760" applyFont="true" borderId="8" applyBorder="true" applyNumberFormat="true" numFmtId="2" fillId="22" applyFill="true">
      <alignment horizontal="center" vertical="center"/>
    </xf>
    <xf fontId="6761" applyFont="true" borderId="8" applyBorder="true" applyNumberFormat="true" numFmtId="2" fillId="22" applyFill="true">
      <alignment horizontal="center" vertical="center"/>
    </xf>
    <xf fontId="6762" applyFont="true" borderId="8" applyBorder="true" applyNumberFormat="true" numFmtId="2" fillId="22" applyFill="true">
      <alignment horizontal="center" vertical="center"/>
    </xf>
    <xf fontId="6763" applyFont="true" borderId="8" applyBorder="true" applyNumberFormat="true" numFmtId="2" fillId="22" applyFill="true">
      <alignment horizontal="center" vertical="center"/>
    </xf>
    <xf fontId="6764" applyFont="true" borderId="8" applyBorder="true" applyNumberFormat="true" numFmtId="2" fillId="22" applyFill="true">
      <alignment horizontal="center" vertical="center"/>
    </xf>
    <xf fontId="6765" applyFont="true" borderId="8" applyBorder="true" applyNumberFormat="true" numFmtId="2" fillId="22" applyFill="true">
      <alignment horizontal="center" vertical="center"/>
    </xf>
    <xf fontId="6766" applyFont="true" borderId="8" applyBorder="true" applyNumberFormat="true" numFmtId="2" fillId="22" applyFill="true">
      <alignment horizontal="center" vertical="center"/>
    </xf>
    <xf fontId="6767" applyFont="true" borderId="8" applyBorder="true" applyNumberFormat="true" numFmtId="2" fillId="22" applyFill="true">
      <alignment horizontal="center" vertical="center"/>
    </xf>
    <xf fontId="6768" applyFont="true" borderId="8" applyBorder="true" applyNumberFormat="true" numFmtId="2" fillId="22" applyFill="true">
      <alignment horizontal="center" vertical="center"/>
    </xf>
    <xf fontId="6769" applyFont="true" borderId="8" applyBorder="true" applyNumberFormat="true" numFmtId="2" fillId="22" applyFill="true">
      <alignment horizontal="center" vertical="center"/>
    </xf>
    <xf fontId="6770" applyFont="true" borderId="8" applyBorder="true" applyNumberFormat="true" numFmtId="2" fillId="22" applyFill="true">
      <alignment horizontal="center" vertical="center"/>
    </xf>
    <xf fontId="6771" applyFont="true" borderId="8" applyBorder="true" applyNumberFormat="true" numFmtId="2" fillId="22" applyFill="true">
      <alignment horizontal="center" vertical="center"/>
    </xf>
    <xf fontId="6772" applyFont="true" borderId="8" applyBorder="true" applyNumberFormat="true" numFmtId="2" fillId="22" applyFill="true">
      <alignment horizontal="center" vertical="center"/>
    </xf>
    <xf fontId="6773" applyFont="true" borderId="8" applyBorder="true" applyNumberFormat="true" numFmtId="2" fillId="22" applyFill="true">
      <alignment horizontal="center" vertical="center"/>
    </xf>
    <xf fontId="6774" applyFont="true" borderId="8" applyBorder="true" applyNumberFormat="true" numFmtId="2" fillId="22" applyFill="true">
      <alignment horizontal="center" vertical="center"/>
    </xf>
    <xf fontId="6775" applyFont="true" borderId="8" applyBorder="true" applyNumberFormat="true" numFmtId="2" fillId="22" applyFill="true">
      <alignment horizontal="center" vertical="center"/>
    </xf>
    <xf fontId="6776" applyFont="true" borderId="8" applyBorder="true" applyNumberFormat="true" numFmtId="2" fillId="22" applyFill="true">
      <alignment horizontal="center" vertical="center"/>
    </xf>
    <xf fontId="6777" applyFont="true" borderId="8" applyBorder="true" applyNumberFormat="true" numFmtId="2" fillId="22" applyFill="true">
      <alignment horizontal="center" vertical="center"/>
    </xf>
    <xf fontId="6778" applyFont="true" borderId="8" applyBorder="true" applyNumberFormat="true" numFmtId="2" fillId="22" applyFill="true">
      <alignment horizontal="center" vertical="center"/>
    </xf>
    <xf fontId="6779" applyFont="true" borderId="8" applyBorder="true" applyNumberFormat="true" numFmtId="2" fillId="22" applyFill="true">
      <alignment horizontal="center" vertical="center"/>
    </xf>
    <xf fontId="6780" applyFont="true" borderId="8" applyBorder="true" applyNumberFormat="true" numFmtId="2" fillId="22" applyFill="true">
      <alignment horizontal="center" vertical="center"/>
    </xf>
    <xf fontId="6781" applyFont="true" borderId="8" applyBorder="true" applyNumberFormat="true" numFmtId="2" fillId="22" applyFill="true">
      <alignment horizontal="center" vertical="center"/>
    </xf>
    <xf fontId="6782" applyFont="true" borderId="8" applyBorder="true" applyNumberFormat="true" numFmtId="2" fillId="22" applyFill="true">
      <alignment horizontal="center" vertical="center"/>
    </xf>
    <xf fontId="6783" applyFont="true" borderId="8" applyBorder="true" applyNumberFormat="true" numFmtId="2" fillId="22" applyFill="true">
      <alignment horizontal="center" vertical="center"/>
    </xf>
    <xf fontId="6784" applyFont="true" borderId="8" applyBorder="true" applyNumberFormat="true" numFmtId="2" fillId="22" applyFill="true">
      <alignment horizontal="center" vertical="center"/>
    </xf>
    <xf fontId="6785" applyFont="true" borderId="8" applyBorder="true" applyNumberFormat="true" numFmtId="2" fillId="22" applyFill="true">
      <alignment horizontal="center" vertical="center"/>
    </xf>
    <xf fontId="6786" applyFont="true" borderId="8" applyBorder="true" applyNumberFormat="true" numFmtId="2" fillId="22" applyFill="true">
      <alignment horizontal="center" vertical="center"/>
    </xf>
    <xf fontId="6787" applyFont="true" borderId="8" applyBorder="true" applyNumberFormat="true" numFmtId="165" fillId="19" applyFill="true">
      <alignment horizontal="left" vertical="center"/>
    </xf>
    <xf fontId="6788" applyFont="true" borderId="8" applyBorder="true" applyNumberFormat="true" numFmtId="165" fillId="22" applyFill="true">
      <alignment horizontal="center" vertical="center"/>
    </xf>
    <xf fontId="6789" applyFont="true" borderId="8" applyBorder="true" applyNumberFormat="true" numFmtId="166" fillId="22" applyFill="true">
      <alignment horizontal="center" vertical="center"/>
    </xf>
    <xf fontId="6790" applyFont="true" borderId="8" applyBorder="true" applyNumberFormat="true" numFmtId="1" fillId="22" applyFill="true">
      <alignment horizontal="center" vertical="center"/>
    </xf>
    <xf fontId="6791" applyFont="true" borderId="8" applyBorder="true" applyNumberFormat="true" numFmtId="1" fillId="22" applyFill="true">
      <alignment horizontal="center" vertical="center"/>
    </xf>
    <xf fontId="6792" applyFont="true" borderId="8" applyBorder="true" applyNumberFormat="true" numFmtId="1" fillId="22" applyFill="true">
      <alignment horizontal="center" vertical="center"/>
    </xf>
    <xf fontId="6793" applyFont="true" borderId="8" applyBorder="true" applyNumberFormat="true" numFmtId="1" fillId="22" applyFill="true">
      <alignment horizontal="center" vertical="center"/>
    </xf>
    <xf fontId="6794" applyFont="true" borderId="8" applyBorder="true" applyNumberFormat="true" numFmtId="1" fillId="22" applyFill="true">
      <alignment horizontal="center" vertical="center"/>
    </xf>
    <xf fontId="6795" applyFont="true" borderId="8" applyBorder="true" applyNumberFormat="true" numFmtId="1" fillId="22" applyFill="true">
      <alignment horizontal="center" vertical="center"/>
    </xf>
    <xf fontId="6796" applyFont="true" borderId="8" applyBorder="true" applyNumberFormat="true" numFmtId="1" fillId="22" applyFill="true">
      <alignment horizontal="center" vertical="center"/>
    </xf>
    <xf fontId="6797" applyFont="true" borderId="8" applyBorder="true" applyNumberFormat="true" numFmtId="165" fillId="22" applyFill="true">
      <alignment horizontal="center" vertical="center"/>
    </xf>
    <xf fontId="6798" applyFont="true" borderId="8" applyBorder="true" applyNumberFormat="true" numFmtId="165" fillId="22" applyFill="true">
      <alignment horizontal="center" vertical="center"/>
    </xf>
    <xf fontId="6799" applyFont="true" borderId="8" applyBorder="true" applyNumberFormat="true" numFmtId="1" fillId="22" applyFill="true">
      <alignment horizontal="center" vertical="center"/>
    </xf>
    <xf fontId="6800" applyFont="true" borderId="8" applyBorder="true" applyNumberFormat="true" numFmtId="1" fillId="22" applyFill="true">
      <alignment horizontal="center" vertical="center"/>
    </xf>
    <xf fontId="6801" applyFont="true" borderId="8" applyBorder="true" applyNumberFormat="true" numFmtId="1" fillId="22" applyFill="true">
      <alignment horizontal="center" vertical="center"/>
    </xf>
    <xf fontId="6802" applyFont="true" borderId="8" applyBorder="true" applyNumberFormat="true" numFmtId="167" fillId="22" applyFill="true">
      <alignment horizontal="center" vertical="center"/>
    </xf>
    <xf fontId="6803" applyFont="true" borderId="8" applyBorder="true" applyNumberFormat="true" numFmtId="1" fillId="22" applyFill="true">
      <alignment horizontal="center" vertical="center"/>
    </xf>
    <xf fontId="6804" applyFont="true" borderId="8" applyBorder="true" applyNumberFormat="true" numFmtId="167" fillId="22" applyFill="true">
      <alignment horizontal="center" vertical="center"/>
    </xf>
    <xf fontId="6805" applyFont="true" borderId="8" applyBorder="true" applyNumberFormat="true" numFmtId="1" fillId="22" applyFill="true">
      <alignment horizontal="center" vertical="center"/>
    </xf>
    <xf fontId="6806" applyFont="true" borderId="8" applyBorder="true" applyNumberFormat="true" numFmtId="167" fillId="22" applyFill="true">
      <alignment horizontal="center" vertical="center"/>
    </xf>
    <xf fontId="6807" applyFont="true" borderId="8" applyBorder="true" applyNumberFormat="true" numFmtId="1" fillId="22" applyFill="true">
      <alignment horizontal="center" vertical="center"/>
    </xf>
    <xf fontId="6808" applyFont="true" borderId="8" applyBorder="true" applyNumberFormat="true" numFmtId="167" fillId="22" applyFill="true">
      <alignment horizontal="center" vertical="center"/>
    </xf>
    <xf fontId="6809" applyFont="true" borderId="8" applyBorder="true" applyNumberFormat="true" numFmtId="167" fillId="22" applyFill="true">
      <alignment horizontal="center" vertical="center"/>
    </xf>
    <xf fontId="6810" applyFont="true" borderId="8" applyBorder="true" applyNumberFormat="true" numFmtId="1" fillId="22" applyFill="true">
      <alignment horizontal="center" vertical="center"/>
    </xf>
    <xf fontId="6811" applyFont="true" borderId="8" applyBorder="true" applyNumberFormat="true" numFmtId="1" fillId="22" applyFill="true">
      <alignment horizontal="center" vertical="center"/>
    </xf>
    <xf fontId="6812" applyFont="true" borderId="8" applyBorder="true" applyNumberFormat="true" numFmtId="1" fillId="22" applyFill="true">
      <alignment horizontal="center" vertical="center"/>
    </xf>
    <xf fontId="6813" applyFont="true" borderId="8" applyBorder="true" applyNumberFormat="true" numFmtId="167" fillId="22" applyFill="true">
      <alignment horizontal="center" vertical="center"/>
    </xf>
    <xf fontId="6814" applyFont="true" borderId="8" applyBorder="true" applyNumberFormat="true" numFmtId="166" fillId="22" applyFill="true">
      <alignment horizontal="center" vertical="center"/>
    </xf>
    <xf fontId="6815" applyFont="true" borderId="8" applyBorder="true" applyNumberFormat="true" numFmtId="166" fillId="22" applyFill="true">
      <alignment horizontal="center" vertical="center"/>
    </xf>
    <xf fontId="6816" applyFont="true" borderId="8" applyBorder="true" applyNumberFormat="true" numFmtId="1" fillId="22" applyFill="true">
      <alignment horizontal="center" vertical="center"/>
    </xf>
    <xf fontId="6817" applyFont="true" borderId="8" applyBorder="true" applyNumberFormat="true" numFmtId="1" fillId="22" applyFill="true">
      <alignment horizontal="center" vertical="center"/>
    </xf>
    <xf fontId="6818" applyFont="true" borderId="8" applyBorder="true" applyNumberFormat="true" numFmtId="1" fillId="22" applyFill="true">
      <alignment horizontal="center" vertical="center"/>
    </xf>
    <xf fontId="6819" applyFont="true" borderId="8" applyBorder="true" applyNumberFormat="true" numFmtId="167" fillId="22" applyFill="true">
      <alignment horizontal="center" vertical="center"/>
    </xf>
    <xf fontId="6820" applyFont="true" borderId="8" applyBorder="true" applyNumberFormat="true" numFmtId="1" fillId="22" applyFill="true">
      <alignment horizontal="center" vertical="center"/>
    </xf>
    <xf fontId="6821" applyFont="true" borderId="8" applyBorder="true" applyNumberFormat="true" numFmtId="167" fillId="22" applyFill="true">
      <alignment horizontal="center" vertical="center"/>
    </xf>
    <xf fontId="6822" applyFont="true" borderId="8" applyBorder="true" applyNumberFormat="true" numFmtId="1" fillId="22" applyFill="true">
      <alignment horizontal="center" vertical="center"/>
    </xf>
    <xf fontId="6823" applyFont="true" borderId="8" applyBorder="true" applyNumberFormat="true" numFmtId="1" fillId="22" applyFill="true">
      <alignment horizontal="center" vertical="center"/>
    </xf>
    <xf fontId="6824" applyFont="true" borderId="8" applyBorder="true" applyNumberFormat="true" numFmtId="1" fillId="22" applyFill="true">
      <alignment horizontal="center" vertical="center"/>
    </xf>
    <xf fontId="6825" applyFont="true" borderId="8" applyBorder="true" applyNumberFormat="true" numFmtId="1" fillId="22" applyFill="true">
      <alignment horizontal="center" vertical="center"/>
    </xf>
    <xf fontId="6826" applyFont="true" borderId="8" applyBorder="true" applyNumberFormat="true" numFmtId="167" fillId="22" applyFill="true">
      <alignment horizontal="center" vertical="center"/>
    </xf>
    <xf fontId="6827" applyFont="true" borderId="8" applyBorder="true" applyNumberFormat="true" numFmtId="1" fillId="22" applyFill="true">
      <alignment horizontal="center" vertical="center"/>
    </xf>
    <xf fontId="6828" applyFont="true" borderId="8" applyBorder="true" applyNumberFormat="true" numFmtId="167" fillId="22" applyFill="true">
      <alignment horizontal="center" vertical="center"/>
    </xf>
    <xf fontId="6829" applyFont="true" borderId="8" applyBorder="true" applyNumberFormat="true" numFmtId="1" fillId="22" applyFill="true">
      <alignment horizontal="center" vertical="center"/>
    </xf>
    <xf fontId="6830" applyFont="true" borderId="8" applyBorder="true" applyNumberFormat="true" numFmtId="167" fillId="22" applyFill="true">
      <alignment horizontal="center" vertical="center"/>
    </xf>
    <xf fontId="6831" applyFont="true" borderId="8" applyBorder="true" applyNumberFormat="true" numFmtId="2" fillId="22" applyFill="true">
      <alignment horizontal="center" vertical="center"/>
    </xf>
    <xf fontId="6832" applyFont="true" borderId="8" applyBorder="true" applyNumberFormat="true" numFmtId="2" fillId="22" applyFill="true">
      <alignment horizontal="center" vertical="center"/>
    </xf>
    <xf fontId="6833" applyFont="true" borderId="8" applyBorder="true" applyNumberFormat="true" numFmtId="2" fillId="22" applyFill="true">
      <alignment horizontal="center" vertical="center"/>
    </xf>
    <xf fontId="6834" applyFont="true" borderId="8" applyBorder="true" applyNumberFormat="true" numFmtId="2" fillId="22" applyFill="true">
      <alignment horizontal="center" vertical="center"/>
    </xf>
    <xf fontId="6835" applyFont="true" borderId="8" applyBorder="true" applyNumberFormat="true" numFmtId="2" fillId="22" applyFill="true">
      <alignment horizontal="center" vertical="center"/>
    </xf>
    <xf fontId="6836" applyFont="true" borderId="8" applyBorder="true" applyNumberFormat="true" numFmtId="2" fillId="22" applyFill="true">
      <alignment horizontal="center" vertical="center"/>
    </xf>
    <xf fontId="6837" applyFont="true" borderId="8" applyBorder="true" applyNumberFormat="true" numFmtId="2" fillId="22" applyFill="true">
      <alignment horizontal="center" vertical="center"/>
    </xf>
    <xf fontId="6838" applyFont="true" borderId="8" applyBorder="true" applyNumberFormat="true" numFmtId="2" fillId="22" applyFill="true">
      <alignment horizontal="center" vertical="center"/>
    </xf>
    <xf fontId="6839" applyFont="true" borderId="8" applyBorder="true" applyNumberFormat="true" numFmtId="2" fillId="22" applyFill="true">
      <alignment horizontal="center" vertical="center"/>
    </xf>
    <xf fontId="6840" applyFont="true" borderId="8" applyBorder="true" applyNumberFormat="true" numFmtId="2" fillId="22" applyFill="true">
      <alignment horizontal="center" vertical="center"/>
    </xf>
    <xf fontId="6841" applyFont="true" borderId="8" applyBorder="true" applyNumberFormat="true" numFmtId="2" fillId="22" applyFill="true">
      <alignment horizontal="center" vertical="center"/>
    </xf>
    <xf fontId="6842" applyFont="true" borderId="8" applyBorder="true" applyNumberFormat="true" numFmtId="2" fillId="22" applyFill="true">
      <alignment horizontal="center" vertical="center"/>
    </xf>
    <xf fontId="6843" applyFont="true" borderId="8" applyBorder="true" applyNumberFormat="true" numFmtId="2" fillId="22" applyFill="true">
      <alignment horizontal="center" vertical="center"/>
    </xf>
    <xf fontId="6844" applyFont="true" borderId="8" applyBorder="true" applyNumberFormat="true" numFmtId="2" fillId="22" applyFill="true">
      <alignment horizontal="center" vertical="center"/>
    </xf>
    <xf fontId="6845" applyFont="true" borderId="8" applyBorder="true" applyNumberFormat="true" numFmtId="2" fillId="22" applyFill="true">
      <alignment horizontal="center" vertical="center"/>
    </xf>
    <xf fontId="6846" applyFont="true" borderId="8" applyBorder="true" applyNumberFormat="true" numFmtId="2" fillId="22" applyFill="true">
      <alignment horizontal="center" vertical="center"/>
    </xf>
    <xf fontId="6847" applyFont="true" borderId="8" applyBorder="true" applyNumberFormat="true" numFmtId="2" fillId="22" applyFill="true">
      <alignment horizontal="center" vertical="center"/>
    </xf>
    <xf fontId="6848" applyFont="true" borderId="8" applyBorder="true" applyNumberFormat="true" numFmtId="2" fillId="22" applyFill="true">
      <alignment horizontal="center" vertical="center"/>
    </xf>
    <xf fontId="6849" applyFont="true" borderId="8" applyBorder="true" applyNumberFormat="true" numFmtId="2" fillId="22" applyFill="true">
      <alignment horizontal="center" vertical="center"/>
    </xf>
    <xf fontId="6850" applyFont="true" borderId="8" applyBorder="true" applyNumberFormat="true" numFmtId="2" fillId="22" applyFill="true">
      <alignment horizontal="center" vertical="center"/>
    </xf>
    <xf fontId="6851" applyFont="true" borderId="8" applyBorder="true" applyNumberFormat="true" numFmtId="2" fillId="22" applyFill="true">
      <alignment horizontal="center" vertical="center"/>
    </xf>
    <xf fontId="6852" applyFont="true" borderId="8" applyBorder="true" applyNumberFormat="true" numFmtId="2" fillId="22" applyFill="true">
      <alignment horizontal="center" vertical="center"/>
    </xf>
    <xf fontId="6853" applyFont="true" borderId="8" applyBorder="true" applyNumberFormat="true" numFmtId="2" fillId="22" applyFill="true">
      <alignment horizontal="center" vertical="center"/>
    </xf>
    <xf fontId="6854" applyFont="true" borderId="8" applyBorder="true" applyNumberFormat="true" numFmtId="2" fillId="22" applyFill="true">
      <alignment horizontal="center" vertical="center"/>
    </xf>
    <xf fontId="6855" applyFont="true" borderId="8" applyBorder="true" applyNumberFormat="true" numFmtId="2" fillId="22" applyFill="true">
      <alignment horizontal="center" vertical="center"/>
    </xf>
    <xf fontId="6856" applyFont="true" borderId="8" applyBorder="true" applyNumberFormat="true" numFmtId="2" fillId="22" applyFill="true">
      <alignment horizontal="center" vertical="center"/>
    </xf>
    <xf fontId="6857" applyFont="true" borderId="8" applyBorder="true" applyNumberFormat="true" numFmtId="2" fillId="22" applyFill="true">
      <alignment horizontal="center" vertical="center"/>
    </xf>
    <xf fontId="6858" applyFont="true" borderId="8" applyBorder="true" applyNumberFormat="true" numFmtId="2" fillId="22" applyFill="true">
      <alignment horizontal="center" vertical="center"/>
    </xf>
    <xf fontId="6859" applyFont="true" borderId="8" applyBorder="true" applyNumberFormat="true" numFmtId="2" fillId="22" applyFill="true">
      <alignment horizontal="center" vertical="center"/>
    </xf>
    <xf fontId="6860" applyFont="true" borderId="8" applyBorder="true" applyNumberFormat="true" numFmtId="2" fillId="22" applyFill="true">
      <alignment horizontal="center" vertical="center"/>
    </xf>
    <xf fontId="6861" applyFont="true" borderId="8" applyBorder="true" applyNumberFormat="true" numFmtId="2" fillId="22" applyFill="true">
      <alignment horizontal="center" vertical="center"/>
    </xf>
    <xf fontId="6862" applyFont="true" borderId="8" applyBorder="true" applyNumberFormat="true" numFmtId="2" fillId="22" applyFill="true">
      <alignment horizontal="center" vertical="center"/>
    </xf>
    <xf fontId="6863" applyFont="true" borderId="8" applyBorder="true" applyNumberFormat="true" numFmtId="2" fillId="22" applyFill="true">
      <alignment horizontal="center" vertical="center"/>
    </xf>
    <xf fontId="6864" applyFont="true" borderId="8" applyBorder="true" applyNumberFormat="true" numFmtId="2" fillId="22" applyFill="true">
      <alignment horizontal="center" vertical="center"/>
    </xf>
    <xf fontId="6865" applyFont="true" borderId="8" applyBorder="true" applyNumberFormat="true" numFmtId="165" fillId="19" applyFill="true">
      <alignment horizontal="left" vertical="center"/>
    </xf>
    <xf fontId="6866" applyFont="true" borderId="8" applyBorder="true" applyNumberFormat="true" numFmtId="165" fillId="22" applyFill="true">
      <alignment horizontal="center" vertical="center"/>
    </xf>
    <xf fontId="6867" applyFont="true" borderId="8" applyBorder="true" applyNumberFormat="true" numFmtId="166" fillId="22" applyFill="true">
      <alignment horizontal="center" vertical="center"/>
    </xf>
    <xf fontId="6868" applyFont="true" borderId="8" applyBorder="true" applyNumberFormat="true" numFmtId="1" fillId="22" applyFill="true">
      <alignment horizontal="center" vertical="center"/>
    </xf>
    <xf fontId="6869" applyFont="true" borderId="8" applyBorder="true" applyNumberFormat="true" numFmtId="1" fillId="22" applyFill="true">
      <alignment horizontal="center" vertical="center"/>
    </xf>
    <xf fontId="6870" applyFont="true" borderId="8" applyBorder="true" applyNumberFormat="true" numFmtId="1" fillId="22" applyFill="true">
      <alignment horizontal="center" vertical="center"/>
    </xf>
    <xf fontId="6871" applyFont="true" borderId="8" applyBorder="true" applyNumberFormat="true" numFmtId="1" fillId="22" applyFill="true">
      <alignment horizontal="center" vertical="center"/>
    </xf>
    <xf fontId="6872" applyFont="true" borderId="8" applyBorder="true" applyNumberFormat="true" numFmtId="1" fillId="22" applyFill="true">
      <alignment horizontal="center" vertical="center"/>
    </xf>
    <xf fontId="6873" applyFont="true" borderId="8" applyBorder="true" applyNumberFormat="true" numFmtId="1" fillId="22" applyFill="true">
      <alignment horizontal="center" vertical="center"/>
    </xf>
    <xf fontId="6874" applyFont="true" borderId="8" applyBorder="true" applyNumberFormat="true" numFmtId="1" fillId="22" applyFill="true">
      <alignment horizontal="center" vertical="center"/>
    </xf>
    <xf fontId="6875" applyFont="true" borderId="8" applyBorder="true" applyNumberFormat="true" numFmtId="165" fillId="22" applyFill="true">
      <alignment horizontal="center" vertical="center"/>
    </xf>
    <xf fontId="6876" applyFont="true" borderId="8" applyBorder="true" applyNumberFormat="true" numFmtId="165" fillId="22" applyFill="true">
      <alignment horizontal="center" vertical="center"/>
    </xf>
    <xf fontId="6877" applyFont="true" borderId="8" applyBorder="true" applyNumberFormat="true" numFmtId="1" fillId="22" applyFill="true">
      <alignment horizontal="center" vertical="center"/>
    </xf>
    <xf fontId="6878" applyFont="true" borderId="8" applyBorder="true" applyNumberFormat="true" numFmtId="1" fillId="22" applyFill="true">
      <alignment horizontal="center" vertical="center"/>
    </xf>
    <xf fontId="6879" applyFont="true" borderId="8" applyBorder="true" applyNumberFormat="true" numFmtId="1" fillId="22" applyFill="true">
      <alignment horizontal="center" vertical="center"/>
    </xf>
    <xf fontId="6880" applyFont="true" borderId="8" applyBorder="true" applyNumberFormat="true" numFmtId="167" fillId="22" applyFill="true">
      <alignment horizontal="center" vertical="center"/>
    </xf>
    <xf fontId="6881" applyFont="true" borderId="8" applyBorder="true" applyNumberFormat="true" numFmtId="1" fillId="22" applyFill="true">
      <alignment horizontal="center" vertical="center"/>
    </xf>
    <xf fontId="6882" applyFont="true" borderId="8" applyBorder="true" applyNumberFormat="true" numFmtId="167" fillId="22" applyFill="true">
      <alignment horizontal="center" vertical="center"/>
    </xf>
    <xf fontId="6883" applyFont="true" borderId="8" applyBorder="true" applyNumberFormat="true" numFmtId="1" fillId="22" applyFill="true">
      <alignment horizontal="center" vertical="center"/>
    </xf>
    <xf fontId="6884" applyFont="true" borderId="8" applyBorder="true" applyNumberFormat="true" numFmtId="167" fillId="22" applyFill="true">
      <alignment horizontal="center" vertical="center"/>
    </xf>
    <xf fontId="6885" applyFont="true" borderId="8" applyBorder="true" applyNumberFormat="true" numFmtId="1" fillId="22" applyFill="true">
      <alignment horizontal="center" vertical="center"/>
    </xf>
    <xf fontId="6886" applyFont="true" borderId="8" applyBorder="true" applyNumberFormat="true" numFmtId="167" fillId="22" applyFill="true">
      <alignment horizontal="center" vertical="center"/>
    </xf>
    <xf fontId="6887" applyFont="true" borderId="8" applyBorder="true" applyNumberFormat="true" numFmtId="167" fillId="22" applyFill="true">
      <alignment horizontal="center" vertical="center"/>
    </xf>
    <xf fontId="6888" applyFont="true" borderId="8" applyBorder="true" applyNumberFormat="true" numFmtId="1" fillId="22" applyFill="true">
      <alignment horizontal="center" vertical="center"/>
    </xf>
    <xf fontId="6889" applyFont="true" borderId="8" applyBorder="true" applyNumberFormat="true" numFmtId="1" fillId="22" applyFill="true">
      <alignment horizontal="center" vertical="center"/>
    </xf>
    <xf fontId="6890" applyFont="true" borderId="8" applyBorder="true" applyNumberFormat="true" numFmtId="1" fillId="22" applyFill="true">
      <alignment horizontal="center" vertical="center"/>
    </xf>
    <xf fontId="6891" applyFont="true" borderId="8" applyBorder="true" applyNumberFormat="true" numFmtId="167" fillId="22" applyFill="true">
      <alignment horizontal="center" vertical="center"/>
    </xf>
    <xf fontId="6892" applyFont="true" borderId="8" applyBorder="true" applyNumberFormat="true" numFmtId="166" fillId="22" applyFill="true">
      <alignment horizontal="center" vertical="center"/>
    </xf>
    <xf fontId="6893" applyFont="true" borderId="8" applyBorder="true" applyNumberFormat="true" numFmtId="166" fillId="22" applyFill="true">
      <alignment horizontal="center" vertical="center"/>
    </xf>
    <xf fontId="6894" applyFont="true" borderId="8" applyBorder="true" applyNumberFormat="true" numFmtId="1" fillId="22" applyFill="true">
      <alignment horizontal="center" vertical="center"/>
    </xf>
    <xf fontId="6895" applyFont="true" borderId="8" applyBorder="true" applyNumberFormat="true" numFmtId="1" fillId="22" applyFill="true">
      <alignment horizontal="center" vertical="center"/>
    </xf>
    <xf fontId="6896" applyFont="true" borderId="8" applyBorder="true" applyNumberFormat="true" numFmtId="1" fillId="22" applyFill="true">
      <alignment horizontal="center" vertical="center"/>
    </xf>
    <xf fontId="6897" applyFont="true" borderId="8" applyBorder="true" applyNumberFormat="true" numFmtId="167" fillId="22" applyFill="true">
      <alignment horizontal="center" vertical="center"/>
    </xf>
    <xf fontId="6898" applyFont="true" borderId="8" applyBorder="true" applyNumberFormat="true" numFmtId="1" fillId="22" applyFill="true">
      <alignment horizontal="center" vertical="center"/>
    </xf>
    <xf fontId="6899" applyFont="true" borderId="8" applyBorder="true" applyNumberFormat="true" numFmtId="167" fillId="22" applyFill="true">
      <alignment horizontal="center" vertical="center"/>
    </xf>
    <xf fontId="6900" applyFont="true" borderId="8" applyBorder="true" applyNumberFormat="true" numFmtId="1" fillId="22" applyFill="true">
      <alignment horizontal="center" vertical="center"/>
    </xf>
    <xf fontId="6901" applyFont="true" borderId="8" applyBorder="true" applyNumberFormat="true" numFmtId="1" fillId="22" applyFill="true">
      <alignment horizontal="center" vertical="center"/>
    </xf>
    <xf fontId="6902" applyFont="true" borderId="8" applyBorder="true" applyNumberFormat="true" numFmtId="1" fillId="22" applyFill="true">
      <alignment horizontal="center" vertical="center"/>
    </xf>
    <xf fontId="6903" applyFont="true" borderId="8" applyBorder="true" applyNumberFormat="true" numFmtId="1" fillId="22" applyFill="true">
      <alignment horizontal="center" vertical="center"/>
    </xf>
    <xf fontId="6904" applyFont="true" borderId="8" applyBorder="true" applyNumberFormat="true" numFmtId="167" fillId="22" applyFill="true">
      <alignment horizontal="center" vertical="center"/>
    </xf>
    <xf fontId="6905" applyFont="true" borderId="8" applyBorder="true" applyNumberFormat="true" numFmtId="1" fillId="22" applyFill="true">
      <alignment horizontal="center" vertical="center"/>
    </xf>
    <xf fontId="6906" applyFont="true" borderId="8" applyBorder="true" applyNumberFormat="true" numFmtId="167" fillId="22" applyFill="true">
      <alignment horizontal="center" vertical="center"/>
    </xf>
    <xf fontId="6907" applyFont="true" borderId="8" applyBorder="true" applyNumberFormat="true" numFmtId="1" fillId="22" applyFill="true">
      <alignment horizontal="center" vertical="center"/>
    </xf>
    <xf fontId="6908" applyFont="true" borderId="8" applyBorder="true" applyNumberFormat="true" numFmtId="167" fillId="22" applyFill="true">
      <alignment horizontal="center" vertical="center"/>
    </xf>
    <xf fontId="6909" applyFont="true" borderId="8" applyBorder="true" applyNumberFormat="true" numFmtId="2" fillId="22" applyFill="true">
      <alignment horizontal="center" vertical="center"/>
    </xf>
    <xf fontId="6910" applyFont="true" borderId="8" applyBorder="true" applyNumberFormat="true" numFmtId="2" fillId="22" applyFill="true">
      <alignment horizontal="center" vertical="center"/>
    </xf>
    <xf fontId="6911" applyFont="true" borderId="8" applyBorder="true" applyNumberFormat="true" numFmtId="2" fillId="22" applyFill="true">
      <alignment horizontal="center" vertical="center"/>
    </xf>
    <xf fontId="6912" applyFont="true" borderId="8" applyBorder="true" applyNumberFormat="true" numFmtId="2" fillId="22" applyFill="true">
      <alignment horizontal="center" vertical="center"/>
    </xf>
    <xf fontId="6913" applyFont="true" borderId="8" applyBorder="true" applyNumberFormat="true" numFmtId="2" fillId="22" applyFill="true">
      <alignment horizontal="center" vertical="center"/>
    </xf>
    <xf fontId="6914" applyFont="true" borderId="8" applyBorder="true" applyNumberFormat="true" numFmtId="2" fillId="22" applyFill="true">
      <alignment horizontal="center" vertical="center"/>
    </xf>
    <xf fontId="6915" applyFont="true" borderId="8" applyBorder="true" applyNumberFormat="true" numFmtId="2" fillId="22" applyFill="true">
      <alignment horizontal="center" vertical="center"/>
    </xf>
    <xf fontId="6916" applyFont="true" borderId="8" applyBorder="true" applyNumberFormat="true" numFmtId="2" fillId="22" applyFill="true">
      <alignment horizontal="center" vertical="center"/>
    </xf>
    <xf fontId="6917" applyFont="true" borderId="8" applyBorder="true" applyNumberFormat="true" numFmtId="2" fillId="22" applyFill="true">
      <alignment horizontal="center" vertical="center"/>
    </xf>
    <xf fontId="6918" applyFont="true" borderId="8" applyBorder="true" applyNumberFormat="true" numFmtId="2" fillId="22" applyFill="true">
      <alignment horizontal="center" vertical="center"/>
    </xf>
    <xf fontId="6919" applyFont="true" borderId="8" applyBorder="true" applyNumberFormat="true" numFmtId="2" fillId="22" applyFill="true">
      <alignment horizontal="center" vertical="center"/>
    </xf>
    <xf fontId="6920" applyFont="true" borderId="8" applyBorder="true" applyNumberFormat="true" numFmtId="2" fillId="22" applyFill="true">
      <alignment horizontal="center" vertical="center"/>
    </xf>
    <xf fontId="6921" applyFont="true" borderId="8" applyBorder="true" applyNumberFormat="true" numFmtId="2" fillId="22" applyFill="true">
      <alignment horizontal="center" vertical="center"/>
    </xf>
    <xf fontId="6922" applyFont="true" borderId="8" applyBorder="true" applyNumberFormat="true" numFmtId="2" fillId="22" applyFill="true">
      <alignment horizontal="center" vertical="center"/>
    </xf>
    <xf fontId="6923" applyFont="true" borderId="8" applyBorder="true" applyNumberFormat="true" numFmtId="2" fillId="22" applyFill="true">
      <alignment horizontal="center" vertical="center"/>
    </xf>
    <xf fontId="6924" applyFont="true" borderId="8" applyBorder="true" applyNumberFormat="true" numFmtId="2" fillId="22" applyFill="true">
      <alignment horizontal="center" vertical="center"/>
    </xf>
    <xf fontId="6925" applyFont="true" borderId="8" applyBorder="true" applyNumberFormat="true" numFmtId="2" fillId="22" applyFill="true">
      <alignment horizontal="center" vertical="center"/>
    </xf>
    <xf fontId="6926" applyFont="true" borderId="8" applyBorder="true" applyNumberFormat="true" numFmtId="2" fillId="22" applyFill="true">
      <alignment horizontal="center" vertical="center"/>
    </xf>
    <xf fontId="6927" applyFont="true" borderId="8" applyBorder="true" applyNumberFormat="true" numFmtId="2" fillId="22" applyFill="true">
      <alignment horizontal="center" vertical="center"/>
    </xf>
    <xf fontId="6928" applyFont="true" borderId="8" applyBorder="true" applyNumberFormat="true" numFmtId="2" fillId="22" applyFill="true">
      <alignment horizontal="center" vertical="center"/>
    </xf>
    <xf fontId="6929" applyFont="true" borderId="8" applyBorder="true" applyNumberFormat="true" numFmtId="2" fillId="22" applyFill="true">
      <alignment horizontal="center" vertical="center"/>
    </xf>
    <xf fontId="6930" applyFont="true" borderId="8" applyBorder="true" applyNumberFormat="true" numFmtId="2" fillId="22" applyFill="true">
      <alignment horizontal="center" vertical="center"/>
    </xf>
    <xf fontId="6931" applyFont="true" borderId="8" applyBorder="true" applyNumberFormat="true" numFmtId="2" fillId="22" applyFill="true">
      <alignment horizontal="center" vertical="center"/>
    </xf>
    <xf fontId="6932" applyFont="true" borderId="8" applyBorder="true" applyNumberFormat="true" numFmtId="2" fillId="22" applyFill="true">
      <alignment horizontal="center" vertical="center"/>
    </xf>
    <xf fontId="6933" applyFont="true" borderId="8" applyBorder="true" applyNumberFormat="true" numFmtId="2" fillId="22" applyFill="true">
      <alignment horizontal="center" vertical="center"/>
    </xf>
    <xf fontId="6934" applyFont="true" borderId="8" applyBorder="true" applyNumberFormat="true" numFmtId="2" fillId="22" applyFill="true">
      <alignment horizontal="center" vertical="center"/>
    </xf>
    <xf fontId="6935" applyFont="true" borderId="8" applyBorder="true" applyNumberFormat="true" numFmtId="2" fillId="22" applyFill="true">
      <alignment horizontal="center" vertical="center"/>
    </xf>
    <xf fontId="6936" applyFont="true" borderId="8" applyBorder="true" applyNumberFormat="true" numFmtId="2" fillId="22" applyFill="true">
      <alignment horizontal="center" vertical="center"/>
    </xf>
    <xf fontId="6937" applyFont="true" borderId="8" applyBorder="true" applyNumberFormat="true" numFmtId="2" fillId="22" applyFill="true">
      <alignment horizontal="center" vertical="center"/>
    </xf>
    <xf fontId="6938" applyFont="true" borderId="8" applyBorder="true" applyNumberFormat="true" numFmtId="2" fillId="22" applyFill="true">
      <alignment horizontal="center" vertical="center"/>
    </xf>
    <xf fontId="6939" applyFont="true" borderId="8" applyBorder="true" applyNumberFormat="true" numFmtId="2" fillId="22" applyFill="true">
      <alignment horizontal="center" vertical="center"/>
    </xf>
    <xf fontId="6940" applyFont="true" borderId="8" applyBorder="true" applyNumberFormat="true" numFmtId="2" fillId="22" applyFill="true">
      <alignment horizontal="center" vertical="center"/>
    </xf>
    <xf fontId="6941" applyFont="true" borderId="8" applyBorder="true" applyNumberFormat="true" numFmtId="2" fillId="22" applyFill="true">
      <alignment horizontal="center" vertical="center"/>
    </xf>
    <xf fontId="6942" applyFont="true" borderId="8" applyBorder="true" applyNumberFormat="true" numFmtId="2" fillId="22" applyFill="true">
      <alignment horizontal="center" vertical="center"/>
    </xf>
    <xf fontId="6943" applyFont="true" borderId="8" applyBorder="true" applyNumberFormat="true" numFmtId="165" fillId="19" applyFill="true">
      <alignment horizontal="left" vertical="center"/>
    </xf>
    <xf fontId="6944" applyFont="true" borderId="8" applyBorder="true" applyNumberFormat="true" numFmtId="165" fillId="22" applyFill="true">
      <alignment horizontal="center" vertical="center"/>
    </xf>
    <xf fontId="6945" applyFont="true" borderId="8" applyBorder="true" applyNumberFormat="true" numFmtId="166" fillId="22" applyFill="true">
      <alignment horizontal="center" vertical="center"/>
    </xf>
    <xf fontId="6946" applyFont="true" borderId="8" applyBorder="true" applyNumberFormat="true" numFmtId="1" fillId="22" applyFill="true">
      <alignment horizontal="center" vertical="center"/>
    </xf>
    <xf fontId="6947" applyFont="true" borderId="8" applyBorder="true" applyNumberFormat="true" numFmtId="1" fillId="22" applyFill="true">
      <alignment horizontal="center" vertical="center"/>
    </xf>
    <xf fontId="6948" applyFont="true" borderId="8" applyBorder="true" applyNumberFormat="true" numFmtId="1" fillId="22" applyFill="true">
      <alignment horizontal="center" vertical="center"/>
    </xf>
    <xf fontId="6949" applyFont="true" borderId="8" applyBorder="true" applyNumberFormat="true" numFmtId="1" fillId="22" applyFill="true">
      <alignment horizontal="center" vertical="center"/>
    </xf>
    <xf fontId="6950" applyFont="true" borderId="8" applyBorder="true" applyNumberFormat="true" numFmtId="1" fillId="22" applyFill="true">
      <alignment horizontal="center" vertical="center"/>
    </xf>
    <xf fontId="6951" applyFont="true" borderId="8" applyBorder="true" applyNumberFormat="true" numFmtId="1" fillId="22" applyFill="true">
      <alignment horizontal="center" vertical="center"/>
    </xf>
    <xf fontId="6952" applyFont="true" borderId="8" applyBorder="true" applyNumberFormat="true" numFmtId="1" fillId="22" applyFill="true">
      <alignment horizontal="center" vertical="center"/>
    </xf>
    <xf fontId="6953" applyFont="true" borderId="8" applyBorder="true" applyNumberFormat="true" numFmtId="165" fillId="22" applyFill="true">
      <alignment horizontal="center" vertical="center"/>
    </xf>
    <xf fontId="6954" applyFont="true" borderId="8" applyBorder="true" applyNumberFormat="true" numFmtId="165" fillId="22" applyFill="true">
      <alignment horizontal="center" vertical="center"/>
    </xf>
    <xf fontId="6955" applyFont="true" borderId="8" applyBorder="true" applyNumberFormat="true" numFmtId="1" fillId="22" applyFill="true">
      <alignment horizontal="center" vertical="center"/>
    </xf>
    <xf fontId="6956" applyFont="true" borderId="8" applyBorder="true" applyNumberFormat="true" numFmtId="1" fillId="22" applyFill="true">
      <alignment horizontal="center" vertical="center"/>
    </xf>
    <xf fontId="6957" applyFont="true" borderId="8" applyBorder="true" applyNumberFormat="true" numFmtId="1" fillId="22" applyFill="true">
      <alignment horizontal="center" vertical="center"/>
    </xf>
    <xf fontId="6958" applyFont="true" borderId="8" applyBorder="true" applyNumberFormat="true" numFmtId="167" fillId="22" applyFill="true">
      <alignment horizontal="center" vertical="center"/>
    </xf>
    <xf fontId="6959" applyFont="true" borderId="8" applyBorder="true" applyNumberFormat="true" numFmtId="1" fillId="22" applyFill="true">
      <alignment horizontal="center" vertical="center"/>
    </xf>
    <xf fontId="6960" applyFont="true" borderId="8" applyBorder="true" applyNumberFormat="true" numFmtId="167" fillId="22" applyFill="true">
      <alignment horizontal="center" vertical="center"/>
    </xf>
    <xf fontId="6961" applyFont="true" borderId="8" applyBorder="true" applyNumberFormat="true" numFmtId="1" fillId="22" applyFill="true">
      <alignment horizontal="center" vertical="center"/>
    </xf>
    <xf fontId="6962" applyFont="true" borderId="8" applyBorder="true" applyNumberFormat="true" numFmtId="167" fillId="22" applyFill="true">
      <alignment horizontal="center" vertical="center"/>
    </xf>
    <xf fontId="6963" applyFont="true" borderId="8" applyBorder="true" applyNumberFormat="true" numFmtId="1" fillId="22" applyFill="true">
      <alignment horizontal="center" vertical="center"/>
    </xf>
    <xf fontId="6964" applyFont="true" borderId="8" applyBorder="true" applyNumberFormat="true" numFmtId="167" fillId="22" applyFill="true">
      <alignment horizontal="center" vertical="center"/>
    </xf>
    <xf fontId="6965" applyFont="true" borderId="8" applyBorder="true" applyNumberFormat="true" numFmtId="167" fillId="22" applyFill="true">
      <alignment horizontal="center" vertical="center"/>
    </xf>
    <xf fontId="6966" applyFont="true" borderId="8" applyBorder="true" applyNumberFormat="true" numFmtId="1" fillId="22" applyFill="true">
      <alignment horizontal="center" vertical="center"/>
    </xf>
    <xf fontId="6967" applyFont="true" borderId="8" applyBorder="true" applyNumberFormat="true" numFmtId="1" fillId="22" applyFill="true">
      <alignment horizontal="center" vertical="center"/>
    </xf>
    <xf fontId="6968" applyFont="true" borderId="8" applyBorder="true" applyNumberFormat="true" numFmtId="1" fillId="22" applyFill="true">
      <alignment horizontal="center" vertical="center"/>
    </xf>
    <xf fontId="6969" applyFont="true" borderId="8" applyBorder="true" applyNumberFormat="true" numFmtId="167" fillId="22" applyFill="true">
      <alignment horizontal="center" vertical="center"/>
    </xf>
    <xf fontId="6970" applyFont="true" borderId="8" applyBorder="true" applyNumberFormat="true" numFmtId="166" fillId="22" applyFill="true">
      <alignment horizontal="center" vertical="center"/>
    </xf>
    <xf fontId="6971" applyFont="true" borderId="8" applyBorder="true" applyNumberFormat="true" numFmtId="166" fillId="22" applyFill="true">
      <alignment horizontal="center" vertical="center"/>
    </xf>
    <xf fontId="6972" applyFont="true" borderId="8" applyBorder="true" applyNumberFormat="true" numFmtId="1" fillId="22" applyFill="true">
      <alignment horizontal="center" vertical="center"/>
    </xf>
    <xf fontId="6973" applyFont="true" borderId="8" applyBorder="true" applyNumberFormat="true" numFmtId="1" fillId="22" applyFill="true">
      <alignment horizontal="center" vertical="center"/>
    </xf>
    <xf fontId="6974" applyFont="true" borderId="8" applyBorder="true" applyNumberFormat="true" numFmtId="1" fillId="22" applyFill="true">
      <alignment horizontal="center" vertical="center"/>
    </xf>
    <xf fontId="6975" applyFont="true" borderId="8" applyBorder="true" applyNumberFormat="true" numFmtId="167" fillId="22" applyFill="true">
      <alignment horizontal="center" vertical="center"/>
    </xf>
    <xf fontId="6976" applyFont="true" borderId="8" applyBorder="true" applyNumberFormat="true" numFmtId="1" fillId="22" applyFill="true">
      <alignment horizontal="center" vertical="center"/>
    </xf>
    <xf fontId="6977" applyFont="true" borderId="8" applyBorder="true" applyNumberFormat="true" numFmtId="167" fillId="22" applyFill="true">
      <alignment horizontal="center" vertical="center"/>
    </xf>
    <xf fontId="6978" applyFont="true" borderId="8" applyBorder="true" applyNumberFormat="true" numFmtId="1" fillId="22" applyFill="true">
      <alignment horizontal="center" vertical="center"/>
    </xf>
    <xf fontId="6979" applyFont="true" borderId="8" applyBorder="true" applyNumberFormat="true" numFmtId="1" fillId="22" applyFill="true">
      <alignment horizontal="center" vertical="center"/>
    </xf>
    <xf fontId="6980" applyFont="true" borderId="8" applyBorder="true" applyNumberFormat="true" numFmtId="1" fillId="22" applyFill="true">
      <alignment horizontal="center" vertical="center"/>
    </xf>
    <xf fontId="6981" applyFont="true" borderId="8" applyBorder="true" applyNumberFormat="true" numFmtId="1" fillId="22" applyFill="true">
      <alignment horizontal="center" vertical="center"/>
    </xf>
    <xf fontId="6982" applyFont="true" borderId="8" applyBorder="true" applyNumberFormat="true" numFmtId="167" fillId="22" applyFill="true">
      <alignment horizontal="center" vertical="center"/>
    </xf>
    <xf fontId="6983" applyFont="true" borderId="8" applyBorder="true" applyNumberFormat="true" numFmtId="1" fillId="22" applyFill="true">
      <alignment horizontal="center" vertical="center"/>
    </xf>
    <xf fontId="6984" applyFont="true" borderId="8" applyBorder="true" applyNumberFormat="true" numFmtId="167" fillId="22" applyFill="true">
      <alignment horizontal="center" vertical="center"/>
    </xf>
    <xf fontId="6985" applyFont="true" borderId="8" applyBorder="true" applyNumberFormat="true" numFmtId="1" fillId="22" applyFill="true">
      <alignment horizontal="center" vertical="center"/>
    </xf>
    <xf fontId="6986" applyFont="true" borderId="8" applyBorder="true" applyNumberFormat="true" numFmtId="167" fillId="22" applyFill="true">
      <alignment horizontal="center" vertical="center"/>
    </xf>
    <xf fontId="6987" applyFont="true" borderId="8" applyBorder="true" applyNumberFormat="true" numFmtId="2" fillId="22" applyFill="true">
      <alignment horizontal="center" vertical="center"/>
    </xf>
    <xf fontId="6988" applyFont="true" borderId="8" applyBorder="true" applyNumberFormat="true" numFmtId="2" fillId="22" applyFill="true">
      <alignment horizontal="center" vertical="center"/>
    </xf>
    <xf fontId="6989" applyFont="true" borderId="8" applyBorder="true" applyNumberFormat="true" numFmtId="2" fillId="22" applyFill="true">
      <alignment horizontal="center" vertical="center"/>
    </xf>
    <xf fontId="6990" applyFont="true" borderId="8" applyBorder="true" applyNumberFormat="true" numFmtId="2" fillId="22" applyFill="true">
      <alignment horizontal="center" vertical="center"/>
    </xf>
    <xf fontId="6991" applyFont="true" borderId="8" applyBorder="true" applyNumberFormat="true" numFmtId="2" fillId="22" applyFill="true">
      <alignment horizontal="center" vertical="center"/>
    </xf>
    <xf fontId="6992" applyFont="true" borderId="8" applyBorder="true" applyNumberFormat="true" numFmtId="2" fillId="22" applyFill="true">
      <alignment horizontal="center" vertical="center"/>
    </xf>
    <xf fontId="6993" applyFont="true" borderId="8" applyBorder="true" applyNumberFormat="true" numFmtId="2" fillId="22" applyFill="true">
      <alignment horizontal="center" vertical="center"/>
    </xf>
    <xf fontId="6994" applyFont="true" borderId="8" applyBorder="true" applyNumberFormat="true" numFmtId="2" fillId="22" applyFill="true">
      <alignment horizontal="center" vertical="center"/>
    </xf>
    <xf fontId="6995" applyFont="true" borderId="8" applyBorder="true" applyNumberFormat="true" numFmtId="2" fillId="22" applyFill="true">
      <alignment horizontal="center" vertical="center"/>
    </xf>
    <xf fontId="6996" applyFont="true" borderId="8" applyBorder="true" applyNumberFormat="true" numFmtId="2" fillId="22" applyFill="true">
      <alignment horizontal="center" vertical="center"/>
    </xf>
    <xf fontId="6997" applyFont="true" borderId="8" applyBorder="true" applyNumberFormat="true" numFmtId="2" fillId="22" applyFill="true">
      <alignment horizontal="center" vertical="center"/>
    </xf>
    <xf fontId="6998" applyFont="true" borderId="8" applyBorder="true" applyNumberFormat="true" numFmtId="2" fillId="22" applyFill="true">
      <alignment horizontal="center" vertical="center"/>
    </xf>
    <xf fontId="6999" applyFont="true" borderId="8" applyBorder="true" applyNumberFormat="true" numFmtId="2" fillId="22" applyFill="true">
      <alignment horizontal="center" vertical="center"/>
    </xf>
    <xf fontId="7000" applyFont="true" borderId="8" applyBorder="true" applyNumberFormat="true" numFmtId="2" fillId="22" applyFill="true">
      <alignment horizontal="center" vertical="center"/>
    </xf>
    <xf fontId="7001" applyFont="true" borderId="8" applyBorder="true" applyNumberFormat="true" numFmtId="2" fillId="22" applyFill="true">
      <alignment horizontal="center" vertical="center"/>
    </xf>
    <xf fontId="7002" applyFont="true" borderId="8" applyBorder="true" applyNumberFormat="true" numFmtId="2" fillId="22" applyFill="true">
      <alignment horizontal="center" vertical="center"/>
    </xf>
    <xf fontId="7003" applyFont="true" borderId="8" applyBorder="true" applyNumberFormat="true" numFmtId="2" fillId="22" applyFill="true">
      <alignment horizontal="center" vertical="center"/>
    </xf>
    <xf fontId="7004" applyFont="true" borderId="8" applyBorder="true" applyNumberFormat="true" numFmtId="2" fillId="22" applyFill="true">
      <alignment horizontal="center" vertical="center"/>
    </xf>
    <xf fontId="7005" applyFont="true" borderId="8" applyBorder="true" applyNumberFormat="true" numFmtId="2" fillId="22" applyFill="true">
      <alignment horizontal="center" vertical="center"/>
    </xf>
    <xf fontId="7006" applyFont="true" borderId="8" applyBorder="true" applyNumberFormat="true" numFmtId="2" fillId="22" applyFill="true">
      <alignment horizontal="center" vertical="center"/>
    </xf>
    <xf fontId="7007" applyFont="true" borderId="8" applyBorder="true" applyNumberFormat="true" numFmtId="2" fillId="22" applyFill="true">
      <alignment horizontal="center" vertical="center"/>
    </xf>
    <xf fontId="7008" applyFont="true" borderId="8" applyBorder="true" applyNumberFormat="true" numFmtId="2" fillId="22" applyFill="true">
      <alignment horizontal="center" vertical="center"/>
    </xf>
    <xf fontId="7009" applyFont="true" borderId="8" applyBorder="true" applyNumberFormat="true" numFmtId="2" fillId="22" applyFill="true">
      <alignment horizontal="center" vertical="center"/>
    </xf>
    <xf fontId="7010" applyFont="true" borderId="8" applyBorder="true" applyNumberFormat="true" numFmtId="2" fillId="22" applyFill="true">
      <alignment horizontal="center" vertical="center"/>
    </xf>
    <xf fontId="7011" applyFont="true" borderId="8" applyBorder="true" applyNumberFormat="true" numFmtId="2" fillId="22" applyFill="true">
      <alignment horizontal="center" vertical="center"/>
    </xf>
    <xf fontId="7012" applyFont="true" borderId="8" applyBorder="true" applyNumberFormat="true" numFmtId="2" fillId="22" applyFill="true">
      <alignment horizontal="center" vertical="center"/>
    </xf>
    <xf fontId="7013" applyFont="true" borderId="8" applyBorder="true" applyNumberFormat="true" numFmtId="2" fillId="22" applyFill="true">
      <alignment horizontal="center" vertical="center"/>
    </xf>
    <xf fontId="7014" applyFont="true" borderId="8" applyBorder="true" applyNumberFormat="true" numFmtId="2" fillId="22" applyFill="true">
      <alignment horizontal="center" vertical="center"/>
    </xf>
    <xf fontId="7015" applyFont="true" borderId="8" applyBorder="true" applyNumberFormat="true" numFmtId="2" fillId="22" applyFill="true">
      <alignment horizontal="center" vertical="center"/>
    </xf>
    <xf fontId="7016" applyFont="true" borderId="8" applyBorder="true" applyNumberFormat="true" numFmtId="2" fillId="22" applyFill="true">
      <alignment horizontal="center" vertical="center"/>
    </xf>
    <xf fontId="7017" applyFont="true" borderId="8" applyBorder="true" applyNumberFormat="true" numFmtId="2" fillId="22" applyFill="true">
      <alignment horizontal="center" vertical="center"/>
    </xf>
    <xf fontId="7018" applyFont="true" borderId="8" applyBorder="true" applyNumberFormat="true" numFmtId="2" fillId="22" applyFill="true">
      <alignment horizontal="center" vertical="center"/>
    </xf>
    <xf fontId="7019" applyFont="true" borderId="8" applyBorder="true" applyNumberFormat="true" numFmtId="2" fillId="22" applyFill="true">
      <alignment horizontal="center" vertical="center"/>
    </xf>
    <xf fontId="7020" applyFont="true" borderId="8" applyBorder="true" applyNumberFormat="true" numFmtId="2" fillId="22" applyFill="true">
      <alignment horizontal="center" vertical="center"/>
    </xf>
    <xf fontId="7021" applyFont="true" borderId="8" applyBorder="true" applyNumberFormat="true" numFmtId="165" fillId="19" applyFill="true">
      <alignment horizontal="left" vertical="center"/>
    </xf>
    <xf fontId="7022" applyFont="true" borderId="8" applyBorder="true" applyNumberFormat="true" numFmtId="165" fillId="22" applyFill="true">
      <alignment horizontal="center" vertical="center"/>
    </xf>
    <xf fontId="7023" applyFont="true" borderId="8" applyBorder="true" applyNumberFormat="true" numFmtId="166" fillId="22" applyFill="true">
      <alignment horizontal="center" vertical="center"/>
    </xf>
    <xf fontId="7024" applyFont="true" borderId="8" applyBorder="true" applyNumberFormat="true" numFmtId="1" fillId="22" applyFill="true">
      <alignment horizontal="center" vertical="center"/>
    </xf>
    <xf fontId="7025" applyFont="true" borderId="8" applyBorder="true" applyNumberFormat="true" numFmtId="1" fillId="22" applyFill="true">
      <alignment horizontal="center" vertical="center"/>
    </xf>
    <xf fontId="7026" applyFont="true" borderId="8" applyBorder="true" applyNumberFormat="true" numFmtId="1" fillId="22" applyFill="true">
      <alignment horizontal="center" vertical="center"/>
    </xf>
    <xf fontId="7027" applyFont="true" borderId="8" applyBorder="true" applyNumberFormat="true" numFmtId="1" fillId="22" applyFill="true">
      <alignment horizontal="center" vertical="center"/>
    </xf>
    <xf fontId="7028" applyFont="true" borderId="8" applyBorder="true" applyNumberFormat="true" numFmtId="1" fillId="22" applyFill="true">
      <alignment horizontal="center" vertical="center"/>
    </xf>
    <xf fontId="7029" applyFont="true" borderId="8" applyBorder="true" applyNumberFormat="true" numFmtId="1" fillId="22" applyFill="true">
      <alignment horizontal="center" vertical="center"/>
    </xf>
    <xf fontId="7030" applyFont="true" borderId="8" applyBorder="true" applyNumberFormat="true" numFmtId="1" fillId="22" applyFill="true">
      <alignment horizontal="center" vertical="center"/>
    </xf>
    <xf fontId="7031" applyFont="true" borderId="8" applyBorder="true" applyNumberFormat="true" numFmtId="165" fillId="22" applyFill="true">
      <alignment horizontal="center" vertical="center"/>
    </xf>
    <xf fontId="7032" applyFont="true" borderId="8" applyBorder="true" applyNumberFormat="true" numFmtId="165" fillId="22" applyFill="true">
      <alignment horizontal="center" vertical="center"/>
    </xf>
    <xf fontId="7033" applyFont="true" borderId="8" applyBorder="true" applyNumberFormat="true" numFmtId="1" fillId="22" applyFill="true">
      <alignment horizontal="center" vertical="center"/>
    </xf>
    <xf fontId="7034" applyFont="true" borderId="8" applyBorder="true" applyNumberFormat="true" numFmtId="1" fillId="22" applyFill="true">
      <alignment horizontal="center" vertical="center"/>
    </xf>
    <xf fontId="7035" applyFont="true" borderId="8" applyBorder="true" applyNumberFormat="true" numFmtId="1" fillId="22" applyFill="true">
      <alignment horizontal="center" vertical="center"/>
    </xf>
    <xf fontId="7036" applyFont="true" borderId="8" applyBorder="true" applyNumberFormat="true" numFmtId="167" fillId="22" applyFill="true">
      <alignment horizontal="center" vertical="center"/>
    </xf>
    <xf fontId="7037" applyFont="true" borderId="8" applyBorder="true" applyNumberFormat="true" numFmtId="1" fillId="22" applyFill="true">
      <alignment horizontal="center" vertical="center"/>
    </xf>
    <xf fontId="7038" applyFont="true" borderId="8" applyBorder="true" applyNumberFormat="true" numFmtId="167" fillId="22" applyFill="true">
      <alignment horizontal="center" vertical="center"/>
    </xf>
    <xf fontId="7039" applyFont="true" borderId="8" applyBorder="true" applyNumberFormat="true" numFmtId="1" fillId="22" applyFill="true">
      <alignment horizontal="center" vertical="center"/>
    </xf>
    <xf fontId="7040" applyFont="true" borderId="8" applyBorder="true" applyNumberFormat="true" numFmtId="167" fillId="22" applyFill="true">
      <alignment horizontal="center" vertical="center"/>
    </xf>
    <xf fontId="7041" applyFont="true" borderId="8" applyBorder="true" applyNumberFormat="true" numFmtId="1" fillId="22" applyFill="true">
      <alignment horizontal="center" vertical="center"/>
    </xf>
    <xf fontId="7042" applyFont="true" borderId="8" applyBorder="true" applyNumberFormat="true" numFmtId="167" fillId="22" applyFill="true">
      <alignment horizontal="center" vertical="center"/>
    </xf>
    <xf fontId="7043" applyFont="true" borderId="8" applyBorder="true" applyNumberFormat="true" numFmtId="167" fillId="22" applyFill="true">
      <alignment horizontal="center" vertical="center"/>
    </xf>
    <xf fontId="7044" applyFont="true" borderId="8" applyBorder="true" applyNumberFormat="true" numFmtId="1" fillId="22" applyFill="true">
      <alignment horizontal="center" vertical="center"/>
    </xf>
    <xf fontId="7045" applyFont="true" borderId="8" applyBorder="true" applyNumberFormat="true" numFmtId="1" fillId="22" applyFill="true">
      <alignment horizontal="center" vertical="center"/>
    </xf>
    <xf fontId="7046" applyFont="true" borderId="8" applyBorder="true" applyNumberFormat="true" numFmtId="1" fillId="22" applyFill="true">
      <alignment horizontal="center" vertical="center"/>
    </xf>
    <xf fontId="7047" applyFont="true" borderId="8" applyBorder="true" applyNumberFormat="true" numFmtId="167" fillId="22" applyFill="true">
      <alignment horizontal="center" vertical="center"/>
    </xf>
    <xf fontId="7048" applyFont="true" borderId="8" applyBorder="true" applyNumberFormat="true" numFmtId="166" fillId="22" applyFill="true">
      <alignment horizontal="center" vertical="center"/>
    </xf>
    <xf fontId="7049" applyFont="true" borderId="8" applyBorder="true" applyNumberFormat="true" numFmtId="166" fillId="22" applyFill="true">
      <alignment horizontal="center" vertical="center"/>
    </xf>
    <xf fontId="7050" applyFont="true" borderId="8" applyBorder="true" applyNumberFormat="true" numFmtId="1" fillId="22" applyFill="true">
      <alignment horizontal="center" vertical="center"/>
    </xf>
    <xf fontId="7051" applyFont="true" borderId="8" applyBorder="true" applyNumberFormat="true" numFmtId="1" fillId="22" applyFill="true">
      <alignment horizontal="center" vertical="center"/>
    </xf>
    <xf fontId="7052" applyFont="true" borderId="8" applyBorder="true" applyNumberFormat="true" numFmtId="1" fillId="22" applyFill="true">
      <alignment horizontal="center" vertical="center"/>
    </xf>
    <xf fontId="7053" applyFont="true" borderId="8" applyBorder="true" applyNumberFormat="true" numFmtId="167" fillId="22" applyFill="true">
      <alignment horizontal="center" vertical="center"/>
    </xf>
    <xf fontId="7054" applyFont="true" borderId="8" applyBorder="true" applyNumberFormat="true" numFmtId="1" fillId="22" applyFill="true">
      <alignment horizontal="center" vertical="center"/>
    </xf>
    <xf fontId="7055" applyFont="true" borderId="8" applyBorder="true" applyNumberFormat="true" numFmtId="167" fillId="22" applyFill="true">
      <alignment horizontal="center" vertical="center"/>
    </xf>
    <xf fontId="7056" applyFont="true" borderId="8" applyBorder="true" applyNumberFormat="true" numFmtId="1" fillId="22" applyFill="true">
      <alignment horizontal="center" vertical="center"/>
    </xf>
    <xf fontId="7057" applyFont="true" borderId="8" applyBorder="true" applyNumberFormat="true" numFmtId="1" fillId="22" applyFill="true">
      <alignment horizontal="center" vertical="center"/>
    </xf>
    <xf fontId="7058" applyFont="true" borderId="8" applyBorder="true" applyNumberFormat="true" numFmtId="1" fillId="22" applyFill="true">
      <alignment horizontal="center" vertical="center"/>
    </xf>
    <xf fontId="7059" applyFont="true" borderId="8" applyBorder="true" applyNumberFormat="true" numFmtId="1" fillId="22" applyFill="true">
      <alignment horizontal="center" vertical="center"/>
    </xf>
    <xf fontId="7060" applyFont="true" borderId="8" applyBorder="true" applyNumberFormat="true" numFmtId="167" fillId="22" applyFill="true">
      <alignment horizontal="center" vertical="center"/>
    </xf>
    <xf fontId="7061" applyFont="true" borderId="8" applyBorder="true" applyNumberFormat="true" numFmtId="1" fillId="22" applyFill="true">
      <alignment horizontal="center" vertical="center"/>
    </xf>
    <xf fontId="7062" applyFont="true" borderId="8" applyBorder="true" applyNumberFormat="true" numFmtId="167" fillId="22" applyFill="true">
      <alignment horizontal="center" vertical="center"/>
    </xf>
    <xf fontId="7063" applyFont="true" borderId="8" applyBorder="true" applyNumberFormat="true" numFmtId="1" fillId="22" applyFill="true">
      <alignment horizontal="center" vertical="center"/>
    </xf>
    <xf fontId="7064" applyFont="true" borderId="8" applyBorder="true" applyNumberFormat="true" numFmtId="167" fillId="22" applyFill="true">
      <alignment horizontal="center" vertical="center"/>
    </xf>
    <xf fontId="7065" applyFont="true" borderId="8" applyBorder="true" applyNumberFormat="true" numFmtId="2" fillId="22" applyFill="true">
      <alignment horizontal="center" vertical="center"/>
    </xf>
    <xf fontId="7066" applyFont="true" borderId="8" applyBorder="true" applyNumberFormat="true" numFmtId="2" fillId="22" applyFill="true">
      <alignment horizontal="center" vertical="center"/>
    </xf>
    <xf fontId="7067" applyFont="true" borderId="8" applyBorder="true" applyNumberFormat="true" numFmtId="2" fillId="22" applyFill="true">
      <alignment horizontal="center" vertical="center"/>
    </xf>
    <xf fontId="7068" applyFont="true" borderId="8" applyBorder="true" applyNumberFormat="true" numFmtId="2" fillId="22" applyFill="true">
      <alignment horizontal="center" vertical="center"/>
    </xf>
    <xf fontId="7069" applyFont="true" borderId="8" applyBorder="true" applyNumberFormat="true" numFmtId="2" fillId="22" applyFill="true">
      <alignment horizontal="center" vertical="center"/>
    </xf>
    <xf fontId="7070" applyFont="true" borderId="8" applyBorder="true" applyNumberFormat="true" numFmtId="2" fillId="22" applyFill="true">
      <alignment horizontal="center" vertical="center"/>
    </xf>
    <xf fontId="7071" applyFont="true" borderId="8" applyBorder="true" applyNumberFormat="true" numFmtId="2" fillId="22" applyFill="true">
      <alignment horizontal="center" vertical="center"/>
    </xf>
    <xf fontId="7072" applyFont="true" borderId="8" applyBorder="true" applyNumberFormat="true" numFmtId="2" fillId="22" applyFill="true">
      <alignment horizontal="center" vertical="center"/>
    </xf>
    <xf fontId="7073" applyFont="true" borderId="8" applyBorder="true" applyNumberFormat="true" numFmtId="2" fillId="22" applyFill="true">
      <alignment horizontal="center" vertical="center"/>
    </xf>
    <xf fontId="7074" applyFont="true" borderId="8" applyBorder="true" applyNumberFormat="true" numFmtId="2" fillId="22" applyFill="true">
      <alignment horizontal="center" vertical="center"/>
    </xf>
    <xf fontId="7075" applyFont="true" borderId="8" applyBorder="true" applyNumberFormat="true" numFmtId="2" fillId="22" applyFill="true">
      <alignment horizontal="center" vertical="center"/>
    </xf>
    <xf fontId="7076" applyFont="true" borderId="8" applyBorder="true" applyNumberFormat="true" numFmtId="2" fillId="22" applyFill="true">
      <alignment horizontal="center" vertical="center"/>
    </xf>
    <xf fontId="7077" applyFont="true" borderId="8" applyBorder="true" applyNumberFormat="true" numFmtId="2" fillId="22" applyFill="true">
      <alignment horizontal="center" vertical="center"/>
    </xf>
    <xf fontId="7078" applyFont="true" borderId="8" applyBorder="true" applyNumberFormat="true" numFmtId="2" fillId="22" applyFill="true">
      <alignment horizontal="center" vertical="center"/>
    </xf>
    <xf fontId="7079" applyFont="true" borderId="8" applyBorder="true" applyNumberFormat="true" numFmtId="2" fillId="22" applyFill="true">
      <alignment horizontal="center" vertical="center"/>
    </xf>
    <xf fontId="7080" applyFont="true" borderId="8" applyBorder="true" applyNumberFormat="true" numFmtId="2" fillId="22" applyFill="true">
      <alignment horizontal="center" vertical="center"/>
    </xf>
    <xf fontId="7081" applyFont="true" borderId="8" applyBorder="true" applyNumberFormat="true" numFmtId="2" fillId="22" applyFill="true">
      <alignment horizontal="center" vertical="center"/>
    </xf>
    <xf fontId="7082" applyFont="true" borderId="8" applyBorder="true" applyNumberFormat="true" numFmtId="2" fillId="22" applyFill="true">
      <alignment horizontal="center" vertical="center"/>
    </xf>
    <xf fontId="7083" applyFont="true" borderId="8" applyBorder="true" applyNumberFormat="true" numFmtId="2" fillId="22" applyFill="true">
      <alignment horizontal="center" vertical="center"/>
    </xf>
    <xf fontId="7084" applyFont="true" borderId="8" applyBorder="true" applyNumberFormat="true" numFmtId="2" fillId="22" applyFill="true">
      <alignment horizontal="center" vertical="center"/>
    </xf>
    <xf fontId="7085" applyFont="true" borderId="8" applyBorder="true" applyNumberFormat="true" numFmtId="2" fillId="22" applyFill="true">
      <alignment horizontal="center" vertical="center"/>
    </xf>
    <xf fontId="7086" applyFont="true" borderId="8" applyBorder="true" applyNumberFormat="true" numFmtId="2" fillId="22" applyFill="true">
      <alignment horizontal="center" vertical="center"/>
    </xf>
    <xf fontId="7087" applyFont="true" borderId="8" applyBorder="true" applyNumberFormat="true" numFmtId="2" fillId="22" applyFill="true">
      <alignment horizontal="center" vertical="center"/>
    </xf>
    <xf fontId="7088" applyFont="true" borderId="8" applyBorder="true" applyNumberFormat="true" numFmtId="2" fillId="22" applyFill="true">
      <alignment horizontal="center" vertical="center"/>
    </xf>
    <xf fontId="7089" applyFont="true" borderId="8" applyBorder="true" applyNumberFormat="true" numFmtId="2" fillId="22" applyFill="true">
      <alignment horizontal="center" vertical="center"/>
    </xf>
    <xf fontId="7090" applyFont="true" borderId="8" applyBorder="true" applyNumberFormat="true" numFmtId="2" fillId="22" applyFill="true">
      <alignment horizontal="center" vertical="center"/>
    </xf>
    <xf fontId="7091" applyFont="true" borderId="8" applyBorder="true" applyNumberFormat="true" numFmtId="2" fillId="22" applyFill="true">
      <alignment horizontal="center" vertical="center"/>
    </xf>
    <xf fontId="7092" applyFont="true" borderId="8" applyBorder="true" applyNumberFormat="true" numFmtId="2" fillId="22" applyFill="true">
      <alignment horizontal="center" vertical="center"/>
    </xf>
    <xf fontId="7093" applyFont="true" borderId="8" applyBorder="true" applyNumberFormat="true" numFmtId="2" fillId="22" applyFill="true">
      <alignment horizontal="center" vertical="center"/>
    </xf>
    <xf fontId="7094" applyFont="true" borderId="8" applyBorder="true" applyNumberFormat="true" numFmtId="2" fillId="22" applyFill="true">
      <alignment horizontal="center" vertical="center"/>
    </xf>
    <xf fontId="7095" applyFont="true" borderId="8" applyBorder="true" applyNumberFormat="true" numFmtId="2" fillId="22" applyFill="true">
      <alignment horizontal="center" vertical="center"/>
    </xf>
    <xf fontId="7096" applyFont="true" borderId="8" applyBorder="true" applyNumberFormat="true" numFmtId="2" fillId="22" applyFill="true">
      <alignment horizontal="center" vertical="center"/>
    </xf>
    <xf fontId="7097" applyFont="true" borderId="8" applyBorder="true" applyNumberFormat="true" numFmtId="2" fillId="22" applyFill="true">
      <alignment horizontal="center" vertical="center"/>
    </xf>
    <xf fontId="7098" applyFont="true" borderId="8" applyBorder="true" applyNumberFormat="true" numFmtId="2" fillId="22" applyFill="true">
      <alignment horizontal="center" vertical="center"/>
    </xf>
    <xf fontId="7099" applyFont="true" borderId="8" applyBorder="true" applyNumberFormat="true" numFmtId="165" fillId="19" applyFill="true">
      <alignment horizontal="left" vertical="center"/>
    </xf>
    <xf fontId="7100" applyFont="true" borderId="8" applyBorder="true" applyNumberFormat="true" numFmtId="165" fillId="22" applyFill="true">
      <alignment horizontal="center" vertical="center"/>
    </xf>
    <xf fontId="7101" applyFont="true" borderId="8" applyBorder="true" applyNumberFormat="true" numFmtId="166" fillId="22" applyFill="true">
      <alignment horizontal="center" vertical="center"/>
    </xf>
    <xf fontId="7102" applyFont="true" borderId="8" applyBorder="true" applyNumberFormat="true" numFmtId="1" fillId="22" applyFill="true">
      <alignment horizontal="center" vertical="center"/>
    </xf>
    <xf fontId="7103" applyFont="true" borderId="8" applyBorder="true" applyNumberFormat="true" numFmtId="1" fillId="22" applyFill="true">
      <alignment horizontal="center" vertical="center"/>
    </xf>
    <xf fontId="7104" applyFont="true" borderId="8" applyBorder="true" applyNumberFormat="true" numFmtId="1" fillId="22" applyFill="true">
      <alignment horizontal="center" vertical="center"/>
    </xf>
    <xf fontId="7105" applyFont="true" borderId="8" applyBorder="true" applyNumberFormat="true" numFmtId="1" fillId="22" applyFill="true">
      <alignment horizontal="center" vertical="center"/>
    </xf>
    <xf fontId="7106" applyFont="true" borderId="8" applyBorder="true" applyNumberFormat="true" numFmtId="1" fillId="22" applyFill="true">
      <alignment horizontal="center" vertical="center"/>
    </xf>
    <xf fontId="7107" applyFont="true" borderId="8" applyBorder="true" applyNumberFormat="true" numFmtId="1" fillId="22" applyFill="true">
      <alignment horizontal="center" vertical="center"/>
    </xf>
    <xf fontId="7108" applyFont="true" borderId="8" applyBorder="true" applyNumberFormat="true" numFmtId="1" fillId="22" applyFill="true">
      <alignment horizontal="center" vertical="center"/>
    </xf>
    <xf fontId="7109" applyFont="true" borderId="8" applyBorder="true" applyNumberFormat="true" numFmtId="165" fillId="22" applyFill="true">
      <alignment horizontal="center" vertical="center"/>
    </xf>
    <xf fontId="7110" applyFont="true" borderId="8" applyBorder="true" applyNumberFormat="true" numFmtId="165" fillId="22" applyFill="true">
      <alignment horizontal="center" vertical="center"/>
    </xf>
    <xf fontId="7111" applyFont="true" borderId="8" applyBorder="true" applyNumberFormat="true" numFmtId="1" fillId="22" applyFill="true">
      <alignment horizontal="center" vertical="center"/>
    </xf>
    <xf fontId="7112" applyFont="true" borderId="8" applyBorder="true" applyNumberFormat="true" numFmtId="1" fillId="22" applyFill="true">
      <alignment horizontal="center" vertical="center"/>
    </xf>
    <xf fontId="7113" applyFont="true" borderId="8" applyBorder="true" applyNumberFormat="true" numFmtId="1" fillId="22" applyFill="true">
      <alignment horizontal="center" vertical="center"/>
    </xf>
    <xf fontId="7114" applyFont="true" borderId="8" applyBorder="true" applyNumberFormat="true" numFmtId="167" fillId="22" applyFill="true">
      <alignment horizontal="center" vertical="center"/>
    </xf>
    <xf fontId="7115" applyFont="true" borderId="8" applyBorder="true" applyNumberFormat="true" numFmtId="1" fillId="22" applyFill="true">
      <alignment horizontal="center" vertical="center"/>
    </xf>
    <xf fontId="7116" applyFont="true" borderId="8" applyBorder="true" applyNumberFormat="true" numFmtId="167" fillId="22" applyFill="true">
      <alignment horizontal="center" vertical="center"/>
    </xf>
    <xf fontId="7117" applyFont="true" borderId="8" applyBorder="true" applyNumberFormat="true" numFmtId="1" fillId="22" applyFill="true">
      <alignment horizontal="center" vertical="center"/>
    </xf>
    <xf fontId="7118" applyFont="true" borderId="8" applyBorder="true" applyNumberFormat="true" numFmtId="167" fillId="22" applyFill="true">
      <alignment horizontal="center" vertical="center"/>
    </xf>
    <xf fontId="7119" applyFont="true" borderId="8" applyBorder="true" applyNumberFormat="true" numFmtId="1" fillId="22" applyFill="true">
      <alignment horizontal="center" vertical="center"/>
    </xf>
    <xf fontId="7120" applyFont="true" borderId="8" applyBorder="true" applyNumberFormat="true" numFmtId="167" fillId="22" applyFill="true">
      <alignment horizontal="center" vertical="center"/>
    </xf>
    <xf fontId="7121" applyFont="true" borderId="8" applyBorder="true" applyNumberFormat="true" numFmtId="167" fillId="22" applyFill="true">
      <alignment horizontal="center" vertical="center"/>
    </xf>
    <xf fontId="7122" applyFont="true" borderId="8" applyBorder="true" applyNumberFormat="true" numFmtId="1" fillId="22" applyFill="true">
      <alignment horizontal="center" vertical="center"/>
    </xf>
    <xf fontId="7123" applyFont="true" borderId="8" applyBorder="true" applyNumberFormat="true" numFmtId="1" fillId="22" applyFill="true">
      <alignment horizontal="center" vertical="center"/>
    </xf>
    <xf fontId="7124" applyFont="true" borderId="8" applyBorder="true" applyNumberFormat="true" numFmtId="1" fillId="22" applyFill="true">
      <alignment horizontal="center" vertical="center"/>
    </xf>
    <xf fontId="7125" applyFont="true" borderId="8" applyBorder="true" applyNumberFormat="true" numFmtId="167" fillId="22" applyFill="true">
      <alignment horizontal="center" vertical="center"/>
    </xf>
    <xf fontId="7126" applyFont="true" borderId="8" applyBorder="true" applyNumberFormat="true" numFmtId="166" fillId="22" applyFill="true">
      <alignment horizontal="center" vertical="center"/>
    </xf>
    <xf fontId="7127" applyFont="true" borderId="8" applyBorder="true" applyNumberFormat="true" numFmtId="166" fillId="22" applyFill="true">
      <alignment horizontal="center" vertical="center"/>
    </xf>
    <xf fontId="7128" applyFont="true" borderId="8" applyBorder="true" applyNumberFormat="true" numFmtId="1" fillId="22" applyFill="true">
      <alignment horizontal="center" vertical="center"/>
    </xf>
    <xf fontId="7129" applyFont="true" borderId="8" applyBorder="true" applyNumberFormat="true" numFmtId="1" fillId="22" applyFill="true">
      <alignment horizontal="center" vertical="center"/>
    </xf>
    <xf fontId="7130" applyFont="true" borderId="8" applyBorder="true" applyNumberFormat="true" numFmtId="1" fillId="22" applyFill="true">
      <alignment horizontal="center" vertical="center"/>
    </xf>
    <xf fontId="7131" applyFont="true" borderId="8" applyBorder="true" applyNumberFormat="true" numFmtId="167" fillId="22" applyFill="true">
      <alignment horizontal="center" vertical="center"/>
    </xf>
    <xf fontId="7132" applyFont="true" borderId="8" applyBorder="true" applyNumberFormat="true" numFmtId="1" fillId="22" applyFill="true">
      <alignment horizontal="center" vertical="center"/>
    </xf>
    <xf fontId="7133" applyFont="true" borderId="8" applyBorder="true" applyNumberFormat="true" numFmtId="167" fillId="22" applyFill="true">
      <alignment horizontal="center" vertical="center"/>
    </xf>
    <xf fontId="7134" applyFont="true" borderId="8" applyBorder="true" applyNumberFormat="true" numFmtId="1" fillId="22" applyFill="true">
      <alignment horizontal="center" vertical="center"/>
    </xf>
    <xf fontId="7135" applyFont="true" borderId="8" applyBorder="true" applyNumberFormat="true" numFmtId="1" fillId="22" applyFill="true">
      <alignment horizontal="center" vertical="center"/>
    </xf>
    <xf fontId="7136" applyFont="true" borderId="8" applyBorder="true" applyNumberFormat="true" numFmtId="1" fillId="22" applyFill="true">
      <alignment horizontal="center" vertical="center"/>
    </xf>
    <xf fontId="7137" applyFont="true" borderId="8" applyBorder="true" applyNumberFormat="true" numFmtId="1" fillId="22" applyFill="true">
      <alignment horizontal="center" vertical="center"/>
    </xf>
    <xf fontId="7138" applyFont="true" borderId="8" applyBorder="true" applyNumberFormat="true" numFmtId="167" fillId="22" applyFill="true">
      <alignment horizontal="center" vertical="center"/>
    </xf>
    <xf fontId="7139" applyFont="true" borderId="8" applyBorder="true" applyNumberFormat="true" numFmtId="1" fillId="22" applyFill="true">
      <alignment horizontal="center" vertical="center"/>
    </xf>
    <xf fontId="7140" applyFont="true" borderId="8" applyBorder="true" applyNumberFormat="true" numFmtId="167" fillId="22" applyFill="true">
      <alignment horizontal="center" vertical="center"/>
    </xf>
    <xf fontId="7141" applyFont="true" borderId="8" applyBorder="true" applyNumberFormat="true" numFmtId="1" fillId="22" applyFill="true">
      <alignment horizontal="center" vertical="center"/>
    </xf>
    <xf fontId="7142" applyFont="true" borderId="8" applyBorder="true" applyNumberFormat="true" numFmtId="167" fillId="22" applyFill="true">
      <alignment horizontal="center" vertical="center"/>
    </xf>
    <xf fontId="7143" applyFont="true" borderId="8" applyBorder="true" applyNumberFormat="true" numFmtId="2" fillId="22" applyFill="true">
      <alignment horizontal="center" vertical="center"/>
    </xf>
    <xf fontId="7144" applyFont="true" borderId="8" applyBorder="true" applyNumberFormat="true" numFmtId="2" fillId="22" applyFill="true">
      <alignment horizontal="center" vertical="center"/>
    </xf>
    <xf fontId="7145" applyFont="true" borderId="8" applyBorder="true" applyNumberFormat="true" numFmtId="2" fillId="22" applyFill="true">
      <alignment horizontal="center" vertical="center"/>
    </xf>
    <xf fontId="7146" applyFont="true" borderId="8" applyBorder="true" applyNumberFormat="true" numFmtId="2" fillId="22" applyFill="true">
      <alignment horizontal="center" vertical="center"/>
    </xf>
    <xf fontId="7147" applyFont="true" borderId="8" applyBorder="true" applyNumberFormat="true" numFmtId="2" fillId="22" applyFill="true">
      <alignment horizontal="center" vertical="center"/>
    </xf>
    <xf fontId="7148" applyFont="true" borderId="8" applyBorder="true" applyNumberFormat="true" numFmtId="2" fillId="22" applyFill="true">
      <alignment horizontal="center" vertical="center"/>
    </xf>
    <xf fontId="7149" applyFont="true" borderId="8" applyBorder="true" applyNumberFormat="true" numFmtId="2" fillId="22" applyFill="true">
      <alignment horizontal="center" vertical="center"/>
    </xf>
    <xf fontId="7150" applyFont="true" borderId="8" applyBorder="true" applyNumberFormat="true" numFmtId="2" fillId="22" applyFill="true">
      <alignment horizontal="center" vertical="center"/>
    </xf>
    <xf fontId="7151" applyFont="true" borderId="8" applyBorder="true" applyNumberFormat="true" numFmtId="2" fillId="22" applyFill="true">
      <alignment horizontal="center" vertical="center"/>
    </xf>
    <xf fontId="7152" applyFont="true" borderId="8" applyBorder="true" applyNumberFormat="true" numFmtId="2" fillId="22" applyFill="true">
      <alignment horizontal="center" vertical="center"/>
    </xf>
    <xf fontId="7153" applyFont="true" borderId="8" applyBorder="true" applyNumberFormat="true" numFmtId="2" fillId="22" applyFill="true">
      <alignment horizontal="center" vertical="center"/>
    </xf>
    <xf fontId="7154" applyFont="true" borderId="8" applyBorder="true" applyNumberFormat="true" numFmtId="2" fillId="22" applyFill="true">
      <alignment horizontal="center" vertical="center"/>
    </xf>
    <xf fontId="7155" applyFont="true" borderId="8" applyBorder="true" applyNumberFormat="true" numFmtId="2" fillId="22" applyFill="true">
      <alignment horizontal="center" vertical="center"/>
    </xf>
    <xf fontId="7156" applyFont="true" borderId="8" applyBorder="true" applyNumberFormat="true" numFmtId="2" fillId="22" applyFill="true">
      <alignment horizontal="center" vertical="center"/>
    </xf>
    <xf fontId="7157" applyFont="true" borderId="8" applyBorder="true" applyNumberFormat="true" numFmtId="2" fillId="22" applyFill="true">
      <alignment horizontal="center" vertical="center"/>
    </xf>
    <xf fontId="7158" applyFont="true" borderId="8" applyBorder="true" applyNumberFormat="true" numFmtId="2" fillId="22" applyFill="true">
      <alignment horizontal="center" vertical="center"/>
    </xf>
    <xf fontId="7159" applyFont="true" borderId="8" applyBorder="true" applyNumberFormat="true" numFmtId="2" fillId="22" applyFill="true">
      <alignment horizontal="center" vertical="center"/>
    </xf>
    <xf fontId="7160" applyFont="true" borderId="8" applyBorder="true" applyNumberFormat="true" numFmtId="2" fillId="22" applyFill="true">
      <alignment horizontal="center" vertical="center"/>
    </xf>
    <xf fontId="7161" applyFont="true" borderId="8" applyBorder="true" applyNumberFormat="true" numFmtId="2" fillId="22" applyFill="true">
      <alignment horizontal="center" vertical="center"/>
    </xf>
    <xf fontId="7162" applyFont="true" borderId="8" applyBorder="true" applyNumberFormat="true" numFmtId="2" fillId="22" applyFill="true">
      <alignment horizontal="center" vertical="center"/>
    </xf>
    <xf fontId="7163" applyFont="true" borderId="8" applyBorder="true" applyNumberFormat="true" numFmtId="2" fillId="22" applyFill="true">
      <alignment horizontal="center" vertical="center"/>
    </xf>
    <xf fontId="7164" applyFont="true" borderId="8" applyBorder="true" applyNumberFormat="true" numFmtId="2" fillId="22" applyFill="true">
      <alignment horizontal="center" vertical="center"/>
    </xf>
    <xf fontId="7165" applyFont="true" borderId="8" applyBorder="true" applyNumberFormat="true" numFmtId="2" fillId="22" applyFill="true">
      <alignment horizontal="center" vertical="center"/>
    </xf>
    <xf fontId="7166" applyFont="true" borderId="8" applyBorder="true" applyNumberFormat="true" numFmtId="2" fillId="22" applyFill="true">
      <alignment horizontal="center" vertical="center"/>
    </xf>
    <xf fontId="7167" applyFont="true" borderId="8" applyBorder="true" applyNumberFormat="true" numFmtId="2" fillId="22" applyFill="true">
      <alignment horizontal="center" vertical="center"/>
    </xf>
    <xf fontId="7168" applyFont="true" borderId="8" applyBorder="true" applyNumberFormat="true" numFmtId="2" fillId="22" applyFill="true">
      <alignment horizontal="center" vertical="center"/>
    </xf>
    <xf fontId="7169" applyFont="true" borderId="8" applyBorder="true" applyNumberFormat="true" numFmtId="2" fillId="22" applyFill="true">
      <alignment horizontal="center" vertical="center"/>
    </xf>
    <xf fontId="7170" applyFont="true" borderId="8" applyBorder="true" applyNumberFormat="true" numFmtId="2" fillId="22" applyFill="true">
      <alignment horizontal="center" vertical="center"/>
    </xf>
    <xf fontId="7171" applyFont="true" borderId="8" applyBorder="true" applyNumberFormat="true" numFmtId="2" fillId="22" applyFill="true">
      <alignment horizontal="center" vertical="center"/>
    </xf>
    <xf fontId="7172" applyFont="true" borderId="8" applyBorder="true" applyNumberFormat="true" numFmtId="2" fillId="22" applyFill="true">
      <alignment horizontal="center" vertical="center"/>
    </xf>
    <xf fontId="7173" applyFont="true" borderId="8" applyBorder="true" applyNumberFormat="true" numFmtId="2" fillId="22" applyFill="true">
      <alignment horizontal="center" vertical="center"/>
    </xf>
    <xf fontId="7174" applyFont="true" borderId="8" applyBorder="true" applyNumberFormat="true" numFmtId="2" fillId="22" applyFill="true">
      <alignment horizontal="center" vertical="center"/>
    </xf>
    <xf fontId="7175" applyFont="true" borderId="8" applyBorder="true" applyNumberFormat="true" numFmtId="2" fillId="22" applyFill="true">
      <alignment horizontal="center" vertical="center"/>
    </xf>
    <xf fontId="7176" applyFont="true" borderId="8" applyBorder="true" applyNumberFormat="true" numFmtId="2" fillId="22" applyFill="true">
      <alignment horizontal="center" vertical="center"/>
    </xf>
    <xf fontId="7177" applyFont="true" borderId="8" applyBorder="true" applyNumberFormat="true" numFmtId="165" fillId="19" applyFill="true">
      <alignment horizontal="left" vertical="center"/>
    </xf>
    <xf fontId="7178" applyFont="true" borderId="8" applyBorder="true" applyNumberFormat="true" numFmtId="165" fillId="22" applyFill="true">
      <alignment horizontal="center" vertical="center"/>
    </xf>
    <xf fontId="7179" applyFont="true" borderId="8" applyBorder="true" applyNumberFormat="true" numFmtId="166" fillId="22" applyFill="true">
      <alignment horizontal="center" vertical="center"/>
    </xf>
    <xf fontId="7180" applyFont="true" borderId="8" applyBorder="true" applyNumberFormat="true" numFmtId="1" fillId="22" applyFill="true">
      <alignment horizontal="center" vertical="center"/>
    </xf>
    <xf fontId="7181" applyFont="true" borderId="8" applyBorder="true" applyNumberFormat="true" numFmtId="1" fillId="22" applyFill="true">
      <alignment horizontal="center" vertical="center"/>
    </xf>
    <xf fontId="7182" applyFont="true" borderId="8" applyBorder="true" applyNumberFormat="true" numFmtId="1" fillId="22" applyFill="true">
      <alignment horizontal="center" vertical="center"/>
    </xf>
    <xf fontId="7183" applyFont="true" borderId="8" applyBorder="true" applyNumberFormat="true" numFmtId="1" fillId="22" applyFill="true">
      <alignment horizontal="center" vertical="center"/>
    </xf>
    <xf fontId="7184" applyFont="true" borderId="8" applyBorder="true" applyNumberFormat="true" numFmtId="1" fillId="22" applyFill="true">
      <alignment horizontal="center" vertical="center"/>
    </xf>
    <xf fontId="7185" applyFont="true" borderId="8" applyBorder="true" applyNumberFormat="true" numFmtId="1" fillId="22" applyFill="true">
      <alignment horizontal="center" vertical="center"/>
    </xf>
    <xf fontId="7186" applyFont="true" borderId="8" applyBorder="true" applyNumberFormat="true" numFmtId="1" fillId="22" applyFill="true">
      <alignment horizontal="center" vertical="center"/>
    </xf>
    <xf fontId="7187" applyFont="true" borderId="8" applyBorder="true" applyNumberFormat="true" numFmtId="165" fillId="22" applyFill="true">
      <alignment horizontal="center" vertical="center"/>
    </xf>
    <xf fontId="7188" applyFont="true" borderId="8" applyBorder="true" applyNumberFormat="true" numFmtId="165" fillId="22" applyFill="true">
      <alignment horizontal="center" vertical="center"/>
    </xf>
    <xf fontId="7189" applyFont="true" borderId="8" applyBorder="true" applyNumberFormat="true" numFmtId="1" fillId="22" applyFill="true">
      <alignment horizontal="center" vertical="center"/>
    </xf>
    <xf fontId="7190" applyFont="true" borderId="8" applyBorder="true" applyNumberFormat="true" numFmtId="1" fillId="22" applyFill="true">
      <alignment horizontal="center" vertical="center"/>
    </xf>
    <xf fontId="7191" applyFont="true" borderId="8" applyBorder="true" applyNumberFormat="true" numFmtId="1" fillId="22" applyFill="true">
      <alignment horizontal="center" vertical="center"/>
    </xf>
    <xf fontId="7192" applyFont="true" borderId="8" applyBorder="true" applyNumberFormat="true" numFmtId="167" fillId="22" applyFill="true">
      <alignment horizontal="center" vertical="center"/>
    </xf>
    <xf fontId="7193" applyFont="true" borderId="8" applyBorder="true" applyNumberFormat="true" numFmtId="1" fillId="22" applyFill="true">
      <alignment horizontal="center" vertical="center"/>
    </xf>
    <xf fontId="7194" applyFont="true" borderId="8" applyBorder="true" applyNumberFormat="true" numFmtId="167" fillId="22" applyFill="true">
      <alignment horizontal="center" vertical="center"/>
    </xf>
    <xf fontId="7195" applyFont="true" borderId="8" applyBorder="true" applyNumberFormat="true" numFmtId="1" fillId="22" applyFill="true">
      <alignment horizontal="center" vertical="center"/>
    </xf>
    <xf fontId="7196" applyFont="true" borderId="8" applyBorder="true" applyNumberFormat="true" numFmtId="167" fillId="22" applyFill="true">
      <alignment horizontal="center" vertical="center"/>
    </xf>
    <xf fontId="7197" applyFont="true" borderId="8" applyBorder="true" applyNumberFormat="true" numFmtId="1" fillId="22" applyFill="true">
      <alignment horizontal="center" vertical="center"/>
    </xf>
    <xf fontId="7198" applyFont="true" borderId="8" applyBorder="true" applyNumberFormat="true" numFmtId="167" fillId="22" applyFill="true">
      <alignment horizontal="center" vertical="center"/>
    </xf>
    <xf fontId="7199" applyFont="true" borderId="8" applyBorder="true" applyNumberFormat="true" numFmtId="167" fillId="22" applyFill="true">
      <alignment horizontal="center" vertical="center"/>
    </xf>
    <xf fontId="7200" applyFont="true" borderId="8" applyBorder="true" applyNumberFormat="true" numFmtId="1" fillId="22" applyFill="true">
      <alignment horizontal="center" vertical="center"/>
    </xf>
    <xf fontId="7201" applyFont="true" borderId="8" applyBorder="true" applyNumberFormat="true" numFmtId="1" fillId="22" applyFill="true">
      <alignment horizontal="center" vertical="center"/>
    </xf>
    <xf fontId="7202" applyFont="true" borderId="8" applyBorder="true" applyNumberFormat="true" numFmtId="1" fillId="22" applyFill="true">
      <alignment horizontal="center" vertical="center"/>
    </xf>
    <xf fontId="7203" applyFont="true" borderId="8" applyBorder="true" applyNumberFormat="true" numFmtId="167" fillId="22" applyFill="true">
      <alignment horizontal="center" vertical="center"/>
    </xf>
    <xf fontId="7204" applyFont="true" borderId="8" applyBorder="true" applyNumberFormat="true" numFmtId="166" fillId="22" applyFill="true">
      <alignment horizontal="center" vertical="center"/>
    </xf>
    <xf fontId="7205" applyFont="true" borderId="8" applyBorder="true" applyNumberFormat="true" numFmtId="166" fillId="22" applyFill="true">
      <alignment horizontal="center" vertical="center"/>
    </xf>
    <xf fontId="7206" applyFont="true" borderId="8" applyBorder="true" applyNumberFormat="true" numFmtId="1" fillId="22" applyFill="true">
      <alignment horizontal="center" vertical="center"/>
    </xf>
    <xf fontId="7207" applyFont="true" borderId="8" applyBorder="true" applyNumberFormat="true" numFmtId="1" fillId="22" applyFill="true">
      <alignment horizontal="center" vertical="center"/>
    </xf>
    <xf fontId="7208" applyFont="true" borderId="8" applyBorder="true" applyNumberFormat="true" numFmtId="1" fillId="22" applyFill="true">
      <alignment horizontal="center" vertical="center"/>
    </xf>
    <xf fontId="7209" applyFont="true" borderId="8" applyBorder="true" applyNumberFormat="true" numFmtId="167" fillId="22" applyFill="true">
      <alignment horizontal="center" vertical="center"/>
    </xf>
    <xf fontId="7210" applyFont="true" borderId="8" applyBorder="true" applyNumberFormat="true" numFmtId="1" fillId="22" applyFill="true">
      <alignment horizontal="center" vertical="center"/>
    </xf>
    <xf fontId="7211" applyFont="true" borderId="8" applyBorder="true" applyNumberFormat="true" numFmtId="167" fillId="22" applyFill="true">
      <alignment horizontal="center" vertical="center"/>
    </xf>
    <xf fontId="7212" applyFont="true" borderId="8" applyBorder="true" applyNumberFormat="true" numFmtId="1" fillId="22" applyFill="true">
      <alignment horizontal="center" vertical="center"/>
    </xf>
    <xf fontId="7213" applyFont="true" borderId="8" applyBorder="true" applyNumberFormat="true" numFmtId="1" fillId="22" applyFill="true">
      <alignment horizontal="center" vertical="center"/>
    </xf>
    <xf fontId="7214" applyFont="true" borderId="8" applyBorder="true" applyNumberFormat="true" numFmtId="1" fillId="22" applyFill="true">
      <alignment horizontal="center" vertical="center"/>
    </xf>
    <xf fontId="7215" applyFont="true" borderId="8" applyBorder="true" applyNumberFormat="true" numFmtId="1" fillId="22" applyFill="true">
      <alignment horizontal="center" vertical="center"/>
    </xf>
    <xf fontId="7216" applyFont="true" borderId="8" applyBorder="true" applyNumberFormat="true" numFmtId="167" fillId="22" applyFill="true">
      <alignment horizontal="center" vertical="center"/>
    </xf>
    <xf fontId="7217" applyFont="true" borderId="8" applyBorder="true" applyNumberFormat="true" numFmtId="1" fillId="22" applyFill="true">
      <alignment horizontal="center" vertical="center"/>
    </xf>
    <xf fontId="7218" applyFont="true" borderId="8" applyBorder="true" applyNumberFormat="true" numFmtId="167" fillId="22" applyFill="true">
      <alignment horizontal="center" vertical="center"/>
    </xf>
    <xf fontId="7219" applyFont="true" borderId="8" applyBorder="true" applyNumberFormat="true" numFmtId="1" fillId="22" applyFill="true">
      <alignment horizontal="center" vertical="center"/>
    </xf>
    <xf fontId="7220" applyFont="true" borderId="8" applyBorder="true" applyNumberFormat="true" numFmtId="167" fillId="22" applyFill="true">
      <alignment horizontal="center" vertical="center"/>
    </xf>
    <xf fontId="7221" applyFont="true" borderId="8" applyBorder="true" applyNumberFormat="true" numFmtId="2" fillId="22" applyFill="true">
      <alignment horizontal="center" vertical="center"/>
    </xf>
    <xf fontId="7222" applyFont="true" borderId="8" applyBorder="true" applyNumberFormat="true" numFmtId="2" fillId="22" applyFill="true">
      <alignment horizontal="center" vertical="center"/>
    </xf>
    <xf fontId="7223" applyFont="true" borderId="8" applyBorder="true" applyNumberFormat="true" numFmtId="2" fillId="22" applyFill="true">
      <alignment horizontal="center" vertical="center"/>
    </xf>
    <xf fontId="7224" applyFont="true" borderId="8" applyBorder="true" applyNumberFormat="true" numFmtId="2" fillId="22" applyFill="true">
      <alignment horizontal="center" vertical="center"/>
    </xf>
    <xf fontId="7225" applyFont="true" borderId="8" applyBorder="true" applyNumberFormat="true" numFmtId="2" fillId="22" applyFill="true">
      <alignment horizontal="center" vertical="center"/>
    </xf>
    <xf fontId="7226" applyFont="true" borderId="8" applyBorder="true" applyNumberFormat="true" numFmtId="2" fillId="22" applyFill="true">
      <alignment horizontal="center" vertical="center"/>
    </xf>
    <xf fontId="7227" applyFont="true" borderId="8" applyBorder="true" applyNumberFormat="true" numFmtId="2" fillId="22" applyFill="true">
      <alignment horizontal="center" vertical="center"/>
    </xf>
    <xf fontId="7228" applyFont="true" borderId="8" applyBorder="true" applyNumberFormat="true" numFmtId="2" fillId="22" applyFill="true">
      <alignment horizontal="center" vertical="center"/>
    </xf>
    <xf fontId="7229" applyFont="true" borderId="8" applyBorder="true" applyNumberFormat="true" numFmtId="2" fillId="22" applyFill="true">
      <alignment horizontal="center" vertical="center"/>
    </xf>
    <xf fontId="7230" applyFont="true" borderId="8" applyBorder="true" applyNumberFormat="true" numFmtId="2" fillId="22" applyFill="true">
      <alignment horizontal="center" vertical="center"/>
    </xf>
    <xf fontId="7231" applyFont="true" borderId="8" applyBorder="true" applyNumberFormat="true" numFmtId="2" fillId="22" applyFill="true">
      <alignment horizontal="center" vertical="center"/>
    </xf>
    <xf fontId="7232" applyFont="true" borderId="8" applyBorder="true" applyNumberFormat="true" numFmtId="2" fillId="22" applyFill="true">
      <alignment horizontal="center" vertical="center"/>
    </xf>
    <xf fontId="7233" applyFont="true" borderId="8" applyBorder="true" applyNumberFormat="true" numFmtId="2" fillId="22" applyFill="true">
      <alignment horizontal="center" vertical="center"/>
    </xf>
    <xf fontId="7234" applyFont="true" borderId="8" applyBorder="true" applyNumberFormat="true" numFmtId="2" fillId="22" applyFill="true">
      <alignment horizontal="center" vertical="center"/>
    </xf>
    <xf fontId="7235" applyFont="true" borderId="8" applyBorder="true" applyNumberFormat="true" numFmtId="2" fillId="22" applyFill="true">
      <alignment horizontal="center" vertical="center"/>
    </xf>
    <xf fontId="7236" applyFont="true" borderId="8" applyBorder="true" applyNumberFormat="true" numFmtId="2" fillId="22" applyFill="true">
      <alignment horizontal="center" vertical="center"/>
    </xf>
    <xf fontId="7237" applyFont="true" borderId="8" applyBorder="true" applyNumberFormat="true" numFmtId="2" fillId="22" applyFill="true">
      <alignment horizontal="center" vertical="center"/>
    </xf>
    <xf fontId="7238" applyFont="true" borderId="8" applyBorder="true" applyNumberFormat="true" numFmtId="2" fillId="22" applyFill="true">
      <alignment horizontal="center" vertical="center"/>
    </xf>
    <xf fontId="7239" applyFont="true" borderId="8" applyBorder="true" applyNumberFormat="true" numFmtId="2" fillId="22" applyFill="true">
      <alignment horizontal="center" vertical="center"/>
    </xf>
    <xf fontId="7240" applyFont="true" borderId="8" applyBorder="true" applyNumberFormat="true" numFmtId="2" fillId="22" applyFill="true">
      <alignment horizontal="center" vertical="center"/>
    </xf>
    <xf fontId="7241" applyFont="true" borderId="8" applyBorder="true" applyNumberFormat="true" numFmtId="2" fillId="22" applyFill="true">
      <alignment horizontal="center" vertical="center"/>
    </xf>
    <xf fontId="7242" applyFont="true" borderId="8" applyBorder="true" applyNumberFormat="true" numFmtId="2" fillId="22" applyFill="true">
      <alignment horizontal="center" vertical="center"/>
    </xf>
    <xf fontId="7243" applyFont="true" borderId="8" applyBorder="true" applyNumberFormat="true" numFmtId="2" fillId="22" applyFill="true">
      <alignment horizontal="center" vertical="center"/>
    </xf>
    <xf fontId="7244" applyFont="true" borderId="8" applyBorder="true" applyNumberFormat="true" numFmtId="2" fillId="22" applyFill="true">
      <alignment horizontal="center" vertical="center"/>
    </xf>
    <xf fontId="7245" applyFont="true" borderId="8" applyBorder="true" applyNumberFormat="true" numFmtId="2" fillId="22" applyFill="true">
      <alignment horizontal="center" vertical="center"/>
    </xf>
    <xf fontId="7246" applyFont="true" borderId="8" applyBorder="true" applyNumberFormat="true" numFmtId="2" fillId="22" applyFill="true">
      <alignment horizontal="center" vertical="center"/>
    </xf>
    <xf fontId="7247" applyFont="true" borderId="8" applyBorder="true" applyNumberFormat="true" numFmtId="2" fillId="22" applyFill="true">
      <alignment horizontal="center" vertical="center"/>
    </xf>
    <xf fontId="7248" applyFont="true" borderId="8" applyBorder="true" applyNumberFormat="true" numFmtId="2" fillId="22" applyFill="true">
      <alignment horizontal="center" vertical="center"/>
    </xf>
    <xf fontId="7249" applyFont="true" borderId="8" applyBorder="true" applyNumberFormat="true" numFmtId="2" fillId="22" applyFill="true">
      <alignment horizontal="center" vertical="center"/>
    </xf>
    <xf fontId="7250" applyFont="true" borderId="8" applyBorder="true" applyNumberFormat="true" numFmtId="2" fillId="22" applyFill="true">
      <alignment horizontal="center" vertical="center"/>
    </xf>
    <xf fontId="7251" applyFont="true" borderId="8" applyBorder="true" applyNumberFormat="true" numFmtId="2" fillId="22" applyFill="true">
      <alignment horizontal="center" vertical="center"/>
    </xf>
    <xf fontId="7252" applyFont="true" borderId="8" applyBorder="true" applyNumberFormat="true" numFmtId="2" fillId="22" applyFill="true">
      <alignment horizontal="center" vertical="center"/>
    </xf>
    <xf fontId="7253" applyFont="true" borderId="8" applyBorder="true" applyNumberFormat="true" numFmtId="2" fillId="22" applyFill="true">
      <alignment horizontal="center" vertical="center"/>
    </xf>
    <xf fontId="7254" applyFont="true" borderId="8" applyBorder="true" applyNumberFormat="true" numFmtId="2" fillId="22" applyFill="true">
      <alignment horizontal="center" vertical="center"/>
    </xf>
    <xf fontId="7255" applyFont="true" borderId="8" applyBorder="true" applyNumberFormat="true" numFmtId="165" fillId="19" applyFill="true">
      <alignment horizontal="left" vertical="center"/>
    </xf>
    <xf fontId="7256" applyFont="true" borderId="8" applyBorder="true" applyNumberFormat="true" numFmtId="165" fillId="22" applyFill="true">
      <alignment horizontal="center" vertical="center"/>
    </xf>
    <xf fontId="7257" applyFont="true" borderId="8" applyBorder="true" applyNumberFormat="true" numFmtId="166" fillId="22" applyFill="true">
      <alignment horizontal="center" vertical="center"/>
    </xf>
    <xf fontId="7258" applyFont="true" borderId="8" applyBorder="true" applyNumberFormat="true" numFmtId="1" fillId="22" applyFill="true">
      <alignment horizontal="center" vertical="center"/>
    </xf>
    <xf fontId="7259" applyFont="true" borderId="8" applyBorder="true" applyNumberFormat="true" numFmtId="1" fillId="22" applyFill="true">
      <alignment horizontal="center" vertical="center"/>
    </xf>
    <xf fontId="7260" applyFont="true" borderId="8" applyBorder="true" applyNumberFormat="true" numFmtId="1" fillId="22" applyFill="true">
      <alignment horizontal="center" vertical="center"/>
    </xf>
    <xf fontId="7261" applyFont="true" borderId="8" applyBorder="true" applyNumberFormat="true" numFmtId="1" fillId="22" applyFill="true">
      <alignment horizontal="center" vertical="center"/>
    </xf>
    <xf fontId="7262" applyFont="true" borderId="8" applyBorder="true" applyNumberFormat="true" numFmtId="1" fillId="22" applyFill="true">
      <alignment horizontal="center" vertical="center"/>
    </xf>
    <xf fontId="7263" applyFont="true" borderId="8" applyBorder="true" applyNumberFormat="true" numFmtId="1" fillId="22" applyFill="true">
      <alignment horizontal="center" vertical="center"/>
    </xf>
    <xf fontId="7264" applyFont="true" borderId="8" applyBorder="true" applyNumberFormat="true" numFmtId="1" fillId="22" applyFill="true">
      <alignment horizontal="center" vertical="center"/>
    </xf>
    <xf fontId="7265" applyFont="true" borderId="8" applyBorder="true" applyNumberFormat="true" numFmtId="165" fillId="22" applyFill="true">
      <alignment horizontal="center" vertical="center"/>
    </xf>
    <xf fontId="7266" applyFont="true" borderId="8" applyBorder="true" applyNumberFormat="true" numFmtId="165" fillId="22" applyFill="true">
      <alignment horizontal="center" vertical="center"/>
    </xf>
    <xf fontId="7267" applyFont="true" borderId="8" applyBorder="true" applyNumberFormat="true" numFmtId="1" fillId="22" applyFill="true">
      <alignment horizontal="center" vertical="center"/>
    </xf>
    <xf fontId="7268" applyFont="true" borderId="8" applyBorder="true" applyNumberFormat="true" numFmtId="1" fillId="22" applyFill="true">
      <alignment horizontal="center" vertical="center"/>
    </xf>
    <xf fontId="7269" applyFont="true" borderId="8" applyBorder="true" applyNumberFormat="true" numFmtId="1" fillId="22" applyFill="true">
      <alignment horizontal="center" vertical="center"/>
    </xf>
    <xf fontId="7270" applyFont="true" borderId="8" applyBorder="true" applyNumberFormat="true" numFmtId="167" fillId="22" applyFill="true">
      <alignment horizontal="center" vertical="center"/>
    </xf>
    <xf fontId="7271" applyFont="true" borderId="8" applyBorder="true" applyNumberFormat="true" numFmtId="1" fillId="22" applyFill="true">
      <alignment horizontal="center" vertical="center"/>
    </xf>
    <xf fontId="7272" applyFont="true" borderId="8" applyBorder="true" applyNumberFormat="true" numFmtId="167" fillId="22" applyFill="true">
      <alignment horizontal="center" vertical="center"/>
    </xf>
    <xf fontId="7273" applyFont="true" borderId="8" applyBorder="true" applyNumberFormat="true" numFmtId="1" fillId="22" applyFill="true">
      <alignment horizontal="center" vertical="center"/>
    </xf>
    <xf fontId="7274" applyFont="true" borderId="8" applyBorder="true" applyNumberFormat="true" numFmtId="167" fillId="22" applyFill="true">
      <alignment horizontal="center" vertical="center"/>
    </xf>
    <xf fontId="7275" applyFont="true" borderId="8" applyBorder="true" applyNumberFormat="true" numFmtId="1" fillId="22" applyFill="true">
      <alignment horizontal="center" vertical="center"/>
    </xf>
    <xf fontId="7276" applyFont="true" borderId="8" applyBorder="true" applyNumberFormat="true" numFmtId="167" fillId="22" applyFill="true">
      <alignment horizontal="center" vertical="center"/>
    </xf>
    <xf fontId="7277" applyFont="true" borderId="8" applyBorder="true" applyNumberFormat="true" numFmtId="167" fillId="22" applyFill="true">
      <alignment horizontal="center" vertical="center"/>
    </xf>
    <xf fontId="7278" applyFont="true" borderId="8" applyBorder="true" applyNumberFormat="true" numFmtId="1" fillId="22" applyFill="true">
      <alignment horizontal="center" vertical="center"/>
    </xf>
    <xf fontId="7279" applyFont="true" borderId="8" applyBorder="true" applyNumberFormat="true" numFmtId="1" fillId="22" applyFill="true">
      <alignment horizontal="center" vertical="center"/>
    </xf>
    <xf fontId="7280" applyFont="true" borderId="8" applyBorder="true" applyNumberFormat="true" numFmtId="1" fillId="22" applyFill="true">
      <alignment horizontal="center" vertical="center"/>
    </xf>
    <xf fontId="7281" applyFont="true" borderId="8" applyBorder="true" applyNumberFormat="true" numFmtId="167" fillId="22" applyFill="true">
      <alignment horizontal="center" vertical="center"/>
    </xf>
    <xf fontId="7282" applyFont="true" borderId="8" applyBorder="true" applyNumberFormat="true" numFmtId="166" fillId="22" applyFill="true">
      <alignment horizontal="center" vertical="center"/>
    </xf>
    <xf fontId="7283" applyFont="true" borderId="8" applyBorder="true" applyNumberFormat="true" numFmtId="166" fillId="22" applyFill="true">
      <alignment horizontal="center" vertical="center"/>
    </xf>
    <xf fontId="7284" applyFont="true" borderId="8" applyBorder="true" applyNumberFormat="true" numFmtId="1" fillId="22" applyFill="true">
      <alignment horizontal="center" vertical="center"/>
    </xf>
    <xf fontId="7285" applyFont="true" borderId="8" applyBorder="true" applyNumberFormat="true" numFmtId="1" fillId="22" applyFill="true">
      <alignment horizontal="center" vertical="center"/>
    </xf>
    <xf fontId="7286" applyFont="true" borderId="8" applyBorder="true" applyNumberFormat="true" numFmtId="1" fillId="22" applyFill="true">
      <alignment horizontal="center" vertical="center"/>
    </xf>
    <xf fontId="7287" applyFont="true" borderId="8" applyBorder="true" applyNumberFormat="true" numFmtId="167" fillId="22" applyFill="true">
      <alignment horizontal="center" vertical="center"/>
    </xf>
    <xf fontId="7288" applyFont="true" borderId="8" applyBorder="true" applyNumberFormat="true" numFmtId="1" fillId="22" applyFill="true">
      <alignment horizontal="center" vertical="center"/>
    </xf>
    <xf fontId="7289" applyFont="true" borderId="8" applyBorder="true" applyNumberFormat="true" numFmtId="167" fillId="22" applyFill="true">
      <alignment horizontal="center" vertical="center"/>
    </xf>
    <xf fontId="7290" applyFont="true" borderId="8" applyBorder="true" applyNumberFormat="true" numFmtId="1" fillId="22" applyFill="true">
      <alignment horizontal="center" vertical="center"/>
    </xf>
    <xf fontId="7291" applyFont="true" borderId="8" applyBorder="true" applyNumberFormat="true" numFmtId="1" fillId="22" applyFill="true">
      <alignment horizontal="center" vertical="center"/>
    </xf>
    <xf fontId="7292" applyFont="true" borderId="8" applyBorder="true" applyNumberFormat="true" numFmtId="1" fillId="22" applyFill="true">
      <alignment horizontal="center" vertical="center"/>
    </xf>
    <xf fontId="7293" applyFont="true" borderId="8" applyBorder="true" applyNumberFormat="true" numFmtId="1" fillId="22" applyFill="true">
      <alignment horizontal="center" vertical="center"/>
    </xf>
    <xf fontId="7294" applyFont="true" borderId="8" applyBorder="true" applyNumberFormat="true" numFmtId="167" fillId="22" applyFill="true">
      <alignment horizontal="center" vertical="center"/>
    </xf>
    <xf fontId="7295" applyFont="true" borderId="8" applyBorder="true" applyNumberFormat="true" numFmtId="1" fillId="22" applyFill="true">
      <alignment horizontal="center" vertical="center"/>
    </xf>
    <xf fontId="7296" applyFont="true" borderId="8" applyBorder="true" applyNumberFormat="true" numFmtId="167" fillId="22" applyFill="true">
      <alignment horizontal="center" vertical="center"/>
    </xf>
    <xf fontId="7297" applyFont="true" borderId="8" applyBorder="true" applyNumberFormat="true" numFmtId="1" fillId="22" applyFill="true">
      <alignment horizontal="center" vertical="center"/>
    </xf>
    <xf fontId="7298" applyFont="true" borderId="8" applyBorder="true" applyNumberFormat="true" numFmtId="167" fillId="22" applyFill="true">
      <alignment horizontal="center" vertical="center"/>
    </xf>
    <xf fontId="7299" applyFont="true" borderId="8" applyBorder="true" applyNumberFormat="true" numFmtId="2" fillId="22" applyFill="true">
      <alignment horizontal="center" vertical="center"/>
    </xf>
    <xf fontId="7300" applyFont="true" borderId="8" applyBorder="true" applyNumberFormat="true" numFmtId="2" fillId="22" applyFill="true">
      <alignment horizontal="center" vertical="center"/>
    </xf>
    <xf fontId="7301" applyFont="true" borderId="8" applyBorder="true" applyNumberFormat="true" numFmtId="2" fillId="22" applyFill="true">
      <alignment horizontal="center" vertical="center"/>
    </xf>
    <xf fontId="7302" applyFont="true" borderId="8" applyBorder="true" applyNumberFormat="true" numFmtId="2" fillId="22" applyFill="true">
      <alignment horizontal="center" vertical="center"/>
    </xf>
    <xf fontId="7303" applyFont="true" borderId="8" applyBorder="true" applyNumberFormat="true" numFmtId="2" fillId="22" applyFill="true">
      <alignment horizontal="center" vertical="center"/>
    </xf>
    <xf fontId="7304" applyFont="true" borderId="8" applyBorder="true" applyNumberFormat="true" numFmtId="2" fillId="22" applyFill="true">
      <alignment horizontal="center" vertical="center"/>
    </xf>
    <xf fontId="7305" applyFont="true" borderId="8" applyBorder="true" applyNumberFormat="true" numFmtId="2" fillId="22" applyFill="true">
      <alignment horizontal="center" vertical="center"/>
    </xf>
    <xf fontId="7306" applyFont="true" borderId="8" applyBorder="true" applyNumberFormat="true" numFmtId="2" fillId="22" applyFill="true">
      <alignment horizontal="center" vertical="center"/>
    </xf>
    <xf fontId="7307" applyFont="true" borderId="8" applyBorder="true" applyNumberFormat="true" numFmtId="2" fillId="22" applyFill="true">
      <alignment horizontal="center" vertical="center"/>
    </xf>
    <xf fontId="7308" applyFont="true" borderId="8" applyBorder="true" applyNumberFormat="true" numFmtId="2" fillId="22" applyFill="true">
      <alignment horizontal="center" vertical="center"/>
    </xf>
    <xf fontId="7309" applyFont="true" borderId="8" applyBorder="true" applyNumberFormat="true" numFmtId="2" fillId="22" applyFill="true">
      <alignment horizontal="center" vertical="center"/>
    </xf>
    <xf fontId="7310" applyFont="true" borderId="8" applyBorder="true" applyNumberFormat="true" numFmtId="2" fillId="22" applyFill="true">
      <alignment horizontal="center" vertical="center"/>
    </xf>
    <xf fontId="7311" applyFont="true" borderId="8" applyBorder="true" applyNumberFormat="true" numFmtId="2" fillId="22" applyFill="true">
      <alignment horizontal="center" vertical="center"/>
    </xf>
    <xf fontId="7312" applyFont="true" borderId="8" applyBorder="true" applyNumberFormat="true" numFmtId="2" fillId="22" applyFill="true">
      <alignment horizontal="center" vertical="center"/>
    </xf>
    <xf fontId="7313" applyFont="true" borderId="8" applyBorder="true" applyNumberFormat="true" numFmtId="2" fillId="22" applyFill="true">
      <alignment horizontal="center" vertical="center"/>
    </xf>
    <xf fontId="7314" applyFont="true" borderId="8" applyBorder="true" applyNumberFormat="true" numFmtId="2" fillId="22" applyFill="true">
      <alignment horizontal="center" vertical="center"/>
    </xf>
    <xf fontId="7315" applyFont="true" borderId="8" applyBorder="true" applyNumberFormat="true" numFmtId="2" fillId="22" applyFill="true">
      <alignment horizontal="center" vertical="center"/>
    </xf>
    <xf fontId="7316" applyFont="true" borderId="8" applyBorder="true" applyNumberFormat="true" numFmtId="2" fillId="22" applyFill="true">
      <alignment horizontal="center" vertical="center"/>
    </xf>
    <xf fontId="7317" applyFont="true" borderId="8" applyBorder="true" applyNumberFormat="true" numFmtId="2" fillId="22" applyFill="true">
      <alignment horizontal="center" vertical="center"/>
    </xf>
    <xf fontId="7318" applyFont="true" borderId="8" applyBorder="true" applyNumberFormat="true" numFmtId="2" fillId="22" applyFill="true">
      <alignment horizontal="center" vertical="center"/>
    </xf>
    <xf fontId="7319" applyFont="true" borderId="8" applyBorder="true" applyNumberFormat="true" numFmtId="2" fillId="22" applyFill="true">
      <alignment horizontal="center" vertical="center"/>
    </xf>
    <xf fontId="7320" applyFont="true" borderId="8" applyBorder="true" applyNumberFormat="true" numFmtId="2" fillId="22" applyFill="true">
      <alignment horizontal="center" vertical="center"/>
    </xf>
    <xf fontId="7321" applyFont="true" borderId="8" applyBorder="true" applyNumberFormat="true" numFmtId="2" fillId="22" applyFill="true">
      <alignment horizontal="center" vertical="center"/>
    </xf>
    <xf fontId="7322" applyFont="true" borderId="8" applyBorder="true" applyNumberFormat="true" numFmtId="2" fillId="22" applyFill="true">
      <alignment horizontal="center" vertical="center"/>
    </xf>
    <xf fontId="7323" applyFont="true" borderId="8" applyBorder="true" applyNumberFormat="true" numFmtId="2" fillId="22" applyFill="true">
      <alignment horizontal="center" vertical="center"/>
    </xf>
    <xf fontId="7324" applyFont="true" borderId="8" applyBorder="true" applyNumberFormat="true" numFmtId="2" fillId="22" applyFill="true">
      <alignment horizontal="center" vertical="center"/>
    </xf>
    <xf fontId="7325" applyFont="true" borderId="8" applyBorder="true" applyNumberFormat="true" numFmtId="2" fillId="22" applyFill="true">
      <alignment horizontal="center" vertical="center"/>
    </xf>
    <xf fontId="7326" applyFont="true" borderId="8" applyBorder="true" applyNumberFormat="true" numFmtId="2" fillId="22" applyFill="true">
      <alignment horizontal="center" vertical="center"/>
    </xf>
    <xf fontId="7327" applyFont="true" borderId="8" applyBorder="true" applyNumberFormat="true" numFmtId="2" fillId="22" applyFill="true">
      <alignment horizontal="center" vertical="center"/>
    </xf>
    <xf fontId="7328" applyFont="true" borderId="8" applyBorder="true" applyNumberFormat="true" numFmtId="2" fillId="22" applyFill="true">
      <alignment horizontal="center" vertical="center"/>
    </xf>
    <xf fontId="7329" applyFont="true" borderId="8" applyBorder="true" applyNumberFormat="true" numFmtId="2" fillId="22" applyFill="true">
      <alignment horizontal="center" vertical="center"/>
    </xf>
    <xf fontId="7330" applyFont="true" borderId="8" applyBorder="true" applyNumberFormat="true" numFmtId="2" fillId="22" applyFill="true">
      <alignment horizontal="center" vertical="center"/>
    </xf>
    <xf fontId="7331" applyFont="true" borderId="8" applyBorder="true" applyNumberFormat="true" numFmtId="2" fillId="22" applyFill="true">
      <alignment horizontal="center" vertical="center"/>
    </xf>
    <xf fontId="7332" applyFont="true" borderId="8" applyBorder="true" applyNumberFormat="true" numFmtId="2" fillId="22" applyFill="true">
      <alignment horizontal="center" vertical="center"/>
    </xf>
    <xf fontId="7333" applyFont="true" borderId="8" applyBorder="true" applyNumberFormat="true" numFmtId="165" fillId="19" applyFill="true">
      <alignment horizontal="left" vertical="center"/>
    </xf>
    <xf fontId="7334" applyFont="true" borderId="8" applyBorder="true" applyNumberFormat="true" numFmtId="165" fillId="22" applyFill="true">
      <alignment horizontal="center" vertical="center"/>
    </xf>
    <xf fontId="7335" applyFont="true" borderId="8" applyBorder="true" applyNumberFormat="true" numFmtId="166" fillId="22" applyFill="true">
      <alignment horizontal="center" vertical="center"/>
    </xf>
    <xf fontId="7336" applyFont="true" borderId="8" applyBorder="true" applyNumberFormat="true" numFmtId="1" fillId="22" applyFill="true">
      <alignment horizontal="center" vertical="center"/>
    </xf>
    <xf fontId="7337" applyFont="true" borderId="8" applyBorder="true" applyNumberFormat="true" numFmtId="1" fillId="22" applyFill="true">
      <alignment horizontal="center" vertical="center"/>
    </xf>
    <xf fontId="7338" applyFont="true" borderId="8" applyBorder="true" applyNumberFormat="true" numFmtId="1" fillId="22" applyFill="true">
      <alignment horizontal="center" vertical="center"/>
    </xf>
    <xf fontId="7339" applyFont="true" borderId="8" applyBorder="true" applyNumberFormat="true" numFmtId="1" fillId="22" applyFill="true">
      <alignment horizontal="center" vertical="center"/>
    </xf>
    <xf fontId="7340" applyFont="true" borderId="8" applyBorder="true" applyNumberFormat="true" numFmtId="1" fillId="22" applyFill="true">
      <alignment horizontal="center" vertical="center"/>
    </xf>
    <xf fontId="7341" applyFont="true" borderId="8" applyBorder="true" applyNumberFormat="true" numFmtId="1" fillId="22" applyFill="true">
      <alignment horizontal="center" vertical="center"/>
    </xf>
    <xf fontId="7342" applyFont="true" borderId="8" applyBorder="true" applyNumberFormat="true" numFmtId="1" fillId="22" applyFill="true">
      <alignment horizontal="center" vertical="center"/>
    </xf>
    <xf fontId="7343" applyFont="true" borderId="8" applyBorder="true" applyNumberFormat="true" numFmtId="165" fillId="22" applyFill="true">
      <alignment horizontal="center" vertical="center"/>
    </xf>
    <xf fontId="7344" applyFont="true" borderId="8" applyBorder="true" applyNumberFormat="true" numFmtId="165" fillId="22" applyFill="true">
      <alignment horizontal="center" vertical="center"/>
    </xf>
    <xf fontId="7345" applyFont="true" borderId="8" applyBorder="true" applyNumberFormat="true" numFmtId="1" fillId="22" applyFill="true">
      <alignment horizontal="center" vertical="center"/>
    </xf>
    <xf fontId="7346" applyFont="true" borderId="8" applyBorder="true" applyNumberFormat="true" numFmtId="1" fillId="22" applyFill="true">
      <alignment horizontal="center" vertical="center"/>
    </xf>
    <xf fontId="7347" applyFont="true" borderId="8" applyBorder="true" applyNumberFormat="true" numFmtId="1" fillId="22" applyFill="true">
      <alignment horizontal="center" vertical="center"/>
    </xf>
    <xf fontId="7348" applyFont="true" borderId="8" applyBorder="true" applyNumberFormat="true" numFmtId="167" fillId="22" applyFill="true">
      <alignment horizontal="center" vertical="center"/>
    </xf>
    <xf fontId="7349" applyFont="true" borderId="8" applyBorder="true" applyNumberFormat="true" numFmtId="1" fillId="22" applyFill="true">
      <alignment horizontal="center" vertical="center"/>
    </xf>
    <xf fontId="7350" applyFont="true" borderId="8" applyBorder="true" applyNumberFormat="true" numFmtId="167" fillId="22" applyFill="true">
      <alignment horizontal="center" vertical="center"/>
    </xf>
    <xf fontId="7351" applyFont="true" borderId="8" applyBorder="true" applyNumberFormat="true" numFmtId="1" fillId="22" applyFill="true">
      <alignment horizontal="center" vertical="center"/>
    </xf>
    <xf fontId="7352" applyFont="true" borderId="8" applyBorder="true" applyNumberFormat="true" numFmtId="167" fillId="22" applyFill="true">
      <alignment horizontal="center" vertical="center"/>
    </xf>
    <xf fontId="7353" applyFont="true" borderId="8" applyBorder="true" applyNumberFormat="true" numFmtId="1" fillId="22" applyFill="true">
      <alignment horizontal="center" vertical="center"/>
    </xf>
    <xf fontId="7354" applyFont="true" borderId="8" applyBorder="true" applyNumberFormat="true" numFmtId="167" fillId="22" applyFill="true">
      <alignment horizontal="center" vertical="center"/>
    </xf>
    <xf fontId="7355" applyFont="true" borderId="8" applyBorder="true" applyNumberFormat="true" numFmtId="167" fillId="22" applyFill="true">
      <alignment horizontal="center" vertical="center"/>
    </xf>
    <xf fontId="7356" applyFont="true" borderId="8" applyBorder="true" applyNumberFormat="true" numFmtId="1" fillId="22" applyFill="true">
      <alignment horizontal="center" vertical="center"/>
    </xf>
    <xf fontId="7357" applyFont="true" borderId="8" applyBorder="true" applyNumberFormat="true" numFmtId="1" fillId="22" applyFill="true">
      <alignment horizontal="center" vertical="center"/>
    </xf>
    <xf fontId="7358" applyFont="true" borderId="8" applyBorder="true" applyNumberFormat="true" numFmtId="1" fillId="22" applyFill="true">
      <alignment horizontal="center" vertical="center"/>
    </xf>
    <xf fontId="7359" applyFont="true" borderId="8" applyBorder="true" applyNumberFormat="true" numFmtId="167" fillId="22" applyFill="true">
      <alignment horizontal="center" vertical="center"/>
    </xf>
    <xf fontId="7360" applyFont="true" borderId="8" applyBorder="true" applyNumberFormat="true" numFmtId="166" fillId="22" applyFill="true">
      <alignment horizontal="center" vertical="center"/>
    </xf>
    <xf fontId="7361" applyFont="true" borderId="8" applyBorder="true" applyNumberFormat="true" numFmtId="166" fillId="22" applyFill="true">
      <alignment horizontal="center" vertical="center"/>
    </xf>
    <xf fontId="7362" applyFont="true" borderId="8" applyBorder="true" applyNumberFormat="true" numFmtId="1" fillId="22" applyFill="true">
      <alignment horizontal="center" vertical="center"/>
    </xf>
    <xf fontId="7363" applyFont="true" borderId="8" applyBorder="true" applyNumberFormat="true" numFmtId="1" fillId="22" applyFill="true">
      <alignment horizontal="center" vertical="center"/>
    </xf>
    <xf fontId="7364" applyFont="true" borderId="8" applyBorder="true" applyNumberFormat="true" numFmtId="1" fillId="22" applyFill="true">
      <alignment horizontal="center" vertical="center"/>
    </xf>
    <xf fontId="7365" applyFont="true" borderId="8" applyBorder="true" applyNumberFormat="true" numFmtId="167" fillId="22" applyFill="true">
      <alignment horizontal="center" vertical="center"/>
    </xf>
    <xf fontId="7366" applyFont="true" borderId="8" applyBorder="true" applyNumberFormat="true" numFmtId="1" fillId="22" applyFill="true">
      <alignment horizontal="center" vertical="center"/>
    </xf>
    <xf fontId="7367" applyFont="true" borderId="8" applyBorder="true" applyNumberFormat="true" numFmtId="167" fillId="22" applyFill="true">
      <alignment horizontal="center" vertical="center"/>
    </xf>
    <xf fontId="7368" applyFont="true" borderId="8" applyBorder="true" applyNumberFormat="true" numFmtId="1" fillId="22" applyFill="true">
      <alignment horizontal="center" vertical="center"/>
    </xf>
    <xf fontId="7369" applyFont="true" borderId="8" applyBorder="true" applyNumberFormat="true" numFmtId="1" fillId="22" applyFill="true">
      <alignment horizontal="center" vertical="center"/>
    </xf>
    <xf fontId="7370" applyFont="true" borderId="8" applyBorder="true" applyNumberFormat="true" numFmtId="1" fillId="22" applyFill="true">
      <alignment horizontal="center" vertical="center"/>
    </xf>
    <xf fontId="7371" applyFont="true" borderId="8" applyBorder="true" applyNumberFormat="true" numFmtId="1" fillId="22" applyFill="true">
      <alignment horizontal="center" vertical="center"/>
    </xf>
    <xf fontId="7372" applyFont="true" borderId="8" applyBorder="true" applyNumberFormat="true" numFmtId="167" fillId="22" applyFill="true">
      <alignment horizontal="center" vertical="center"/>
    </xf>
    <xf fontId="7373" applyFont="true" borderId="8" applyBorder="true" applyNumberFormat="true" numFmtId="1" fillId="22" applyFill="true">
      <alignment horizontal="center" vertical="center"/>
    </xf>
    <xf fontId="7374" applyFont="true" borderId="8" applyBorder="true" applyNumberFormat="true" numFmtId="167" fillId="22" applyFill="true">
      <alignment horizontal="center" vertical="center"/>
    </xf>
    <xf fontId="7375" applyFont="true" borderId="8" applyBorder="true" applyNumberFormat="true" numFmtId="1" fillId="22" applyFill="true">
      <alignment horizontal="center" vertical="center"/>
    </xf>
    <xf fontId="7376" applyFont="true" borderId="8" applyBorder="true" applyNumberFormat="true" numFmtId="167" fillId="22" applyFill="true">
      <alignment horizontal="center" vertical="center"/>
    </xf>
    <xf fontId="7377" applyFont="true" borderId="8" applyBorder="true" applyNumberFormat="true" numFmtId="2" fillId="22" applyFill="true">
      <alignment horizontal="center" vertical="center"/>
    </xf>
    <xf fontId="7378" applyFont="true" borderId="8" applyBorder="true" applyNumberFormat="true" numFmtId="2" fillId="22" applyFill="true">
      <alignment horizontal="center" vertical="center"/>
    </xf>
    <xf fontId="7379" applyFont="true" borderId="8" applyBorder="true" applyNumberFormat="true" numFmtId="2" fillId="22" applyFill="true">
      <alignment horizontal="center" vertical="center"/>
    </xf>
    <xf fontId="7380" applyFont="true" borderId="8" applyBorder="true" applyNumberFormat="true" numFmtId="2" fillId="22" applyFill="true">
      <alignment horizontal="center" vertical="center"/>
    </xf>
    <xf fontId="7381" applyFont="true" borderId="8" applyBorder="true" applyNumberFormat="true" numFmtId="2" fillId="22" applyFill="true">
      <alignment horizontal="center" vertical="center"/>
    </xf>
    <xf fontId="7382" applyFont="true" borderId="8" applyBorder="true" applyNumberFormat="true" numFmtId="2" fillId="22" applyFill="true">
      <alignment horizontal="center" vertical="center"/>
    </xf>
    <xf fontId="7383" applyFont="true" borderId="8" applyBorder="true" applyNumberFormat="true" numFmtId="2" fillId="22" applyFill="true">
      <alignment horizontal="center" vertical="center"/>
    </xf>
    <xf fontId="7384" applyFont="true" borderId="8" applyBorder="true" applyNumberFormat="true" numFmtId="2" fillId="22" applyFill="true">
      <alignment horizontal="center" vertical="center"/>
    </xf>
    <xf fontId="7385" applyFont="true" borderId="8" applyBorder="true" applyNumberFormat="true" numFmtId="2" fillId="22" applyFill="true">
      <alignment horizontal="center" vertical="center"/>
    </xf>
    <xf fontId="7386" applyFont="true" borderId="8" applyBorder="true" applyNumberFormat="true" numFmtId="2" fillId="22" applyFill="true">
      <alignment horizontal="center" vertical="center"/>
    </xf>
    <xf fontId="7387" applyFont="true" borderId="8" applyBorder="true" applyNumberFormat="true" numFmtId="2" fillId="22" applyFill="true">
      <alignment horizontal="center" vertical="center"/>
    </xf>
    <xf fontId="7388" applyFont="true" borderId="8" applyBorder="true" applyNumberFormat="true" numFmtId="2" fillId="22" applyFill="true">
      <alignment horizontal="center" vertical="center"/>
    </xf>
    <xf fontId="7389" applyFont="true" borderId="8" applyBorder="true" applyNumberFormat="true" numFmtId="2" fillId="22" applyFill="true">
      <alignment horizontal="center" vertical="center"/>
    </xf>
    <xf fontId="7390" applyFont="true" borderId="8" applyBorder="true" applyNumberFormat="true" numFmtId="2" fillId="22" applyFill="true">
      <alignment horizontal="center" vertical="center"/>
    </xf>
    <xf fontId="7391" applyFont="true" borderId="8" applyBorder="true" applyNumberFormat="true" numFmtId="2" fillId="22" applyFill="true">
      <alignment horizontal="center" vertical="center"/>
    </xf>
    <xf fontId="7392" applyFont="true" borderId="8" applyBorder="true" applyNumberFormat="true" numFmtId="2" fillId="22" applyFill="true">
      <alignment horizontal="center" vertical="center"/>
    </xf>
    <xf fontId="7393" applyFont="true" borderId="8" applyBorder="true" applyNumberFormat="true" numFmtId="2" fillId="22" applyFill="true">
      <alignment horizontal="center" vertical="center"/>
    </xf>
    <xf fontId="7394" applyFont="true" borderId="8" applyBorder="true" applyNumberFormat="true" numFmtId="2" fillId="22" applyFill="true">
      <alignment horizontal="center" vertical="center"/>
    </xf>
    <xf fontId="7395" applyFont="true" borderId="8" applyBorder="true" applyNumberFormat="true" numFmtId="2" fillId="22" applyFill="true">
      <alignment horizontal="center" vertical="center"/>
    </xf>
    <xf fontId="7396" applyFont="true" borderId="8" applyBorder="true" applyNumberFormat="true" numFmtId="2" fillId="22" applyFill="true">
      <alignment horizontal="center" vertical="center"/>
    </xf>
    <xf fontId="7397" applyFont="true" borderId="8" applyBorder="true" applyNumberFormat="true" numFmtId="2" fillId="22" applyFill="true">
      <alignment horizontal="center" vertical="center"/>
    </xf>
    <xf fontId="7398" applyFont="true" borderId="8" applyBorder="true" applyNumberFormat="true" numFmtId="2" fillId="22" applyFill="true">
      <alignment horizontal="center" vertical="center"/>
    </xf>
    <xf fontId="7399" applyFont="true" borderId="8" applyBorder="true" applyNumberFormat="true" numFmtId="2" fillId="22" applyFill="true">
      <alignment horizontal="center" vertical="center"/>
    </xf>
    <xf fontId="7400" applyFont="true" borderId="8" applyBorder="true" applyNumberFormat="true" numFmtId="2" fillId="22" applyFill="true">
      <alignment horizontal="center" vertical="center"/>
    </xf>
    <xf fontId="7401" applyFont="true" borderId="8" applyBorder="true" applyNumberFormat="true" numFmtId="2" fillId="22" applyFill="true">
      <alignment horizontal="center" vertical="center"/>
    </xf>
    <xf fontId="7402" applyFont="true" borderId="8" applyBorder="true" applyNumberFormat="true" numFmtId="2" fillId="22" applyFill="true">
      <alignment horizontal="center" vertical="center"/>
    </xf>
    <xf fontId="7403" applyFont="true" borderId="8" applyBorder="true" applyNumberFormat="true" numFmtId="2" fillId="22" applyFill="true">
      <alignment horizontal="center" vertical="center"/>
    </xf>
    <xf fontId="7404" applyFont="true" borderId="8" applyBorder="true" applyNumberFormat="true" numFmtId="2" fillId="22" applyFill="true">
      <alignment horizontal="center" vertical="center"/>
    </xf>
    <xf fontId="7405" applyFont="true" borderId="8" applyBorder="true" applyNumberFormat="true" numFmtId="2" fillId="22" applyFill="true">
      <alignment horizontal="center" vertical="center"/>
    </xf>
    <xf fontId="7406" applyFont="true" borderId="8" applyBorder="true" applyNumberFormat="true" numFmtId="2" fillId="22" applyFill="true">
      <alignment horizontal="center" vertical="center"/>
    </xf>
    <xf fontId="7407" applyFont="true" borderId="8" applyBorder="true" applyNumberFormat="true" numFmtId="2" fillId="22" applyFill="true">
      <alignment horizontal="center" vertical="center"/>
    </xf>
    <xf fontId="7408" applyFont="true" borderId="8" applyBorder="true" applyNumberFormat="true" numFmtId="2" fillId="22" applyFill="true">
      <alignment horizontal="center" vertical="center"/>
    </xf>
    <xf fontId="7409" applyFont="true" borderId="8" applyBorder="true" applyNumberFormat="true" numFmtId="2" fillId="22" applyFill="true">
      <alignment horizontal="center" vertical="center"/>
    </xf>
    <xf fontId="7410" applyFont="true" borderId="8" applyBorder="true" applyNumberFormat="true" numFmtId="2" fillId="22" applyFill="true">
      <alignment horizontal="center" vertical="center"/>
    </xf>
    <xf fontId="7411" applyFont="true" borderId="8" applyBorder="true" applyNumberFormat="true" numFmtId="165" fillId="19" applyFill="true">
      <alignment horizontal="left" vertical="center"/>
    </xf>
    <xf fontId="7412" applyFont="true" borderId="8" applyBorder="true" applyNumberFormat="true" numFmtId="165" fillId="22" applyFill="true">
      <alignment horizontal="center" vertical="center"/>
    </xf>
    <xf fontId="7413" applyFont="true" borderId="8" applyBorder="true" applyNumberFormat="true" numFmtId="166" fillId="22" applyFill="true">
      <alignment horizontal="center" vertical="center"/>
    </xf>
    <xf fontId="7414" applyFont="true" borderId="8" applyBorder="true" applyNumberFormat="true" numFmtId="1" fillId="22" applyFill="true">
      <alignment horizontal="center" vertical="center"/>
    </xf>
    <xf fontId="7415" applyFont="true" borderId="8" applyBorder="true" applyNumberFormat="true" numFmtId="1" fillId="22" applyFill="true">
      <alignment horizontal="center" vertical="center"/>
    </xf>
    <xf fontId="7416" applyFont="true" borderId="8" applyBorder="true" applyNumberFormat="true" numFmtId="1" fillId="22" applyFill="true">
      <alignment horizontal="center" vertical="center"/>
    </xf>
    <xf fontId="7417" applyFont="true" borderId="8" applyBorder="true" applyNumberFormat="true" numFmtId="1" fillId="22" applyFill="true">
      <alignment horizontal="center" vertical="center"/>
    </xf>
    <xf fontId="7418" applyFont="true" borderId="8" applyBorder="true" applyNumberFormat="true" numFmtId="1" fillId="22" applyFill="true">
      <alignment horizontal="center" vertical="center"/>
    </xf>
    <xf fontId="7419" applyFont="true" borderId="8" applyBorder="true" applyNumberFormat="true" numFmtId="1" fillId="22" applyFill="true">
      <alignment horizontal="center" vertical="center"/>
    </xf>
    <xf fontId="7420" applyFont="true" borderId="8" applyBorder="true" applyNumberFormat="true" numFmtId="1" fillId="22" applyFill="true">
      <alignment horizontal="center" vertical="center"/>
    </xf>
    <xf fontId="7421" applyFont="true" borderId="8" applyBorder="true" applyNumberFormat="true" numFmtId="165" fillId="22" applyFill="true">
      <alignment horizontal="center" vertical="center"/>
    </xf>
    <xf fontId="7422" applyFont="true" borderId="8" applyBorder="true" applyNumberFormat="true" numFmtId="165" fillId="22" applyFill="true">
      <alignment horizontal="center" vertical="center"/>
    </xf>
    <xf fontId="7423" applyFont="true" borderId="8" applyBorder="true" applyNumberFormat="true" numFmtId="1" fillId="22" applyFill="true">
      <alignment horizontal="center" vertical="center"/>
    </xf>
    <xf fontId="7424" applyFont="true" borderId="8" applyBorder="true" applyNumberFormat="true" numFmtId="1" fillId="22" applyFill="true">
      <alignment horizontal="center" vertical="center"/>
    </xf>
    <xf fontId="7425" applyFont="true" borderId="8" applyBorder="true" applyNumberFormat="true" numFmtId="1" fillId="22" applyFill="true">
      <alignment horizontal="center" vertical="center"/>
    </xf>
    <xf fontId="7426" applyFont="true" borderId="8" applyBorder="true" applyNumberFormat="true" numFmtId="167" fillId="22" applyFill="true">
      <alignment horizontal="center" vertical="center"/>
    </xf>
    <xf fontId="7427" applyFont="true" borderId="8" applyBorder="true" applyNumberFormat="true" numFmtId="1" fillId="22" applyFill="true">
      <alignment horizontal="center" vertical="center"/>
    </xf>
    <xf fontId="7428" applyFont="true" borderId="8" applyBorder="true" applyNumberFormat="true" numFmtId="167" fillId="22" applyFill="true">
      <alignment horizontal="center" vertical="center"/>
    </xf>
    <xf fontId="7429" applyFont="true" borderId="8" applyBorder="true" applyNumberFormat="true" numFmtId="1" fillId="22" applyFill="true">
      <alignment horizontal="center" vertical="center"/>
    </xf>
    <xf fontId="7430" applyFont="true" borderId="8" applyBorder="true" applyNumberFormat="true" numFmtId="167" fillId="22" applyFill="true">
      <alignment horizontal="center" vertical="center"/>
    </xf>
    <xf fontId="7431" applyFont="true" borderId="8" applyBorder="true" applyNumberFormat="true" numFmtId="1" fillId="22" applyFill="true">
      <alignment horizontal="center" vertical="center"/>
    </xf>
    <xf fontId="7432" applyFont="true" borderId="8" applyBorder="true" applyNumberFormat="true" numFmtId="167" fillId="22" applyFill="true">
      <alignment horizontal="center" vertical="center"/>
    </xf>
    <xf fontId="7433" applyFont="true" borderId="8" applyBorder="true" applyNumberFormat="true" numFmtId="167" fillId="22" applyFill="true">
      <alignment horizontal="center" vertical="center"/>
    </xf>
    <xf fontId="7434" applyFont="true" borderId="8" applyBorder="true" applyNumberFormat="true" numFmtId="1" fillId="22" applyFill="true">
      <alignment horizontal="center" vertical="center"/>
    </xf>
    <xf fontId="7435" applyFont="true" borderId="8" applyBorder="true" applyNumberFormat="true" numFmtId="1" fillId="22" applyFill="true">
      <alignment horizontal="center" vertical="center"/>
    </xf>
    <xf fontId="7436" applyFont="true" borderId="8" applyBorder="true" applyNumberFormat="true" numFmtId="1" fillId="22" applyFill="true">
      <alignment horizontal="center" vertical="center"/>
    </xf>
    <xf fontId="7437" applyFont="true" borderId="8" applyBorder="true" applyNumberFormat="true" numFmtId="167" fillId="22" applyFill="true">
      <alignment horizontal="center" vertical="center"/>
    </xf>
    <xf fontId="7438" applyFont="true" borderId="8" applyBorder="true" applyNumberFormat="true" numFmtId="166" fillId="22" applyFill="true">
      <alignment horizontal="center" vertical="center"/>
    </xf>
    <xf fontId="7439" applyFont="true" borderId="8" applyBorder="true" applyNumberFormat="true" numFmtId="166" fillId="22" applyFill="true">
      <alignment horizontal="center" vertical="center"/>
    </xf>
    <xf fontId="7440" applyFont="true" borderId="8" applyBorder="true" applyNumberFormat="true" numFmtId="1" fillId="22" applyFill="true">
      <alignment horizontal="center" vertical="center"/>
    </xf>
    <xf fontId="7441" applyFont="true" borderId="8" applyBorder="true" applyNumberFormat="true" numFmtId="1" fillId="22" applyFill="true">
      <alignment horizontal="center" vertical="center"/>
    </xf>
    <xf fontId="7442" applyFont="true" borderId="8" applyBorder="true" applyNumberFormat="true" numFmtId="1" fillId="22" applyFill="true">
      <alignment horizontal="center" vertical="center"/>
    </xf>
    <xf fontId="7443" applyFont="true" borderId="8" applyBorder="true" applyNumberFormat="true" numFmtId="167" fillId="22" applyFill="true">
      <alignment horizontal="center" vertical="center"/>
    </xf>
    <xf fontId="7444" applyFont="true" borderId="8" applyBorder="true" applyNumberFormat="true" numFmtId="1" fillId="22" applyFill="true">
      <alignment horizontal="center" vertical="center"/>
    </xf>
    <xf fontId="7445" applyFont="true" borderId="8" applyBorder="true" applyNumberFormat="true" numFmtId="167" fillId="22" applyFill="true">
      <alignment horizontal="center" vertical="center"/>
    </xf>
    <xf fontId="7446" applyFont="true" borderId="8" applyBorder="true" applyNumberFormat="true" numFmtId="1" fillId="22" applyFill="true">
      <alignment horizontal="center" vertical="center"/>
    </xf>
    <xf fontId="7447" applyFont="true" borderId="8" applyBorder="true" applyNumberFormat="true" numFmtId="1" fillId="22" applyFill="true">
      <alignment horizontal="center" vertical="center"/>
    </xf>
    <xf fontId="7448" applyFont="true" borderId="8" applyBorder="true" applyNumberFormat="true" numFmtId="1" fillId="22" applyFill="true">
      <alignment horizontal="center" vertical="center"/>
    </xf>
    <xf fontId="7449" applyFont="true" borderId="8" applyBorder="true" applyNumberFormat="true" numFmtId="1" fillId="22" applyFill="true">
      <alignment horizontal="center" vertical="center"/>
    </xf>
    <xf fontId="7450" applyFont="true" borderId="8" applyBorder="true" applyNumberFormat="true" numFmtId="167" fillId="22" applyFill="true">
      <alignment horizontal="center" vertical="center"/>
    </xf>
    <xf fontId="7451" applyFont="true" borderId="8" applyBorder="true" applyNumberFormat="true" numFmtId="1" fillId="22" applyFill="true">
      <alignment horizontal="center" vertical="center"/>
    </xf>
    <xf fontId="7452" applyFont="true" borderId="8" applyBorder="true" applyNumberFormat="true" numFmtId="167" fillId="22" applyFill="true">
      <alignment horizontal="center" vertical="center"/>
    </xf>
    <xf fontId="7453" applyFont="true" borderId="8" applyBorder="true" applyNumberFormat="true" numFmtId="1" fillId="22" applyFill="true">
      <alignment horizontal="center" vertical="center"/>
    </xf>
    <xf fontId="7454" applyFont="true" borderId="8" applyBorder="true" applyNumberFormat="true" numFmtId="167" fillId="22" applyFill="true">
      <alignment horizontal="center" vertical="center"/>
    </xf>
    <xf fontId="7455" applyFont="true" borderId="8" applyBorder="true" applyNumberFormat="true" numFmtId="2" fillId="22" applyFill="true">
      <alignment horizontal="center" vertical="center"/>
    </xf>
    <xf fontId="7456" applyFont="true" borderId="8" applyBorder="true" applyNumberFormat="true" numFmtId="2" fillId="22" applyFill="true">
      <alignment horizontal="center" vertical="center"/>
    </xf>
    <xf fontId="7457" applyFont="true" borderId="8" applyBorder="true" applyNumberFormat="true" numFmtId="2" fillId="22" applyFill="true">
      <alignment horizontal="center" vertical="center"/>
    </xf>
    <xf fontId="7458" applyFont="true" borderId="8" applyBorder="true" applyNumberFormat="true" numFmtId="2" fillId="22" applyFill="true">
      <alignment horizontal="center" vertical="center"/>
    </xf>
    <xf fontId="7459" applyFont="true" borderId="8" applyBorder="true" applyNumberFormat="true" numFmtId="2" fillId="22" applyFill="true">
      <alignment horizontal="center" vertical="center"/>
    </xf>
    <xf fontId="7460" applyFont="true" borderId="8" applyBorder="true" applyNumberFormat="true" numFmtId="2" fillId="22" applyFill="true">
      <alignment horizontal="center" vertical="center"/>
    </xf>
    <xf fontId="7461" applyFont="true" borderId="8" applyBorder="true" applyNumberFormat="true" numFmtId="2" fillId="22" applyFill="true">
      <alignment horizontal="center" vertical="center"/>
    </xf>
    <xf fontId="7462" applyFont="true" borderId="8" applyBorder="true" applyNumberFormat="true" numFmtId="2" fillId="22" applyFill="true">
      <alignment horizontal="center" vertical="center"/>
    </xf>
    <xf fontId="7463" applyFont="true" borderId="8" applyBorder="true" applyNumberFormat="true" numFmtId="2" fillId="22" applyFill="true">
      <alignment horizontal="center" vertical="center"/>
    </xf>
    <xf fontId="7464" applyFont="true" borderId="8" applyBorder="true" applyNumberFormat="true" numFmtId="2" fillId="22" applyFill="true">
      <alignment horizontal="center" vertical="center"/>
    </xf>
    <xf fontId="7465" applyFont="true" borderId="8" applyBorder="true" applyNumberFormat="true" numFmtId="2" fillId="22" applyFill="true">
      <alignment horizontal="center" vertical="center"/>
    </xf>
    <xf fontId="7466" applyFont="true" borderId="8" applyBorder="true" applyNumberFormat="true" numFmtId="2" fillId="22" applyFill="true">
      <alignment horizontal="center" vertical="center"/>
    </xf>
    <xf fontId="7467" applyFont="true" borderId="8" applyBorder="true" applyNumberFormat="true" numFmtId="2" fillId="22" applyFill="true">
      <alignment horizontal="center" vertical="center"/>
    </xf>
    <xf fontId="7468" applyFont="true" borderId="8" applyBorder="true" applyNumberFormat="true" numFmtId="2" fillId="22" applyFill="true">
      <alignment horizontal="center" vertical="center"/>
    </xf>
    <xf fontId="7469" applyFont="true" borderId="8" applyBorder="true" applyNumberFormat="true" numFmtId="2" fillId="22" applyFill="true">
      <alignment horizontal="center" vertical="center"/>
    </xf>
    <xf fontId="7470" applyFont="true" borderId="8" applyBorder="true" applyNumberFormat="true" numFmtId="2" fillId="22" applyFill="true">
      <alignment horizontal="center" vertical="center"/>
    </xf>
    <xf fontId="7471" applyFont="true" borderId="8" applyBorder="true" applyNumberFormat="true" numFmtId="2" fillId="22" applyFill="true">
      <alignment horizontal="center" vertical="center"/>
    </xf>
    <xf fontId="7472" applyFont="true" borderId="8" applyBorder="true" applyNumberFormat="true" numFmtId="2" fillId="22" applyFill="true">
      <alignment horizontal="center" vertical="center"/>
    </xf>
    <xf fontId="7473" applyFont="true" borderId="8" applyBorder="true" applyNumberFormat="true" numFmtId="2" fillId="22" applyFill="true">
      <alignment horizontal="center" vertical="center"/>
    </xf>
    <xf fontId="7474" applyFont="true" borderId="8" applyBorder="true" applyNumberFormat="true" numFmtId="2" fillId="22" applyFill="true">
      <alignment horizontal="center" vertical="center"/>
    </xf>
    <xf fontId="7475" applyFont="true" borderId="8" applyBorder="true" applyNumberFormat="true" numFmtId="2" fillId="22" applyFill="true">
      <alignment horizontal="center" vertical="center"/>
    </xf>
    <xf fontId="7476" applyFont="true" borderId="8" applyBorder="true" applyNumberFormat="true" numFmtId="2" fillId="22" applyFill="true">
      <alignment horizontal="center" vertical="center"/>
    </xf>
    <xf fontId="7477" applyFont="true" borderId="8" applyBorder="true" applyNumberFormat="true" numFmtId="2" fillId="22" applyFill="true">
      <alignment horizontal="center" vertical="center"/>
    </xf>
    <xf fontId="7478" applyFont="true" borderId="8" applyBorder="true" applyNumberFormat="true" numFmtId="2" fillId="22" applyFill="true">
      <alignment horizontal="center" vertical="center"/>
    </xf>
    <xf fontId="7479" applyFont="true" borderId="8" applyBorder="true" applyNumberFormat="true" numFmtId="2" fillId="22" applyFill="true">
      <alignment horizontal="center" vertical="center"/>
    </xf>
    <xf fontId="7480" applyFont="true" borderId="8" applyBorder="true" applyNumberFormat="true" numFmtId="2" fillId="22" applyFill="true">
      <alignment horizontal="center" vertical="center"/>
    </xf>
    <xf fontId="7481" applyFont="true" borderId="8" applyBorder="true" applyNumberFormat="true" numFmtId="2" fillId="22" applyFill="true">
      <alignment horizontal="center" vertical="center"/>
    </xf>
    <xf fontId="7482" applyFont="true" borderId="8" applyBorder="true" applyNumberFormat="true" numFmtId="2" fillId="22" applyFill="true">
      <alignment horizontal="center" vertical="center"/>
    </xf>
    <xf fontId="7483" applyFont="true" borderId="8" applyBorder="true" applyNumberFormat="true" numFmtId="2" fillId="22" applyFill="true">
      <alignment horizontal="center" vertical="center"/>
    </xf>
    <xf fontId="7484" applyFont="true" borderId="8" applyBorder="true" applyNumberFormat="true" numFmtId="2" fillId="22" applyFill="true">
      <alignment horizontal="center" vertical="center"/>
    </xf>
    <xf fontId="7485" applyFont="true" borderId="8" applyBorder="true" applyNumberFormat="true" numFmtId="2" fillId="22" applyFill="true">
      <alignment horizontal="center" vertical="center"/>
    </xf>
    <xf fontId="7486" applyFont="true" borderId="8" applyBorder="true" applyNumberFormat="true" numFmtId="2" fillId="22" applyFill="true">
      <alignment horizontal="center" vertical="center"/>
    </xf>
    <xf fontId="7487" applyFont="true" borderId="8" applyBorder="true" applyNumberFormat="true" numFmtId="2" fillId="22" applyFill="true">
      <alignment horizontal="center" vertical="center"/>
    </xf>
    <xf fontId="7488" applyFont="true" borderId="8" applyBorder="true" applyNumberFormat="true" numFmtId="2" fillId="22" applyFill="true">
      <alignment horizontal="center" vertical="center"/>
    </xf>
    <xf fontId="7489" applyFont="true" borderId="8" applyBorder="true" applyNumberFormat="true" numFmtId="165" fillId="19" applyFill="true">
      <alignment horizontal="left" vertical="center"/>
    </xf>
    <xf fontId="7490" applyFont="true" borderId="8" applyBorder="true" applyNumberFormat="true" numFmtId="165" fillId="22" applyFill="true">
      <alignment horizontal="center" vertical="center"/>
    </xf>
    <xf fontId="7491" applyFont="true" borderId="8" applyBorder="true" applyNumberFormat="true" numFmtId="166" fillId="22" applyFill="true">
      <alignment horizontal="center" vertical="center"/>
    </xf>
    <xf fontId="7492" applyFont="true" borderId="8" applyBorder="true" applyNumberFormat="true" numFmtId="1" fillId="22" applyFill="true">
      <alignment horizontal="center" vertical="center"/>
    </xf>
    <xf fontId="7493" applyFont="true" borderId="8" applyBorder="true" applyNumberFormat="true" numFmtId="1" fillId="22" applyFill="true">
      <alignment horizontal="center" vertical="center"/>
    </xf>
    <xf fontId="7494" applyFont="true" borderId="8" applyBorder="true" applyNumberFormat="true" numFmtId="1" fillId="22" applyFill="true">
      <alignment horizontal="center" vertical="center"/>
    </xf>
    <xf fontId="7495" applyFont="true" borderId="8" applyBorder="true" applyNumberFormat="true" numFmtId="1" fillId="22" applyFill="true">
      <alignment horizontal="center" vertical="center"/>
    </xf>
    <xf fontId="7496" applyFont="true" borderId="8" applyBorder="true" applyNumberFormat="true" numFmtId="1" fillId="22" applyFill="true">
      <alignment horizontal="center" vertical="center"/>
    </xf>
    <xf fontId="7497" applyFont="true" borderId="8" applyBorder="true" applyNumberFormat="true" numFmtId="1" fillId="22" applyFill="true">
      <alignment horizontal="center" vertical="center"/>
    </xf>
    <xf fontId="7498" applyFont="true" borderId="8" applyBorder="true" applyNumberFormat="true" numFmtId="1" fillId="22" applyFill="true">
      <alignment horizontal="center" vertical="center"/>
    </xf>
    <xf fontId="7499" applyFont="true" borderId="8" applyBorder="true" applyNumberFormat="true" numFmtId="165" fillId="22" applyFill="true">
      <alignment horizontal="center" vertical="center"/>
    </xf>
    <xf fontId="7500" applyFont="true" borderId="8" applyBorder="true" applyNumberFormat="true" numFmtId="165" fillId="22" applyFill="true">
      <alignment horizontal="center" vertical="center"/>
    </xf>
    <xf fontId="7501" applyFont="true" borderId="8" applyBorder="true" applyNumberFormat="true" numFmtId="1" fillId="22" applyFill="true">
      <alignment horizontal="center" vertical="center"/>
    </xf>
    <xf fontId="7502" applyFont="true" borderId="8" applyBorder="true" applyNumberFormat="true" numFmtId="1" fillId="22" applyFill="true">
      <alignment horizontal="center" vertical="center"/>
    </xf>
    <xf fontId="7503" applyFont="true" borderId="8" applyBorder="true" applyNumberFormat="true" numFmtId="1" fillId="22" applyFill="true">
      <alignment horizontal="center" vertical="center"/>
    </xf>
    <xf fontId="7504" applyFont="true" borderId="8" applyBorder="true" applyNumberFormat="true" numFmtId="167" fillId="22" applyFill="true">
      <alignment horizontal="center" vertical="center"/>
    </xf>
    <xf fontId="7505" applyFont="true" borderId="8" applyBorder="true" applyNumberFormat="true" numFmtId="1" fillId="22" applyFill="true">
      <alignment horizontal="center" vertical="center"/>
    </xf>
    <xf fontId="7506" applyFont="true" borderId="8" applyBorder="true" applyNumberFormat="true" numFmtId="167" fillId="22" applyFill="true">
      <alignment horizontal="center" vertical="center"/>
    </xf>
    <xf fontId="7507" applyFont="true" borderId="8" applyBorder="true" applyNumberFormat="true" numFmtId="1" fillId="22" applyFill="true">
      <alignment horizontal="center" vertical="center"/>
    </xf>
    <xf fontId="7508" applyFont="true" borderId="8" applyBorder="true" applyNumberFormat="true" numFmtId="167" fillId="22" applyFill="true">
      <alignment horizontal="center" vertical="center"/>
    </xf>
    <xf fontId="7509" applyFont="true" borderId="8" applyBorder="true" applyNumberFormat="true" numFmtId="1" fillId="22" applyFill="true">
      <alignment horizontal="center" vertical="center"/>
    </xf>
    <xf fontId="7510" applyFont="true" borderId="8" applyBorder="true" applyNumberFormat="true" numFmtId="167" fillId="22" applyFill="true">
      <alignment horizontal="center" vertical="center"/>
    </xf>
    <xf fontId="7511" applyFont="true" borderId="8" applyBorder="true" applyNumberFormat="true" numFmtId="167" fillId="22" applyFill="true">
      <alignment horizontal="center" vertical="center"/>
    </xf>
    <xf fontId="7512" applyFont="true" borderId="8" applyBorder="true" applyNumberFormat="true" numFmtId="1" fillId="22" applyFill="true">
      <alignment horizontal="center" vertical="center"/>
    </xf>
    <xf fontId="7513" applyFont="true" borderId="8" applyBorder="true" applyNumberFormat="true" numFmtId="1" fillId="22" applyFill="true">
      <alignment horizontal="center" vertical="center"/>
    </xf>
    <xf fontId="7514" applyFont="true" borderId="8" applyBorder="true" applyNumberFormat="true" numFmtId="1" fillId="22" applyFill="true">
      <alignment horizontal="center" vertical="center"/>
    </xf>
    <xf fontId="7515" applyFont="true" borderId="8" applyBorder="true" applyNumberFormat="true" numFmtId="167" fillId="22" applyFill="true">
      <alignment horizontal="center" vertical="center"/>
    </xf>
    <xf fontId="7516" applyFont="true" borderId="8" applyBorder="true" applyNumberFormat="true" numFmtId="166" fillId="22" applyFill="true">
      <alignment horizontal="center" vertical="center"/>
    </xf>
    <xf fontId="7517" applyFont="true" borderId="8" applyBorder="true" applyNumberFormat="true" numFmtId="166" fillId="22" applyFill="true">
      <alignment horizontal="center" vertical="center"/>
    </xf>
    <xf fontId="7518" applyFont="true" borderId="8" applyBorder="true" applyNumberFormat="true" numFmtId="1" fillId="22" applyFill="true">
      <alignment horizontal="center" vertical="center"/>
    </xf>
    <xf fontId="7519" applyFont="true" borderId="8" applyBorder="true" applyNumberFormat="true" numFmtId="1" fillId="22" applyFill="true">
      <alignment horizontal="center" vertical="center"/>
    </xf>
    <xf fontId="7520" applyFont="true" borderId="8" applyBorder="true" applyNumberFormat="true" numFmtId="1" fillId="22" applyFill="true">
      <alignment horizontal="center" vertical="center"/>
    </xf>
    <xf fontId="7521" applyFont="true" borderId="8" applyBorder="true" applyNumberFormat="true" numFmtId="167" fillId="22" applyFill="true">
      <alignment horizontal="center" vertical="center"/>
    </xf>
    <xf fontId="7522" applyFont="true" borderId="8" applyBorder="true" applyNumberFormat="true" numFmtId="1" fillId="22" applyFill="true">
      <alignment horizontal="center" vertical="center"/>
    </xf>
    <xf fontId="7523" applyFont="true" borderId="8" applyBorder="true" applyNumberFormat="true" numFmtId="167" fillId="22" applyFill="true">
      <alignment horizontal="center" vertical="center"/>
    </xf>
    <xf fontId="7524" applyFont="true" borderId="8" applyBorder="true" applyNumberFormat="true" numFmtId="1" fillId="22" applyFill="true">
      <alignment horizontal="center" vertical="center"/>
    </xf>
    <xf fontId="7525" applyFont="true" borderId="8" applyBorder="true" applyNumberFormat="true" numFmtId="1" fillId="22" applyFill="true">
      <alignment horizontal="center" vertical="center"/>
    </xf>
    <xf fontId="7526" applyFont="true" borderId="8" applyBorder="true" applyNumberFormat="true" numFmtId="1" fillId="22" applyFill="true">
      <alignment horizontal="center" vertical="center"/>
    </xf>
    <xf fontId="7527" applyFont="true" borderId="8" applyBorder="true" applyNumberFormat="true" numFmtId="1" fillId="22" applyFill="true">
      <alignment horizontal="center" vertical="center"/>
    </xf>
    <xf fontId="7528" applyFont="true" borderId="8" applyBorder="true" applyNumberFormat="true" numFmtId="167" fillId="22" applyFill="true">
      <alignment horizontal="center" vertical="center"/>
    </xf>
    <xf fontId="7529" applyFont="true" borderId="8" applyBorder="true" applyNumberFormat="true" numFmtId="1" fillId="22" applyFill="true">
      <alignment horizontal="center" vertical="center"/>
    </xf>
    <xf fontId="7530" applyFont="true" borderId="8" applyBorder="true" applyNumberFormat="true" numFmtId="167" fillId="22" applyFill="true">
      <alignment horizontal="center" vertical="center"/>
    </xf>
    <xf fontId="7531" applyFont="true" borderId="8" applyBorder="true" applyNumberFormat="true" numFmtId="1" fillId="22" applyFill="true">
      <alignment horizontal="center" vertical="center"/>
    </xf>
    <xf fontId="7532" applyFont="true" borderId="8" applyBorder="true" applyNumberFormat="true" numFmtId="167" fillId="22" applyFill="true">
      <alignment horizontal="center" vertical="center"/>
    </xf>
    <xf fontId="7533" applyFont="true" borderId="8" applyBorder="true" applyNumberFormat="true" numFmtId="2" fillId="22" applyFill="true">
      <alignment horizontal="center" vertical="center"/>
    </xf>
    <xf fontId="7534" applyFont="true" borderId="8" applyBorder="true" applyNumberFormat="true" numFmtId="2" fillId="22" applyFill="true">
      <alignment horizontal="center" vertical="center"/>
    </xf>
    <xf fontId="7535" applyFont="true" borderId="8" applyBorder="true" applyNumberFormat="true" numFmtId="2" fillId="22" applyFill="true">
      <alignment horizontal="center" vertical="center"/>
    </xf>
    <xf fontId="7536" applyFont="true" borderId="8" applyBorder="true" applyNumberFormat="true" numFmtId="2" fillId="22" applyFill="true">
      <alignment horizontal="center" vertical="center"/>
    </xf>
    <xf fontId="7537" applyFont="true" borderId="8" applyBorder="true" applyNumberFormat="true" numFmtId="2" fillId="22" applyFill="true">
      <alignment horizontal="center" vertical="center"/>
    </xf>
    <xf fontId="7538" applyFont="true" borderId="8" applyBorder="true" applyNumberFormat="true" numFmtId="2" fillId="22" applyFill="true">
      <alignment horizontal="center" vertical="center"/>
    </xf>
    <xf fontId="7539" applyFont="true" borderId="8" applyBorder="true" applyNumberFormat="true" numFmtId="2" fillId="22" applyFill="true">
      <alignment horizontal="center" vertical="center"/>
    </xf>
    <xf fontId="7540" applyFont="true" borderId="8" applyBorder="true" applyNumberFormat="true" numFmtId="2" fillId="22" applyFill="true">
      <alignment horizontal="center" vertical="center"/>
    </xf>
    <xf fontId="7541" applyFont="true" borderId="8" applyBorder="true" applyNumberFormat="true" numFmtId="2" fillId="22" applyFill="true">
      <alignment horizontal="center" vertical="center"/>
    </xf>
    <xf fontId="7542" applyFont="true" borderId="8" applyBorder="true" applyNumberFormat="true" numFmtId="2" fillId="22" applyFill="true">
      <alignment horizontal="center" vertical="center"/>
    </xf>
    <xf fontId="7543" applyFont="true" borderId="8" applyBorder="true" applyNumberFormat="true" numFmtId="2" fillId="22" applyFill="true">
      <alignment horizontal="center" vertical="center"/>
    </xf>
    <xf fontId="7544" applyFont="true" borderId="8" applyBorder="true" applyNumberFormat="true" numFmtId="2" fillId="22" applyFill="true">
      <alignment horizontal="center" vertical="center"/>
    </xf>
    <xf fontId="7545" applyFont="true" borderId="8" applyBorder="true" applyNumberFormat="true" numFmtId="2" fillId="22" applyFill="true">
      <alignment horizontal="center" vertical="center"/>
    </xf>
    <xf fontId="7546" applyFont="true" borderId="8" applyBorder="true" applyNumberFormat="true" numFmtId="2" fillId="22" applyFill="true">
      <alignment horizontal="center" vertical="center"/>
    </xf>
    <xf fontId="7547" applyFont="true" borderId="8" applyBorder="true" applyNumberFormat="true" numFmtId="2" fillId="22" applyFill="true">
      <alignment horizontal="center" vertical="center"/>
    </xf>
    <xf fontId="7548" applyFont="true" borderId="8" applyBorder="true" applyNumberFormat="true" numFmtId="2" fillId="22" applyFill="true">
      <alignment horizontal="center" vertical="center"/>
    </xf>
    <xf fontId="7549" applyFont="true" borderId="8" applyBorder="true" applyNumberFormat="true" numFmtId="2" fillId="22" applyFill="true">
      <alignment horizontal="center" vertical="center"/>
    </xf>
    <xf fontId="7550" applyFont="true" borderId="8" applyBorder="true" applyNumberFormat="true" numFmtId="2" fillId="22" applyFill="true">
      <alignment horizontal="center" vertical="center"/>
    </xf>
    <xf fontId="7551" applyFont="true" borderId="8" applyBorder="true" applyNumberFormat="true" numFmtId="2" fillId="22" applyFill="true">
      <alignment horizontal="center" vertical="center"/>
    </xf>
    <xf fontId="7552" applyFont="true" borderId="8" applyBorder="true" applyNumberFormat="true" numFmtId="2" fillId="22" applyFill="true">
      <alignment horizontal="center" vertical="center"/>
    </xf>
    <xf fontId="7553" applyFont="true" borderId="8" applyBorder="true" applyNumberFormat="true" numFmtId="2" fillId="22" applyFill="true">
      <alignment horizontal="center" vertical="center"/>
    </xf>
    <xf fontId="7554" applyFont="true" borderId="8" applyBorder="true" applyNumberFormat="true" numFmtId="2" fillId="22" applyFill="true">
      <alignment horizontal="center" vertical="center"/>
    </xf>
    <xf fontId="7555" applyFont="true" borderId="8" applyBorder="true" applyNumberFormat="true" numFmtId="2" fillId="22" applyFill="true">
      <alignment horizontal="center" vertical="center"/>
    </xf>
    <xf fontId="7556" applyFont="true" borderId="8" applyBorder="true" applyNumberFormat="true" numFmtId="2" fillId="22" applyFill="true">
      <alignment horizontal="center" vertical="center"/>
    </xf>
    <xf fontId="7557" applyFont="true" borderId="8" applyBorder="true" applyNumberFormat="true" numFmtId="2" fillId="22" applyFill="true">
      <alignment horizontal="center" vertical="center"/>
    </xf>
    <xf fontId="7558" applyFont="true" borderId="8" applyBorder="true" applyNumberFormat="true" numFmtId="2" fillId="22" applyFill="true">
      <alignment horizontal="center" vertical="center"/>
    </xf>
    <xf fontId="7559" applyFont="true" borderId="8" applyBorder="true" applyNumberFormat="true" numFmtId="2" fillId="22" applyFill="true">
      <alignment horizontal="center" vertical="center"/>
    </xf>
    <xf fontId="7560" applyFont="true" borderId="8" applyBorder="true" applyNumberFormat="true" numFmtId="2" fillId="22" applyFill="true">
      <alignment horizontal="center" vertical="center"/>
    </xf>
    <xf fontId="7561" applyFont="true" borderId="8" applyBorder="true" applyNumberFormat="true" numFmtId="2" fillId="22" applyFill="true">
      <alignment horizontal="center" vertical="center"/>
    </xf>
    <xf fontId="7562" applyFont="true" borderId="8" applyBorder="true" applyNumberFormat="true" numFmtId="2" fillId="22" applyFill="true">
      <alignment horizontal="center" vertical="center"/>
    </xf>
    <xf fontId="7563" applyFont="true" borderId="8" applyBorder="true" applyNumberFormat="true" numFmtId="2" fillId="22" applyFill="true">
      <alignment horizontal="center" vertical="center"/>
    </xf>
    <xf fontId="7564" applyFont="true" borderId="8" applyBorder="true" applyNumberFormat="true" numFmtId="2" fillId="22" applyFill="true">
      <alignment horizontal="center" vertical="center"/>
    </xf>
    <xf fontId="7565" applyFont="true" borderId="8" applyBorder="true" applyNumberFormat="true" numFmtId="2" fillId="22" applyFill="true">
      <alignment horizontal="center" vertical="center"/>
    </xf>
    <xf fontId="7566" applyFont="true" borderId="8" applyBorder="true" applyNumberFormat="true" numFmtId="2" fillId="22" applyFill="true">
      <alignment horizontal="center" vertical="center"/>
    </xf>
    <xf fontId="7567" applyFont="true" borderId="8" applyBorder="true" applyNumberFormat="true" numFmtId="165" fillId="19" applyFill="true">
      <alignment horizontal="left" vertical="center"/>
    </xf>
    <xf fontId="7568" applyFont="true" borderId="8" applyBorder="true" applyNumberFormat="true" numFmtId="165" fillId="22" applyFill="true">
      <alignment horizontal="center" vertical="center"/>
    </xf>
    <xf fontId="7569" applyFont="true" borderId="8" applyBorder="true" applyNumberFormat="true" numFmtId="166" fillId="22" applyFill="true">
      <alignment horizontal="center" vertical="center"/>
    </xf>
    <xf fontId="7570" applyFont="true" borderId="8" applyBorder="true" applyNumberFormat="true" numFmtId="1" fillId="22" applyFill="true">
      <alignment horizontal="center" vertical="center"/>
    </xf>
    <xf fontId="7571" applyFont="true" borderId="8" applyBorder="true" applyNumberFormat="true" numFmtId="1" fillId="22" applyFill="true">
      <alignment horizontal="center" vertical="center"/>
    </xf>
    <xf fontId="7572" applyFont="true" borderId="8" applyBorder="true" applyNumberFormat="true" numFmtId="1" fillId="22" applyFill="true">
      <alignment horizontal="center" vertical="center"/>
    </xf>
    <xf fontId="7573" applyFont="true" borderId="8" applyBorder="true" applyNumberFormat="true" numFmtId="1" fillId="22" applyFill="true">
      <alignment horizontal="center" vertical="center"/>
    </xf>
    <xf fontId="7574" applyFont="true" borderId="8" applyBorder="true" applyNumberFormat="true" numFmtId="1" fillId="22" applyFill="true">
      <alignment horizontal="center" vertical="center"/>
    </xf>
    <xf fontId="7575" applyFont="true" borderId="8" applyBorder="true" applyNumberFormat="true" numFmtId="1" fillId="22" applyFill="true">
      <alignment horizontal="center" vertical="center"/>
    </xf>
    <xf fontId="7576" applyFont="true" borderId="8" applyBorder="true" applyNumberFormat="true" numFmtId="1" fillId="22" applyFill="true">
      <alignment horizontal="center" vertical="center"/>
    </xf>
    <xf fontId="7577" applyFont="true" borderId="8" applyBorder="true" applyNumberFormat="true" numFmtId="165" fillId="22" applyFill="true">
      <alignment horizontal="center" vertical="center"/>
    </xf>
    <xf fontId="7578" applyFont="true" borderId="8" applyBorder="true" applyNumberFormat="true" numFmtId="165" fillId="22" applyFill="true">
      <alignment horizontal="center" vertical="center"/>
    </xf>
    <xf fontId="7579" applyFont="true" borderId="8" applyBorder="true" applyNumberFormat="true" numFmtId="1" fillId="22" applyFill="true">
      <alignment horizontal="center" vertical="center"/>
    </xf>
    <xf fontId="7580" applyFont="true" borderId="8" applyBorder="true" applyNumberFormat="true" numFmtId="1" fillId="22" applyFill="true">
      <alignment horizontal="center" vertical="center"/>
    </xf>
    <xf fontId="7581" applyFont="true" borderId="8" applyBorder="true" applyNumberFormat="true" numFmtId="1" fillId="22" applyFill="true">
      <alignment horizontal="center" vertical="center"/>
    </xf>
    <xf fontId="7582" applyFont="true" borderId="8" applyBorder="true" applyNumberFormat="true" numFmtId="167" fillId="22" applyFill="true">
      <alignment horizontal="center" vertical="center"/>
    </xf>
    <xf fontId="7583" applyFont="true" borderId="8" applyBorder="true" applyNumberFormat="true" numFmtId="1" fillId="22" applyFill="true">
      <alignment horizontal="center" vertical="center"/>
    </xf>
    <xf fontId="7584" applyFont="true" borderId="8" applyBorder="true" applyNumberFormat="true" numFmtId="167" fillId="22" applyFill="true">
      <alignment horizontal="center" vertical="center"/>
    </xf>
    <xf fontId="7585" applyFont="true" borderId="8" applyBorder="true" applyNumberFormat="true" numFmtId="1" fillId="22" applyFill="true">
      <alignment horizontal="center" vertical="center"/>
    </xf>
    <xf fontId="7586" applyFont="true" borderId="8" applyBorder="true" applyNumberFormat="true" numFmtId="167" fillId="22" applyFill="true">
      <alignment horizontal="center" vertical="center"/>
    </xf>
    <xf fontId="7587" applyFont="true" borderId="8" applyBorder="true" applyNumberFormat="true" numFmtId="1" fillId="22" applyFill="true">
      <alignment horizontal="center" vertical="center"/>
    </xf>
    <xf fontId="7588" applyFont="true" borderId="8" applyBorder="true" applyNumberFormat="true" numFmtId="167" fillId="22" applyFill="true">
      <alignment horizontal="center" vertical="center"/>
    </xf>
    <xf fontId="7589" applyFont="true" borderId="8" applyBorder="true" applyNumberFormat="true" numFmtId="167" fillId="22" applyFill="true">
      <alignment horizontal="center" vertical="center"/>
    </xf>
    <xf fontId="7590" applyFont="true" borderId="8" applyBorder="true" applyNumberFormat="true" numFmtId="1" fillId="22" applyFill="true">
      <alignment horizontal="center" vertical="center"/>
    </xf>
    <xf fontId="7591" applyFont="true" borderId="8" applyBorder="true" applyNumberFormat="true" numFmtId="1" fillId="22" applyFill="true">
      <alignment horizontal="center" vertical="center"/>
    </xf>
    <xf fontId="7592" applyFont="true" borderId="8" applyBorder="true" applyNumberFormat="true" numFmtId="1" fillId="22" applyFill="true">
      <alignment horizontal="center" vertical="center"/>
    </xf>
    <xf fontId="7593" applyFont="true" borderId="8" applyBorder="true" applyNumberFormat="true" numFmtId="167" fillId="22" applyFill="true">
      <alignment horizontal="center" vertical="center"/>
    </xf>
    <xf fontId="7594" applyFont="true" borderId="8" applyBorder="true" applyNumberFormat="true" numFmtId="166" fillId="22" applyFill="true">
      <alignment horizontal="center" vertical="center"/>
    </xf>
    <xf fontId="7595" applyFont="true" borderId="8" applyBorder="true" applyNumberFormat="true" numFmtId="166" fillId="22" applyFill="true">
      <alignment horizontal="center" vertical="center"/>
    </xf>
    <xf fontId="7596" applyFont="true" borderId="8" applyBorder="true" applyNumberFormat="true" numFmtId="1" fillId="22" applyFill="true">
      <alignment horizontal="center" vertical="center"/>
    </xf>
    <xf fontId="7597" applyFont="true" borderId="8" applyBorder="true" applyNumberFormat="true" numFmtId="1" fillId="22" applyFill="true">
      <alignment horizontal="center" vertical="center"/>
    </xf>
    <xf fontId="7598" applyFont="true" borderId="8" applyBorder="true" applyNumberFormat="true" numFmtId="1" fillId="22" applyFill="true">
      <alignment horizontal="center" vertical="center"/>
    </xf>
    <xf fontId="7599" applyFont="true" borderId="8" applyBorder="true" applyNumberFormat="true" numFmtId="167" fillId="22" applyFill="true">
      <alignment horizontal="center" vertical="center"/>
    </xf>
    <xf fontId="7600" applyFont="true" borderId="8" applyBorder="true" applyNumberFormat="true" numFmtId="1" fillId="22" applyFill="true">
      <alignment horizontal="center" vertical="center"/>
    </xf>
    <xf fontId="7601" applyFont="true" borderId="8" applyBorder="true" applyNumberFormat="true" numFmtId="167" fillId="22" applyFill="true">
      <alignment horizontal="center" vertical="center"/>
    </xf>
    <xf fontId="7602" applyFont="true" borderId="8" applyBorder="true" applyNumberFormat="true" numFmtId="1" fillId="22" applyFill="true">
      <alignment horizontal="center" vertical="center"/>
    </xf>
    <xf fontId="7603" applyFont="true" borderId="8" applyBorder="true" applyNumberFormat="true" numFmtId="1" fillId="22" applyFill="true">
      <alignment horizontal="center" vertical="center"/>
    </xf>
    <xf fontId="7604" applyFont="true" borderId="8" applyBorder="true" applyNumberFormat="true" numFmtId="1" fillId="22" applyFill="true">
      <alignment horizontal="center" vertical="center"/>
    </xf>
    <xf fontId="7605" applyFont="true" borderId="8" applyBorder="true" applyNumberFormat="true" numFmtId="1" fillId="22" applyFill="true">
      <alignment horizontal="center" vertical="center"/>
    </xf>
    <xf fontId="7606" applyFont="true" borderId="8" applyBorder="true" applyNumberFormat="true" numFmtId="167" fillId="22" applyFill="true">
      <alignment horizontal="center" vertical="center"/>
    </xf>
    <xf fontId="7607" applyFont="true" borderId="8" applyBorder="true" applyNumberFormat="true" numFmtId="1" fillId="22" applyFill="true">
      <alignment horizontal="center" vertical="center"/>
    </xf>
    <xf fontId="7608" applyFont="true" borderId="8" applyBorder="true" applyNumberFormat="true" numFmtId="167" fillId="22" applyFill="true">
      <alignment horizontal="center" vertical="center"/>
    </xf>
    <xf fontId="7609" applyFont="true" borderId="8" applyBorder="true" applyNumberFormat="true" numFmtId="1" fillId="22" applyFill="true">
      <alignment horizontal="center" vertical="center"/>
    </xf>
    <xf fontId="7610" applyFont="true" borderId="8" applyBorder="true" applyNumberFormat="true" numFmtId="167" fillId="22" applyFill="true">
      <alignment horizontal="center" vertical="center"/>
    </xf>
    <xf fontId="7611" applyFont="true" borderId="8" applyBorder="true" applyNumberFormat="true" numFmtId="2" fillId="22" applyFill="true">
      <alignment horizontal="center" vertical="center"/>
    </xf>
    <xf fontId="7612" applyFont="true" borderId="8" applyBorder="true" applyNumberFormat="true" numFmtId="2" fillId="22" applyFill="true">
      <alignment horizontal="center" vertical="center"/>
    </xf>
    <xf fontId="7613" applyFont="true" borderId="8" applyBorder="true" applyNumberFormat="true" numFmtId="2" fillId="22" applyFill="true">
      <alignment horizontal="center" vertical="center"/>
    </xf>
    <xf fontId="7614" applyFont="true" borderId="8" applyBorder="true" applyNumberFormat="true" numFmtId="2" fillId="22" applyFill="true">
      <alignment horizontal="center" vertical="center"/>
    </xf>
    <xf fontId="7615" applyFont="true" borderId="8" applyBorder="true" applyNumberFormat="true" numFmtId="2" fillId="22" applyFill="true">
      <alignment horizontal="center" vertical="center"/>
    </xf>
    <xf fontId="7616" applyFont="true" borderId="8" applyBorder="true" applyNumberFormat="true" numFmtId="2" fillId="22" applyFill="true">
      <alignment horizontal="center" vertical="center"/>
    </xf>
    <xf fontId="7617" applyFont="true" borderId="8" applyBorder="true" applyNumberFormat="true" numFmtId="2" fillId="22" applyFill="true">
      <alignment horizontal="center" vertical="center"/>
    </xf>
    <xf fontId="7618" applyFont="true" borderId="8" applyBorder="true" applyNumberFormat="true" numFmtId="2" fillId="22" applyFill="true">
      <alignment horizontal="center" vertical="center"/>
    </xf>
    <xf fontId="7619" applyFont="true" borderId="8" applyBorder="true" applyNumberFormat="true" numFmtId="2" fillId="22" applyFill="true">
      <alignment horizontal="center" vertical="center"/>
    </xf>
    <xf fontId="7620" applyFont="true" borderId="8" applyBorder="true" applyNumberFormat="true" numFmtId="2" fillId="22" applyFill="true">
      <alignment horizontal="center" vertical="center"/>
    </xf>
    <xf fontId="7621" applyFont="true" borderId="8" applyBorder="true" applyNumberFormat="true" numFmtId="2" fillId="22" applyFill="true">
      <alignment horizontal="center" vertical="center"/>
    </xf>
    <xf fontId="7622" applyFont="true" borderId="8" applyBorder="true" applyNumberFormat="true" numFmtId="2" fillId="22" applyFill="true">
      <alignment horizontal="center" vertical="center"/>
    </xf>
    <xf fontId="7623" applyFont="true" borderId="8" applyBorder="true" applyNumberFormat="true" numFmtId="2" fillId="22" applyFill="true">
      <alignment horizontal="center" vertical="center"/>
    </xf>
    <xf fontId="7624" applyFont="true" borderId="8" applyBorder="true" applyNumberFormat="true" numFmtId="2" fillId="22" applyFill="true">
      <alignment horizontal="center" vertical="center"/>
    </xf>
    <xf fontId="7625" applyFont="true" borderId="8" applyBorder="true" applyNumberFormat="true" numFmtId="2" fillId="22" applyFill="true">
      <alignment horizontal="center" vertical="center"/>
    </xf>
    <xf fontId="7626" applyFont="true" borderId="8" applyBorder="true" applyNumberFormat="true" numFmtId="2" fillId="22" applyFill="true">
      <alignment horizontal="center" vertical="center"/>
    </xf>
    <xf fontId="7627" applyFont="true" borderId="8" applyBorder="true" applyNumberFormat="true" numFmtId="2" fillId="22" applyFill="true">
      <alignment horizontal="center" vertical="center"/>
    </xf>
    <xf fontId="7628" applyFont="true" borderId="8" applyBorder="true" applyNumberFormat="true" numFmtId="2" fillId="22" applyFill="true">
      <alignment horizontal="center" vertical="center"/>
    </xf>
    <xf fontId="7629" applyFont="true" borderId="8" applyBorder="true" applyNumberFormat="true" numFmtId="2" fillId="22" applyFill="true">
      <alignment horizontal="center" vertical="center"/>
    </xf>
    <xf fontId="7630" applyFont="true" borderId="8" applyBorder="true" applyNumberFormat="true" numFmtId="2" fillId="22" applyFill="true">
      <alignment horizontal="center" vertical="center"/>
    </xf>
    <xf fontId="7631" applyFont="true" borderId="8" applyBorder="true" applyNumberFormat="true" numFmtId="2" fillId="22" applyFill="true">
      <alignment horizontal="center" vertical="center"/>
    </xf>
    <xf fontId="7632" applyFont="true" borderId="8" applyBorder="true" applyNumberFormat="true" numFmtId="2" fillId="22" applyFill="true">
      <alignment horizontal="center" vertical="center"/>
    </xf>
    <xf fontId="7633" applyFont="true" borderId="8" applyBorder="true" applyNumberFormat="true" numFmtId="2" fillId="22" applyFill="true">
      <alignment horizontal="center" vertical="center"/>
    </xf>
    <xf fontId="7634" applyFont="true" borderId="8" applyBorder="true" applyNumberFormat="true" numFmtId="2" fillId="22" applyFill="true">
      <alignment horizontal="center" vertical="center"/>
    </xf>
    <xf fontId="7635" applyFont="true" borderId="8" applyBorder="true" applyNumberFormat="true" numFmtId="2" fillId="22" applyFill="true">
      <alignment horizontal="center" vertical="center"/>
    </xf>
    <xf fontId="7636" applyFont="true" borderId="8" applyBorder="true" applyNumberFormat="true" numFmtId="2" fillId="22" applyFill="true">
      <alignment horizontal="center" vertical="center"/>
    </xf>
    <xf fontId="7637" applyFont="true" borderId="8" applyBorder="true" applyNumberFormat="true" numFmtId="2" fillId="22" applyFill="true">
      <alignment horizontal="center" vertical="center"/>
    </xf>
    <xf fontId="7638" applyFont="true" borderId="8" applyBorder="true" applyNumberFormat="true" numFmtId="2" fillId="22" applyFill="true">
      <alignment horizontal="center" vertical="center"/>
    </xf>
    <xf fontId="7639" applyFont="true" borderId="8" applyBorder="true" applyNumberFormat="true" numFmtId="2" fillId="22" applyFill="true">
      <alignment horizontal="center" vertical="center"/>
    </xf>
    <xf fontId="7640" applyFont="true" borderId="8" applyBorder="true" applyNumberFormat="true" numFmtId="2" fillId="22" applyFill="true">
      <alignment horizontal="center" vertical="center"/>
    </xf>
    <xf fontId="7641" applyFont="true" borderId="8" applyBorder="true" applyNumberFormat="true" numFmtId="2" fillId="22" applyFill="true">
      <alignment horizontal="center" vertical="center"/>
    </xf>
    <xf fontId="7642" applyFont="true" borderId="8" applyBorder="true" applyNumberFormat="true" numFmtId="2" fillId="22" applyFill="true">
      <alignment horizontal="center" vertical="center"/>
    </xf>
    <xf fontId="7643" applyFont="true" borderId="8" applyBorder="true" applyNumberFormat="true" numFmtId="2" fillId="22" applyFill="true">
      <alignment horizontal="center" vertical="center"/>
    </xf>
    <xf fontId="7644" applyFont="true" borderId="8" applyBorder="true" applyNumberFormat="true" numFmtId="2" fillId="22" applyFill="true">
      <alignment horizontal="center" vertical="center"/>
    </xf>
    <xf fontId="7645" applyFont="true" borderId="8" applyBorder="true" applyNumberFormat="true" numFmtId="165" fillId="19" applyFill="true">
      <alignment horizontal="left" vertical="center"/>
    </xf>
    <xf fontId="7646" applyFont="true" borderId="8" applyBorder="true" applyNumberFormat="true" numFmtId="165" fillId="22" applyFill="true">
      <alignment horizontal="center" vertical="center"/>
    </xf>
    <xf fontId="7647" applyFont="true" borderId="8" applyBorder="true" applyNumberFormat="true" numFmtId="166" fillId="22" applyFill="true">
      <alignment horizontal="center" vertical="center"/>
    </xf>
    <xf fontId="7648" applyFont="true" borderId="8" applyBorder="true" applyNumberFormat="true" numFmtId="1" fillId="22" applyFill="true">
      <alignment horizontal="center" vertical="center"/>
    </xf>
    <xf fontId="7649" applyFont="true" borderId="8" applyBorder="true" applyNumberFormat="true" numFmtId="1" fillId="22" applyFill="true">
      <alignment horizontal="center" vertical="center"/>
    </xf>
    <xf fontId="7650" applyFont="true" borderId="8" applyBorder="true" applyNumberFormat="true" numFmtId="1" fillId="22" applyFill="true">
      <alignment horizontal="center" vertical="center"/>
    </xf>
    <xf fontId="7651" applyFont="true" borderId="8" applyBorder="true" applyNumberFormat="true" numFmtId="1" fillId="22" applyFill="true">
      <alignment horizontal="center" vertical="center"/>
    </xf>
    <xf fontId="7652" applyFont="true" borderId="8" applyBorder="true" applyNumberFormat="true" numFmtId="1" fillId="22" applyFill="true">
      <alignment horizontal="center" vertical="center"/>
    </xf>
    <xf fontId="7653" applyFont="true" borderId="8" applyBorder="true" applyNumberFormat="true" numFmtId="1" fillId="22" applyFill="true">
      <alignment horizontal="center" vertical="center"/>
    </xf>
    <xf fontId="7654" applyFont="true" borderId="8" applyBorder="true" applyNumberFormat="true" numFmtId="1" fillId="22" applyFill="true">
      <alignment horizontal="center" vertical="center"/>
    </xf>
    <xf fontId="7655" applyFont="true" borderId="8" applyBorder="true" applyNumberFormat="true" numFmtId="165" fillId="22" applyFill="true">
      <alignment horizontal="center" vertical="center"/>
    </xf>
    <xf fontId="7656" applyFont="true" borderId="8" applyBorder="true" applyNumberFormat="true" numFmtId="165" fillId="22" applyFill="true">
      <alignment horizontal="center" vertical="center"/>
    </xf>
    <xf fontId="7657" applyFont="true" borderId="8" applyBorder="true" applyNumberFormat="true" numFmtId="1" fillId="22" applyFill="true">
      <alignment horizontal="center" vertical="center"/>
    </xf>
    <xf fontId="7658" applyFont="true" borderId="8" applyBorder="true" applyNumberFormat="true" numFmtId="1" fillId="22" applyFill="true">
      <alignment horizontal="center" vertical="center"/>
    </xf>
    <xf fontId="7659" applyFont="true" borderId="8" applyBorder="true" applyNumberFormat="true" numFmtId="1" fillId="22" applyFill="true">
      <alignment horizontal="center" vertical="center"/>
    </xf>
    <xf fontId="7660" applyFont="true" borderId="8" applyBorder="true" applyNumberFormat="true" numFmtId="167" fillId="22" applyFill="true">
      <alignment horizontal="center" vertical="center"/>
    </xf>
    <xf fontId="7661" applyFont="true" borderId="8" applyBorder="true" applyNumberFormat="true" numFmtId="1" fillId="22" applyFill="true">
      <alignment horizontal="center" vertical="center"/>
    </xf>
    <xf fontId="7662" applyFont="true" borderId="8" applyBorder="true" applyNumberFormat="true" numFmtId="167" fillId="22" applyFill="true">
      <alignment horizontal="center" vertical="center"/>
    </xf>
    <xf fontId="7663" applyFont="true" borderId="8" applyBorder="true" applyNumberFormat="true" numFmtId="1" fillId="22" applyFill="true">
      <alignment horizontal="center" vertical="center"/>
    </xf>
    <xf fontId="7664" applyFont="true" borderId="8" applyBorder="true" applyNumberFormat="true" numFmtId="167" fillId="22" applyFill="true">
      <alignment horizontal="center" vertical="center"/>
    </xf>
    <xf fontId="7665" applyFont="true" borderId="8" applyBorder="true" applyNumberFormat="true" numFmtId="1" fillId="22" applyFill="true">
      <alignment horizontal="center" vertical="center"/>
    </xf>
    <xf fontId="7666" applyFont="true" borderId="8" applyBorder="true" applyNumberFormat="true" numFmtId="167" fillId="22" applyFill="true">
      <alignment horizontal="center" vertical="center"/>
    </xf>
    <xf fontId="7667" applyFont="true" borderId="8" applyBorder="true" applyNumberFormat="true" numFmtId="167" fillId="22" applyFill="true">
      <alignment horizontal="center" vertical="center"/>
    </xf>
    <xf fontId="7668" applyFont="true" borderId="8" applyBorder="true" applyNumberFormat="true" numFmtId="1" fillId="22" applyFill="true">
      <alignment horizontal="center" vertical="center"/>
    </xf>
    <xf fontId="7669" applyFont="true" borderId="8" applyBorder="true" applyNumberFormat="true" numFmtId="1" fillId="22" applyFill="true">
      <alignment horizontal="center" vertical="center"/>
    </xf>
    <xf fontId="7670" applyFont="true" borderId="8" applyBorder="true" applyNumberFormat="true" numFmtId="1" fillId="22" applyFill="true">
      <alignment horizontal="center" vertical="center"/>
    </xf>
    <xf fontId="7671" applyFont="true" borderId="8" applyBorder="true" applyNumberFormat="true" numFmtId="167" fillId="22" applyFill="true">
      <alignment horizontal="center" vertical="center"/>
    </xf>
    <xf fontId="7672" applyFont="true" borderId="8" applyBorder="true" applyNumberFormat="true" numFmtId="166" fillId="22" applyFill="true">
      <alignment horizontal="center" vertical="center"/>
    </xf>
    <xf fontId="7673" applyFont="true" borderId="8" applyBorder="true" applyNumberFormat="true" numFmtId="166" fillId="22" applyFill="true">
      <alignment horizontal="center" vertical="center"/>
    </xf>
    <xf fontId="7674" applyFont="true" borderId="8" applyBorder="true" applyNumberFormat="true" numFmtId="1" fillId="22" applyFill="true">
      <alignment horizontal="center" vertical="center"/>
    </xf>
    <xf fontId="7675" applyFont="true" borderId="8" applyBorder="true" applyNumberFormat="true" numFmtId="1" fillId="22" applyFill="true">
      <alignment horizontal="center" vertical="center"/>
    </xf>
    <xf fontId="7676" applyFont="true" borderId="8" applyBorder="true" applyNumberFormat="true" numFmtId="1" fillId="22" applyFill="true">
      <alignment horizontal="center" vertical="center"/>
    </xf>
    <xf fontId="7677" applyFont="true" borderId="8" applyBorder="true" applyNumberFormat="true" numFmtId="167" fillId="22" applyFill="true">
      <alignment horizontal="center" vertical="center"/>
    </xf>
    <xf fontId="7678" applyFont="true" borderId="8" applyBorder="true" applyNumberFormat="true" numFmtId="1" fillId="22" applyFill="true">
      <alignment horizontal="center" vertical="center"/>
    </xf>
    <xf fontId="7679" applyFont="true" borderId="8" applyBorder="true" applyNumberFormat="true" numFmtId="167" fillId="22" applyFill="true">
      <alignment horizontal="center" vertical="center"/>
    </xf>
    <xf fontId="7680" applyFont="true" borderId="8" applyBorder="true" applyNumberFormat="true" numFmtId="1" fillId="22" applyFill="true">
      <alignment horizontal="center" vertical="center"/>
    </xf>
    <xf fontId="7681" applyFont="true" borderId="8" applyBorder="true" applyNumberFormat="true" numFmtId="1" fillId="22" applyFill="true">
      <alignment horizontal="center" vertical="center"/>
    </xf>
    <xf fontId="7682" applyFont="true" borderId="8" applyBorder="true" applyNumberFormat="true" numFmtId="1" fillId="22" applyFill="true">
      <alignment horizontal="center" vertical="center"/>
    </xf>
    <xf fontId="7683" applyFont="true" borderId="8" applyBorder="true" applyNumberFormat="true" numFmtId="1" fillId="22" applyFill="true">
      <alignment horizontal="center" vertical="center"/>
    </xf>
    <xf fontId="7684" applyFont="true" borderId="8" applyBorder="true" applyNumberFormat="true" numFmtId="167" fillId="22" applyFill="true">
      <alignment horizontal="center" vertical="center"/>
    </xf>
    <xf fontId="7685" applyFont="true" borderId="8" applyBorder="true" applyNumberFormat="true" numFmtId="1" fillId="22" applyFill="true">
      <alignment horizontal="center" vertical="center"/>
    </xf>
    <xf fontId="7686" applyFont="true" borderId="8" applyBorder="true" applyNumberFormat="true" numFmtId="167" fillId="22" applyFill="true">
      <alignment horizontal="center" vertical="center"/>
    </xf>
    <xf fontId="7687" applyFont="true" borderId="8" applyBorder="true" applyNumberFormat="true" numFmtId="1" fillId="22" applyFill="true">
      <alignment horizontal="center" vertical="center"/>
    </xf>
    <xf fontId="7688" applyFont="true" borderId="8" applyBorder="true" applyNumberFormat="true" numFmtId="167" fillId="22" applyFill="true">
      <alignment horizontal="center" vertical="center"/>
    </xf>
    <xf fontId="7689" applyFont="true" borderId="8" applyBorder="true" applyNumberFormat="true" numFmtId="2" fillId="22" applyFill="true">
      <alignment horizontal="center" vertical="center"/>
    </xf>
    <xf fontId="7690" applyFont="true" borderId="8" applyBorder="true" applyNumberFormat="true" numFmtId="2" fillId="22" applyFill="true">
      <alignment horizontal="center" vertical="center"/>
    </xf>
    <xf fontId="7691" applyFont="true" borderId="8" applyBorder="true" applyNumberFormat="true" numFmtId="2" fillId="22" applyFill="true">
      <alignment horizontal="center" vertical="center"/>
    </xf>
    <xf fontId="7692" applyFont="true" borderId="8" applyBorder="true" applyNumberFormat="true" numFmtId="2" fillId="22" applyFill="true">
      <alignment horizontal="center" vertical="center"/>
    </xf>
    <xf fontId="7693" applyFont="true" borderId="8" applyBorder="true" applyNumberFormat="true" numFmtId="2" fillId="22" applyFill="true">
      <alignment horizontal="center" vertical="center"/>
    </xf>
    <xf fontId="7694" applyFont="true" borderId="8" applyBorder="true" applyNumberFormat="true" numFmtId="2" fillId="22" applyFill="true">
      <alignment horizontal="center" vertical="center"/>
    </xf>
    <xf fontId="7695" applyFont="true" borderId="8" applyBorder="true" applyNumberFormat="true" numFmtId="2" fillId="22" applyFill="true">
      <alignment horizontal="center" vertical="center"/>
    </xf>
    <xf fontId="7696" applyFont="true" borderId="8" applyBorder="true" applyNumberFormat="true" numFmtId="2" fillId="22" applyFill="true">
      <alignment horizontal="center" vertical="center"/>
    </xf>
    <xf fontId="7697" applyFont="true" borderId="8" applyBorder="true" applyNumberFormat="true" numFmtId="2" fillId="22" applyFill="true">
      <alignment horizontal="center" vertical="center"/>
    </xf>
    <xf fontId="7698" applyFont="true" borderId="8" applyBorder="true" applyNumberFormat="true" numFmtId="2" fillId="22" applyFill="true">
      <alignment horizontal="center" vertical="center"/>
    </xf>
    <xf fontId="7699" applyFont="true" borderId="8" applyBorder="true" applyNumberFormat="true" numFmtId="2" fillId="22" applyFill="true">
      <alignment horizontal="center" vertical="center"/>
    </xf>
    <xf fontId="7700" applyFont="true" borderId="8" applyBorder="true" applyNumberFormat="true" numFmtId="2" fillId="22" applyFill="true">
      <alignment horizontal="center" vertical="center"/>
    </xf>
    <xf fontId="7701" applyFont="true" borderId="8" applyBorder="true" applyNumberFormat="true" numFmtId="2" fillId="22" applyFill="true">
      <alignment horizontal="center" vertical="center"/>
    </xf>
    <xf fontId="7702" applyFont="true" borderId="8" applyBorder="true" applyNumberFormat="true" numFmtId="2" fillId="22" applyFill="true">
      <alignment horizontal="center" vertical="center"/>
    </xf>
    <xf fontId="7703" applyFont="true" borderId="8" applyBorder="true" applyNumberFormat="true" numFmtId="2" fillId="22" applyFill="true">
      <alignment horizontal="center" vertical="center"/>
    </xf>
    <xf fontId="7704" applyFont="true" borderId="8" applyBorder="true" applyNumberFormat="true" numFmtId="2" fillId="22" applyFill="true">
      <alignment horizontal="center" vertical="center"/>
    </xf>
    <xf fontId="7705" applyFont="true" borderId="8" applyBorder="true" applyNumberFormat="true" numFmtId="2" fillId="22" applyFill="true">
      <alignment horizontal="center" vertical="center"/>
    </xf>
    <xf fontId="7706" applyFont="true" borderId="8" applyBorder="true" applyNumberFormat="true" numFmtId="2" fillId="22" applyFill="true">
      <alignment horizontal="center" vertical="center"/>
    </xf>
    <xf fontId="7707" applyFont="true" borderId="8" applyBorder="true" applyNumberFormat="true" numFmtId="2" fillId="22" applyFill="true">
      <alignment horizontal="center" vertical="center"/>
    </xf>
    <xf fontId="7708" applyFont="true" borderId="8" applyBorder="true" applyNumberFormat="true" numFmtId="2" fillId="22" applyFill="true">
      <alignment horizontal="center" vertical="center"/>
    </xf>
    <xf fontId="7709" applyFont="true" borderId="8" applyBorder="true" applyNumberFormat="true" numFmtId="2" fillId="22" applyFill="true">
      <alignment horizontal="center" vertical="center"/>
    </xf>
    <xf fontId="7710" applyFont="true" borderId="8" applyBorder="true" applyNumberFormat="true" numFmtId="2" fillId="22" applyFill="true">
      <alignment horizontal="center" vertical="center"/>
    </xf>
    <xf fontId="7711" applyFont="true" borderId="8" applyBorder="true" applyNumberFormat="true" numFmtId="2" fillId="22" applyFill="true">
      <alignment horizontal="center" vertical="center"/>
    </xf>
    <xf fontId="7712" applyFont="true" borderId="8" applyBorder="true" applyNumberFormat="true" numFmtId="2" fillId="22" applyFill="true">
      <alignment horizontal="center" vertical="center"/>
    </xf>
    <xf fontId="7713" applyFont="true" borderId="8" applyBorder="true" applyNumberFormat="true" numFmtId="2" fillId="22" applyFill="true">
      <alignment horizontal="center" vertical="center"/>
    </xf>
    <xf fontId="7714" applyFont="true" borderId="8" applyBorder="true" applyNumberFormat="true" numFmtId="2" fillId="22" applyFill="true">
      <alignment horizontal="center" vertical="center"/>
    </xf>
    <xf fontId="7715" applyFont="true" borderId="8" applyBorder="true" applyNumberFormat="true" numFmtId="2" fillId="22" applyFill="true">
      <alignment horizontal="center" vertical="center"/>
    </xf>
    <xf fontId="7716" applyFont="true" borderId="8" applyBorder="true" applyNumberFormat="true" numFmtId="2" fillId="22" applyFill="true">
      <alignment horizontal="center" vertical="center"/>
    </xf>
    <xf fontId="7717" applyFont="true" borderId="8" applyBorder="true" applyNumberFormat="true" numFmtId="2" fillId="22" applyFill="true">
      <alignment horizontal="center" vertical="center"/>
    </xf>
    <xf fontId="7718" applyFont="true" borderId="8" applyBorder="true" applyNumberFormat="true" numFmtId="2" fillId="22" applyFill="true">
      <alignment horizontal="center" vertical="center"/>
    </xf>
    <xf fontId="7719" applyFont="true" borderId="8" applyBorder="true" applyNumberFormat="true" numFmtId="2" fillId="22" applyFill="true">
      <alignment horizontal="center" vertical="center"/>
    </xf>
    <xf fontId="7720" applyFont="true" borderId="8" applyBorder="true" applyNumberFormat="true" numFmtId="2" fillId="22" applyFill="true">
      <alignment horizontal="center" vertical="center"/>
    </xf>
    <xf fontId="7721" applyFont="true" borderId="8" applyBorder="true" applyNumberFormat="true" numFmtId="2" fillId="22" applyFill="true">
      <alignment horizontal="center" vertical="center"/>
    </xf>
    <xf fontId="7722" applyFont="true" borderId="8" applyBorder="true" applyNumberFormat="true" numFmtId="2" fillId="22" applyFill="true">
      <alignment horizontal="center" vertical="center"/>
    </xf>
    <xf fontId="7723" applyFont="true" borderId="8" applyBorder="true" applyNumberFormat="true" numFmtId="165" fillId="19" applyFill="true">
      <alignment horizontal="left" vertical="center"/>
    </xf>
    <xf fontId="7724" applyFont="true" borderId="8" applyBorder="true" applyNumberFormat="true" numFmtId="165" fillId="22" applyFill="true">
      <alignment horizontal="center" vertical="center"/>
    </xf>
    <xf fontId="7725" applyFont="true" borderId="8" applyBorder="true" applyNumberFormat="true" numFmtId="166" fillId="22" applyFill="true">
      <alignment horizontal="center" vertical="center"/>
    </xf>
    <xf fontId="7726" applyFont="true" borderId="8" applyBorder="true" applyNumberFormat="true" numFmtId="1" fillId="22" applyFill="true">
      <alignment horizontal="center" vertical="center"/>
    </xf>
    <xf fontId="7727" applyFont="true" borderId="8" applyBorder="true" applyNumberFormat="true" numFmtId="1" fillId="22" applyFill="true">
      <alignment horizontal="center" vertical="center"/>
    </xf>
    <xf fontId="7728" applyFont="true" borderId="8" applyBorder="true" applyNumberFormat="true" numFmtId="1" fillId="22" applyFill="true">
      <alignment horizontal="center" vertical="center"/>
    </xf>
    <xf fontId="7729" applyFont="true" borderId="8" applyBorder="true" applyNumberFormat="true" numFmtId="1" fillId="22" applyFill="true">
      <alignment horizontal="center" vertical="center"/>
    </xf>
    <xf fontId="7730" applyFont="true" borderId="8" applyBorder="true" applyNumberFormat="true" numFmtId="1" fillId="22" applyFill="true">
      <alignment horizontal="center" vertical="center"/>
    </xf>
    <xf fontId="7731" applyFont="true" borderId="8" applyBorder="true" applyNumberFormat="true" numFmtId="1" fillId="22" applyFill="true">
      <alignment horizontal="center" vertical="center"/>
    </xf>
    <xf fontId="7732" applyFont="true" borderId="8" applyBorder="true" applyNumberFormat="true" numFmtId="1" fillId="22" applyFill="true">
      <alignment horizontal="center" vertical="center"/>
    </xf>
    <xf fontId="7733" applyFont="true" borderId="8" applyBorder="true" applyNumberFormat="true" numFmtId="165" fillId="22" applyFill="true">
      <alignment horizontal="center" vertical="center"/>
    </xf>
    <xf fontId="7734" applyFont="true" borderId="8" applyBorder="true" applyNumberFormat="true" numFmtId="165" fillId="22" applyFill="true">
      <alignment horizontal="center" vertical="center"/>
    </xf>
    <xf fontId="7735" applyFont="true" borderId="8" applyBorder="true" applyNumberFormat="true" numFmtId="1" fillId="22" applyFill="true">
      <alignment horizontal="center" vertical="center"/>
    </xf>
    <xf fontId="7736" applyFont="true" borderId="8" applyBorder="true" applyNumberFormat="true" numFmtId="1" fillId="22" applyFill="true">
      <alignment horizontal="center" vertical="center"/>
    </xf>
    <xf fontId="7737" applyFont="true" borderId="8" applyBorder="true" applyNumberFormat="true" numFmtId="1" fillId="22" applyFill="true">
      <alignment horizontal="center" vertical="center"/>
    </xf>
    <xf fontId="7738" applyFont="true" borderId="8" applyBorder="true" applyNumberFormat="true" numFmtId="167" fillId="22" applyFill="true">
      <alignment horizontal="center" vertical="center"/>
    </xf>
    <xf fontId="7739" applyFont="true" borderId="8" applyBorder="true" applyNumberFormat="true" numFmtId="1" fillId="22" applyFill="true">
      <alignment horizontal="center" vertical="center"/>
    </xf>
    <xf fontId="7740" applyFont="true" borderId="8" applyBorder="true" applyNumberFormat="true" numFmtId="167" fillId="22" applyFill="true">
      <alignment horizontal="center" vertical="center"/>
    </xf>
    <xf fontId="7741" applyFont="true" borderId="8" applyBorder="true" applyNumberFormat="true" numFmtId="1" fillId="22" applyFill="true">
      <alignment horizontal="center" vertical="center"/>
    </xf>
    <xf fontId="7742" applyFont="true" borderId="8" applyBorder="true" applyNumberFormat="true" numFmtId="167" fillId="22" applyFill="true">
      <alignment horizontal="center" vertical="center"/>
    </xf>
    <xf fontId="7743" applyFont="true" borderId="8" applyBorder="true" applyNumberFormat="true" numFmtId="1" fillId="22" applyFill="true">
      <alignment horizontal="center" vertical="center"/>
    </xf>
    <xf fontId="7744" applyFont="true" borderId="8" applyBorder="true" applyNumberFormat="true" numFmtId="167" fillId="22" applyFill="true">
      <alignment horizontal="center" vertical="center"/>
    </xf>
    <xf fontId="7745" applyFont="true" borderId="8" applyBorder="true" applyNumberFormat="true" numFmtId="167" fillId="22" applyFill="true">
      <alignment horizontal="center" vertical="center"/>
    </xf>
    <xf fontId="7746" applyFont="true" borderId="8" applyBorder="true" applyNumberFormat="true" numFmtId="1" fillId="22" applyFill="true">
      <alignment horizontal="center" vertical="center"/>
    </xf>
    <xf fontId="7747" applyFont="true" borderId="8" applyBorder="true" applyNumberFormat="true" numFmtId="1" fillId="22" applyFill="true">
      <alignment horizontal="center" vertical="center"/>
    </xf>
    <xf fontId="7748" applyFont="true" borderId="8" applyBorder="true" applyNumberFormat="true" numFmtId="1" fillId="22" applyFill="true">
      <alignment horizontal="center" vertical="center"/>
    </xf>
    <xf fontId="7749" applyFont="true" borderId="8" applyBorder="true" applyNumberFormat="true" numFmtId="167" fillId="22" applyFill="true">
      <alignment horizontal="center" vertical="center"/>
    </xf>
    <xf fontId="7750" applyFont="true" borderId="8" applyBorder="true" applyNumberFormat="true" numFmtId="166" fillId="22" applyFill="true">
      <alignment horizontal="center" vertical="center"/>
    </xf>
    <xf fontId="7751" applyFont="true" borderId="8" applyBorder="true" applyNumberFormat="true" numFmtId="166" fillId="22" applyFill="true">
      <alignment horizontal="center" vertical="center"/>
    </xf>
    <xf fontId="7752" applyFont="true" borderId="8" applyBorder="true" applyNumberFormat="true" numFmtId="1" fillId="22" applyFill="true">
      <alignment horizontal="center" vertical="center"/>
    </xf>
    <xf fontId="7753" applyFont="true" borderId="8" applyBorder="true" applyNumberFormat="true" numFmtId="1" fillId="22" applyFill="true">
      <alignment horizontal="center" vertical="center"/>
    </xf>
    <xf fontId="7754" applyFont="true" borderId="8" applyBorder="true" applyNumberFormat="true" numFmtId="1" fillId="22" applyFill="true">
      <alignment horizontal="center" vertical="center"/>
    </xf>
    <xf fontId="7755" applyFont="true" borderId="8" applyBorder="true" applyNumberFormat="true" numFmtId="167" fillId="22" applyFill="true">
      <alignment horizontal="center" vertical="center"/>
    </xf>
    <xf fontId="7756" applyFont="true" borderId="8" applyBorder="true" applyNumberFormat="true" numFmtId="1" fillId="22" applyFill="true">
      <alignment horizontal="center" vertical="center"/>
    </xf>
    <xf fontId="7757" applyFont="true" borderId="8" applyBorder="true" applyNumberFormat="true" numFmtId="167" fillId="22" applyFill="true">
      <alignment horizontal="center" vertical="center"/>
    </xf>
    <xf fontId="7758" applyFont="true" borderId="8" applyBorder="true" applyNumberFormat="true" numFmtId="1" fillId="22" applyFill="true">
      <alignment horizontal="center" vertical="center"/>
    </xf>
    <xf fontId="7759" applyFont="true" borderId="8" applyBorder="true" applyNumberFormat="true" numFmtId="1" fillId="22" applyFill="true">
      <alignment horizontal="center" vertical="center"/>
    </xf>
    <xf fontId="7760" applyFont="true" borderId="8" applyBorder="true" applyNumberFormat="true" numFmtId="1" fillId="22" applyFill="true">
      <alignment horizontal="center" vertical="center"/>
    </xf>
    <xf fontId="7761" applyFont="true" borderId="8" applyBorder="true" applyNumberFormat="true" numFmtId="1" fillId="22" applyFill="true">
      <alignment horizontal="center" vertical="center"/>
    </xf>
    <xf fontId="7762" applyFont="true" borderId="8" applyBorder="true" applyNumberFormat="true" numFmtId="167" fillId="22" applyFill="true">
      <alignment horizontal="center" vertical="center"/>
    </xf>
    <xf fontId="7763" applyFont="true" borderId="8" applyBorder="true" applyNumberFormat="true" numFmtId="1" fillId="22" applyFill="true">
      <alignment horizontal="center" vertical="center"/>
    </xf>
    <xf fontId="7764" applyFont="true" borderId="8" applyBorder="true" applyNumberFormat="true" numFmtId="167" fillId="22" applyFill="true">
      <alignment horizontal="center" vertical="center"/>
    </xf>
    <xf fontId="7765" applyFont="true" borderId="8" applyBorder="true" applyNumberFormat="true" numFmtId="1" fillId="22" applyFill="true">
      <alignment horizontal="center" vertical="center"/>
    </xf>
    <xf fontId="7766" applyFont="true" borderId="8" applyBorder="true" applyNumberFormat="true" numFmtId="167" fillId="22" applyFill="true">
      <alignment horizontal="center" vertical="center"/>
    </xf>
    <xf fontId="7767" applyFont="true" borderId="8" applyBorder="true" applyNumberFormat="true" numFmtId="2" fillId="22" applyFill="true">
      <alignment horizontal="center" vertical="center"/>
    </xf>
    <xf fontId="7768" applyFont="true" borderId="8" applyBorder="true" applyNumberFormat="true" numFmtId="2" fillId="22" applyFill="true">
      <alignment horizontal="center" vertical="center"/>
    </xf>
    <xf fontId="7769" applyFont="true" borderId="8" applyBorder="true" applyNumberFormat="true" numFmtId="2" fillId="22" applyFill="true">
      <alignment horizontal="center" vertical="center"/>
    </xf>
    <xf fontId="7770" applyFont="true" borderId="8" applyBorder="true" applyNumberFormat="true" numFmtId="2" fillId="22" applyFill="true">
      <alignment horizontal="center" vertical="center"/>
    </xf>
    <xf fontId="7771" applyFont="true" borderId="8" applyBorder="true" applyNumberFormat="true" numFmtId="2" fillId="22" applyFill="true">
      <alignment horizontal="center" vertical="center"/>
    </xf>
    <xf fontId="7772" applyFont="true" borderId="8" applyBorder="true" applyNumberFormat="true" numFmtId="2" fillId="22" applyFill="true">
      <alignment horizontal="center" vertical="center"/>
    </xf>
    <xf fontId="7773" applyFont="true" borderId="8" applyBorder="true" applyNumberFormat="true" numFmtId="2" fillId="22" applyFill="true">
      <alignment horizontal="center" vertical="center"/>
    </xf>
    <xf fontId="7774" applyFont="true" borderId="8" applyBorder="true" applyNumberFormat="true" numFmtId="2" fillId="22" applyFill="true">
      <alignment horizontal="center" vertical="center"/>
    </xf>
    <xf fontId="7775" applyFont="true" borderId="8" applyBorder="true" applyNumberFormat="true" numFmtId="2" fillId="22" applyFill="true">
      <alignment horizontal="center" vertical="center"/>
    </xf>
    <xf fontId="7776" applyFont="true" borderId="8" applyBorder="true" applyNumberFormat="true" numFmtId="2" fillId="22" applyFill="true">
      <alignment horizontal="center" vertical="center"/>
    </xf>
    <xf fontId="7777" applyFont="true" borderId="8" applyBorder="true" applyNumberFormat="true" numFmtId="2" fillId="22" applyFill="true">
      <alignment horizontal="center" vertical="center"/>
    </xf>
    <xf fontId="7778" applyFont="true" borderId="8" applyBorder="true" applyNumberFormat="true" numFmtId="2" fillId="22" applyFill="true">
      <alignment horizontal="center" vertical="center"/>
    </xf>
    <xf fontId="7779" applyFont="true" borderId="8" applyBorder="true" applyNumberFormat="true" numFmtId="2" fillId="22" applyFill="true">
      <alignment horizontal="center" vertical="center"/>
    </xf>
    <xf fontId="7780" applyFont="true" borderId="8" applyBorder="true" applyNumberFormat="true" numFmtId="2" fillId="22" applyFill="true">
      <alignment horizontal="center" vertical="center"/>
    </xf>
    <xf fontId="7781" applyFont="true" borderId="8" applyBorder="true" applyNumberFormat="true" numFmtId="2" fillId="22" applyFill="true">
      <alignment horizontal="center" vertical="center"/>
    </xf>
    <xf fontId="7782" applyFont="true" borderId="8" applyBorder="true" applyNumberFormat="true" numFmtId="2" fillId="22" applyFill="true">
      <alignment horizontal="center" vertical="center"/>
    </xf>
    <xf fontId="7783" applyFont="true" borderId="8" applyBorder="true" applyNumberFormat="true" numFmtId="2" fillId="22" applyFill="true">
      <alignment horizontal="center" vertical="center"/>
    </xf>
    <xf fontId="7784" applyFont="true" borderId="8" applyBorder="true" applyNumberFormat="true" numFmtId="2" fillId="22" applyFill="true">
      <alignment horizontal="center" vertical="center"/>
    </xf>
    <xf fontId="7785" applyFont="true" borderId="8" applyBorder="true" applyNumberFormat="true" numFmtId="2" fillId="22" applyFill="true">
      <alignment horizontal="center" vertical="center"/>
    </xf>
    <xf fontId="7786" applyFont="true" borderId="8" applyBorder="true" applyNumberFormat="true" numFmtId="2" fillId="22" applyFill="true">
      <alignment horizontal="center" vertical="center"/>
    </xf>
    <xf fontId="7787" applyFont="true" borderId="8" applyBorder="true" applyNumberFormat="true" numFmtId="2" fillId="22" applyFill="true">
      <alignment horizontal="center" vertical="center"/>
    </xf>
    <xf fontId="7788" applyFont="true" borderId="8" applyBorder="true" applyNumberFormat="true" numFmtId="2" fillId="22" applyFill="true">
      <alignment horizontal="center" vertical="center"/>
    </xf>
    <xf fontId="7789" applyFont="true" borderId="8" applyBorder="true" applyNumberFormat="true" numFmtId="2" fillId="22" applyFill="true">
      <alignment horizontal="center" vertical="center"/>
    </xf>
    <xf fontId="7790" applyFont="true" borderId="8" applyBorder="true" applyNumberFormat="true" numFmtId="2" fillId="22" applyFill="true">
      <alignment horizontal="center" vertical="center"/>
    </xf>
    <xf fontId="7791" applyFont="true" borderId="8" applyBorder="true" applyNumberFormat="true" numFmtId="2" fillId="22" applyFill="true">
      <alignment horizontal="center" vertical="center"/>
    </xf>
    <xf fontId="7792" applyFont="true" borderId="8" applyBorder="true" applyNumberFormat="true" numFmtId="2" fillId="22" applyFill="true">
      <alignment horizontal="center" vertical="center"/>
    </xf>
    <xf fontId="7793" applyFont="true" borderId="8" applyBorder="true" applyNumberFormat="true" numFmtId="2" fillId="22" applyFill="true">
      <alignment horizontal="center" vertical="center"/>
    </xf>
    <xf fontId="7794" applyFont="true" borderId="8" applyBorder="true" applyNumberFormat="true" numFmtId="2" fillId="22" applyFill="true">
      <alignment horizontal="center" vertical="center"/>
    </xf>
    <xf fontId="7795" applyFont="true" borderId="8" applyBorder="true" applyNumberFormat="true" numFmtId="2" fillId="22" applyFill="true">
      <alignment horizontal="center" vertical="center"/>
    </xf>
    <xf fontId="7796" applyFont="true" borderId="8" applyBorder="true" applyNumberFormat="true" numFmtId="2" fillId="22" applyFill="true">
      <alignment horizontal="center" vertical="center"/>
    </xf>
    <xf fontId="7797" applyFont="true" borderId="8" applyBorder="true" applyNumberFormat="true" numFmtId="2" fillId="22" applyFill="true">
      <alignment horizontal="center" vertical="center"/>
    </xf>
    <xf fontId="7798" applyFont="true" borderId="8" applyBorder="true" applyNumberFormat="true" numFmtId="2" fillId="22" applyFill="true">
      <alignment horizontal="center" vertical="center"/>
    </xf>
    <xf fontId="7799" applyFont="true" borderId="8" applyBorder="true" applyNumberFormat="true" numFmtId="2" fillId="22" applyFill="true">
      <alignment horizontal="center" vertical="center"/>
    </xf>
    <xf fontId="7800" applyFont="true" borderId="8" applyBorder="true" applyNumberFormat="true" numFmtId="2" fillId="22" applyFill="true">
      <alignment horizontal="center" vertical="center"/>
    </xf>
    <xf fontId="7801" applyFont="true" borderId="8" applyBorder="true" applyNumberFormat="true" numFmtId="165" fillId="19" applyFill="true">
      <alignment horizontal="left" vertical="center"/>
    </xf>
    <xf fontId="7802" applyFont="true" borderId="8" applyBorder="true" applyNumberFormat="true" numFmtId="165" fillId="22" applyFill="true">
      <alignment horizontal="center" vertical="center"/>
    </xf>
    <xf fontId="7803" applyFont="true" borderId="8" applyBorder="true" applyNumberFormat="true" numFmtId="166" fillId="22" applyFill="true">
      <alignment horizontal="center" vertical="center"/>
    </xf>
    <xf fontId="7804" applyFont="true" borderId="8" applyBorder="true" applyNumberFormat="true" numFmtId="1" fillId="22" applyFill="true">
      <alignment horizontal="center" vertical="center"/>
    </xf>
    <xf fontId="7805" applyFont="true" borderId="8" applyBorder="true" applyNumberFormat="true" numFmtId="1" fillId="22" applyFill="true">
      <alignment horizontal="center" vertical="center"/>
    </xf>
    <xf fontId="7806" applyFont="true" borderId="8" applyBorder="true" applyNumberFormat="true" numFmtId="1" fillId="22" applyFill="true">
      <alignment horizontal="center" vertical="center"/>
    </xf>
    <xf fontId="7807" applyFont="true" borderId="8" applyBorder="true" applyNumberFormat="true" numFmtId="1" fillId="22" applyFill="true">
      <alignment horizontal="center" vertical="center"/>
    </xf>
    <xf fontId="7808" applyFont="true" borderId="8" applyBorder="true" applyNumberFormat="true" numFmtId="1" fillId="22" applyFill="true">
      <alignment horizontal="center" vertical="center"/>
    </xf>
    <xf fontId="7809" applyFont="true" borderId="8" applyBorder="true" applyNumberFormat="true" numFmtId="1" fillId="22" applyFill="true">
      <alignment horizontal="center" vertical="center"/>
    </xf>
    <xf fontId="7810" applyFont="true" borderId="8" applyBorder="true" applyNumberFormat="true" numFmtId="1" fillId="22" applyFill="true">
      <alignment horizontal="center" vertical="center"/>
    </xf>
    <xf fontId="7811" applyFont="true" borderId="8" applyBorder="true" applyNumberFormat="true" numFmtId="165" fillId="22" applyFill="true">
      <alignment horizontal="center" vertical="center"/>
    </xf>
    <xf fontId="7812" applyFont="true" borderId="8" applyBorder="true" applyNumberFormat="true" numFmtId="165" fillId="22" applyFill="true">
      <alignment horizontal="center" vertical="center"/>
    </xf>
    <xf fontId="7813" applyFont="true" borderId="8" applyBorder="true" applyNumberFormat="true" numFmtId="1" fillId="22" applyFill="true">
      <alignment horizontal="center" vertical="center"/>
    </xf>
    <xf fontId="7814" applyFont="true" borderId="8" applyBorder="true" applyNumberFormat="true" numFmtId="1" fillId="22" applyFill="true">
      <alignment horizontal="center" vertical="center"/>
    </xf>
    <xf fontId="7815" applyFont="true" borderId="8" applyBorder="true" applyNumberFormat="true" numFmtId="1" fillId="22" applyFill="true">
      <alignment horizontal="center" vertical="center"/>
    </xf>
    <xf fontId="7816" applyFont="true" borderId="8" applyBorder="true" applyNumberFormat="true" numFmtId="167" fillId="22" applyFill="true">
      <alignment horizontal="center" vertical="center"/>
    </xf>
    <xf fontId="7817" applyFont="true" borderId="8" applyBorder="true" applyNumberFormat="true" numFmtId="1" fillId="22" applyFill="true">
      <alignment horizontal="center" vertical="center"/>
    </xf>
    <xf fontId="7818" applyFont="true" borderId="8" applyBorder="true" applyNumberFormat="true" numFmtId="167" fillId="22" applyFill="true">
      <alignment horizontal="center" vertical="center"/>
    </xf>
    <xf fontId="7819" applyFont="true" borderId="8" applyBorder="true" applyNumberFormat="true" numFmtId="1" fillId="22" applyFill="true">
      <alignment horizontal="center" vertical="center"/>
    </xf>
    <xf fontId="7820" applyFont="true" borderId="8" applyBorder="true" applyNumberFormat="true" numFmtId="167" fillId="22" applyFill="true">
      <alignment horizontal="center" vertical="center"/>
    </xf>
    <xf fontId="7821" applyFont="true" borderId="8" applyBorder="true" applyNumberFormat="true" numFmtId="1" fillId="22" applyFill="true">
      <alignment horizontal="center" vertical="center"/>
    </xf>
    <xf fontId="7822" applyFont="true" borderId="8" applyBorder="true" applyNumberFormat="true" numFmtId="167" fillId="22" applyFill="true">
      <alignment horizontal="center" vertical="center"/>
    </xf>
    <xf fontId="7823" applyFont="true" borderId="8" applyBorder="true" applyNumberFormat="true" numFmtId="167" fillId="22" applyFill="true">
      <alignment horizontal="center" vertical="center"/>
    </xf>
    <xf fontId="7824" applyFont="true" borderId="8" applyBorder="true" applyNumberFormat="true" numFmtId="1" fillId="22" applyFill="true">
      <alignment horizontal="center" vertical="center"/>
    </xf>
    <xf fontId="7825" applyFont="true" borderId="8" applyBorder="true" applyNumberFormat="true" numFmtId="1" fillId="22" applyFill="true">
      <alignment horizontal="center" vertical="center"/>
    </xf>
    <xf fontId="7826" applyFont="true" borderId="8" applyBorder="true" applyNumberFormat="true" numFmtId="1" fillId="22" applyFill="true">
      <alignment horizontal="center" vertical="center"/>
    </xf>
    <xf fontId="7827" applyFont="true" borderId="8" applyBorder="true" applyNumberFormat="true" numFmtId="167" fillId="22" applyFill="true">
      <alignment horizontal="center" vertical="center"/>
    </xf>
    <xf fontId="7828" applyFont="true" borderId="8" applyBorder="true" applyNumberFormat="true" numFmtId="166" fillId="22" applyFill="true">
      <alignment horizontal="center" vertical="center"/>
    </xf>
    <xf fontId="7829" applyFont="true" borderId="8" applyBorder="true" applyNumberFormat="true" numFmtId="166" fillId="22" applyFill="true">
      <alignment horizontal="center" vertical="center"/>
    </xf>
    <xf fontId="7830" applyFont="true" borderId="8" applyBorder="true" applyNumberFormat="true" numFmtId="1" fillId="22" applyFill="true">
      <alignment horizontal="center" vertical="center"/>
    </xf>
    <xf fontId="7831" applyFont="true" borderId="8" applyBorder="true" applyNumberFormat="true" numFmtId="1" fillId="22" applyFill="true">
      <alignment horizontal="center" vertical="center"/>
    </xf>
    <xf fontId="7832" applyFont="true" borderId="8" applyBorder="true" applyNumberFormat="true" numFmtId="1" fillId="22" applyFill="true">
      <alignment horizontal="center" vertical="center"/>
    </xf>
    <xf fontId="7833" applyFont="true" borderId="8" applyBorder="true" applyNumberFormat="true" numFmtId="167" fillId="22" applyFill="true">
      <alignment horizontal="center" vertical="center"/>
    </xf>
    <xf fontId="7834" applyFont="true" borderId="8" applyBorder="true" applyNumberFormat="true" numFmtId="1" fillId="22" applyFill="true">
      <alignment horizontal="center" vertical="center"/>
    </xf>
    <xf fontId="7835" applyFont="true" borderId="8" applyBorder="true" applyNumberFormat="true" numFmtId="167" fillId="22" applyFill="true">
      <alignment horizontal="center" vertical="center"/>
    </xf>
    <xf fontId="7836" applyFont="true" borderId="8" applyBorder="true" applyNumberFormat="true" numFmtId="1" fillId="22" applyFill="true">
      <alignment horizontal="center" vertical="center"/>
    </xf>
    <xf fontId="7837" applyFont="true" borderId="8" applyBorder="true" applyNumberFormat="true" numFmtId="1" fillId="22" applyFill="true">
      <alignment horizontal="center" vertical="center"/>
    </xf>
    <xf fontId="7838" applyFont="true" borderId="8" applyBorder="true" applyNumberFormat="true" numFmtId="1" fillId="22" applyFill="true">
      <alignment horizontal="center" vertical="center"/>
    </xf>
    <xf fontId="7839" applyFont="true" borderId="8" applyBorder="true" applyNumberFormat="true" numFmtId="1" fillId="22" applyFill="true">
      <alignment horizontal="center" vertical="center"/>
    </xf>
    <xf fontId="7840" applyFont="true" borderId="8" applyBorder="true" applyNumberFormat="true" numFmtId="167" fillId="22" applyFill="true">
      <alignment horizontal="center" vertical="center"/>
    </xf>
    <xf fontId="7841" applyFont="true" borderId="8" applyBorder="true" applyNumberFormat="true" numFmtId="1" fillId="22" applyFill="true">
      <alignment horizontal="center" vertical="center"/>
    </xf>
    <xf fontId="7842" applyFont="true" borderId="8" applyBorder="true" applyNumberFormat="true" numFmtId="167" fillId="22" applyFill="true">
      <alignment horizontal="center" vertical="center"/>
    </xf>
    <xf fontId="7843" applyFont="true" borderId="8" applyBorder="true" applyNumberFormat="true" numFmtId="1" fillId="22" applyFill="true">
      <alignment horizontal="center" vertical="center"/>
    </xf>
    <xf fontId="7844" applyFont="true" borderId="8" applyBorder="true" applyNumberFormat="true" numFmtId="167" fillId="22" applyFill="true">
      <alignment horizontal="center" vertical="center"/>
    </xf>
    <xf fontId="7845" applyFont="true" borderId="8" applyBorder="true" applyNumberFormat="true" numFmtId="2" fillId="22" applyFill="true">
      <alignment horizontal="center" vertical="center"/>
    </xf>
    <xf fontId="7846" applyFont="true" borderId="8" applyBorder="true" applyNumberFormat="true" numFmtId="2" fillId="22" applyFill="true">
      <alignment horizontal="center" vertical="center"/>
    </xf>
    <xf fontId="7847" applyFont="true" borderId="8" applyBorder="true" applyNumberFormat="true" numFmtId="2" fillId="22" applyFill="true">
      <alignment horizontal="center" vertical="center"/>
    </xf>
    <xf fontId="7848" applyFont="true" borderId="8" applyBorder="true" applyNumberFormat="true" numFmtId="2" fillId="22" applyFill="true">
      <alignment horizontal="center" vertical="center"/>
    </xf>
    <xf fontId="7849" applyFont="true" borderId="8" applyBorder="true" applyNumberFormat="true" numFmtId="2" fillId="22" applyFill="true">
      <alignment horizontal="center" vertical="center"/>
    </xf>
    <xf fontId="7850" applyFont="true" borderId="8" applyBorder="true" applyNumberFormat="true" numFmtId="2" fillId="22" applyFill="true">
      <alignment horizontal="center" vertical="center"/>
    </xf>
    <xf fontId="7851" applyFont="true" borderId="8" applyBorder="true" applyNumberFormat="true" numFmtId="2" fillId="22" applyFill="true">
      <alignment horizontal="center" vertical="center"/>
    </xf>
    <xf fontId="7852" applyFont="true" borderId="8" applyBorder="true" applyNumberFormat="true" numFmtId="2" fillId="22" applyFill="true">
      <alignment horizontal="center" vertical="center"/>
    </xf>
    <xf fontId="7853" applyFont="true" borderId="8" applyBorder="true" applyNumberFormat="true" numFmtId="2" fillId="22" applyFill="true">
      <alignment horizontal="center" vertical="center"/>
    </xf>
    <xf fontId="7854" applyFont="true" borderId="8" applyBorder="true" applyNumberFormat="true" numFmtId="2" fillId="22" applyFill="true">
      <alignment horizontal="center" vertical="center"/>
    </xf>
    <xf fontId="7855" applyFont="true" borderId="8" applyBorder="true" applyNumberFormat="true" numFmtId="2" fillId="22" applyFill="true">
      <alignment horizontal="center" vertical="center"/>
    </xf>
    <xf fontId="7856" applyFont="true" borderId="8" applyBorder="true" applyNumberFormat="true" numFmtId="2" fillId="22" applyFill="true">
      <alignment horizontal="center" vertical="center"/>
    </xf>
    <xf fontId="7857" applyFont="true" borderId="8" applyBorder="true" applyNumberFormat="true" numFmtId="2" fillId="22" applyFill="true">
      <alignment horizontal="center" vertical="center"/>
    </xf>
    <xf fontId="7858" applyFont="true" borderId="8" applyBorder="true" applyNumberFormat="true" numFmtId="2" fillId="22" applyFill="true">
      <alignment horizontal="center" vertical="center"/>
    </xf>
    <xf fontId="7859" applyFont="true" borderId="8" applyBorder="true" applyNumberFormat="true" numFmtId="2" fillId="22" applyFill="true">
      <alignment horizontal="center" vertical="center"/>
    </xf>
    <xf fontId="7860" applyFont="true" borderId="8" applyBorder="true" applyNumberFormat="true" numFmtId="2" fillId="22" applyFill="true">
      <alignment horizontal="center" vertical="center"/>
    </xf>
    <xf fontId="7861" applyFont="true" borderId="8" applyBorder="true" applyNumberFormat="true" numFmtId="2" fillId="22" applyFill="true">
      <alignment horizontal="center" vertical="center"/>
    </xf>
    <xf fontId="7862" applyFont="true" borderId="8" applyBorder="true" applyNumberFormat="true" numFmtId="2" fillId="22" applyFill="true">
      <alignment horizontal="center" vertical="center"/>
    </xf>
    <xf fontId="7863" applyFont="true" borderId="8" applyBorder="true" applyNumberFormat="true" numFmtId="2" fillId="22" applyFill="true">
      <alignment horizontal="center" vertical="center"/>
    </xf>
    <xf fontId="7864" applyFont="true" borderId="8" applyBorder="true" applyNumberFormat="true" numFmtId="2" fillId="22" applyFill="true">
      <alignment horizontal="center" vertical="center"/>
    </xf>
    <xf fontId="7865" applyFont="true" borderId="8" applyBorder="true" applyNumberFormat="true" numFmtId="2" fillId="22" applyFill="true">
      <alignment horizontal="center" vertical="center"/>
    </xf>
    <xf fontId="7866" applyFont="true" borderId="8" applyBorder="true" applyNumberFormat="true" numFmtId="2" fillId="22" applyFill="true">
      <alignment horizontal="center" vertical="center"/>
    </xf>
    <xf fontId="7867" applyFont="true" borderId="8" applyBorder="true" applyNumberFormat="true" numFmtId="2" fillId="22" applyFill="true">
      <alignment horizontal="center" vertical="center"/>
    </xf>
    <xf fontId="7868" applyFont="true" borderId="8" applyBorder="true" applyNumberFormat="true" numFmtId="2" fillId="22" applyFill="true">
      <alignment horizontal="center" vertical="center"/>
    </xf>
    <xf fontId="7869" applyFont="true" borderId="8" applyBorder="true" applyNumberFormat="true" numFmtId="2" fillId="22" applyFill="true">
      <alignment horizontal="center" vertical="center"/>
    </xf>
    <xf fontId="7870" applyFont="true" borderId="8" applyBorder="true" applyNumberFormat="true" numFmtId="2" fillId="22" applyFill="true">
      <alignment horizontal="center" vertical="center"/>
    </xf>
    <xf fontId="7871" applyFont="true" borderId="8" applyBorder="true" applyNumberFormat="true" numFmtId="2" fillId="22" applyFill="true">
      <alignment horizontal="center" vertical="center"/>
    </xf>
    <xf fontId="7872" applyFont="true" borderId="8" applyBorder="true" applyNumberFormat="true" numFmtId="2" fillId="22" applyFill="true">
      <alignment horizontal="center" vertical="center"/>
    </xf>
    <xf fontId="7873" applyFont="true" borderId="8" applyBorder="true" applyNumberFormat="true" numFmtId="2" fillId="22" applyFill="true">
      <alignment horizontal="center" vertical="center"/>
    </xf>
    <xf fontId="7874" applyFont="true" borderId="8" applyBorder="true" applyNumberFormat="true" numFmtId="2" fillId="22" applyFill="true">
      <alignment horizontal="center" vertical="center"/>
    </xf>
    <xf fontId="7875" applyFont="true" borderId="8" applyBorder="true" applyNumberFormat="true" numFmtId="2" fillId="22" applyFill="true">
      <alignment horizontal="center" vertical="center"/>
    </xf>
    <xf fontId="7876" applyFont="true" borderId="8" applyBorder="true" applyNumberFormat="true" numFmtId="2" fillId="22" applyFill="true">
      <alignment horizontal="center" vertical="center"/>
    </xf>
    <xf fontId="7877" applyFont="true" borderId="8" applyBorder="true" applyNumberFormat="true" numFmtId="2" fillId="22" applyFill="true">
      <alignment horizontal="center" vertical="center"/>
    </xf>
    <xf fontId="7878" applyFont="true" borderId="8" applyBorder="true" applyNumberFormat="true" numFmtId="2" fillId="22" applyFill="true">
      <alignment horizontal="center" vertical="center"/>
    </xf>
    <xf fontId="7879" applyFont="true" borderId="8" applyBorder="true" applyNumberFormat="true" numFmtId="165" fillId="19" applyFill="true">
      <alignment horizontal="left" vertical="center"/>
    </xf>
    <xf fontId="7880" applyFont="true" borderId="8" applyBorder="true" applyNumberFormat="true" numFmtId="165" fillId="22" applyFill="true">
      <alignment horizontal="center" vertical="center"/>
    </xf>
    <xf fontId="7881" applyFont="true" borderId="8" applyBorder="true" applyNumberFormat="true" numFmtId="166" fillId="22" applyFill="true">
      <alignment horizontal="center" vertical="center"/>
    </xf>
    <xf fontId="7882" applyFont="true" borderId="8" applyBorder="true" applyNumberFormat="true" numFmtId="1" fillId="22" applyFill="true">
      <alignment horizontal="center" vertical="center"/>
    </xf>
    <xf fontId="7883" applyFont="true" borderId="8" applyBorder="true" applyNumberFormat="true" numFmtId="1" fillId="22" applyFill="true">
      <alignment horizontal="center" vertical="center"/>
    </xf>
    <xf fontId="7884" applyFont="true" borderId="8" applyBorder="true" applyNumberFormat="true" numFmtId="1" fillId="22" applyFill="true">
      <alignment horizontal="center" vertical="center"/>
    </xf>
    <xf fontId="7885" applyFont="true" borderId="8" applyBorder="true" applyNumberFormat="true" numFmtId="1" fillId="22" applyFill="true">
      <alignment horizontal="center" vertical="center"/>
    </xf>
    <xf fontId="7886" applyFont="true" borderId="8" applyBorder="true" applyNumberFormat="true" numFmtId="1" fillId="22" applyFill="true">
      <alignment horizontal="center" vertical="center"/>
    </xf>
    <xf fontId="7887" applyFont="true" borderId="8" applyBorder="true" applyNumberFormat="true" numFmtId="1" fillId="22" applyFill="true">
      <alignment horizontal="center" vertical="center"/>
    </xf>
    <xf fontId="7888" applyFont="true" borderId="8" applyBorder="true" applyNumberFormat="true" numFmtId="1" fillId="22" applyFill="true">
      <alignment horizontal="center" vertical="center"/>
    </xf>
    <xf fontId="7889" applyFont="true" borderId="8" applyBorder="true" applyNumberFormat="true" numFmtId="165" fillId="22" applyFill="true">
      <alignment horizontal="center" vertical="center"/>
    </xf>
    <xf fontId="7890" applyFont="true" borderId="8" applyBorder="true" applyNumberFormat="true" numFmtId="165" fillId="22" applyFill="true">
      <alignment horizontal="center" vertical="center"/>
    </xf>
    <xf fontId="7891" applyFont="true" borderId="8" applyBorder="true" applyNumberFormat="true" numFmtId="1" fillId="22" applyFill="true">
      <alignment horizontal="center" vertical="center"/>
    </xf>
    <xf fontId="7892" applyFont="true" borderId="8" applyBorder="true" applyNumberFormat="true" numFmtId="1" fillId="22" applyFill="true">
      <alignment horizontal="center" vertical="center"/>
    </xf>
    <xf fontId="7893" applyFont="true" borderId="8" applyBorder="true" applyNumberFormat="true" numFmtId="1" fillId="22" applyFill="true">
      <alignment horizontal="center" vertical="center"/>
    </xf>
    <xf fontId="7894" applyFont="true" borderId="8" applyBorder="true" applyNumberFormat="true" numFmtId="167" fillId="22" applyFill="true">
      <alignment horizontal="center" vertical="center"/>
    </xf>
    <xf fontId="7895" applyFont="true" borderId="8" applyBorder="true" applyNumberFormat="true" numFmtId="1" fillId="22" applyFill="true">
      <alignment horizontal="center" vertical="center"/>
    </xf>
    <xf fontId="7896" applyFont="true" borderId="8" applyBorder="true" applyNumberFormat="true" numFmtId="167" fillId="22" applyFill="true">
      <alignment horizontal="center" vertical="center"/>
    </xf>
    <xf fontId="7897" applyFont="true" borderId="8" applyBorder="true" applyNumberFormat="true" numFmtId="1" fillId="22" applyFill="true">
      <alignment horizontal="center" vertical="center"/>
    </xf>
    <xf fontId="7898" applyFont="true" borderId="8" applyBorder="true" applyNumberFormat="true" numFmtId="167" fillId="22" applyFill="true">
      <alignment horizontal="center" vertical="center"/>
    </xf>
    <xf fontId="7899" applyFont="true" borderId="8" applyBorder="true" applyNumberFormat="true" numFmtId="1" fillId="22" applyFill="true">
      <alignment horizontal="center" vertical="center"/>
    </xf>
    <xf fontId="7900" applyFont="true" borderId="8" applyBorder="true" applyNumberFormat="true" numFmtId="167" fillId="22" applyFill="true">
      <alignment horizontal="center" vertical="center"/>
    </xf>
    <xf fontId="7901" applyFont="true" borderId="8" applyBorder="true" applyNumberFormat="true" numFmtId="167" fillId="22" applyFill="true">
      <alignment horizontal="center" vertical="center"/>
    </xf>
    <xf fontId="7902" applyFont="true" borderId="8" applyBorder="true" applyNumberFormat="true" numFmtId="1" fillId="22" applyFill="true">
      <alignment horizontal="center" vertical="center"/>
    </xf>
    <xf fontId="7903" applyFont="true" borderId="8" applyBorder="true" applyNumberFormat="true" numFmtId="1" fillId="22" applyFill="true">
      <alignment horizontal="center" vertical="center"/>
    </xf>
    <xf fontId="7904" applyFont="true" borderId="8" applyBorder="true" applyNumberFormat="true" numFmtId="1" fillId="22" applyFill="true">
      <alignment horizontal="center" vertical="center"/>
    </xf>
    <xf fontId="7905" applyFont="true" borderId="8" applyBorder="true" applyNumberFormat="true" numFmtId="167" fillId="22" applyFill="true">
      <alignment horizontal="center" vertical="center"/>
    </xf>
    <xf fontId="7906" applyFont="true" borderId="8" applyBorder="true" applyNumberFormat="true" numFmtId="166" fillId="22" applyFill="true">
      <alignment horizontal="center" vertical="center"/>
    </xf>
    <xf fontId="7907" applyFont="true" borderId="8" applyBorder="true" applyNumberFormat="true" numFmtId="166" fillId="22" applyFill="true">
      <alignment horizontal="center" vertical="center"/>
    </xf>
    <xf fontId="7908" applyFont="true" borderId="8" applyBorder="true" applyNumberFormat="true" numFmtId="1" fillId="22" applyFill="true">
      <alignment horizontal="center" vertical="center"/>
    </xf>
    <xf fontId="7909" applyFont="true" borderId="8" applyBorder="true" applyNumberFormat="true" numFmtId="1" fillId="22" applyFill="true">
      <alignment horizontal="center" vertical="center"/>
    </xf>
    <xf fontId="7910" applyFont="true" borderId="8" applyBorder="true" applyNumberFormat="true" numFmtId="1" fillId="22" applyFill="true">
      <alignment horizontal="center" vertical="center"/>
    </xf>
    <xf fontId="7911" applyFont="true" borderId="8" applyBorder="true" applyNumberFormat="true" numFmtId="167" fillId="22" applyFill="true">
      <alignment horizontal="center" vertical="center"/>
    </xf>
    <xf fontId="7912" applyFont="true" borderId="8" applyBorder="true" applyNumberFormat="true" numFmtId="1" fillId="22" applyFill="true">
      <alignment horizontal="center" vertical="center"/>
    </xf>
    <xf fontId="7913" applyFont="true" borderId="8" applyBorder="true" applyNumberFormat="true" numFmtId="167" fillId="22" applyFill="true">
      <alignment horizontal="center" vertical="center"/>
    </xf>
    <xf fontId="7914" applyFont="true" borderId="8" applyBorder="true" applyNumberFormat="true" numFmtId="1" fillId="22" applyFill="true">
      <alignment horizontal="center" vertical="center"/>
    </xf>
    <xf fontId="7915" applyFont="true" borderId="8" applyBorder="true" applyNumberFormat="true" numFmtId="1" fillId="22" applyFill="true">
      <alignment horizontal="center" vertical="center"/>
    </xf>
    <xf fontId="7916" applyFont="true" borderId="8" applyBorder="true" applyNumberFormat="true" numFmtId="1" fillId="22" applyFill="true">
      <alignment horizontal="center" vertical="center"/>
    </xf>
    <xf fontId="7917" applyFont="true" borderId="8" applyBorder="true" applyNumberFormat="true" numFmtId="1" fillId="22" applyFill="true">
      <alignment horizontal="center" vertical="center"/>
    </xf>
    <xf fontId="7918" applyFont="true" borderId="8" applyBorder="true" applyNumberFormat="true" numFmtId="167" fillId="22" applyFill="true">
      <alignment horizontal="center" vertical="center"/>
    </xf>
    <xf fontId="7919" applyFont="true" borderId="8" applyBorder="true" applyNumberFormat="true" numFmtId="1" fillId="22" applyFill="true">
      <alignment horizontal="center" vertical="center"/>
    </xf>
    <xf fontId="7920" applyFont="true" borderId="8" applyBorder="true" applyNumberFormat="true" numFmtId="167" fillId="22" applyFill="true">
      <alignment horizontal="center" vertical="center"/>
    </xf>
    <xf fontId="7921" applyFont="true" borderId="8" applyBorder="true" applyNumberFormat="true" numFmtId="1" fillId="22" applyFill="true">
      <alignment horizontal="center" vertical="center"/>
    </xf>
    <xf fontId="7922" applyFont="true" borderId="8" applyBorder="true" applyNumberFormat="true" numFmtId="167" fillId="22" applyFill="true">
      <alignment horizontal="center" vertical="center"/>
    </xf>
    <xf fontId="7923" applyFont="true" borderId="8" applyBorder="true" applyNumberFormat="true" numFmtId="2" fillId="22" applyFill="true">
      <alignment horizontal="center" vertical="center"/>
    </xf>
    <xf fontId="7924" applyFont="true" borderId="8" applyBorder="true" applyNumberFormat="true" numFmtId="2" fillId="22" applyFill="true">
      <alignment horizontal="center" vertical="center"/>
    </xf>
    <xf fontId="7925" applyFont="true" borderId="8" applyBorder="true" applyNumberFormat="true" numFmtId="2" fillId="22" applyFill="true">
      <alignment horizontal="center" vertical="center"/>
    </xf>
    <xf fontId="7926" applyFont="true" borderId="8" applyBorder="true" applyNumberFormat="true" numFmtId="2" fillId="22" applyFill="true">
      <alignment horizontal="center" vertical="center"/>
    </xf>
    <xf fontId="7927" applyFont="true" borderId="8" applyBorder="true" applyNumberFormat="true" numFmtId="2" fillId="22" applyFill="true">
      <alignment horizontal="center" vertical="center"/>
    </xf>
    <xf fontId="7928" applyFont="true" borderId="8" applyBorder="true" applyNumberFormat="true" numFmtId="2" fillId="22" applyFill="true">
      <alignment horizontal="center" vertical="center"/>
    </xf>
    <xf fontId="7929" applyFont="true" borderId="8" applyBorder="true" applyNumberFormat="true" numFmtId="2" fillId="22" applyFill="true">
      <alignment horizontal="center" vertical="center"/>
    </xf>
    <xf fontId="7930" applyFont="true" borderId="8" applyBorder="true" applyNumberFormat="true" numFmtId="2" fillId="22" applyFill="true">
      <alignment horizontal="center" vertical="center"/>
    </xf>
    <xf fontId="7931" applyFont="true" borderId="8" applyBorder="true" applyNumberFormat="true" numFmtId="2" fillId="22" applyFill="true">
      <alignment horizontal="center" vertical="center"/>
    </xf>
    <xf fontId="7932" applyFont="true" borderId="8" applyBorder="true" applyNumberFormat="true" numFmtId="2" fillId="22" applyFill="true">
      <alignment horizontal="center" vertical="center"/>
    </xf>
    <xf fontId="7933" applyFont="true" borderId="8" applyBorder="true" applyNumberFormat="true" numFmtId="2" fillId="22" applyFill="true">
      <alignment horizontal="center" vertical="center"/>
    </xf>
    <xf fontId="7934" applyFont="true" borderId="8" applyBorder="true" applyNumberFormat="true" numFmtId="2" fillId="22" applyFill="true">
      <alignment horizontal="center" vertical="center"/>
    </xf>
    <xf fontId="7935" applyFont="true" borderId="8" applyBorder="true" applyNumberFormat="true" numFmtId="2" fillId="22" applyFill="true">
      <alignment horizontal="center" vertical="center"/>
    </xf>
    <xf fontId="7936" applyFont="true" borderId="8" applyBorder="true" applyNumberFormat="true" numFmtId="2" fillId="22" applyFill="true">
      <alignment horizontal="center" vertical="center"/>
    </xf>
    <xf fontId="7937" applyFont="true" borderId="8" applyBorder="true" applyNumberFormat="true" numFmtId="2" fillId="22" applyFill="true">
      <alignment horizontal="center" vertical="center"/>
    </xf>
    <xf fontId="7938" applyFont="true" borderId="8" applyBorder="true" applyNumberFormat="true" numFmtId="2" fillId="22" applyFill="true">
      <alignment horizontal="center" vertical="center"/>
    </xf>
    <xf fontId="7939" applyFont="true" borderId="8" applyBorder="true" applyNumberFormat="true" numFmtId="2" fillId="22" applyFill="true">
      <alignment horizontal="center" vertical="center"/>
    </xf>
    <xf fontId="7940" applyFont="true" borderId="8" applyBorder="true" applyNumberFormat="true" numFmtId="2" fillId="22" applyFill="true">
      <alignment horizontal="center" vertical="center"/>
    </xf>
    <xf fontId="7941" applyFont="true" borderId="8" applyBorder="true" applyNumberFormat="true" numFmtId="2" fillId="22" applyFill="true">
      <alignment horizontal="center" vertical="center"/>
    </xf>
    <xf fontId="7942" applyFont="true" borderId="8" applyBorder="true" applyNumberFormat="true" numFmtId="2" fillId="22" applyFill="true">
      <alignment horizontal="center" vertical="center"/>
    </xf>
    <xf fontId="7943" applyFont="true" borderId="8" applyBorder="true" applyNumberFormat="true" numFmtId="2" fillId="22" applyFill="true">
      <alignment horizontal="center" vertical="center"/>
    </xf>
    <xf fontId="7944" applyFont="true" borderId="8" applyBorder="true" applyNumberFormat="true" numFmtId="2" fillId="22" applyFill="true">
      <alignment horizontal="center" vertical="center"/>
    </xf>
    <xf fontId="7945" applyFont="true" borderId="8" applyBorder="true" applyNumberFormat="true" numFmtId="2" fillId="22" applyFill="true">
      <alignment horizontal="center" vertical="center"/>
    </xf>
    <xf fontId="7946" applyFont="true" borderId="8" applyBorder="true" applyNumberFormat="true" numFmtId="2" fillId="22" applyFill="true">
      <alignment horizontal="center" vertical="center"/>
    </xf>
    <xf fontId="7947" applyFont="true" borderId="8" applyBorder="true" applyNumberFormat="true" numFmtId="2" fillId="22" applyFill="true">
      <alignment horizontal="center" vertical="center"/>
    </xf>
    <xf fontId="7948" applyFont="true" borderId="8" applyBorder="true" applyNumberFormat="true" numFmtId="2" fillId="22" applyFill="true">
      <alignment horizontal="center" vertical="center"/>
    </xf>
    <xf fontId="7949" applyFont="true" borderId="8" applyBorder="true" applyNumberFormat="true" numFmtId="2" fillId="22" applyFill="true">
      <alignment horizontal="center" vertical="center"/>
    </xf>
    <xf fontId="7950" applyFont="true" borderId="8" applyBorder="true" applyNumberFormat="true" numFmtId="2" fillId="22" applyFill="true">
      <alignment horizontal="center" vertical="center"/>
    </xf>
    <xf fontId="7951" applyFont="true" borderId="8" applyBorder="true" applyNumberFormat="true" numFmtId="2" fillId="22" applyFill="true">
      <alignment horizontal="center" vertical="center"/>
    </xf>
    <xf fontId="7952" applyFont="true" borderId="8" applyBorder="true" applyNumberFormat="true" numFmtId="2" fillId="22" applyFill="true">
      <alignment horizontal="center" vertical="center"/>
    </xf>
    <xf fontId="7953" applyFont="true" borderId="8" applyBorder="true" applyNumberFormat="true" numFmtId="2" fillId="22" applyFill="true">
      <alignment horizontal="center" vertical="center"/>
    </xf>
    <xf fontId="7954" applyFont="true" borderId="8" applyBorder="true" applyNumberFormat="true" numFmtId="2" fillId="22" applyFill="true">
      <alignment horizontal="center" vertical="center"/>
    </xf>
    <xf fontId="7955" applyFont="true" borderId="8" applyBorder="true" applyNumberFormat="true" numFmtId="2" fillId="22" applyFill="true">
      <alignment horizontal="center" vertical="center"/>
    </xf>
    <xf fontId="7956" applyFont="true" borderId="8" applyBorder="true" applyNumberFormat="true" numFmtId="2" fillId="22" applyFill="true">
      <alignment horizontal="center" vertical="center"/>
    </xf>
    <xf fontId="7957" applyFont="true" borderId="8" applyBorder="true" applyNumberFormat="true" numFmtId="165" fillId="19" applyFill="true">
      <alignment horizontal="left" vertical="center"/>
    </xf>
    <xf fontId="7958" applyFont="true" borderId="8" applyBorder="true" applyNumberFormat="true" numFmtId="165" fillId="22" applyFill="true">
      <alignment horizontal="center" vertical="center"/>
    </xf>
    <xf fontId="7959" applyFont="true" borderId="8" applyBorder="true" applyNumberFormat="true" numFmtId="166" fillId="22" applyFill="true">
      <alignment horizontal="center" vertical="center"/>
    </xf>
    <xf fontId="7960" applyFont="true" borderId="8" applyBorder="true" applyNumberFormat="true" numFmtId="1" fillId="22" applyFill="true">
      <alignment horizontal="center" vertical="center"/>
    </xf>
    <xf fontId="7961" applyFont="true" borderId="8" applyBorder="true" applyNumberFormat="true" numFmtId="1" fillId="22" applyFill="true">
      <alignment horizontal="center" vertical="center"/>
    </xf>
    <xf fontId="7962" applyFont="true" borderId="8" applyBorder="true" applyNumberFormat="true" numFmtId="1" fillId="22" applyFill="true">
      <alignment horizontal="center" vertical="center"/>
    </xf>
    <xf fontId="7963" applyFont="true" borderId="8" applyBorder="true" applyNumberFormat="true" numFmtId="1" fillId="22" applyFill="true">
      <alignment horizontal="center" vertical="center"/>
    </xf>
    <xf fontId="7964" applyFont="true" borderId="8" applyBorder="true" applyNumberFormat="true" numFmtId="1" fillId="22" applyFill="true">
      <alignment horizontal="center" vertical="center"/>
    </xf>
    <xf fontId="7965" applyFont="true" borderId="8" applyBorder="true" applyNumberFormat="true" numFmtId="1" fillId="22" applyFill="true">
      <alignment horizontal="center" vertical="center"/>
    </xf>
    <xf fontId="7966" applyFont="true" borderId="8" applyBorder="true" applyNumberFormat="true" numFmtId="1" fillId="22" applyFill="true">
      <alignment horizontal="center" vertical="center"/>
    </xf>
    <xf fontId="7967" applyFont="true" borderId="8" applyBorder="true" applyNumberFormat="true" numFmtId="165" fillId="22" applyFill="true">
      <alignment horizontal="center" vertical="center"/>
    </xf>
    <xf fontId="7968" applyFont="true" borderId="8" applyBorder="true" applyNumberFormat="true" numFmtId="165" fillId="22" applyFill="true">
      <alignment horizontal="center" vertical="center"/>
    </xf>
    <xf fontId="7969" applyFont="true" borderId="8" applyBorder="true" applyNumberFormat="true" numFmtId="1" fillId="22" applyFill="true">
      <alignment horizontal="center" vertical="center"/>
    </xf>
    <xf fontId="7970" applyFont="true" borderId="8" applyBorder="true" applyNumberFormat="true" numFmtId="1" fillId="22" applyFill="true">
      <alignment horizontal="center" vertical="center"/>
    </xf>
    <xf fontId="7971" applyFont="true" borderId="8" applyBorder="true" applyNumberFormat="true" numFmtId="1" fillId="22" applyFill="true">
      <alignment horizontal="center" vertical="center"/>
    </xf>
    <xf fontId="7972" applyFont="true" borderId="8" applyBorder="true" applyNumberFormat="true" numFmtId="167" fillId="22" applyFill="true">
      <alignment horizontal="center" vertical="center"/>
    </xf>
    <xf fontId="7973" applyFont="true" borderId="8" applyBorder="true" applyNumberFormat="true" numFmtId="1" fillId="22" applyFill="true">
      <alignment horizontal="center" vertical="center"/>
    </xf>
    <xf fontId="7974" applyFont="true" borderId="8" applyBorder="true" applyNumberFormat="true" numFmtId="167" fillId="22" applyFill="true">
      <alignment horizontal="center" vertical="center"/>
    </xf>
    <xf fontId="7975" applyFont="true" borderId="8" applyBorder="true" applyNumberFormat="true" numFmtId="1" fillId="22" applyFill="true">
      <alignment horizontal="center" vertical="center"/>
    </xf>
    <xf fontId="7976" applyFont="true" borderId="8" applyBorder="true" applyNumberFormat="true" numFmtId="167" fillId="22" applyFill="true">
      <alignment horizontal="center" vertical="center"/>
    </xf>
    <xf fontId="7977" applyFont="true" borderId="8" applyBorder="true" applyNumberFormat="true" numFmtId="1" fillId="22" applyFill="true">
      <alignment horizontal="center" vertical="center"/>
    </xf>
    <xf fontId="7978" applyFont="true" borderId="8" applyBorder="true" applyNumberFormat="true" numFmtId="167" fillId="22" applyFill="true">
      <alignment horizontal="center" vertical="center"/>
    </xf>
    <xf fontId="7979" applyFont="true" borderId="8" applyBorder="true" applyNumberFormat="true" numFmtId="167" fillId="22" applyFill="true">
      <alignment horizontal="center" vertical="center"/>
    </xf>
    <xf fontId="7980" applyFont="true" borderId="8" applyBorder="true" applyNumberFormat="true" numFmtId="1" fillId="22" applyFill="true">
      <alignment horizontal="center" vertical="center"/>
    </xf>
    <xf fontId="7981" applyFont="true" borderId="8" applyBorder="true" applyNumberFormat="true" numFmtId="1" fillId="22" applyFill="true">
      <alignment horizontal="center" vertical="center"/>
    </xf>
    <xf fontId="7982" applyFont="true" borderId="8" applyBorder="true" applyNumberFormat="true" numFmtId="1" fillId="22" applyFill="true">
      <alignment horizontal="center" vertical="center"/>
    </xf>
    <xf fontId="7983" applyFont="true" borderId="8" applyBorder="true" applyNumberFormat="true" numFmtId="167" fillId="22" applyFill="true">
      <alignment horizontal="center" vertical="center"/>
    </xf>
    <xf fontId="7984" applyFont="true" borderId="8" applyBorder="true" applyNumberFormat="true" numFmtId="166" fillId="22" applyFill="true">
      <alignment horizontal="center" vertical="center"/>
    </xf>
    <xf fontId="7985" applyFont="true" borderId="8" applyBorder="true" applyNumberFormat="true" numFmtId="166" fillId="22" applyFill="true">
      <alignment horizontal="center" vertical="center"/>
    </xf>
    <xf fontId="7986" applyFont="true" borderId="8" applyBorder="true" applyNumberFormat="true" numFmtId="1" fillId="22" applyFill="true">
      <alignment horizontal="center" vertical="center"/>
    </xf>
    <xf fontId="7987" applyFont="true" borderId="8" applyBorder="true" applyNumberFormat="true" numFmtId="1" fillId="22" applyFill="true">
      <alignment horizontal="center" vertical="center"/>
    </xf>
    <xf fontId="7988" applyFont="true" borderId="8" applyBorder="true" applyNumberFormat="true" numFmtId="1" fillId="22" applyFill="true">
      <alignment horizontal="center" vertical="center"/>
    </xf>
    <xf fontId="7989" applyFont="true" borderId="8" applyBorder="true" applyNumberFormat="true" numFmtId="167" fillId="22" applyFill="true">
      <alignment horizontal="center" vertical="center"/>
    </xf>
    <xf fontId="7990" applyFont="true" borderId="8" applyBorder="true" applyNumberFormat="true" numFmtId="1" fillId="22" applyFill="true">
      <alignment horizontal="center" vertical="center"/>
    </xf>
    <xf fontId="7991" applyFont="true" borderId="8" applyBorder="true" applyNumberFormat="true" numFmtId="167" fillId="22" applyFill="true">
      <alignment horizontal="center" vertical="center"/>
    </xf>
    <xf fontId="7992" applyFont="true" borderId="8" applyBorder="true" applyNumberFormat="true" numFmtId="1" fillId="22" applyFill="true">
      <alignment horizontal="center" vertical="center"/>
    </xf>
    <xf fontId="7993" applyFont="true" borderId="8" applyBorder="true" applyNumberFormat="true" numFmtId="1" fillId="22" applyFill="true">
      <alignment horizontal="center" vertical="center"/>
    </xf>
    <xf fontId="7994" applyFont="true" borderId="8" applyBorder="true" applyNumberFormat="true" numFmtId="1" fillId="22" applyFill="true">
      <alignment horizontal="center" vertical="center"/>
    </xf>
    <xf fontId="7995" applyFont="true" borderId="8" applyBorder="true" applyNumberFormat="true" numFmtId="1" fillId="22" applyFill="true">
      <alignment horizontal="center" vertical="center"/>
    </xf>
    <xf fontId="7996" applyFont="true" borderId="8" applyBorder="true" applyNumberFormat="true" numFmtId="167" fillId="22" applyFill="true">
      <alignment horizontal="center" vertical="center"/>
    </xf>
    <xf fontId="7997" applyFont="true" borderId="8" applyBorder="true" applyNumberFormat="true" numFmtId="1" fillId="22" applyFill="true">
      <alignment horizontal="center" vertical="center"/>
    </xf>
    <xf fontId="7998" applyFont="true" borderId="8" applyBorder="true" applyNumberFormat="true" numFmtId="167" fillId="22" applyFill="true">
      <alignment horizontal="center" vertical="center"/>
    </xf>
    <xf fontId="7999" applyFont="true" borderId="8" applyBorder="true" applyNumberFormat="true" numFmtId="1" fillId="22" applyFill="true">
      <alignment horizontal="center" vertical="center"/>
    </xf>
    <xf fontId="8000" applyFont="true" borderId="8" applyBorder="true" applyNumberFormat="true" numFmtId="167" fillId="22" applyFill="true">
      <alignment horizontal="center" vertical="center"/>
    </xf>
    <xf fontId="8001" applyFont="true" borderId="8" applyBorder="true" applyNumberFormat="true" numFmtId="2" fillId="22" applyFill="true">
      <alignment horizontal="center" vertical="center"/>
    </xf>
    <xf fontId="8002" applyFont="true" borderId="8" applyBorder="true" applyNumberFormat="true" numFmtId="2" fillId="22" applyFill="true">
      <alignment horizontal="center" vertical="center"/>
    </xf>
    <xf fontId="8003" applyFont="true" borderId="8" applyBorder="true" applyNumberFormat="true" numFmtId="2" fillId="22" applyFill="true">
      <alignment horizontal="center" vertical="center"/>
    </xf>
    <xf fontId="8004" applyFont="true" borderId="8" applyBorder="true" applyNumberFormat="true" numFmtId="2" fillId="22" applyFill="true">
      <alignment horizontal="center" vertical="center"/>
    </xf>
    <xf fontId="8005" applyFont="true" borderId="8" applyBorder="true" applyNumberFormat="true" numFmtId="2" fillId="22" applyFill="true">
      <alignment horizontal="center" vertical="center"/>
    </xf>
    <xf fontId="8006" applyFont="true" borderId="8" applyBorder="true" applyNumberFormat="true" numFmtId="2" fillId="22" applyFill="true">
      <alignment horizontal="center" vertical="center"/>
    </xf>
    <xf fontId="8007" applyFont="true" borderId="8" applyBorder="true" applyNumberFormat="true" numFmtId="2" fillId="22" applyFill="true">
      <alignment horizontal="center" vertical="center"/>
    </xf>
    <xf fontId="8008" applyFont="true" borderId="8" applyBorder="true" applyNumberFormat="true" numFmtId="2" fillId="22" applyFill="true">
      <alignment horizontal="center" vertical="center"/>
    </xf>
    <xf fontId="8009" applyFont="true" borderId="8" applyBorder="true" applyNumberFormat="true" numFmtId="2" fillId="22" applyFill="true">
      <alignment horizontal="center" vertical="center"/>
    </xf>
    <xf fontId="8010" applyFont="true" borderId="8" applyBorder="true" applyNumberFormat="true" numFmtId="2" fillId="22" applyFill="true">
      <alignment horizontal="center" vertical="center"/>
    </xf>
    <xf fontId="8011" applyFont="true" borderId="8" applyBorder="true" applyNumberFormat="true" numFmtId="2" fillId="22" applyFill="true">
      <alignment horizontal="center" vertical="center"/>
    </xf>
    <xf fontId="8012" applyFont="true" borderId="8" applyBorder="true" applyNumberFormat="true" numFmtId="2" fillId="22" applyFill="true">
      <alignment horizontal="center" vertical="center"/>
    </xf>
    <xf fontId="8013" applyFont="true" borderId="8" applyBorder="true" applyNumberFormat="true" numFmtId="2" fillId="22" applyFill="true">
      <alignment horizontal="center" vertical="center"/>
    </xf>
    <xf fontId="8014" applyFont="true" borderId="8" applyBorder="true" applyNumberFormat="true" numFmtId="2" fillId="22" applyFill="true">
      <alignment horizontal="center" vertical="center"/>
    </xf>
    <xf fontId="8015" applyFont="true" borderId="8" applyBorder="true" applyNumberFormat="true" numFmtId="2" fillId="22" applyFill="true">
      <alignment horizontal="center" vertical="center"/>
    </xf>
    <xf fontId="8016" applyFont="true" borderId="8" applyBorder="true" applyNumberFormat="true" numFmtId="2" fillId="22" applyFill="true">
      <alignment horizontal="center" vertical="center"/>
    </xf>
    <xf fontId="8017" applyFont="true" borderId="8" applyBorder="true" applyNumberFormat="true" numFmtId="2" fillId="22" applyFill="true">
      <alignment horizontal="center" vertical="center"/>
    </xf>
    <xf fontId="8018" applyFont="true" borderId="8" applyBorder="true" applyNumberFormat="true" numFmtId="2" fillId="22" applyFill="true">
      <alignment horizontal="center" vertical="center"/>
    </xf>
    <xf fontId="8019" applyFont="true" borderId="8" applyBorder="true" applyNumberFormat="true" numFmtId="2" fillId="22" applyFill="true">
      <alignment horizontal="center" vertical="center"/>
    </xf>
    <xf fontId="8020" applyFont="true" borderId="8" applyBorder="true" applyNumberFormat="true" numFmtId="2" fillId="22" applyFill="true">
      <alignment horizontal="center" vertical="center"/>
    </xf>
    <xf fontId="8021" applyFont="true" borderId="8" applyBorder="true" applyNumberFormat="true" numFmtId="2" fillId="22" applyFill="true">
      <alignment horizontal="center" vertical="center"/>
    </xf>
    <xf fontId="8022" applyFont="true" borderId="8" applyBorder="true" applyNumberFormat="true" numFmtId="2" fillId="22" applyFill="true">
      <alignment horizontal="center" vertical="center"/>
    </xf>
    <xf fontId="8023" applyFont="true" borderId="8" applyBorder="true" applyNumberFormat="true" numFmtId="2" fillId="22" applyFill="true">
      <alignment horizontal="center" vertical="center"/>
    </xf>
    <xf fontId="8024" applyFont="true" borderId="8" applyBorder="true" applyNumberFormat="true" numFmtId="2" fillId="22" applyFill="true">
      <alignment horizontal="center" vertical="center"/>
    </xf>
    <xf fontId="8025" applyFont="true" borderId="8" applyBorder="true" applyNumberFormat="true" numFmtId="2" fillId="22" applyFill="true">
      <alignment horizontal="center" vertical="center"/>
    </xf>
    <xf fontId="8026" applyFont="true" borderId="8" applyBorder="true" applyNumberFormat="true" numFmtId="2" fillId="22" applyFill="true">
      <alignment horizontal="center" vertical="center"/>
    </xf>
    <xf fontId="8027" applyFont="true" borderId="8" applyBorder="true" applyNumberFormat="true" numFmtId="2" fillId="22" applyFill="true">
      <alignment horizontal="center" vertical="center"/>
    </xf>
    <xf fontId="8028" applyFont="true" borderId="8" applyBorder="true" applyNumberFormat="true" numFmtId="2" fillId="22" applyFill="true">
      <alignment horizontal="center" vertical="center"/>
    </xf>
    <xf fontId="8029" applyFont="true" borderId="8" applyBorder="true" applyNumberFormat="true" numFmtId="2" fillId="22" applyFill="true">
      <alignment horizontal="center" vertical="center"/>
    </xf>
    <xf fontId="8030" applyFont="true" borderId="8" applyBorder="true" applyNumberFormat="true" numFmtId="2" fillId="22" applyFill="true">
      <alignment horizontal="center" vertical="center"/>
    </xf>
    <xf fontId="8031" applyFont="true" borderId="8" applyBorder="true" applyNumberFormat="true" numFmtId="2" fillId="22" applyFill="true">
      <alignment horizontal="center" vertical="center"/>
    </xf>
    <xf fontId="8032" applyFont="true" borderId="8" applyBorder="true" applyNumberFormat="true" numFmtId="2" fillId="22" applyFill="true">
      <alignment horizontal="center" vertical="center"/>
    </xf>
    <xf fontId="8033" applyFont="true" borderId="8" applyBorder="true" applyNumberFormat="true" numFmtId="2" fillId="22" applyFill="true">
      <alignment horizontal="center" vertical="center"/>
    </xf>
    <xf fontId="8034" applyFont="true" borderId="8" applyBorder="true" applyNumberFormat="true" numFmtId="2" fillId="22" applyFill="true">
      <alignment horizontal="center" vertical="center"/>
    </xf>
    <xf fontId="8035" applyFont="true" borderId="8" applyBorder="true" applyNumberFormat="true" numFmtId="165" fillId="19" applyFill="true">
      <alignment horizontal="left" vertical="center"/>
    </xf>
    <xf fontId="8036" applyFont="true" borderId="8" applyBorder="true" applyNumberFormat="true" numFmtId="165" fillId="22" applyFill="true">
      <alignment horizontal="center" vertical="center"/>
    </xf>
    <xf fontId="8037" applyFont="true" borderId="8" applyBorder="true" applyNumberFormat="true" numFmtId="166" fillId="22" applyFill="true">
      <alignment horizontal="center" vertical="center"/>
    </xf>
    <xf fontId="8038" applyFont="true" borderId="8" applyBorder="true" applyNumberFormat="true" numFmtId="1" fillId="22" applyFill="true">
      <alignment horizontal="center" vertical="center"/>
    </xf>
    <xf fontId="8039" applyFont="true" borderId="8" applyBorder="true" applyNumberFormat="true" numFmtId="1" fillId="22" applyFill="true">
      <alignment horizontal="center" vertical="center"/>
    </xf>
    <xf fontId="8040" applyFont="true" borderId="8" applyBorder="true" applyNumberFormat="true" numFmtId="1" fillId="22" applyFill="true">
      <alignment horizontal="center" vertical="center"/>
    </xf>
    <xf fontId="8041" applyFont="true" borderId="8" applyBorder="true" applyNumberFormat="true" numFmtId="1" fillId="22" applyFill="true">
      <alignment horizontal="center" vertical="center"/>
    </xf>
    <xf fontId="8042" applyFont="true" borderId="8" applyBorder="true" applyNumberFormat="true" numFmtId="1" fillId="22" applyFill="true">
      <alignment horizontal="center" vertical="center"/>
    </xf>
    <xf fontId="8043" applyFont="true" borderId="8" applyBorder="true" applyNumberFormat="true" numFmtId="1" fillId="22" applyFill="true">
      <alignment horizontal="center" vertical="center"/>
    </xf>
    <xf fontId="8044" applyFont="true" borderId="8" applyBorder="true" applyNumberFormat="true" numFmtId="1" fillId="22" applyFill="true">
      <alignment horizontal="center" vertical="center"/>
    </xf>
    <xf fontId="8045" applyFont="true" borderId="8" applyBorder="true" applyNumberFormat="true" numFmtId="165" fillId="22" applyFill="true">
      <alignment horizontal="center" vertical="center"/>
    </xf>
    <xf fontId="8046" applyFont="true" borderId="8" applyBorder="true" applyNumberFormat="true" numFmtId="165" fillId="22" applyFill="true">
      <alignment horizontal="center" vertical="center"/>
    </xf>
    <xf fontId="8047" applyFont="true" borderId="8" applyBorder="true" applyNumberFormat="true" numFmtId="1" fillId="22" applyFill="true">
      <alignment horizontal="center" vertical="center"/>
    </xf>
    <xf fontId="8048" applyFont="true" borderId="8" applyBorder="true" applyNumberFormat="true" numFmtId="1" fillId="22" applyFill="true">
      <alignment horizontal="center" vertical="center"/>
    </xf>
    <xf fontId="8049" applyFont="true" borderId="8" applyBorder="true" applyNumberFormat="true" numFmtId="1" fillId="22" applyFill="true">
      <alignment horizontal="center" vertical="center"/>
    </xf>
    <xf fontId="8050" applyFont="true" borderId="8" applyBorder="true" applyNumberFormat="true" numFmtId="167" fillId="22" applyFill="true">
      <alignment horizontal="center" vertical="center"/>
    </xf>
    <xf fontId="8051" applyFont="true" borderId="8" applyBorder="true" applyNumberFormat="true" numFmtId="1" fillId="22" applyFill="true">
      <alignment horizontal="center" vertical="center"/>
    </xf>
    <xf fontId="8052" applyFont="true" borderId="8" applyBorder="true" applyNumberFormat="true" numFmtId="167" fillId="22" applyFill="true">
      <alignment horizontal="center" vertical="center"/>
    </xf>
    <xf fontId="8053" applyFont="true" borderId="8" applyBorder="true" applyNumberFormat="true" numFmtId="1" fillId="22" applyFill="true">
      <alignment horizontal="center" vertical="center"/>
    </xf>
    <xf fontId="8054" applyFont="true" borderId="8" applyBorder="true" applyNumberFormat="true" numFmtId="167" fillId="22" applyFill="true">
      <alignment horizontal="center" vertical="center"/>
    </xf>
    <xf fontId="8055" applyFont="true" borderId="8" applyBorder="true" applyNumberFormat="true" numFmtId="1" fillId="22" applyFill="true">
      <alignment horizontal="center" vertical="center"/>
    </xf>
    <xf fontId="8056" applyFont="true" borderId="8" applyBorder="true" applyNumberFormat="true" numFmtId="167" fillId="22" applyFill="true">
      <alignment horizontal="center" vertical="center"/>
    </xf>
    <xf fontId="8057" applyFont="true" borderId="8" applyBorder="true" applyNumberFormat="true" numFmtId="167" fillId="22" applyFill="true">
      <alignment horizontal="center" vertical="center"/>
    </xf>
    <xf fontId="8058" applyFont="true" borderId="8" applyBorder="true" applyNumberFormat="true" numFmtId="1" fillId="22" applyFill="true">
      <alignment horizontal="center" vertical="center"/>
    </xf>
    <xf fontId="8059" applyFont="true" borderId="8" applyBorder="true" applyNumberFormat="true" numFmtId="1" fillId="22" applyFill="true">
      <alignment horizontal="center" vertical="center"/>
    </xf>
    <xf fontId="8060" applyFont="true" borderId="8" applyBorder="true" applyNumberFormat="true" numFmtId="1" fillId="22" applyFill="true">
      <alignment horizontal="center" vertical="center"/>
    </xf>
    <xf fontId="8061" applyFont="true" borderId="8" applyBorder="true" applyNumberFormat="true" numFmtId="167" fillId="22" applyFill="true">
      <alignment horizontal="center" vertical="center"/>
    </xf>
    <xf fontId="8062" applyFont="true" borderId="8" applyBorder="true" applyNumberFormat="true" numFmtId="166" fillId="22" applyFill="true">
      <alignment horizontal="center" vertical="center"/>
    </xf>
    <xf fontId="8063" applyFont="true" borderId="8" applyBorder="true" applyNumberFormat="true" numFmtId="166" fillId="22" applyFill="true">
      <alignment horizontal="center" vertical="center"/>
    </xf>
    <xf fontId="8064" applyFont="true" borderId="8" applyBorder="true" applyNumberFormat="true" numFmtId="1" fillId="22" applyFill="true">
      <alignment horizontal="center" vertical="center"/>
    </xf>
    <xf fontId="8065" applyFont="true" borderId="8" applyBorder="true" applyNumberFormat="true" numFmtId="1" fillId="22" applyFill="true">
      <alignment horizontal="center" vertical="center"/>
    </xf>
    <xf fontId="8066" applyFont="true" borderId="8" applyBorder="true" applyNumberFormat="true" numFmtId="1" fillId="22" applyFill="true">
      <alignment horizontal="center" vertical="center"/>
    </xf>
    <xf fontId="8067" applyFont="true" borderId="8" applyBorder="true" applyNumberFormat="true" numFmtId="167" fillId="22" applyFill="true">
      <alignment horizontal="center" vertical="center"/>
    </xf>
    <xf fontId="8068" applyFont="true" borderId="8" applyBorder="true" applyNumberFormat="true" numFmtId="1" fillId="22" applyFill="true">
      <alignment horizontal="center" vertical="center"/>
    </xf>
    <xf fontId="8069" applyFont="true" borderId="8" applyBorder="true" applyNumberFormat="true" numFmtId="167" fillId="22" applyFill="true">
      <alignment horizontal="center" vertical="center"/>
    </xf>
    <xf fontId="8070" applyFont="true" borderId="8" applyBorder="true" applyNumberFormat="true" numFmtId="1" fillId="22" applyFill="true">
      <alignment horizontal="center" vertical="center"/>
    </xf>
    <xf fontId="8071" applyFont="true" borderId="8" applyBorder="true" applyNumberFormat="true" numFmtId="1" fillId="22" applyFill="true">
      <alignment horizontal="center" vertical="center"/>
    </xf>
    <xf fontId="8072" applyFont="true" borderId="8" applyBorder="true" applyNumberFormat="true" numFmtId="1" fillId="22" applyFill="true">
      <alignment horizontal="center" vertical="center"/>
    </xf>
    <xf fontId="8073" applyFont="true" borderId="8" applyBorder="true" applyNumberFormat="true" numFmtId="1" fillId="22" applyFill="true">
      <alignment horizontal="center" vertical="center"/>
    </xf>
    <xf fontId="8074" applyFont="true" borderId="8" applyBorder="true" applyNumberFormat="true" numFmtId="167" fillId="22" applyFill="true">
      <alignment horizontal="center" vertical="center"/>
    </xf>
    <xf fontId="8075" applyFont="true" borderId="8" applyBorder="true" applyNumberFormat="true" numFmtId="1" fillId="22" applyFill="true">
      <alignment horizontal="center" vertical="center"/>
    </xf>
    <xf fontId="8076" applyFont="true" borderId="8" applyBorder="true" applyNumberFormat="true" numFmtId="167" fillId="22" applyFill="true">
      <alignment horizontal="center" vertical="center"/>
    </xf>
    <xf fontId="8077" applyFont="true" borderId="8" applyBorder="true" applyNumberFormat="true" numFmtId="1" fillId="22" applyFill="true">
      <alignment horizontal="center" vertical="center"/>
    </xf>
    <xf fontId="8078" applyFont="true" borderId="8" applyBorder="true" applyNumberFormat="true" numFmtId="167" fillId="22" applyFill="true">
      <alignment horizontal="center" vertical="center"/>
    </xf>
    <xf fontId="8079" applyFont="true" borderId="8" applyBorder="true" applyNumberFormat="true" numFmtId="2" fillId="22" applyFill="true">
      <alignment horizontal="center" vertical="center"/>
    </xf>
    <xf fontId="8080" applyFont="true" borderId="8" applyBorder="true" applyNumberFormat="true" numFmtId="2" fillId="22" applyFill="true">
      <alignment horizontal="center" vertical="center"/>
    </xf>
    <xf fontId="8081" applyFont="true" borderId="8" applyBorder="true" applyNumberFormat="true" numFmtId="2" fillId="22" applyFill="true">
      <alignment horizontal="center" vertical="center"/>
    </xf>
    <xf fontId="8082" applyFont="true" borderId="8" applyBorder="true" applyNumberFormat="true" numFmtId="2" fillId="22" applyFill="true">
      <alignment horizontal="center" vertical="center"/>
    </xf>
    <xf fontId="8083" applyFont="true" borderId="8" applyBorder="true" applyNumberFormat="true" numFmtId="2" fillId="22" applyFill="true">
      <alignment horizontal="center" vertical="center"/>
    </xf>
    <xf fontId="8084" applyFont="true" borderId="8" applyBorder="true" applyNumberFormat="true" numFmtId="2" fillId="22" applyFill="true">
      <alignment horizontal="center" vertical="center"/>
    </xf>
    <xf fontId="8085" applyFont="true" borderId="8" applyBorder="true" applyNumberFormat="true" numFmtId="2" fillId="22" applyFill="true">
      <alignment horizontal="center" vertical="center"/>
    </xf>
    <xf fontId="8086" applyFont="true" borderId="8" applyBorder="true" applyNumberFormat="true" numFmtId="2" fillId="22" applyFill="true">
      <alignment horizontal="center" vertical="center"/>
    </xf>
    <xf fontId="8087" applyFont="true" borderId="8" applyBorder="true" applyNumberFormat="true" numFmtId="2" fillId="22" applyFill="true">
      <alignment horizontal="center" vertical="center"/>
    </xf>
    <xf fontId="8088" applyFont="true" borderId="8" applyBorder="true" applyNumberFormat="true" numFmtId="2" fillId="22" applyFill="true">
      <alignment horizontal="center" vertical="center"/>
    </xf>
    <xf fontId="8089" applyFont="true" borderId="8" applyBorder="true" applyNumberFormat="true" numFmtId="2" fillId="22" applyFill="true">
      <alignment horizontal="center" vertical="center"/>
    </xf>
    <xf fontId="8090" applyFont="true" borderId="8" applyBorder="true" applyNumberFormat="true" numFmtId="2" fillId="22" applyFill="true">
      <alignment horizontal="center" vertical="center"/>
    </xf>
    <xf fontId="8091" applyFont="true" borderId="8" applyBorder="true" applyNumberFormat="true" numFmtId="2" fillId="22" applyFill="true">
      <alignment horizontal="center" vertical="center"/>
    </xf>
    <xf fontId="8092" applyFont="true" borderId="8" applyBorder="true" applyNumberFormat="true" numFmtId="2" fillId="22" applyFill="true">
      <alignment horizontal="center" vertical="center"/>
    </xf>
    <xf fontId="8093" applyFont="true" borderId="8" applyBorder="true" applyNumberFormat="true" numFmtId="2" fillId="22" applyFill="true">
      <alignment horizontal="center" vertical="center"/>
    </xf>
    <xf fontId="8094" applyFont="true" borderId="8" applyBorder="true" applyNumberFormat="true" numFmtId="2" fillId="22" applyFill="true">
      <alignment horizontal="center" vertical="center"/>
    </xf>
    <xf fontId="8095" applyFont="true" borderId="8" applyBorder="true" applyNumberFormat="true" numFmtId="2" fillId="22" applyFill="true">
      <alignment horizontal="center" vertical="center"/>
    </xf>
    <xf fontId="8096" applyFont="true" borderId="8" applyBorder="true" applyNumberFormat="true" numFmtId="2" fillId="22" applyFill="true">
      <alignment horizontal="center" vertical="center"/>
    </xf>
    <xf fontId="8097" applyFont="true" borderId="8" applyBorder="true" applyNumberFormat="true" numFmtId="2" fillId="22" applyFill="true">
      <alignment horizontal="center" vertical="center"/>
    </xf>
    <xf fontId="8098" applyFont="true" borderId="8" applyBorder="true" applyNumberFormat="true" numFmtId="2" fillId="22" applyFill="true">
      <alignment horizontal="center" vertical="center"/>
    </xf>
    <xf fontId="8099" applyFont="true" borderId="8" applyBorder="true" applyNumberFormat="true" numFmtId="2" fillId="22" applyFill="true">
      <alignment horizontal="center" vertical="center"/>
    </xf>
    <xf fontId="8100" applyFont="true" borderId="8" applyBorder="true" applyNumberFormat="true" numFmtId="2" fillId="22" applyFill="true">
      <alignment horizontal="center" vertical="center"/>
    </xf>
    <xf fontId="8101" applyFont="true" borderId="8" applyBorder="true" applyNumberFormat="true" numFmtId="2" fillId="22" applyFill="true">
      <alignment horizontal="center" vertical="center"/>
    </xf>
    <xf fontId="8102" applyFont="true" borderId="8" applyBorder="true" applyNumberFormat="true" numFmtId="2" fillId="22" applyFill="true">
      <alignment horizontal="center" vertical="center"/>
    </xf>
    <xf fontId="8103" applyFont="true" borderId="8" applyBorder="true" applyNumberFormat="true" numFmtId="2" fillId="22" applyFill="true">
      <alignment horizontal="center" vertical="center"/>
    </xf>
    <xf fontId="8104" applyFont="true" borderId="8" applyBorder="true" applyNumberFormat="true" numFmtId="2" fillId="22" applyFill="true">
      <alignment horizontal="center" vertical="center"/>
    </xf>
    <xf fontId="8105" applyFont="true" borderId="8" applyBorder="true" applyNumberFormat="true" numFmtId="2" fillId="22" applyFill="true">
      <alignment horizontal="center" vertical="center"/>
    </xf>
    <xf fontId="8106" applyFont="true" borderId="8" applyBorder="true" applyNumberFormat="true" numFmtId="2" fillId="22" applyFill="true">
      <alignment horizontal="center" vertical="center"/>
    </xf>
    <xf fontId="8107" applyFont="true" borderId="8" applyBorder="true" applyNumberFormat="true" numFmtId="2" fillId="22" applyFill="true">
      <alignment horizontal="center" vertical="center"/>
    </xf>
    <xf fontId="8108" applyFont="true" borderId="8" applyBorder="true" applyNumberFormat="true" numFmtId="2" fillId="22" applyFill="true">
      <alignment horizontal="center" vertical="center"/>
    </xf>
    <xf fontId="8109" applyFont="true" borderId="8" applyBorder="true" applyNumberFormat="true" numFmtId="2" fillId="22" applyFill="true">
      <alignment horizontal="center" vertical="center"/>
    </xf>
    <xf fontId="8110" applyFont="true" borderId="8" applyBorder="true" applyNumberFormat="true" numFmtId="2" fillId="22" applyFill="true">
      <alignment horizontal="center" vertical="center"/>
    </xf>
    <xf fontId="8111" applyFont="true" borderId="8" applyBorder="true" applyNumberFormat="true" numFmtId="2" fillId="22" applyFill="true">
      <alignment horizontal="center" vertical="center"/>
    </xf>
    <xf fontId="8112" applyFont="true" borderId="8" applyBorder="true" applyNumberFormat="true" numFmtId="2" fillId="22" applyFill="true">
      <alignment horizontal="center" vertical="center"/>
    </xf>
    <xf fontId="8113" applyFont="true" borderId="8" applyBorder="true" applyNumberFormat="true" numFmtId="165" fillId="19" applyFill="true">
      <alignment horizontal="left" vertical="center"/>
    </xf>
    <xf fontId="8114" applyFont="true" borderId="8" applyBorder="true" applyNumberFormat="true" numFmtId="165" fillId="22" applyFill="true">
      <alignment horizontal="center" vertical="center"/>
    </xf>
    <xf fontId="8115" applyFont="true" borderId="8" applyBorder="true" applyNumberFormat="true" numFmtId="166" fillId="22" applyFill="true">
      <alignment horizontal="center" vertical="center"/>
    </xf>
    <xf fontId="8116" applyFont="true" borderId="8" applyBorder="true" applyNumberFormat="true" numFmtId="1" fillId="22" applyFill="true">
      <alignment horizontal="center" vertical="center"/>
    </xf>
    <xf fontId="8117" applyFont="true" borderId="8" applyBorder="true" applyNumberFormat="true" numFmtId="1" fillId="22" applyFill="true">
      <alignment horizontal="center" vertical="center"/>
    </xf>
    <xf fontId="8118" applyFont="true" borderId="8" applyBorder="true" applyNumberFormat="true" numFmtId="1" fillId="22" applyFill="true">
      <alignment horizontal="center" vertical="center"/>
    </xf>
    <xf fontId="8119" applyFont="true" borderId="8" applyBorder="true" applyNumberFormat="true" numFmtId="1" fillId="22" applyFill="true">
      <alignment horizontal="center" vertical="center"/>
    </xf>
    <xf fontId="8120" applyFont="true" borderId="8" applyBorder="true" applyNumberFormat="true" numFmtId="1" fillId="22" applyFill="true">
      <alignment horizontal="center" vertical="center"/>
    </xf>
    <xf fontId="8121" applyFont="true" borderId="8" applyBorder="true" applyNumberFormat="true" numFmtId="1" fillId="22" applyFill="true">
      <alignment horizontal="center" vertical="center"/>
    </xf>
    <xf fontId="8122" applyFont="true" borderId="8" applyBorder="true" applyNumberFormat="true" numFmtId="1" fillId="22" applyFill="true">
      <alignment horizontal="center" vertical="center"/>
    </xf>
    <xf fontId="8123" applyFont="true" borderId="8" applyBorder="true" applyNumberFormat="true" numFmtId="165" fillId="22" applyFill="true">
      <alignment horizontal="center" vertical="center"/>
    </xf>
    <xf fontId="8124" applyFont="true" borderId="8" applyBorder="true" applyNumberFormat="true" numFmtId="165" fillId="22" applyFill="true">
      <alignment horizontal="center" vertical="center"/>
    </xf>
    <xf fontId="8125" applyFont="true" borderId="8" applyBorder="true" applyNumberFormat="true" numFmtId="1" fillId="22" applyFill="true">
      <alignment horizontal="center" vertical="center"/>
    </xf>
    <xf fontId="8126" applyFont="true" borderId="8" applyBorder="true" applyNumberFormat="true" numFmtId="1" fillId="22" applyFill="true">
      <alignment horizontal="center" vertical="center"/>
    </xf>
    <xf fontId="8127" applyFont="true" borderId="8" applyBorder="true" applyNumberFormat="true" numFmtId="1" fillId="22" applyFill="true">
      <alignment horizontal="center" vertical="center"/>
    </xf>
    <xf fontId="8128" applyFont="true" borderId="8" applyBorder="true" applyNumberFormat="true" numFmtId="167" fillId="22" applyFill="true">
      <alignment horizontal="center" vertical="center"/>
    </xf>
    <xf fontId="8129" applyFont="true" borderId="8" applyBorder="true" applyNumberFormat="true" numFmtId="1" fillId="22" applyFill="true">
      <alignment horizontal="center" vertical="center"/>
    </xf>
    <xf fontId="8130" applyFont="true" borderId="8" applyBorder="true" applyNumberFormat="true" numFmtId="167" fillId="22" applyFill="true">
      <alignment horizontal="center" vertical="center"/>
    </xf>
    <xf fontId="8131" applyFont="true" borderId="8" applyBorder="true" applyNumberFormat="true" numFmtId="1" fillId="22" applyFill="true">
      <alignment horizontal="center" vertical="center"/>
    </xf>
    <xf fontId="8132" applyFont="true" borderId="8" applyBorder="true" applyNumberFormat="true" numFmtId="167" fillId="22" applyFill="true">
      <alignment horizontal="center" vertical="center"/>
    </xf>
    <xf fontId="8133" applyFont="true" borderId="8" applyBorder="true" applyNumberFormat="true" numFmtId="1" fillId="22" applyFill="true">
      <alignment horizontal="center" vertical="center"/>
    </xf>
    <xf fontId="8134" applyFont="true" borderId="8" applyBorder="true" applyNumberFormat="true" numFmtId="167" fillId="22" applyFill="true">
      <alignment horizontal="center" vertical="center"/>
    </xf>
    <xf fontId="8135" applyFont="true" borderId="8" applyBorder="true" applyNumberFormat="true" numFmtId="167" fillId="22" applyFill="true">
      <alignment horizontal="center" vertical="center"/>
    </xf>
    <xf fontId="8136" applyFont="true" borderId="8" applyBorder="true" applyNumberFormat="true" numFmtId="1" fillId="22" applyFill="true">
      <alignment horizontal="center" vertical="center"/>
    </xf>
    <xf fontId="8137" applyFont="true" borderId="8" applyBorder="true" applyNumberFormat="true" numFmtId="1" fillId="22" applyFill="true">
      <alignment horizontal="center" vertical="center"/>
    </xf>
    <xf fontId="8138" applyFont="true" borderId="8" applyBorder="true" applyNumberFormat="true" numFmtId="1" fillId="22" applyFill="true">
      <alignment horizontal="center" vertical="center"/>
    </xf>
    <xf fontId="8139" applyFont="true" borderId="8" applyBorder="true" applyNumberFormat="true" numFmtId="167" fillId="22" applyFill="true">
      <alignment horizontal="center" vertical="center"/>
    </xf>
    <xf fontId="8140" applyFont="true" borderId="8" applyBorder="true" applyNumberFormat="true" numFmtId="166" fillId="22" applyFill="true">
      <alignment horizontal="center" vertical="center"/>
    </xf>
    <xf fontId="8141" applyFont="true" borderId="8" applyBorder="true" applyNumberFormat="true" numFmtId="166" fillId="22" applyFill="true">
      <alignment horizontal="center" vertical="center"/>
    </xf>
    <xf fontId="8142" applyFont="true" borderId="8" applyBorder="true" applyNumberFormat="true" numFmtId="1" fillId="22" applyFill="true">
      <alignment horizontal="center" vertical="center"/>
    </xf>
    <xf fontId="8143" applyFont="true" borderId="8" applyBorder="true" applyNumberFormat="true" numFmtId="1" fillId="22" applyFill="true">
      <alignment horizontal="center" vertical="center"/>
    </xf>
    <xf fontId="8144" applyFont="true" borderId="8" applyBorder="true" applyNumberFormat="true" numFmtId="1" fillId="22" applyFill="true">
      <alignment horizontal="center" vertical="center"/>
    </xf>
    <xf fontId="8145" applyFont="true" borderId="8" applyBorder="true" applyNumberFormat="true" numFmtId="167" fillId="22" applyFill="true">
      <alignment horizontal="center" vertical="center"/>
    </xf>
    <xf fontId="8146" applyFont="true" borderId="8" applyBorder="true" applyNumberFormat="true" numFmtId="1" fillId="22" applyFill="true">
      <alignment horizontal="center" vertical="center"/>
    </xf>
    <xf fontId="8147" applyFont="true" borderId="8" applyBorder="true" applyNumberFormat="true" numFmtId="167" fillId="22" applyFill="true">
      <alignment horizontal="center" vertical="center"/>
    </xf>
    <xf fontId="8148" applyFont="true" borderId="8" applyBorder="true" applyNumberFormat="true" numFmtId="1" fillId="22" applyFill="true">
      <alignment horizontal="center" vertical="center"/>
    </xf>
    <xf fontId="8149" applyFont="true" borderId="8" applyBorder="true" applyNumberFormat="true" numFmtId="1" fillId="22" applyFill="true">
      <alignment horizontal="center" vertical="center"/>
    </xf>
    <xf fontId="8150" applyFont="true" borderId="8" applyBorder="true" applyNumberFormat="true" numFmtId="1" fillId="22" applyFill="true">
      <alignment horizontal="center" vertical="center"/>
    </xf>
    <xf fontId="8151" applyFont="true" borderId="8" applyBorder="true" applyNumberFormat="true" numFmtId="1" fillId="22" applyFill="true">
      <alignment horizontal="center" vertical="center"/>
    </xf>
    <xf fontId="8152" applyFont="true" borderId="8" applyBorder="true" applyNumberFormat="true" numFmtId="167" fillId="22" applyFill="true">
      <alignment horizontal="center" vertical="center"/>
    </xf>
    <xf fontId="8153" applyFont="true" borderId="8" applyBorder="true" applyNumberFormat="true" numFmtId="1" fillId="22" applyFill="true">
      <alignment horizontal="center" vertical="center"/>
    </xf>
    <xf fontId="8154" applyFont="true" borderId="8" applyBorder="true" applyNumberFormat="true" numFmtId="167" fillId="22" applyFill="true">
      <alignment horizontal="center" vertical="center"/>
    </xf>
    <xf fontId="8155" applyFont="true" borderId="8" applyBorder="true" applyNumberFormat="true" numFmtId="1" fillId="22" applyFill="true">
      <alignment horizontal="center" vertical="center"/>
    </xf>
    <xf fontId="8156" applyFont="true" borderId="8" applyBorder="true" applyNumberFormat="true" numFmtId="167" fillId="22" applyFill="true">
      <alignment horizontal="center" vertical="center"/>
    </xf>
    <xf fontId="8157" applyFont="true" borderId="8" applyBorder="true" applyNumberFormat="true" numFmtId="2" fillId="22" applyFill="true">
      <alignment horizontal="center" vertical="center"/>
    </xf>
    <xf fontId="8158" applyFont="true" borderId="8" applyBorder="true" applyNumberFormat="true" numFmtId="2" fillId="22" applyFill="true">
      <alignment horizontal="center" vertical="center"/>
    </xf>
    <xf fontId="8159" applyFont="true" borderId="8" applyBorder="true" applyNumberFormat="true" numFmtId="2" fillId="22" applyFill="true">
      <alignment horizontal="center" vertical="center"/>
    </xf>
    <xf fontId="8160" applyFont="true" borderId="8" applyBorder="true" applyNumberFormat="true" numFmtId="2" fillId="22" applyFill="true">
      <alignment horizontal="center" vertical="center"/>
    </xf>
    <xf fontId="8161" applyFont="true" borderId="8" applyBorder="true" applyNumberFormat="true" numFmtId="2" fillId="22" applyFill="true">
      <alignment horizontal="center" vertical="center"/>
    </xf>
    <xf fontId="8162" applyFont="true" borderId="8" applyBorder="true" applyNumberFormat="true" numFmtId="2" fillId="22" applyFill="true">
      <alignment horizontal="center" vertical="center"/>
    </xf>
    <xf fontId="8163" applyFont="true" borderId="8" applyBorder="true" applyNumberFormat="true" numFmtId="2" fillId="22" applyFill="true">
      <alignment horizontal="center" vertical="center"/>
    </xf>
    <xf fontId="8164" applyFont="true" borderId="8" applyBorder="true" applyNumberFormat="true" numFmtId="2" fillId="22" applyFill="true">
      <alignment horizontal="center" vertical="center"/>
    </xf>
    <xf fontId="8165" applyFont="true" borderId="8" applyBorder="true" applyNumberFormat="true" numFmtId="2" fillId="22" applyFill="true">
      <alignment horizontal="center" vertical="center"/>
    </xf>
    <xf fontId="8166" applyFont="true" borderId="8" applyBorder="true" applyNumberFormat="true" numFmtId="2" fillId="22" applyFill="true">
      <alignment horizontal="center" vertical="center"/>
    </xf>
    <xf fontId="8167" applyFont="true" borderId="8" applyBorder="true" applyNumberFormat="true" numFmtId="2" fillId="22" applyFill="true">
      <alignment horizontal="center" vertical="center"/>
    </xf>
    <xf fontId="8168" applyFont="true" borderId="8" applyBorder="true" applyNumberFormat="true" numFmtId="2" fillId="22" applyFill="true">
      <alignment horizontal="center" vertical="center"/>
    </xf>
    <xf fontId="8169" applyFont="true" borderId="8" applyBorder="true" applyNumberFormat="true" numFmtId="2" fillId="22" applyFill="true">
      <alignment horizontal="center" vertical="center"/>
    </xf>
    <xf fontId="8170" applyFont="true" borderId="8" applyBorder="true" applyNumberFormat="true" numFmtId="2" fillId="22" applyFill="true">
      <alignment horizontal="center" vertical="center"/>
    </xf>
    <xf fontId="8171" applyFont="true" borderId="8" applyBorder="true" applyNumberFormat="true" numFmtId="2" fillId="22" applyFill="true">
      <alignment horizontal="center" vertical="center"/>
    </xf>
    <xf fontId="8172" applyFont="true" borderId="8" applyBorder="true" applyNumberFormat="true" numFmtId="2" fillId="22" applyFill="true">
      <alignment horizontal="center" vertical="center"/>
    </xf>
    <xf fontId="8173" applyFont="true" borderId="8" applyBorder="true" applyNumberFormat="true" numFmtId="2" fillId="22" applyFill="true">
      <alignment horizontal="center" vertical="center"/>
    </xf>
    <xf fontId="8174" applyFont="true" borderId="8" applyBorder="true" applyNumberFormat="true" numFmtId="2" fillId="22" applyFill="true">
      <alignment horizontal="center" vertical="center"/>
    </xf>
    <xf fontId="8175" applyFont="true" borderId="8" applyBorder="true" applyNumberFormat="true" numFmtId="2" fillId="22" applyFill="true">
      <alignment horizontal="center" vertical="center"/>
    </xf>
    <xf fontId="8176" applyFont="true" borderId="8" applyBorder="true" applyNumberFormat="true" numFmtId="2" fillId="22" applyFill="true">
      <alignment horizontal="center" vertical="center"/>
    </xf>
    <xf fontId="8177" applyFont="true" borderId="8" applyBorder="true" applyNumberFormat="true" numFmtId="2" fillId="22" applyFill="true">
      <alignment horizontal="center" vertical="center"/>
    </xf>
    <xf fontId="8178" applyFont="true" borderId="8" applyBorder="true" applyNumberFormat="true" numFmtId="2" fillId="22" applyFill="true">
      <alignment horizontal="center" vertical="center"/>
    </xf>
    <xf fontId="8179" applyFont="true" borderId="8" applyBorder="true" applyNumberFormat="true" numFmtId="2" fillId="22" applyFill="true">
      <alignment horizontal="center" vertical="center"/>
    </xf>
    <xf fontId="8180" applyFont="true" borderId="8" applyBorder="true" applyNumberFormat="true" numFmtId="2" fillId="22" applyFill="true">
      <alignment horizontal="center" vertical="center"/>
    </xf>
    <xf fontId="8181" applyFont="true" borderId="8" applyBorder="true" applyNumberFormat="true" numFmtId="2" fillId="22" applyFill="true">
      <alignment horizontal="center" vertical="center"/>
    </xf>
    <xf fontId="8182" applyFont="true" borderId="8" applyBorder="true" applyNumberFormat="true" numFmtId="2" fillId="22" applyFill="true">
      <alignment horizontal="center" vertical="center"/>
    </xf>
    <xf fontId="8183" applyFont="true" borderId="8" applyBorder="true" applyNumberFormat="true" numFmtId="2" fillId="22" applyFill="true">
      <alignment horizontal="center" vertical="center"/>
    </xf>
    <xf fontId="8184" applyFont="true" borderId="8" applyBorder="true" applyNumberFormat="true" numFmtId="2" fillId="22" applyFill="true">
      <alignment horizontal="center" vertical="center"/>
    </xf>
    <xf fontId="8185" applyFont="true" borderId="8" applyBorder="true" applyNumberFormat="true" numFmtId="2" fillId="22" applyFill="true">
      <alignment horizontal="center" vertical="center"/>
    </xf>
    <xf fontId="8186" applyFont="true" borderId="8" applyBorder="true" applyNumberFormat="true" numFmtId="2" fillId="22" applyFill="true">
      <alignment horizontal="center" vertical="center"/>
    </xf>
    <xf fontId="8187" applyFont="true" borderId="8" applyBorder="true" applyNumberFormat="true" numFmtId="2" fillId="22" applyFill="true">
      <alignment horizontal="center" vertical="center"/>
    </xf>
    <xf fontId="8188" applyFont="true" borderId="8" applyBorder="true" applyNumberFormat="true" numFmtId="2" fillId="22" applyFill="true">
      <alignment horizontal="center" vertical="center"/>
    </xf>
    <xf fontId="8189" applyFont="true" borderId="8" applyBorder="true" applyNumberFormat="true" numFmtId="2" fillId="22" applyFill="true">
      <alignment horizontal="center" vertical="center"/>
    </xf>
    <xf fontId="8190" applyFont="true" borderId="8" applyBorder="true" applyNumberFormat="true" numFmtId="2" fillId="22" applyFill="true">
      <alignment horizontal="center" vertical="center"/>
    </xf>
    <xf fontId="8191" applyFont="true" borderId="8" applyBorder="true" applyNumberFormat="true" numFmtId="165" fillId="19" applyFill="true">
      <alignment horizontal="left" vertical="center"/>
    </xf>
    <xf fontId="8192" applyFont="true" borderId="8" applyBorder="true" applyNumberFormat="true" numFmtId="165" fillId="22" applyFill="true">
      <alignment horizontal="center" vertical="center"/>
    </xf>
    <xf fontId="8193" applyFont="true" borderId="8" applyBorder="true" applyNumberFormat="true" numFmtId="166" fillId="22" applyFill="true">
      <alignment horizontal="center" vertical="center"/>
    </xf>
    <xf fontId="8194" applyFont="true" borderId="8" applyBorder="true" applyNumberFormat="true" numFmtId="1" fillId="22" applyFill="true">
      <alignment horizontal="center" vertical="center"/>
    </xf>
    <xf fontId="8195" applyFont="true" borderId="8" applyBorder="true" applyNumberFormat="true" numFmtId="1" fillId="22" applyFill="true">
      <alignment horizontal="center" vertical="center"/>
    </xf>
    <xf fontId="8196" applyFont="true" borderId="8" applyBorder="true" applyNumberFormat="true" numFmtId="1" fillId="22" applyFill="true">
      <alignment horizontal="center" vertical="center"/>
    </xf>
    <xf fontId="8197" applyFont="true" borderId="8" applyBorder="true" applyNumberFormat="true" numFmtId="1" fillId="22" applyFill="true">
      <alignment horizontal="center" vertical="center"/>
    </xf>
    <xf fontId="8198" applyFont="true" borderId="8" applyBorder="true" applyNumberFormat="true" numFmtId="1" fillId="22" applyFill="true">
      <alignment horizontal="center" vertical="center"/>
    </xf>
    <xf fontId="8199" applyFont="true" borderId="8" applyBorder="true" applyNumberFormat="true" numFmtId="1" fillId="22" applyFill="true">
      <alignment horizontal="center" vertical="center"/>
    </xf>
    <xf fontId="8200" applyFont="true" borderId="8" applyBorder="true" applyNumberFormat="true" numFmtId="1" fillId="22" applyFill="true">
      <alignment horizontal="center" vertical="center"/>
    </xf>
    <xf fontId="8201" applyFont="true" borderId="8" applyBorder="true" applyNumberFormat="true" numFmtId="165" fillId="22" applyFill="true">
      <alignment horizontal="center" vertical="center"/>
    </xf>
    <xf fontId="8202" applyFont="true" borderId="8" applyBorder="true" applyNumberFormat="true" numFmtId="165" fillId="22" applyFill="true">
      <alignment horizontal="center" vertical="center"/>
    </xf>
    <xf fontId="8203" applyFont="true" borderId="8" applyBorder="true" applyNumberFormat="true" numFmtId="1" fillId="22" applyFill="true">
      <alignment horizontal="center" vertical="center"/>
    </xf>
    <xf fontId="8204" applyFont="true" borderId="8" applyBorder="true" applyNumberFormat="true" numFmtId="1" fillId="22" applyFill="true">
      <alignment horizontal="center" vertical="center"/>
    </xf>
    <xf fontId="8205" applyFont="true" borderId="8" applyBorder="true" applyNumberFormat="true" numFmtId="1" fillId="22" applyFill="true">
      <alignment horizontal="center" vertical="center"/>
    </xf>
    <xf fontId="8206" applyFont="true" borderId="8" applyBorder="true" applyNumberFormat="true" numFmtId="167" fillId="22" applyFill="true">
      <alignment horizontal="center" vertical="center"/>
    </xf>
    <xf fontId="8207" applyFont="true" borderId="8" applyBorder="true" applyNumberFormat="true" numFmtId="1" fillId="22" applyFill="true">
      <alignment horizontal="center" vertical="center"/>
    </xf>
    <xf fontId="8208" applyFont="true" borderId="8" applyBorder="true" applyNumberFormat="true" numFmtId="167" fillId="22" applyFill="true">
      <alignment horizontal="center" vertical="center"/>
    </xf>
    <xf fontId="8209" applyFont="true" borderId="8" applyBorder="true" applyNumberFormat="true" numFmtId="1" fillId="22" applyFill="true">
      <alignment horizontal="center" vertical="center"/>
    </xf>
    <xf fontId="8210" applyFont="true" borderId="8" applyBorder="true" applyNumberFormat="true" numFmtId="167" fillId="22" applyFill="true">
      <alignment horizontal="center" vertical="center"/>
    </xf>
    <xf fontId="8211" applyFont="true" borderId="8" applyBorder="true" applyNumberFormat="true" numFmtId="1" fillId="22" applyFill="true">
      <alignment horizontal="center" vertical="center"/>
    </xf>
    <xf fontId="8212" applyFont="true" borderId="8" applyBorder="true" applyNumberFormat="true" numFmtId="167" fillId="22" applyFill="true">
      <alignment horizontal="center" vertical="center"/>
    </xf>
    <xf fontId="8213" applyFont="true" borderId="8" applyBorder="true" applyNumberFormat="true" numFmtId="167" fillId="22" applyFill="true">
      <alignment horizontal="center" vertical="center"/>
    </xf>
    <xf fontId="8214" applyFont="true" borderId="8" applyBorder="true" applyNumberFormat="true" numFmtId="1" fillId="22" applyFill="true">
      <alignment horizontal="center" vertical="center"/>
    </xf>
    <xf fontId="8215" applyFont="true" borderId="8" applyBorder="true" applyNumberFormat="true" numFmtId="1" fillId="22" applyFill="true">
      <alignment horizontal="center" vertical="center"/>
    </xf>
    <xf fontId="8216" applyFont="true" borderId="8" applyBorder="true" applyNumberFormat="true" numFmtId="1" fillId="22" applyFill="true">
      <alignment horizontal="center" vertical="center"/>
    </xf>
    <xf fontId="8217" applyFont="true" borderId="8" applyBorder="true" applyNumberFormat="true" numFmtId="167" fillId="22" applyFill="true">
      <alignment horizontal="center" vertical="center"/>
    </xf>
    <xf fontId="8218" applyFont="true" borderId="8" applyBorder="true" applyNumberFormat="true" numFmtId="166" fillId="22" applyFill="true">
      <alignment horizontal="center" vertical="center"/>
    </xf>
    <xf fontId="8219" applyFont="true" borderId="8" applyBorder="true" applyNumberFormat="true" numFmtId="166" fillId="22" applyFill="true">
      <alignment horizontal="center" vertical="center"/>
    </xf>
    <xf fontId="8220" applyFont="true" borderId="8" applyBorder="true" applyNumberFormat="true" numFmtId="1" fillId="22" applyFill="true">
      <alignment horizontal="center" vertical="center"/>
    </xf>
    <xf fontId="8221" applyFont="true" borderId="8" applyBorder="true" applyNumberFormat="true" numFmtId="1" fillId="22" applyFill="true">
      <alignment horizontal="center" vertical="center"/>
    </xf>
    <xf fontId="8222" applyFont="true" borderId="8" applyBorder="true" applyNumberFormat="true" numFmtId="1" fillId="22" applyFill="true">
      <alignment horizontal="center" vertical="center"/>
    </xf>
    <xf fontId="8223" applyFont="true" borderId="8" applyBorder="true" applyNumberFormat="true" numFmtId="167" fillId="22" applyFill="true">
      <alignment horizontal="center" vertical="center"/>
    </xf>
    <xf fontId="8224" applyFont="true" borderId="8" applyBorder="true" applyNumberFormat="true" numFmtId="1" fillId="22" applyFill="true">
      <alignment horizontal="center" vertical="center"/>
    </xf>
    <xf fontId="8225" applyFont="true" borderId="8" applyBorder="true" applyNumberFormat="true" numFmtId="167" fillId="22" applyFill="true">
      <alignment horizontal="center" vertical="center"/>
    </xf>
    <xf fontId="8226" applyFont="true" borderId="8" applyBorder="true" applyNumberFormat="true" numFmtId="1" fillId="22" applyFill="true">
      <alignment horizontal="center" vertical="center"/>
    </xf>
    <xf fontId="8227" applyFont="true" borderId="8" applyBorder="true" applyNumberFormat="true" numFmtId="1" fillId="22" applyFill="true">
      <alignment horizontal="center" vertical="center"/>
    </xf>
    <xf fontId="8228" applyFont="true" borderId="8" applyBorder="true" applyNumberFormat="true" numFmtId="1" fillId="22" applyFill="true">
      <alignment horizontal="center" vertical="center"/>
    </xf>
    <xf fontId="8229" applyFont="true" borderId="8" applyBorder="true" applyNumberFormat="true" numFmtId="1" fillId="22" applyFill="true">
      <alignment horizontal="center" vertical="center"/>
    </xf>
    <xf fontId="8230" applyFont="true" borderId="8" applyBorder="true" applyNumberFormat="true" numFmtId="167" fillId="22" applyFill="true">
      <alignment horizontal="center" vertical="center"/>
    </xf>
    <xf fontId="8231" applyFont="true" borderId="8" applyBorder="true" applyNumberFormat="true" numFmtId="1" fillId="22" applyFill="true">
      <alignment horizontal="center" vertical="center"/>
    </xf>
    <xf fontId="8232" applyFont="true" borderId="8" applyBorder="true" applyNumberFormat="true" numFmtId="167" fillId="22" applyFill="true">
      <alignment horizontal="center" vertical="center"/>
    </xf>
    <xf fontId="8233" applyFont="true" borderId="8" applyBorder="true" applyNumberFormat="true" numFmtId="1" fillId="22" applyFill="true">
      <alignment horizontal="center" vertical="center"/>
    </xf>
    <xf fontId="8234" applyFont="true" borderId="8" applyBorder="true" applyNumberFormat="true" numFmtId="167" fillId="22" applyFill="true">
      <alignment horizontal="center" vertical="center"/>
    </xf>
    <xf fontId="8235" applyFont="true" borderId="8" applyBorder="true" applyNumberFormat="true" numFmtId="2" fillId="22" applyFill="true">
      <alignment horizontal="center" vertical="center"/>
    </xf>
    <xf fontId="8236" applyFont="true" borderId="8" applyBorder="true" applyNumberFormat="true" numFmtId="2" fillId="22" applyFill="true">
      <alignment horizontal="center" vertical="center"/>
    </xf>
    <xf fontId="8237" applyFont="true" borderId="8" applyBorder="true" applyNumberFormat="true" numFmtId="2" fillId="22" applyFill="true">
      <alignment horizontal="center" vertical="center"/>
    </xf>
    <xf fontId="8238" applyFont="true" borderId="8" applyBorder="true" applyNumberFormat="true" numFmtId="2" fillId="22" applyFill="true">
      <alignment horizontal="center" vertical="center"/>
    </xf>
    <xf fontId="8239" applyFont="true" borderId="8" applyBorder="true" applyNumberFormat="true" numFmtId="2" fillId="22" applyFill="true">
      <alignment horizontal="center" vertical="center"/>
    </xf>
    <xf fontId="8240" applyFont="true" borderId="8" applyBorder="true" applyNumberFormat="true" numFmtId="2" fillId="22" applyFill="true">
      <alignment horizontal="center" vertical="center"/>
    </xf>
    <xf fontId="8241" applyFont="true" borderId="8" applyBorder="true" applyNumberFormat="true" numFmtId="2" fillId="22" applyFill="true">
      <alignment horizontal="center" vertical="center"/>
    </xf>
    <xf fontId="8242" applyFont="true" borderId="8" applyBorder="true" applyNumberFormat="true" numFmtId="2" fillId="22" applyFill="true">
      <alignment horizontal="center" vertical="center"/>
    </xf>
    <xf fontId="8243" applyFont="true" borderId="8" applyBorder="true" applyNumberFormat="true" numFmtId="2" fillId="22" applyFill="true">
      <alignment horizontal="center" vertical="center"/>
    </xf>
    <xf fontId="8244" applyFont="true" borderId="8" applyBorder="true" applyNumberFormat="true" numFmtId="2" fillId="22" applyFill="true">
      <alignment horizontal="center" vertical="center"/>
    </xf>
    <xf fontId="8245" applyFont="true" borderId="8" applyBorder="true" applyNumberFormat="true" numFmtId="2" fillId="22" applyFill="true">
      <alignment horizontal="center" vertical="center"/>
    </xf>
    <xf fontId="8246" applyFont="true" borderId="8" applyBorder="true" applyNumberFormat="true" numFmtId="2" fillId="22" applyFill="true">
      <alignment horizontal="center" vertical="center"/>
    </xf>
    <xf fontId="8247" applyFont="true" borderId="8" applyBorder="true" applyNumberFormat="true" numFmtId="2" fillId="22" applyFill="true">
      <alignment horizontal="center" vertical="center"/>
    </xf>
    <xf fontId="8248" applyFont="true" borderId="8" applyBorder="true" applyNumberFormat="true" numFmtId="2" fillId="22" applyFill="true">
      <alignment horizontal="center" vertical="center"/>
    </xf>
    <xf fontId="8249" applyFont="true" borderId="8" applyBorder="true" applyNumberFormat="true" numFmtId="2" fillId="22" applyFill="true">
      <alignment horizontal="center" vertical="center"/>
    </xf>
    <xf fontId="8250" applyFont="true" borderId="8" applyBorder="true" applyNumberFormat="true" numFmtId="2" fillId="22" applyFill="true">
      <alignment horizontal="center" vertical="center"/>
    </xf>
    <xf fontId="8251" applyFont="true" borderId="8" applyBorder="true" applyNumberFormat="true" numFmtId="2" fillId="22" applyFill="true">
      <alignment horizontal="center" vertical="center"/>
    </xf>
    <xf fontId="8252" applyFont="true" borderId="8" applyBorder="true" applyNumberFormat="true" numFmtId="2" fillId="22" applyFill="true">
      <alignment horizontal="center" vertical="center"/>
    </xf>
    <xf fontId="8253" applyFont="true" borderId="8" applyBorder="true" applyNumberFormat="true" numFmtId="2" fillId="22" applyFill="true">
      <alignment horizontal="center" vertical="center"/>
    </xf>
    <xf fontId="8254" applyFont="true" borderId="8" applyBorder="true" applyNumberFormat="true" numFmtId="2" fillId="22" applyFill="true">
      <alignment horizontal="center" vertical="center"/>
    </xf>
    <xf fontId="8255" applyFont="true" borderId="8" applyBorder="true" applyNumberFormat="true" numFmtId="2" fillId="22" applyFill="true">
      <alignment horizontal="center" vertical="center"/>
    </xf>
    <xf fontId="8256" applyFont="true" borderId="8" applyBorder="true" applyNumberFormat="true" numFmtId="2" fillId="22" applyFill="true">
      <alignment horizontal="center" vertical="center"/>
    </xf>
    <xf fontId="8257" applyFont="true" borderId="8" applyBorder="true" applyNumberFormat="true" numFmtId="2" fillId="22" applyFill="true">
      <alignment horizontal="center" vertical="center"/>
    </xf>
    <xf fontId="8258" applyFont="true" borderId="8" applyBorder="true" applyNumberFormat="true" numFmtId="2" fillId="22" applyFill="true">
      <alignment horizontal="center" vertical="center"/>
    </xf>
    <xf fontId="8259" applyFont="true" borderId="8" applyBorder="true" applyNumberFormat="true" numFmtId="2" fillId="22" applyFill="true">
      <alignment horizontal="center" vertical="center"/>
    </xf>
    <xf fontId="8260" applyFont="true" borderId="8" applyBorder="true" applyNumberFormat="true" numFmtId="2" fillId="22" applyFill="true">
      <alignment horizontal="center" vertical="center"/>
    </xf>
    <xf fontId="8261" applyFont="true" borderId="8" applyBorder="true" applyNumberFormat="true" numFmtId="2" fillId="22" applyFill="true">
      <alignment horizontal="center" vertical="center"/>
    </xf>
    <xf fontId="8262" applyFont="true" borderId="8" applyBorder="true" applyNumberFormat="true" numFmtId="2" fillId="22" applyFill="true">
      <alignment horizontal="center" vertical="center"/>
    </xf>
    <xf fontId="8263" applyFont="true" borderId="8" applyBorder="true" applyNumberFormat="true" numFmtId="2" fillId="22" applyFill="true">
      <alignment horizontal="center" vertical="center"/>
    </xf>
    <xf fontId="8264" applyFont="true" borderId="8" applyBorder="true" applyNumberFormat="true" numFmtId="2" fillId="22" applyFill="true">
      <alignment horizontal="center" vertical="center"/>
    </xf>
    <xf fontId="8265" applyFont="true" borderId="8" applyBorder="true" applyNumberFormat="true" numFmtId="2" fillId="22" applyFill="true">
      <alignment horizontal="center" vertical="center"/>
    </xf>
    <xf fontId="8266" applyFont="true" borderId="8" applyBorder="true" applyNumberFormat="true" numFmtId="2" fillId="22" applyFill="true">
      <alignment horizontal="center" vertical="center"/>
    </xf>
    <xf fontId="8267" applyFont="true" borderId="8" applyBorder="true" applyNumberFormat="true" numFmtId="2" fillId="22" applyFill="true">
      <alignment horizontal="center" vertical="center"/>
    </xf>
    <xf fontId="8268" applyFont="true" borderId="8" applyBorder="true" applyNumberFormat="true" numFmtId="2" fillId="22" applyFill="true">
      <alignment horizontal="center" vertical="center"/>
    </xf>
    <xf fontId="8269" applyFont="true" borderId="8" applyBorder="true" applyNumberFormat="true" numFmtId="165" fillId="19" applyFill="true">
      <alignment horizontal="left" vertical="center"/>
    </xf>
    <xf fontId="8270" applyFont="true" borderId="8" applyBorder="true" applyNumberFormat="true" numFmtId="165" fillId="22" applyFill="true">
      <alignment horizontal="center" vertical="center"/>
    </xf>
    <xf fontId="8271" applyFont="true" borderId="8" applyBorder="true" applyNumberFormat="true" numFmtId="166" fillId="22" applyFill="true">
      <alignment horizontal="center" vertical="center"/>
    </xf>
    <xf fontId="8272" applyFont="true" borderId="8" applyBorder="true" applyNumberFormat="true" numFmtId="1" fillId="22" applyFill="true">
      <alignment horizontal="center" vertical="center"/>
    </xf>
    <xf fontId="8273" applyFont="true" borderId="8" applyBorder="true" applyNumberFormat="true" numFmtId="1" fillId="22" applyFill="true">
      <alignment horizontal="center" vertical="center"/>
    </xf>
    <xf fontId="8274" applyFont="true" borderId="8" applyBorder="true" applyNumberFormat="true" numFmtId="1" fillId="22" applyFill="true">
      <alignment horizontal="center" vertical="center"/>
    </xf>
    <xf fontId="8275" applyFont="true" borderId="8" applyBorder="true" applyNumberFormat="true" numFmtId="1" fillId="22" applyFill="true">
      <alignment horizontal="center" vertical="center"/>
    </xf>
    <xf fontId="8276" applyFont="true" borderId="8" applyBorder="true" applyNumberFormat="true" numFmtId="1" fillId="22" applyFill="true">
      <alignment horizontal="center" vertical="center"/>
    </xf>
    <xf fontId="8277" applyFont="true" borderId="8" applyBorder="true" applyNumberFormat="true" numFmtId="1" fillId="22" applyFill="true">
      <alignment horizontal="center" vertical="center"/>
    </xf>
    <xf fontId="8278" applyFont="true" borderId="8" applyBorder="true" applyNumberFormat="true" numFmtId="1" fillId="22" applyFill="true">
      <alignment horizontal="center" vertical="center"/>
    </xf>
    <xf fontId="8279" applyFont="true" borderId="8" applyBorder="true" applyNumberFormat="true" numFmtId="165" fillId="22" applyFill="true">
      <alignment horizontal="center" vertical="center"/>
    </xf>
    <xf fontId="8280" applyFont="true" borderId="8" applyBorder="true" applyNumberFormat="true" numFmtId="165" fillId="22" applyFill="true">
      <alignment horizontal="center" vertical="center"/>
    </xf>
    <xf fontId="8281" applyFont="true" borderId="8" applyBorder="true" applyNumberFormat="true" numFmtId="1" fillId="22" applyFill="true">
      <alignment horizontal="center" vertical="center"/>
    </xf>
    <xf fontId="8282" applyFont="true" borderId="8" applyBorder="true" applyNumberFormat="true" numFmtId="1" fillId="22" applyFill="true">
      <alignment horizontal="center" vertical="center"/>
    </xf>
    <xf fontId="8283" applyFont="true" borderId="8" applyBorder="true" applyNumberFormat="true" numFmtId="1" fillId="22" applyFill="true">
      <alignment horizontal="center" vertical="center"/>
    </xf>
    <xf fontId="8284" applyFont="true" borderId="8" applyBorder="true" applyNumberFormat="true" numFmtId="167" fillId="22" applyFill="true">
      <alignment horizontal="center" vertical="center"/>
    </xf>
    <xf fontId="8285" applyFont="true" borderId="8" applyBorder="true" applyNumberFormat="true" numFmtId="1" fillId="22" applyFill="true">
      <alignment horizontal="center" vertical="center"/>
    </xf>
    <xf fontId="8286" applyFont="true" borderId="8" applyBorder="true" applyNumberFormat="true" numFmtId="167" fillId="22" applyFill="true">
      <alignment horizontal="center" vertical="center"/>
    </xf>
    <xf fontId="8287" applyFont="true" borderId="8" applyBorder="true" applyNumberFormat="true" numFmtId="1" fillId="22" applyFill="true">
      <alignment horizontal="center" vertical="center"/>
    </xf>
    <xf fontId="8288" applyFont="true" borderId="8" applyBorder="true" applyNumberFormat="true" numFmtId="167" fillId="22" applyFill="true">
      <alignment horizontal="center" vertical="center"/>
    </xf>
    <xf fontId="8289" applyFont="true" borderId="8" applyBorder="true" applyNumberFormat="true" numFmtId="1" fillId="22" applyFill="true">
      <alignment horizontal="center" vertical="center"/>
    </xf>
    <xf fontId="8290" applyFont="true" borderId="8" applyBorder="true" applyNumberFormat="true" numFmtId="167" fillId="22" applyFill="true">
      <alignment horizontal="center" vertical="center"/>
    </xf>
    <xf fontId="8291" applyFont="true" borderId="8" applyBorder="true" applyNumberFormat="true" numFmtId="167" fillId="22" applyFill="true">
      <alignment horizontal="center" vertical="center"/>
    </xf>
    <xf fontId="8292" applyFont="true" borderId="8" applyBorder="true" applyNumberFormat="true" numFmtId="1" fillId="22" applyFill="true">
      <alignment horizontal="center" vertical="center"/>
    </xf>
    <xf fontId="8293" applyFont="true" borderId="8" applyBorder="true" applyNumberFormat="true" numFmtId="1" fillId="22" applyFill="true">
      <alignment horizontal="center" vertical="center"/>
    </xf>
    <xf fontId="8294" applyFont="true" borderId="8" applyBorder="true" applyNumberFormat="true" numFmtId="1" fillId="22" applyFill="true">
      <alignment horizontal="center" vertical="center"/>
    </xf>
    <xf fontId="8295" applyFont="true" borderId="8" applyBorder="true" applyNumberFormat="true" numFmtId="167" fillId="22" applyFill="true">
      <alignment horizontal="center" vertical="center"/>
    </xf>
    <xf fontId="8296" applyFont="true" borderId="8" applyBorder="true" applyNumberFormat="true" numFmtId="166" fillId="22" applyFill="true">
      <alignment horizontal="center" vertical="center"/>
    </xf>
    <xf fontId="8297" applyFont="true" borderId="8" applyBorder="true" applyNumberFormat="true" numFmtId="166" fillId="22" applyFill="true">
      <alignment horizontal="center" vertical="center"/>
    </xf>
    <xf fontId="8298" applyFont="true" borderId="8" applyBorder="true" applyNumberFormat="true" numFmtId="1" fillId="22" applyFill="true">
      <alignment horizontal="center" vertical="center"/>
    </xf>
    <xf fontId="8299" applyFont="true" borderId="8" applyBorder="true" applyNumberFormat="true" numFmtId="1" fillId="22" applyFill="true">
      <alignment horizontal="center" vertical="center"/>
    </xf>
    <xf fontId="8300" applyFont="true" borderId="8" applyBorder="true" applyNumberFormat="true" numFmtId="1" fillId="22" applyFill="true">
      <alignment horizontal="center" vertical="center"/>
    </xf>
    <xf fontId="8301" applyFont="true" borderId="8" applyBorder="true" applyNumberFormat="true" numFmtId="167" fillId="22" applyFill="true">
      <alignment horizontal="center" vertical="center"/>
    </xf>
    <xf fontId="8302" applyFont="true" borderId="8" applyBorder="true" applyNumberFormat="true" numFmtId="1" fillId="22" applyFill="true">
      <alignment horizontal="center" vertical="center"/>
    </xf>
    <xf fontId="8303" applyFont="true" borderId="8" applyBorder="true" applyNumberFormat="true" numFmtId="167" fillId="22" applyFill="true">
      <alignment horizontal="center" vertical="center"/>
    </xf>
    <xf fontId="8304" applyFont="true" borderId="8" applyBorder="true" applyNumberFormat="true" numFmtId="1" fillId="22" applyFill="true">
      <alignment horizontal="center" vertical="center"/>
    </xf>
    <xf fontId="8305" applyFont="true" borderId="8" applyBorder="true" applyNumberFormat="true" numFmtId="1" fillId="22" applyFill="true">
      <alignment horizontal="center" vertical="center"/>
    </xf>
    <xf fontId="8306" applyFont="true" borderId="8" applyBorder="true" applyNumberFormat="true" numFmtId="1" fillId="22" applyFill="true">
      <alignment horizontal="center" vertical="center"/>
    </xf>
    <xf fontId="8307" applyFont="true" borderId="8" applyBorder="true" applyNumberFormat="true" numFmtId="1" fillId="22" applyFill="true">
      <alignment horizontal="center" vertical="center"/>
    </xf>
    <xf fontId="8308" applyFont="true" borderId="8" applyBorder="true" applyNumberFormat="true" numFmtId="167" fillId="22" applyFill="true">
      <alignment horizontal="center" vertical="center"/>
    </xf>
    <xf fontId="8309" applyFont="true" borderId="8" applyBorder="true" applyNumberFormat="true" numFmtId="1" fillId="22" applyFill="true">
      <alignment horizontal="center" vertical="center"/>
    </xf>
    <xf fontId="8310" applyFont="true" borderId="8" applyBorder="true" applyNumberFormat="true" numFmtId="167" fillId="22" applyFill="true">
      <alignment horizontal="center" vertical="center"/>
    </xf>
    <xf fontId="8311" applyFont="true" borderId="8" applyBorder="true" applyNumberFormat="true" numFmtId="1" fillId="22" applyFill="true">
      <alignment horizontal="center" vertical="center"/>
    </xf>
    <xf fontId="8312" applyFont="true" borderId="8" applyBorder="true" applyNumberFormat="true" numFmtId="167" fillId="22" applyFill="true">
      <alignment horizontal="center" vertical="center"/>
    </xf>
    <xf fontId="8313" applyFont="true" borderId="8" applyBorder="true" applyNumberFormat="true" numFmtId="2" fillId="22" applyFill="true">
      <alignment horizontal="center" vertical="center"/>
    </xf>
    <xf fontId="8314" applyFont="true" borderId="8" applyBorder="true" applyNumberFormat="true" numFmtId="2" fillId="22" applyFill="true">
      <alignment horizontal="center" vertical="center"/>
    </xf>
    <xf fontId="8315" applyFont="true" borderId="8" applyBorder="true" applyNumberFormat="true" numFmtId="2" fillId="22" applyFill="true">
      <alignment horizontal="center" vertical="center"/>
    </xf>
    <xf fontId="8316" applyFont="true" borderId="8" applyBorder="true" applyNumberFormat="true" numFmtId="2" fillId="22" applyFill="true">
      <alignment horizontal="center" vertical="center"/>
    </xf>
    <xf fontId="8317" applyFont="true" borderId="8" applyBorder="true" applyNumberFormat="true" numFmtId="2" fillId="22" applyFill="true">
      <alignment horizontal="center" vertical="center"/>
    </xf>
    <xf fontId="8318" applyFont="true" borderId="8" applyBorder="true" applyNumberFormat="true" numFmtId="2" fillId="22" applyFill="true">
      <alignment horizontal="center" vertical="center"/>
    </xf>
    <xf fontId="8319" applyFont="true" borderId="8" applyBorder="true" applyNumberFormat="true" numFmtId="2" fillId="22" applyFill="true">
      <alignment horizontal="center" vertical="center"/>
    </xf>
    <xf fontId="8320" applyFont="true" borderId="8" applyBorder="true" applyNumberFormat="true" numFmtId="2" fillId="22" applyFill="true">
      <alignment horizontal="center" vertical="center"/>
    </xf>
    <xf fontId="8321" applyFont="true" borderId="8" applyBorder="true" applyNumberFormat="true" numFmtId="2" fillId="22" applyFill="true">
      <alignment horizontal="center" vertical="center"/>
    </xf>
    <xf fontId="8322" applyFont="true" borderId="8" applyBorder="true" applyNumberFormat="true" numFmtId="2" fillId="22" applyFill="true">
      <alignment horizontal="center" vertical="center"/>
    </xf>
    <xf fontId="8323" applyFont="true" borderId="8" applyBorder="true" applyNumberFormat="true" numFmtId="2" fillId="22" applyFill="true">
      <alignment horizontal="center" vertical="center"/>
    </xf>
    <xf fontId="8324" applyFont="true" borderId="8" applyBorder="true" applyNumberFormat="true" numFmtId="2" fillId="22" applyFill="true">
      <alignment horizontal="center" vertical="center"/>
    </xf>
    <xf fontId="8325" applyFont="true" borderId="8" applyBorder="true" applyNumberFormat="true" numFmtId="2" fillId="22" applyFill="true">
      <alignment horizontal="center" vertical="center"/>
    </xf>
    <xf fontId="8326" applyFont="true" borderId="8" applyBorder="true" applyNumberFormat="true" numFmtId="2" fillId="22" applyFill="true">
      <alignment horizontal="center" vertical="center"/>
    </xf>
    <xf fontId="8327" applyFont="true" borderId="8" applyBorder="true" applyNumberFormat="true" numFmtId="2" fillId="22" applyFill="true">
      <alignment horizontal="center" vertical="center"/>
    </xf>
    <xf fontId="8328" applyFont="true" borderId="8" applyBorder="true" applyNumberFormat="true" numFmtId="2" fillId="22" applyFill="true">
      <alignment horizontal="center" vertical="center"/>
    </xf>
    <xf fontId="8329" applyFont="true" borderId="8" applyBorder="true" applyNumberFormat="true" numFmtId="2" fillId="22" applyFill="true">
      <alignment horizontal="center" vertical="center"/>
    </xf>
    <xf fontId="8330" applyFont="true" borderId="8" applyBorder="true" applyNumberFormat="true" numFmtId="2" fillId="22" applyFill="true">
      <alignment horizontal="center" vertical="center"/>
    </xf>
    <xf fontId="8331" applyFont="true" borderId="8" applyBorder="true" applyNumberFormat="true" numFmtId="2" fillId="22" applyFill="true">
      <alignment horizontal="center" vertical="center"/>
    </xf>
    <xf fontId="8332" applyFont="true" borderId="8" applyBorder="true" applyNumberFormat="true" numFmtId="2" fillId="22" applyFill="true">
      <alignment horizontal="center" vertical="center"/>
    </xf>
    <xf fontId="8333" applyFont="true" borderId="8" applyBorder="true" applyNumberFormat="true" numFmtId="2" fillId="22" applyFill="true">
      <alignment horizontal="center" vertical="center"/>
    </xf>
    <xf fontId="8334" applyFont="true" borderId="8" applyBorder="true" applyNumberFormat="true" numFmtId="2" fillId="22" applyFill="true">
      <alignment horizontal="center" vertical="center"/>
    </xf>
    <xf fontId="8335" applyFont="true" borderId="8" applyBorder="true" applyNumberFormat="true" numFmtId="2" fillId="22" applyFill="true">
      <alignment horizontal="center" vertical="center"/>
    </xf>
    <xf fontId="8336" applyFont="true" borderId="8" applyBorder="true" applyNumberFormat="true" numFmtId="2" fillId="22" applyFill="true">
      <alignment horizontal="center" vertical="center"/>
    </xf>
    <xf fontId="8337" applyFont="true" borderId="8" applyBorder="true" applyNumberFormat="true" numFmtId="2" fillId="22" applyFill="true">
      <alignment horizontal="center" vertical="center"/>
    </xf>
    <xf fontId="8338" applyFont="true" borderId="8" applyBorder="true" applyNumberFormat="true" numFmtId="2" fillId="22" applyFill="true">
      <alignment horizontal="center" vertical="center"/>
    </xf>
    <xf fontId="8339" applyFont="true" borderId="8" applyBorder="true" applyNumberFormat="true" numFmtId="2" fillId="22" applyFill="true">
      <alignment horizontal="center" vertical="center"/>
    </xf>
    <xf fontId="8340" applyFont="true" borderId="8" applyBorder="true" applyNumberFormat="true" numFmtId="2" fillId="22" applyFill="true">
      <alignment horizontal="center" vertical="center"/>
    </xf>
    <xf fontId="8341" applyFont="true" borderId="8" applyBorder="true" applyNumberFormat="true" numFmtId="2" fillId="22" applyFill="true">
      <alignment horizontal="center" vertical="center"/>
    </xf>
    <xf fontId="8342" applyFont="true" borderId="8" applyBorder="true" applyNumberFormat="true" numFmtId="2" fillId="22" applyFill="true">
      <alignment horizontal="center" vertical="center"/>
    </xf>
    <xf fontId="8343" applyFont="true" borderId="8" applyBorder="true" applyNumberFormat="true" numFmtId="2" fillId="22" applyFill="true">
      <alignment horizontal="center" vertical="center"/>
    </xf>
    <xf fontId="8344" applyFont="true" borderId="8" applyBorder="true" applyNumberFormat="true" numFmtId="2" fillId="22" applyFill="true">
      <alignment horizontal="center" vertical="center"/>
    </xf>
    <xf fontId="8345" applyFont="true" borderId="8" applyBorder="true" applyNumberFormat="true" numFmtId="2" fillId="22" applyFill="true">
      <alignment horizontal="center" vertical="center"/>
    </xf>
    <xf fontId="8346" applyFont="true" borderId="8" applyBorder="true" applyNumberFormat="true" numFmtId="2" fillId="22" applyFill="true">
      <alignment horizontal="center" vertical="center"/>
    </xf>
    <xf fontId="8347" applyFont="true" borderId="8" applyBorder="true" applyNumberFormat="true" numFmtId="165" fillId="19" applyFill="true">
      <alignment horizontal="left" vertical="center"/>
    </xf>
    <xf fontId="8348" applyFont="true" borderId="8" applyBorder="true" applyNumberFormat="true" numFmtId="165" fillId="22" applyFill="true">
      <alignment horizontal="center" vertical="center"/>
    </xf>
    <xf fontId="8349" applyFont="true" borderId="8" applyBorder="true" applyNumberFormat="true" numFmtId="166" fillId="22" applyFill="true">
      <alignment horizontal="center" vertical="center"/>
    </xf>
    <xf fontId="8350" applyFont="true" borderId="8" applyBorder="true" applyNumberFormat="true" numFmtId="1" fillId="22" applyFill="true">
      <alignment horizontal="center" vertical="center"/>
    </xf>
    <xf fontId="8351" applyFont="true" borderId="8" applyBorder="true" applyNumberFormat="true" numFmtId="1" fillId="22" applyFill="true">
      <alignment horizontal="center" vertical="center"/>
    </xf>
    <xf fontId="8352" applyFont="true" borderId="8" applyBorder="true" applyNumberFormat="true" numFmtId="1" fillId="22" applyFill="true">
      <alignment horizontal="center" vertical="center"/>
    </xf>
    <xf fontId="8353" applyFont="true" borderId="8" applyBorder="true" applyNumberFormat="true" numFmtId="1" fillId="22" applyFill="true">
      <alignment horizontal="center" vertical="center"/>
    </xf>
    <xf fontId="8354" applyFont="true" borderId="8" applyBorder="true" applyNumberFormat="true" numFmtId="1" fillId="22" applyFill="true">
      <alignment horizontal="center" vertical="center"/>
    </xf>
    <xf fontId="8355" applyFont="true" borderId="8" applyBorder="true" applyNumberFormat="true" numFmtId="1" fillId="22" applyFill="true">
      <alignment horizontal="center" vertical="center"/>
    </xf>
    <xf fontId="8356" applyFont="true" borderId="8" applyBorder="true" applyNumberFormat="true" numFmtId="1" fillId="22" applyFill="true">
      <alignment horizontal="center" vertical="center"/>
    </xf>
    <xf fontId="8357" applyFont="true" borderId="8" applyBorder="true" applyNumberFormat="true" numFmtId="165" fillId="22" applyFill="true">
      <alignment horizontal="center" vertical="center"/>
    </xf>
    <xf fontId="8358" applyFont="true" borderId="8" applyBorder="true" applyNumberFormat="true" numFmtId="165" fillId="22" applyFill="true">
      <alignment horizontal="center" vertical="center"/>
    </xf>
    <xf fontId="8359" applyFont="true" borderId="8" applyBorder="true" applyNumberFormat="true" numFmtId="1" fillId="22" applyFill="true">
      <alignment horizontal="center" vertical="center"/>
    </xf>
    <xf fontId="8360" applyFont="true" borderId="8" applyBorder="true" applyNumberFormat="true" numFmtId="1" fillId="22" applyFill="true">
      <alignment horizontal="center" vertical="center"/>
    </xf>
    <xf fontId="8361" applyFont="true" borderId="8" applyBorder="true" applyNumberFormat="true" numFmtId="1" fillId="22" applyFill="true">
      <alignment horizontal="center" vertical="center"/>
    </xf>
    <xf fontId="8362" applyFont="true" borderId="8" applyBorder="true" applyNumberFormat="true" numFmtId="167" fillId="22" applyFill="true">
      <alignment horizontal="center" vertical="center"/>
    </xf>
    <xf fontId="8363" applyFont="true" borderId="8" applyBorder="true" applyNumberFormat="true" numFmtId="1" fillId="22" applyFill="true">
      <alignment horizontal="center" vertical="center"/>
    </xf>
    <xf fontId="8364" applyFont="true" borderId="8" applyBorder="true" applyNumberFormat="true" numFmtId="167" fillId="22" applyFill="true">
      <alignment horizontal="center" vertical="center"/>
    </xf>
    <xf fontId="8365" applyFont="true" borderId="8" applyBorder="true" applyNumberFormat="true" numFmtId="1" fillId="22" applyFill="true">
      <alignment horizontal="center" vertical="center"/>
    </xf>
    <xf fontId="8366" applyFont="true" borderId="8" applyBorder="true" applyNumberFormat="true" numFmtId="167" fillId="22" applyFill="true">
      <alignment horizontal="center" vertical="center"/>
    </xf>
    <xf fontId="8367" applyFont="true" borderId="8" applyBorder="true" applyNumberFormat="true" numFmtId="1" fillId="22" applyFill="true">
      <alignment horizontal="center" vertical="center"/>
    </xf>
    <xf fontId="8368" applyFont="true" borderId="8" applyBorder="true" applyNumberFormat="true" numFmtId="167" fillId="22" applyFill="true">
      <alignment horizontal="center" vertical="center"/>
    </xf>
    <xf fontId="8369" applyFont="true" borderId="8" applyBorder="true" applyNumberFormat="true" numFmtId="167" fillId="22" applyFill="true">
      <alignment horizontal="center" vertical="center"/>
    </xf>
    <xf fontId="8370" applyFont="true" borderId="8" applyBorder="true" applyNumberFormat="true" numFmtId="1" fillId="22" applyFill="true">
      <alignment horizontal="center" vertical="center"/>
    </xf>
    <xf fontId="8371" applyFont="true" borderId="8" applyBorder="true" applyNumberFormat="true" numFmtId="1" fillId="22" applyFill="true">
      <alignment horizontal="center" vertical="center"/>
    </xf>
    <xf fontId="8372" applyFont="true" borderId="8" applyBorder="true" applyNumberFormat="true" numFmtId="1" fillId="22" applyFill="true">
      <alignment horizontal="center" vertical="center"/>
    </xf>
    <xf fontId="8373" applyFont="true" borderId="8" applyBorder="true" applyNumberFormat="true" numFmtId="167" fillId="22" applyFill="true">
      <alignment horizontal="center" vertical="center"/>
    </xf>
    <xf fontId="8374" applyFont="true" borderId="8" applyBorder="true" applyNumberFormat="true" numFmtId="166" fillId="22" applyFill="true">
      <alignment horizontal="center" vertical="center"/>
    </xf>
    <xf fontId="8375" applyFont="true" borderId="8" applyBorder="true" applyNumberFormat="true" numFmtId="166" fillId="22" applyFill="true">
      <alignment horizontal="center" vertical="center"/>
    </xf>
    <xf fontId="8376" applyFont="true" borderId="8" applyBorder="true" applyNumberFormat="true" numFmtId="1" fillId="22" applyFill="true">
      <alignment horizontal="center" vertical="center"/>
    </xf>
    <xf fontId="8377" applyFont="true" borderId="8" applyBorder="true" applyNumberFormat="true" numFmtId="1" fillId="22" applyFill="true">
      <alignment horizontal="center" vertical="center"/>
    </xf>
    <xf fontId="8378" applyFont="true" borderId="8" applyBorder="true" applyNumberFormat="true" numFmtId="1" fillId="22" applyFill="true">
      <alignment horizontal="center" vertical="center"/>
    </xf>
    <xf fontId="8379" applyFont="true" borderId="8" applyBorder="true" applyNumberFormat="true" numFmtId="167" fillId="22" applyFill="true">
      <alignment horizontal="center" vertical="center"/>
    </xf>
    <xf fontId="8380" applyFont="true" borderId="8" applyBorder="true" applyNumberFormat="true" numFmtId="1" fillId="22" applyFill="true">
      <alignment horizontal="center" vertical="center"/>
    </xf>
    <xf fontId="8381" applyFont="true" borderId="8" applyBorder="true" applyNumberFormat="true" numFmtId="167" fillId="22" applyFill="true">
      <alignment horizontal="center" vertical="center"/>
    </xf>
    <xf fontId="8382" applyFont="true" borderId="8" applyBorder="true" applyNumberFormat="true" numFmtId="1" fillId="22" applyFill="true">
      <alignment horizontal="center" vertical="center"/>
    </xf>
    <xf fontId="8383" applyFont="true" borderId="8" applyBorder="true" applyNumberFormat="true" numFmtId="1" fillId="22" applyFill="true">
      <alignment horizontal="center" vertical="center"/>
    </xf>
    <xf fontId="8384" applyFont="true" borderId="8" applyBorder="true" applyNumberFormat="true" numFmtId="1" fillId="22" applyFill="true">
      <alignment horizontal="center" vertical="center"/>
    </xf>
    <xf fontId="8385" applyFont="true" borderId="8" applyBorder="true" applyNumberFormat="true" numFmtId="1" fillId="22" applyFill="true">
      <alignment horizontal="center" vertical="center"/>
    </xf>
    <xf fontId="8386" applyFont="true" borderId="8" applyBorder="true" applyNumberFormat="true" numFmtId="167" fillId="22" applyFill="true">
      <alignment horizontal="center" vertical="center"/>
    </xf>
    <xf fontId="8387" applyFont="true" borderId="8" applyBorder="true" applyNumberFormat="true" numFmtId="1" fillId="22" applyFill="true">
      <alignment horizontal="center" vertical="center"/>
    </xf>
    <xf fontId="8388" applyFont="true" borderId="8" applyBorder="true" applyNumberFormat="true" numFmtId="167" fillId="22" applyFill="true">
      <alignment horizontal="center" vertical="center"/>
    </xf>
    <xf fontId="8389" applyFont="true" borderId="8" applyBorder="true" applyNumberFormat="true" numFmtId="1" fillId="22" applyFill="true">
      <alignment horizontal="center" vertical="center"/>
    </xf>
    <xf fontId="8390" applyFont="true" borderId="8" applyBorder="true" applyNumberFormat="true" numFmtId="167" fillId="22" applyFill="true">
      <alignment horizontal="center" vertical="center"/>
    </xf>
    <xf fontId="8391" applyFont="true" borderId="8" applyBorder="true" applyNumberFormat="true" numFmtId="2" fillId="22" applyFill="true">
      <alignment horizontal="center" vertical="center"/>
    </xf>
    <xf fontId="8392" applyFont="true" borderId="8" applyBorder="true" applyNumberFormat="true" numFmtId="2" fillId="22" applyFill="true">
      <alignment horizontal="center" vertical="center"/>
    </xf>
    <xf fontId="8393" applyFont="true" borderId="8" applyBorder="true" applyNumberFormat="true" numFmtId="2" fillId="22" applyFill="true">
      <alignment horizontal="center" vertical="center"/>
    </xf>
    <xf fontId="8394" applyFont="true" borderId="8" applyBorder="true" applyNumberFormat="true" numFmtId="2" fillId="22" applyFill="true">
      <alignment horizontal="center" vertical="center"/>
    </xf>
    <xf fontId="8395" applyFont="true" borderId="8" applyBorder="true" applyNumberFormat="true" numFmtId="2" fillId="22" applyFill="true">
      <alignment horizontal="center" vertical="center"/>
    </xf>
    <xf fontId="8396" applyFont="true" borderId="8" applyBorder="true" applyNumberFormat="true" numFmtId="2" fillId="22" applyFill="true">
      <alignment horizontal="center" vertical="center"/>
    </xf>
    <xf fontId="8397" applyFont="true" borderId="8" applyBorder="true" applyNumberFormat="true" numFmtId="2" fillId="22" applyFill="true">
      <alignment horizontal="center" vertical="center"/>
    </xf>
    <xf fontId="8398" applyFont="true" borderId="8" applyBorder="true" applyNumberFormat="true" numFmtId="2" fillId="22" applyFill="true">
      <alignment horizontal="center" vertical="center"/>
    </xf>
    <xf fontId="8399" applyFont="true" borderId="8" applyBorder="true" applyNumberFormat="true" numFmtId="2" fillId="22" applyFill="true">
      <alignment horizontal="center" vertical="center"/>
    </xf>
    <xf fontId="8400" applyFont="true" borderId="8" applyBorder="true" applyNumberFormat="true" numFmtId="2" fillId="22" applyFill="true">
      <alignment horizontal="center" vertical="center"/>
    </xf>
    <xf fontId="8401" applyFont="true" borderId="8" applyBorder="true" applyNumberFormat="true" numFmtId="2" fillId="22" applyFill="true">
      <alignment horizontal="center" vertical="center"/>
    </xf>
    <xf fontId="8402" applyFont="true" borderId="8" applyBorder="true" applyNumberFormat="true" numFmtId="2" fillId="22" applyFill="true">
      <alignment horizontal="center" vertical="center"/>
    </xf>
    <xf fontId="8403" applyFont="true" borderId="8" applyBorder="true" applyNumberFormat="true" numFmtId="2" fillId="22" applyFill="true">
      <alignment horizontal="center" vertical="center"/>
    </xf>
    <xf fontId="8404" applyFont="true" borderId="8" applyBorder="true" applyNumberFormat="true" numFmtId="2" fillId="22" applyFill="true">
      <alignment horizontal="center" vertical="center"/>
    </xf>
    <xf fontId="8405" applyFont="true" borderId="8" applyBorder="true" applyNumberFormat="true" numFmtId="2" fillId="22" applyFill="true">
      <alignment horizontal="center" vertical="center"/>
    </xf>
    <xf fontId="8406" applyFont="true" borderId="8" applyBorder="true" applyNumberFormat="true" numFmtId="2" fillId="22" applyFill="true">
      <alignment horizontal="center" vertical="center"/>
    </xf>
    <xf fontId="8407" applyFont="true" borderId="8" applyBorder="true" applyNumberFormat="true" numFmtId="2" fillId="22" applyFill="true">
      <alignment horizontal="center" vertical="center"/>
    </xf>
    <xf fontId="8408" applyFont="true" borderId="8" applyBorder="true" applyNumberFormat="true" numFmtId="2" fillId="22" applyFill="true">
      <alignment horizontal="center" vertical="center"/>
    </xf>
    <xf fontId="8409" applyFont="true" borderId="8" applyBorder="true" applyNumberFormat="true" numFmtId="2" fillId="22" applyFill="true">
      <alignment horizontal="center" vertical="center"/>
    </xf>
    <xf fontId="8410" applyFont="true" borderId="8" applyBorder="true" applyNumberFormat="true" numFmtId="2" fillId="22" applyFill="true">
      <alignment horizontal="center" vertical="center"/>
    </xf>
    <xf fontId="8411" applyFont="true" borderId="8" applyBorder="true" applyNumberFormat="true" numFmtId="2" fillId="22" applyFill="true">
      <alignment horizontal="center" vertical="center"/>
    </xf>
    <xf fontId="8412" applyFont="true" borderId="8" applyBorder="true" applyNumberFormat="true" numFmtId="2" fillId="22" applyFill="true">
      <alignment horizontal="center" vertical="center"/>
    </xf>
    <xf fontId="8413" applyFont="true" borderId="8" applyBorder="true" applyNumberFormat="true" numFmtId="2" fillId="22" applyFill="true">
      <alignment horizontal="center" vertical="center"/>
    </xf>
    <xf fontId="8414" applyFont="true" borderId="8" applyBorder="true" applyNumberFormat="true" numFmtId="2" fillId="22" applyFill="true">
      <alignment horizontal="center" vertical="center"/>
    </xf>
    <xf fontId="8415" applyFont="true" borderId="8" applyBorder="true" applyNumberFormat="true" numFmtId="2" fillId="22" applyFill="true">
      <alignment horizontal="center" vertical="center"/>
    </xf>
    <xf fontId="8416" applyFont="true" borderId="8" applyBorder="true" applyNumberFormat="true" numFmtId="2" fillId="22" applyFill="true">
      <alignment horizontal="center" vertical="center"/>
    </xf>
    <xf fontId="8417" applyFont="true" borderId="8" applyBorder="true" applyNumberFormat="true" numFmtId="2" fillId="22" applyFill="true">
      <alignment horizontal="center" vertical="center"/>
    </xf>
    <xf fontId="8418" applyFont="true" borderId="8" applyBorder="true" applyNumberFormat="true" numFmtId="2" fillId="22" applyFill="true">
      <alignment horizontal="center" vertical="center"/>
    </xf>
    <xf fontId="8419" applyFont="true" borderId="8" applyBorder="true" applyNumberFormat="true" numFmtId="2" fillId="22" applyFill="true">
      <alignment horizontal="center" vertical="center"/>
    </xf>
    <xf fontId="8420" applyFont="true" borderId="8" applyBorder="true" applyNumberFormat="true" numFmtId="2" fillId="22" applyFill="true">
      <alignment horizontal="center" vertical="center"/>
    </xf>
    <xf fontId="8421" applyFont="true" borderId="8" applyBorder="true" applyNumberFormat="true" numFmtId="2" fillId="22" applyFill="true">
      <alignment horizontal="center" vertical="center"/>
    </xf>
    <xf fontId="8422" applyFont="true" borderId="8" applyBorder="true" applyNumberFormat="true" numFmtId="2" fillId="22" applyFill="true">
      <alignment horizontal="center" vertical="center"/>
    </xf>
    <xf fontId="8423" applyFont="true" borderId="8" applyBorder="true" applyNumberFormat="true" numFmtId="2" fillId="22" applyFill="true">
      <alignment horizontal="center" vertical="center"/>
    </xf>
    <xf fontId="8424" applyFont="true" borderId="8" applyBorder="true" applyNumberFormat="true" numFmtId="2" fillId="22" applyFill="true">
      <alignment horizontal="center" vertical="center"/>
    </xf>
    <xf fontId="8425" applyFont="true" borderId="8" applyBorder="true" applyNumberFormat="true" numFmtId="165" fillId="19" applyFill="true">
      <alignment horizontal="left" vertical="center"/>
    </xf>
    <xf fontId="8426" applyFont="true" borderId="8" applyBorder="true" applyNumberFormat="true" numFmtId="165" fillId="22" applyFill="true">
      <alignment horizontal="center" vertical="center"/>
    </xf>
    <xf fontId="8427" applyFont="true" borderId="8" applyBorder="true" applyNumberFormat="true" numFmtId="166" fillId="22" applyFill="true">
      <alignment horizontal="center" vertical="center"/>
    </xf>
    <xf fontId="8428" applyFont="true" borderId="8" applyBorder="true" applyNumberFormat="true" numFmtId="1" fillId="22" applyFill="true">
      <alignment horizontal="center" vertical="center"/>
    </xf>
    <xf fontId="8429" applyFont="true" borderId="8" applyBorder="true" applyNumberFormat="true" numFmtId="1" fillId="22" applyFill="true">
      <alignment horizontal="center" vertical="center"/>
    </xf>
    <xf fontId="8430" applyFont="true" borderId="8" applyBorder="true" applyNumberFormat="true" numFmtId="1" fillId="22" applyFill="true">
      <alignment horizontal="center" vertical="center"/>
    </xf>
    <xf fontId="8431" applyFont="true" borderId="8" applyBorder="true" applyNumberFormat="true" numFmtId="1" fillId="22" applyFill="true">
      <alignment horizontal="center" vertical="center"/>
    </xf>
    <xf fontId="8432" applyFont="true" borderId="8" applyBorder="true" applyNumberFormat="true" numFmtId="1" fillId="22" applyFill="true">
      <alignment horizontal="center" vertical="center"/>
    </xf>
    <xf fontId="8433" applyFont="true" borderId="8" applyBorder="true" applyNumberFormat="true" numFmtId="1" fillId="22" applyFill="true">
      <alignment horizontal="center" vertical="center"/>
    </xf>
    <xf fontId="8434" applyFont="true" borderId="8" applyBorder="true" applyNumberFormat="true" numFmtId="1" fillId="22" applyFill="true">
      <alignment horizontal="center" vertical="center"/>
    </xf>
    <xf fontId="8435" applyFont="true" borderId="8" applyBorder="true" applyNumberFormat="true" numFmtId="165" fillId="22" applyFill="true">
      <alignment horizontal="center" vertical="center"/>
    </xf>
    <xf fontId="8436" applyFont="true" borderId="8" applyBorder="true" applyNumberFormat="true" numFmtId="165" fillId="22" applyFill="true">
      <alignment horizontal="center" vertical="center"/>
    </xf>
    <xf fontId="8437" applyFont="true" borderId="8" applyBorder="true" applyNumberFormat="true" numFmtId="1" fillId="22" applyFill="true">
      <alignment horizontal="center" vertical="center"/>
    </xf>
    <xf fontId="8438" applyFont="true" borderId="8" applyBorder="true" applyNumberFormat="true" numFmtId="1" fillId="22" applyFill="true">
      <alignment horizontal="center" vertical="center"/>
    </xf>
    <xf fontId="8439" applyFont="true" borderId="8" applyBorder="true" applyNumberFormat="true" numFmtId="1" fillId="22" applyFill="true">
      <alignment horizontal="center" vertical="center"/>
    </xf>
    <xf fontId="8440" applyFont="true" borderId="8" applyBorder="true" applyNumberFormat="true" numFmtId="167" fillId="22" applyFill="true">
      <alignment horizontal="center" vertical="center"/>
    </xf>
    <xf fontId="8441" applyFont="true" borderId="8" applyBorder="true" applyNumberFormat="true" numFmtId="1" fillId="22" applyFill="true">
      <alignment horizontal="center" vertical="center"/>
    </xf>
    <xf fontId="8442" applyFont="true" borderId="8" applyBorder="true" applyNumberFormat="true" numFmtId="167" fillId="22" applyFill="true">
      <alignment horizontal="center" vertical="center"/>
    </xf>
    <xf fontId="8443" applyFont="true" borderId="8" applyBorder="true" applyNumberFormat="true" numFmtId="1" fillId="22" applyFill="true">
      <alignment horizontal="center" vertical="center"/>
    </xf>
    <xf fontId="8444" applyFont="true" borderId="8" applyBorder="true" applyNumberFormat="true" numFmtId="167" fillId="22" applyFill="true">
      <alignment horizontal="center" vertical="center"/>
    </xf>
    <xf fontId="8445" applyFont="true" borderId="8" applyBorder="true" applyNumberFormat="true" numFmtId="1" fillId="22" applyFill="true">
      <alignment horizontal="center" vertical="center"/>
    </xf>
    <xf fontId="8446" applyFont="true" borderId="8" applyBorder="true" applyNumberFormat="true" numFmtId="167" fillId="22" applyFill="true">
      <alignment horizontal="center" vertical="center"/>
    </xf>
    <xf fontId="8447" applyFont="true" borderId="8" applyBorder="true" applyNumberFormat="true" numFmtId="167" fillId="22" applyFill="true">
      <alignment horizontal="center" vertical="center"/>
    </xf>
    <xf fontId="8448" applyFont="true" borderId="8" applyBorder="true" applyNumberFormat="true" numFmtId="1" fillId="22" applyFill="true">
      <alignment horizontal="center" vertical="center"/>
    </xf>
    <xf fontId="8449" applyFont="true" borderId="8" applyBorder="true" applyNumberFormat="true" numFmtId="1" fillId="22" applyFill="true">
      <alignment horizontal="center" vertical="center"/>
    </xf>
    <xf fontId="8450" applyFont="true" borderId="8" applyBorder="true" applyNumberFormat="true" numFmtId="1" fillId="22" applyFill="true">
      <alignment horizontal="center" vertical="center"/>
    </xf>
    <xf fontId="8451" applyFont="true" borderId="8" applyBorder="true" applyNumberFormat="true" numFmtId="167" fillId="22" applyFill="true">
      <alignment horizontal="center" vertical="center"/>
    </xf>
    <xf fontId="8452" applyFont="true" borderId="8" applyBorder="true" applyNumberFormat="true" numFmtId="166" fillId="22" applyFill="true">
      <alignment horizontal="center" vertical="center"/>
    </xf>
    <xf fontId="8453" applyFont="true" borderId="8" applyBorder="true" applyNumberFormat="true" numFmtId="166" fillId="22" applyFill="true">
      <alignment horizontal="center" vertical="center"/>
    </xf>
    <xf fontId="8454" applyFont="true" borderId="8" applyBorder="true" applyNumberFormat="true" numFmtId="1" fillId="22" applyFill="true">
      <alignment horizontal="center" vertical="center"/>
    </xf>
    <xf fontId="8455" applyFont="true" borderId="8" applyBorder="true" applyNumberFormat="true" numFmtId="1" fillId="22" applyFill="true">
      <alignment horizontal="center" vertical="center"/>
    </xf>
    <xf fontId="8456" applyFont="true" borderId="8" applyBorder="true" applyNumberFormat="true" numFmtId="1" fillId="22" applyFill="true">
      <alignment horizontal="center" vertical="center"/>
    </xf>
    <xf fontId="8457" applyFont="true" borderId="8" applyBorder="true" applyNumberFormat="true" numFmtId="167" fillId="22" applyFill="true">
      <alignment horizontal="center" vertical="center"/>
    </xf>
    <xf fontId="8458" applyFont="true" borderId="8" applyBorder="true" applyNumberFormat="true" numFmtId="1" fillId="22" applyFill="true">
      <alignment horizontal="center" vertical="center"/>
    </xf>
    <xf fontId="8459" applyFont="true" borderId="8" applyBorder="true" applyNumberFormat="true" numFmtId="167" fillId="22" applyFill="true">
      <alignment horizontal="center" vertical="center"/>
    </xf>
    <xf fontId="8460" applyFont="true" borderId="8" applyBorder="true" applyNumberFormat="true" numFmtId="1" fillId="22" applyFill="true">
      <alignment horizontal="center" vertical="center"/>
    </xf>
    <xf fontId="8461" applyFont="true" borderId="8" applyBorder="true" applyNumberFormat="true" numFmtId="1" fillId="22" applyFill="true">
      <alignment horizontal="center" vertical="center"/>
    </xf>
    <xf fontId="8462" applyFont="true" borderId="8" applyBorder="true" applyNumberFormat="true" numFmtId="1" fillId="22" applyFill="true">
      <alignment horizontal="center" vertical="center"/>
    </xf>
    <xf fontId="8463" applyFont="true" borderId="8" applyBorder="true" applyNumberFormat="true" numFmtId="1" fillId="22" applyFill="true">
      <alignment horizontal="center" vertical="center"/>
    </xf>
    <xf fontId="8464" applyFont="true" borderId="8" applyBorder="true" applyNumberFormat="true" numFmtId="167" fillId="22" applyFill="true">
      <alignment horizontal="center" vertical="center"/>
    </xf>
    <xf fontId="8465" applyFont="true" borderId="8" applyBorder="true" applyNumberFormat="true" numFmtId="1" fillId="22" applyFill="true">
      <alignment horizontal="center" vertical="center"/>
    </xf>
    <xf fontId="8466" applyFont="true" borderId="8" applyBorder="true" applyNumberFormat="true" numFmtId="167" fillId="22" applyFill="true">
      <alignment horizontal="center" vertical="center"/>
    </xf>
    <xf fontId="8467" applyFont="true" borderId="8" applyBorder="true" applyNumberFormat="true" numFmtId="1" fillId="22" applyFill="true">
      <alignment horizontal="center" vertical="center"/>
    </xf>
    <xf fontId="8468" applyFont="true" borderId="8" applyBorder="true" applyNumberFormat="true" numFmtId="167" fillId="22" applyFill="true">
      <alignment horizontal="center" vertical="center"/>
    </xf>
    <xf fontId="8469" applyFont="true" borderId="8" applyBorder="true" applyNumberFormat="true" numFmtId="2" fillId="22" applyFill="true">
      <alignment horizontal="center" vertical="center"/>
    </xf>
    <xf fontId="8470" applyFont="true" borderId="8" applyBorder="true" applyNumberFormat="true" numFmtId="2" fillId="22" applyFill="true">
      <alignment horizontal="center" vertical="center"/>
    </xf>
    <xf fontId="8471" applyFont="true" borderId="8" applyBorder="true" applyNumberFormat="true" numFmtId="2" fillId="22" applyFill="true">
      <alignment horizontal="center" vertical="center"/>
    </xf>
    <xf fontId="8472" applyFont="true" borderId="8" applyBorder="true" applyNumberFormat="true" numFmtId="2" fillId="22" applyFill="true">
      <alignment horizontal="center" vertical="center"/>
    </xf>
    <xf fontId="8473" applyFont="true" borderId="8" applyBorder="true" applyNumberFormat="true" numFmtId="2" fillId="22" applyFill="true">
      <alignment horizontal="center" vertical="center"/>
    </xf>
    <xf fontId="8474" applyFont="true" borderId="8" applyBorder="true" applyNumberFormat="true" numFmtId="2" fillId="22" applyFill="true">
      <alignment horizontal="center" vertical="center"/>
    </xf>
    <xf fontId="8475" applyFont="true" borderId="8" applyBorder="true" applyNumberFormat="true" numFmtId="2" fillId="22" applyFill="true">
      <alignment horizontal="center" vertical="center"/>
    </xf>
    <xf fontId="8476" applyFont="true" borderId="8" applyBorder="true" applyNumberFormat="true" numFmtId="2" fillId="22" applyFill="true">
      <alignment horizontal="center" vertical="center"/>
    </xf>
    <xf fontId="8477" applyFont="true" borderId="8" applyBorder="true" applyNumberFormat="true" numFmtId="2" fillId="22" applyFill="true">
      <alignment horizontal="center" vertical="center"/>
    </xf>
    <xf fontId="8478" applyFont="true" borderId="8" applyBorder="true" applyNumberFormat="true" numFmtId="2" fillId="22" applyFill="true">
      <alignment horizontal="center" vertical="center"/>
    </xf>
    <xf fontId="8479" applyFont="true" borderId="8" applyBorder="true" applyNumberFormat="true" numFmtId="2" fillId="22" applyFill="true">
      <alignment horizontal="center" vertical="center"/>
    </xf>
    <xf fontId="8480" applyFont="true" borderId="8" applyBorder="true" applyNumberFormat="true" numFmtId="2" fillId="22" applyFill="true">
      <alignment horizontal="center" vertical="center"/>
    </xf>
    <xf fontId="8481" applyFont="true" borderId="8" applyBorder="true" applyNumberFormat="true" numFmtId="2" fillId="22" applyFill="true">
      <alignment horizontal="center" vertical="center"/>
    </xf>
    <xf fontId="8482" applyFont="true" borderId="8" applyBorder="true" applyNumberFormat="true" numFmtId="2" fillId="22" applyFill="true">
      <alignment horizontal="center" vertical="center"/>
    </xf>
    <xf fontId="8483" applyFont="true" borderId="8" applyBorder="true" applyNumberFormat="true" numFmtId="2" fillId="22" applyFill="true">
      <alignment horizontal="center" vertical="center"/>
    </xf>
    <xf fontId="8484" applyFont="true" borderId="8" applyBorder="true" applyNumberFormat="true" numFmtId="2" fillId="22" applyFill="true">
      <alignment horizontal="center" vertical="center"/>
    </xf>
    <xf fontId="8485" applyFont="true" borderId="8" applyBorder="true" applyNumberFormat="true" numFmtId="2" fillId="22" applyFill="true">
      <alignment horizontal="center" vertical="center"/>
    </xf>
    <xf fontId="8486" applyFont="true" borderId="8" applyBorder="true" applyNumberFormat="true" numFmtId="2" fillId="22" applyFill="true">
      <alignment horizontal="center" vertical="center"/>
    </xf>
    <xf fontId="8487" applyFont="true" borderId="8" applyBorder="true" applyNumberFormat="true" numFmtId="2" fillId="22" applyFill="true">
      <alignment horizontal="center" vertical="center"/>
    </xf>
    <xf fontId="8488" applyFont="true" borderId="8" applyBorder="true" applyNumberFormat="true" numFmtId="2" fillId="22" applyFill="true">
      <alignment horizontal="center" vertical="center"/>
    </xf>
    <xf fontId="8489" applyFont="true" borderId="8" applyBorder="true" applyNumberFormat="true" numFmtId="2" fillId="22" applyFill="true">
      <alignment horizontal="center" vertical="center"/>
    </xf>
    <xf fontId="8490" applyFont="true" borderId="8" applyBorder="true" applyNumberFormat="true" numFmtId="2" fillId="22" applyFill="true">
      <alignment horizontal="center" vertical="center"/>
    </xf>
    <xf fontId="8491" applyFont="true" borderId="8" applyBorder="true" applyNumberFormat="true" numFmtId="2" fillId="22" applyFill="true">
      <alignment horizontal="center" vertical="center"/>
    </xf>
    <xf fontId="8492" applyFont="true" borderId="8" applyBorder="true" applyNumberFormat="true" numFmtId="2" fillId="22" applyFill="true">
      <alignment horizontal="center" vertical="center"/>
    </xf>
    <xf fontId="8493" applyFont="true" borderId="8" applyBorder="true" applyNumberFormat="true" numFmtId="2" fillId="22" applyFill="true">
      <alignment horizontal="center" vertical="center"/>
    </xf>
    <xf fontId="8494" applyFont="true" borderId="8" applyBorder="true" applyNumberFormat="true" numFmtId="2" fillId="22" applyFill="true">
      <alignment horizontal="center" vertical="center"/>
    </xf>
    <xf fontId="8495" applyFont="true" borderId="8" applyBorder="true" applyNumberFormat="true" numFmtId="2" fillId="22" applyFill="true">
      <alignment horizontal="center" vertical="center"/>
    </xf>
    <xf fontId="8496" applyFont="true" borderId="8" applyBorder="true" applyNumberFormat="true" numFmtId="2" fillId="22" applyFill="true">
      <alignment horizontal="center" vertical="center"/>
    </xf>
    <xf fontId="8497" applyFont="true" borderId="8" applyBorder="true" applyNumberFormat="true" numFmtId="2" fillId="22" applyFill="true">
      <alignment horizontal="center" vertical="center"/>
    </xf>
    <xf fontId="8498" applyFont="true" borderId="8" applyBorder="true" applyNumberFormat="true" numFmtId="2" fillId="22" applyFill="true">
      <alignment horizontal="center" vertical="center"/>
    </xf>
    <xf fontId="8499" applyFont="true" borderId="8" applyBorder="true" applyNumberFormat="true" numFmtId="2" fillId="22" applyFill="true">
      <alignment horizontal="center" vertical="center"/>
    </xf>
    <xf fontId="8500" applyFont="true" borderId="8" applyBorder="true" applyNumberFormat="true" numFmtId="2" fillId="22" applyFill="true">
      <alignment horizontal="center" vertical="center"/>
    </xf>
    <xf fontId="8501" applyFont="true" borderId="8" applyBorder="true" applyNumberFormat="true" numFmtId="2" fillId="22" applyFill="true">
      <alignment horizontal="center" vertical="center"/>
    </xf>
    <xf fontId="8502" applyFont="true" borderId="8" applyBorder="true" applyNumberFormat="true" numFmtId="2" fillId="22" applyFill="true">
      <alignment horizontal="center" vertical="center"/>
    </xf>
    <xf fontId="8503" applyFont="true" borderId="8" applyBorder="true" applyNumberFormat="true" numFmtId="165" fillId="19" applyFill="true">
      <alignment horizontal="left" vertical="center"/>
    </xf>
    <xf fontId="8504" applyFont="true" borderId="8" applyBorder="true" applyNumberFormat="true" numFmtId="165" fillId="22" applyFill="true">
      <alignment horizontal="center" vertical="center"/>
    </xf>
    <xf fontId="8505" applyFont="true" borderId="8" applyBorder="true" applyNumberFormat="true" numFmtId="166" fillId="22" applyFill="true">
      <alignment horizontal="center" vertical="center"/>
    </xf>
    <xf fontId="8506" applyFont="true" borderId="8" applyBorder="true" applyNumberFormat="true" numFmtId="1" fillId="22" applyFill="true">
      <alignment horizontal="center" vertical="center"/>
    </xf>
    <xf fontId="8507" applyFont="true" borderId="8" applyBorder="true" applyNumberFormat="true" numFmtId="1" fillId="22" applyFill="true">
      <alignment horizontal="center" vertical="center"/>
    </xf>
    <xf fontId="8508" applyFont="true" borderId="8" applyBorder="true" applyNumberFormat="true" numFmtId="1" fillId="22" applyFill="true">
      <alignment horizontal="center" vertical="center"/>
    </xf>
    <xf fontId="8509" applyFont="true" borderId="8" applyBorder="true" applyNumberFormat="true" numFmtId="1" fillId="22" applyFill="true">
      <alignment horizontal="center" vertical="center"/>
    </xf>
    <xf fontId="8510" applyFont="true" borderId="8" applyBorder="true" applyNumberFormat="true" numFmtId="1" fillId="22" applyFill="true">
      <alignment horizontal="center" vertical="center"/>
    </xf>
    <xf fontId="8511" applyFont="true" borderId="8" applyBorder="true" applyNumberFormat="true" numFmtId="1" fillId="22" applyFill="true">
      <alignment horizontal="center" vertical="center"/>
    </xf>
    <xf fontId="8512" applyFont="true" borderId="8" applyBorder="true" applyNumberFormat="true" numFmtId="1" fillId="22" applyFill="true">
      <alignment horizontal="center" vertical="center"/>
    </xf>
    <xf fontId="8513" applyFont="true" borderId="8" applyBorder="true" applyNumberFormat="true" numFmtId="165" fillId="22" applyFill="true">
      <alignment horizontal="center" vertical="center"/>
    </xf>
    <xf fontId="8514" applyFont="true" borderId="8" applyBorder="true" applyNumberFormat="true" numFmtId="165" fillId="22" applyFill="true">
      <alignment horizontal="center" vertical="center"/>
    </xf>
    <xf fontId="8515" applyFont="true" borderId="8" applyBorder="true" applyNumberFormat="true" numFmtId="1" fillId="22" applyFill="true">
      <alignment horizontal="center" vertical="center"/>
    </xf>
    <xf fontId="8516" applyFont="true" borderId="8" applyBorder="true" applyNumberFormat="true" numFmtId="1" fillId="22" applyFill="true">
      <alignment horizontal="center" vertical="center"/>
    </xf>
    <xf fontId="8517" applyFont="true" borderId="8" applyBorder="true" applyNumberFormat="true" numFmtId="1" fillId="22" applyFill="true">
      <alignment horizontal="center" vertical="center"/>
    </xf>
    <xf fontId="8518" applyFont="true" borderId="8" applyBorder="true" applyNumberFormat="true" numFmtId="167" fillId="22" applyFill="true">
      <alignment horizontal="center" vertical="center"/>
    </xf>
    <xf fontId="8519" applyFont="true" borderId="8" applyBorder="true" applyNumberFormat="true" numFmtId="1" fillId="22" applyFill="true">
      <alignment horizontal="center" vertical="center"/>
    </xf>
    <xf fontId="8520" applyFont="true" borderId="8" applyBorder="true" applyNumberFormat="true" numFmtId="167" fillId="22" applyFill="true">
      <alignment horizontal="center" vertical="center"/>
    </xf>
    <xf fontId="8521" applyFont="true" borderId="8" applyBorder="true" applyNumberFormat="true" numFmtId="1" fillId="22" applyFill="true">
      <alignment horizontal="center" vertical="center"/>
    </xf>
    <xf fontId="8522" applyFont="true" borderId="8" applyBorder="true" applyNumberFormat="true" numFmtId="167" fillId="22" applyFill="true">
      <alignment horizontal="center" vertical="center"/>
    </xf>
    <xf fontId="8523" applyFont="true" borderId="8" applyBorder="true" applyNumberFormat="true" numFmtId="1" fillId="22" applyFill="true">
      <alignment horizontal="center" vertical="center"/>
    </xf>
    <xf fontId="8524" applyFont="true" borderId="8" applyBorder="true" applyNumberFormat="true" numFmtId="167" fillId="22" applyFill="true">
      <alignment horizontal="center" vertical="center"/>
    </xf>
    <xf fontId="8525" applyFont="true" borderId="8" applyBorder="true" applyNumberFormat="true" numFmtId="167" fillId="22" applyFill="true">
      <alignment horizontal="center" vertical="center"/>
    </xf>
    <xf fontId="8526" applyFont="true" borderId="8" applyBorder="true" applyNumberFormat="true" numFmtId="1" fillId="22" applyFill="true">
      <alignment horizontal="center" vertical="center"/>
    </xf>
    <xf fontId="8527" applyFont="true" borderId="8" applyBorder="true" applyNumberFormat="true" numFmtId="1" fillId="22" applyFill="true">
      <alignment horizontal="center" vertical="center"/>
    </xf>
    <xf fontId="8528" applyFont="true" borderId="8" applyBorder="true" applyNumberFormat="true" numFmtId="1" fillId="22" applyFill="true">
      <alignment horizontal="center" vertical="center"/>
    </xf>
    <xf fontId="8529" applyFont="true" borderId="8" applyBorder="true" applyNumberFormat="true" numFmtId="167" fillId="22" applyFill="true">
      <alignment horizontal="center" vertical="center"/>
    </xf>
    <xf fontId="8530" applyFont="true" borderId="8" applyBorder="true" applyNumberFormat="true" numFmtId="166" fillId="22" applyFill="true">
      <alignment horizontal="center" vertical="center"/>
    </xf>
    <xf fontId="8531" applyFont="true" borderId="8" applyBorder="true" applyNumberFormat="true" numFmtId="166" fillId="22" applyFill="true">
      <alignment horizontal="center" vertical="center"/>
    </xf>
    <xf fontId="8532" applyFont="true" borderId="8" applyBorder="true" applyNumberFormat="true" numFmtId="1" fillId="22" applyFill="true">
      <alignment horizontal="center" vertical="center"/>
    </xf>
    <xf fontId="8533" applyFont="true" borderId="8" applyBorder="true" applyNumberFormat="true" numFmtId="1" fillId="22" applyFill="true">
      <alignment horizontal="center" vertical="center"/>
    </xf>
    <xf fontId="8534" applyFont="true" borderId="8" applyBorder="true" applyNumberFormat="true" numFmtId="1" fillId="22" applyFill="true">
      <alignment horizontal="center" vertical="center"/>
    </xf>
    <xf fontId="8535" applyFont="true" borderId="8" applyBorder="true" applyNumberFormat="true" numFmtId="167" fillId="22" applyFill="true">
      <alignment horizontal="center" vertical="center"/>
    </xf>
    <xf fontId="8536" applyFont="true" borderId="8" applyBorder="true" applyNumberFormat="true" numFmtId="1" fillId="22" applyFill="true">
      <alignment horizontal="center" vertical="center"/>
    </xf>
    <xf fontId="8537" applyFont="true" borderId="8" applyBorder="true" applyNumberFormat="true" numFmtId="167" fillId="22" applyFill="true">
      <alignment horizontal="center" vertical="center"/>
    </xf>
    <xf fontId="8538" applyFont="true" borderId="8" applyBorder="true" applyNumberFormat="true" numFmtId="1" fillId="22" applyFill="true">
      <alignment horizontal="center" vertical="center"/>
    </xf>
    <xf fontId="8539" applyFont="true" borderId="8" applyBorder="true" applyNumberFormat="true" numFmtId="1" fillId="22" applyFill="true">
      <alignment horizontal="center" vertical="center"/>
    </xf>
    <xf fontId="8540" applyFont="true" borderId="8" applyBorder="true" applyNumberFormat="true" numFmtId="1" fillId="22" applyFill="true">
      <alignment horizontal="center" vertical="center"/>
    </xf>
    <xf fontId="8541" applyFont="true" borderId="8" applyBorder="true" applyNumberFormat="true" numFmtId="1" fillId="22" applyFill="true">
      <alignment horizontal="center" vertical="center"/>
    </xf>
    <xf fontId="8542" applyFont="true" borderId="8" applyBorder="true" applyNumberFormat="true" numFmtId="167" fillId="22" applyFill="true">
      <alignment horizontal="center" vertical="center"/>
    </xf>
    <xf fontId="8543" applyFont="true" borderId="8" applyBorder="true" applyNumberFormat="true" numFmtId="1" fillId="22" applyFill="true">
      <alignment horizontal="center" vertical="center"/>
    </xf>
    <xf fontId="8544" applyFont="true" borderId="8" applyBorder="true" applyNumberFormat="true" numFmtId="167" fillId="22" applyFill="true">
      <alignment horizontal="center" vertical="center"/>
    </xf>
    <xf fontId="8545" applyFont="true" borderId="8" applyBorder="true" applyNumberFormat="true" numFmtId="1" fillId="22" applyFill="true">
      <alignment horizontal="center" vertical="center"/>
    </xf>
    <xf fontId="8546" applyFont="true" borderId="8" applyBorder="true" applyNumberFormat="true" numFmtId="167" fillId="22" applyFill="true">
      <alignment horizontal="center" vertical="center"/>
    </xf>
    <xf fontId="8547" applyFont="true" borderId="8" applyBorder="true" applyNumberFormat="true" numFmtId="2" fillId="22" applyFill="true">
      <alignment horizontal="center" vertical="center"/>
    </xf>
    <xf fontId="8548" applyFont="true" borderId="8" applyBorder="true" applyNumberFormat="true" numFmtId="2" fillId="22" applyFill="true">
      <alignment horizontal="center" vertical="center"/>
    </xf>
    <xf fontId="8549" applyFont="true" borderId="8" applyBorder="true" applyNumberFormat="true" numFmtId="2" fillId="22" applyFill="true">
      <alignment horizontal="center" vertical="center"/>
    </xf>
    <xf fontId="8550" applyFont="true" borderId="8" applyBorder="true" applyNumberFormat="true" numFmtId="2" fillId="22" applyFill="true">
      <alignment horizontal="center" vertical="center"/>
    </xf>
    <xf fontId="8551" applyFont="true" borderId="8" applyBorder="true" applyNumberFormat="true" numFmtId="2" fillId="22" applyFill="true">
      <alignment horizontal="center" vertical="center"/>
    </xf>
    <xf fontId="8552" applyFont="true" borderId="8" applyBorder="true" applyNumberFormat="true" numFmtId="2" fillId="22" applyFill="true">
      <alignment horizontal="center" vertical="center"/>
    </xf>
    <xf fontId="8553" applyFont="true" borderId="8" applyBorder="true" applyNumberFormat="true" numFmtId="2" fillId="22" applyFill="true">
      <alignment horizontal="center" vertical="center"/>
    </xf>
    <xf fontId="8554" applyFont="true" borderId="8" applyBorder="true" applyNumberFormat="true" numFmtId="2" fillId="22" applyFill="true">
      <alignment horizontal="center" vertical="center"/>
    </xf>
    <xf fontId="8555" applyFont="true" borderId="8" applyBorder="true" applyNumberFormat="true" numFmtId="2" fillId="22" applyFill="true">
      <alignment horizontal="center" vertical="center"/>
    </xf>
    <xf fontId="8556" applyFont="true" borderId="8" applyBorder="true" applyNumberFormat="true" numFmtId="2" fillId="22" applyFill="true">
      <alignment horizontal="center" vertical="center"/>
    </xf>
    <xf fontId="8557" applyFont="true" borderId="8" applyBorder="true" applyNumberFormat="true" numFmtId="2" fillId="22" applyFill="true">
      <alignment horizontal="center" vertical="center"/>
    </xf>
    <xf fontId="8558" applyFont="true" borderId="8" applyBorder="true" applyNumberFormat="true" numFmtId="2" fillId="22" applyFill="true">
      <alignment horizontal="center" vertical="center"/>
    </xf>
    <xf fontId="8559" applyFont="true" borderId="8" applyBorder="true" applyNumberFormat="true" numFmtId="2" fillId="22" applyFill="true">
      <alignment horizontal="center" vertical="center"/>
    </xf>
    <xf fontId="8560" applyFont="true" borderId="8" applyBorder="true" applyNumberFormat="true" numFmtId="2" fillId="22" applyFill="true">
      <alignment horizontal="center" vertical="center"/>
    </xf>
    <xf fontId="8561" applyFont="true" borderId="8" applyBorder="true" applyNumberFormat="true" numFmtId="2" fillId="22" applyFill="true">
      <alignment horizontal="center" vertical="center"/>
    </xf>
    <xf fontId="8562" applyFont="true" borderId="8" applyBorder="true" applyNumberFormat="true" numFmtId="2" fillId="22" applyFill="true">
      <alignment horizontal="center" vertical="center"/>
    </xf>
    <xf fontId="8563" applyFont="true" borderId="8" applyBorder="true" applyNumberFormat="true" numFmtId="2" fillId="22" applyFill="true">
      <alignment horizontal="center" vertical="center"/>
    </xf>
    <xf fontId="8564" applyFont="true" borderId="8" applyBorder="true" applyNumberFormat="true" numFmtId="2" fillId="22" applyFill="true">
      <alignment horizontal="center" vertical="center"/>
    </xf>
    <xf fontId="8565" applyFont="true" borderId="8" applyBorder="true" applyNumberFormat="true" numFmtId="2" fillId="22" applyFill="true">
      <alignment horizontal="center" vertical="center"/>
    </xf>
    <xf fontId="8566" applyFont="true" borderId="8" applyBorder="true" applyNumberFormat="true" numFmtId="2" fillId="22" applyFill="true">
      <alignment horizontal="center" vertical="center"/>
    </xf>
    <xf fontId="8567" applyFont="true" borderId="8" applyBorder="true" applyNumberFormat="true" numFmtId="2" fillId="22" applyFill="true">
      <alignment horizontal="center" vertical="center"/>
    </xf>
    <xf fontId="8568" applyFont="true" borderId="8" applyBorder="true" applyNumberFormat="true" numFmtId="2" fillId="22" applyFill="true">
      <alignment horizontal="center" vertical="center"/>
    </xf>
    <xf fontId="8569" applyFont="true" borderId="8" applyBorder="true" applyNumberFormat="true" numFmtId="2" fillId="22" applyFill="true">
      <alignment horizontal="center" vertical="center"/>
    </xf>
    <xf fontId="8570" applyFont="true" borderId="8" applyBorder="true" applyNumberFormat="true" numFmtId="2" fillId="22" applyFill="true">
      <alignment horizontal="center" vertical="center"/>
    </xf>
    <xf fontId="8571" applyFont="true" borderId="8" applyBorder="true" applyNumberFormat="true" numFmtId="2" fillId="22" applyFill="true">
      <alignment horizontal="center" vertical="center"/>
    </xf>
    <xf fontId="8572" applyFont="true" borderId="8" applyBorder="true" applyNumberFormat="true" numFmtId="2" fillId="22" applyFill="true">
      <alignment horizontal="center" vertical="center"/>
    </xf>
    <xf fontId="8573" applyFont="true" borderId="8" applyBorder="true" applyNumberFormat="true" numFmtId="2" fillId="22" applyFill="true">
      <alignment horizontal="center" vertical="center"/>
    </xf>
    <xf fontId="8574" applyFont="true" borderId="8" applyBorder="true" applyNumberFormat="true" numFmtId="2" fillId="22" applyFill="true">
      <alignment horizontal="center" vertical="center"/>
    </xf>
    <xf fontId="8575" applyFont="true" borderId="8" applyBorder="true" applyNumberFormat="true" numFmtId="2" fillId="22" applyFill="true">
      <alignment horizontal="center" vertical="center"/>
    </xf>
    <xf fontId="8576" applyFont="true" borderId="8" applyBorder="true" applyNumberFormat="true" numFmtId="2" fillId="22" applyFill="true">
      <alignment horizontal="center" vertical="center"/>
    </xf>
    <xf fontId="8577" applyFont="true" borderId="8" applyBorder="true" applyNumberFormat="true" numFmtId="2" fillId="22" applyFill="true">
      <alignment horizontal="center" vertical="center"/>
    </xf>
    <xf fontId="8578" applyFont="true" borderId="8" applyBorder="true" applyNumberFormat="true" numFmtId="2" fillId="22" applyFill="true">
      <alignment horizontal="center" vertical="center"/>
    </xf>
    <xf fontId="8579" applyFont="true" borderId="8" applyBorder="true" applyNumberFormat="true" numFmtId="2" fillId="22" applyFill="true">
      <alignment horizontal="center" vertical="center"/>
    </xf>
    <xf fontId="8580" applyFont="true" borderId="8" applyBorder="true" applyNumberFormat="true" numFmtId="2" fillId="22" applyFill="true">
      <alignment horizontal="center" vertical="center"/>
    </xf>
    <xf fontId="8581" applyFont="true" borderId="8" applyBorder="true" applyNumberFormat="true" numFmtId="165" fillId="19" applyFill="true">
      <alignment horizontal="left" vertical="center"/>
    </xf>
    <xf fontId="8582" applyFont="true" borderId="8" applyBorder="true" applyNumberFormat="true" numFmtId="165" fillId="22" applyFill="true">
      <alignment horizontal="center" vertical="center"/>
    </xf>
    <xf fontId="8583" applyFont="true" borderId="8" applyBorder="true" applyNumberFormat="true" numFmtId="166" fillId="22" applyFill="true">
      <alignment horizontal="center" vertical="center"/>
    </xf>
    <xf fontId="8584" applyFont="true" borderId="8" applyBorder="true" applyNumberFormat="true" numFmtId="1" fillId="22" applyFill="true">
      <alignment horizontal="center" vertical="center"/>
    </xf>
    <xf fontId="8585" applyFont="true" borderId="8" applyBorder="true" applyNumberFormat="true" numFmtId="1" fillId="22" applyFill="true">
      <alignment horizontal="center" vertical="center"/>
    </xf>
    <xf fontId="8586" applyFont="true" borderId="8" applyBorder="true" applyNumberFormat="true" numFmtId="1" fillId="22" applyFill="true">
      <alignment horizontal="center" vertical="center"/>
    </xf>
    <xf fontId="8587" applyFont="true" borderId="8" applyBorder="true" applyNumberFormat="true" numFmtId="1" fillId="22" applyFill="true">
      <alignment horizontal="center" vertical="center"/>
    </xf>
    <xf fontId="8588" applyFont="true" borderId="8" applyBorder="true" applyNumberFormat="true" numFmtId="1" fillId="22" applyFill="true">
      <alignment horizontal="center" vertical="center"/>
    </xf>
    <xf fontId="8589" applyFont="true" borderId="8" applyBorder="true" applyNumberFormat="true" numFmtId="1" fillId="22" applyFill="true">
      <alignment horizontal="center" vertical="center"/>
    </xf>
    <xf fontId="8590" applyFont="true" borderId="8" applyBorder="true" applyNumberFormat="true" numFmtId="1" fillId="22" applyFill="true">
      <alignment horizontal="center" vertical="center"/>
    </xf>
    <xf fontId="8591" applyFont="true" borderId="8" applyBorder="true" applyNumberFormat="true" numFmtId="165" fillId="22" applyFill="true">
      <alignment horizontal="center" vertical="center"/>
    </xf>
    <xf fontId="8592" applyFont="true" borderId="8" applyBorder="true" applyNumberFormat="true" numFmtId="165" fillId="22" applyFill="true">
      <alignment horizontal="center" vertical="center"/>
    </xf>
    <xf fontId="8593" applyFont="true" borderId="8" applyBorder="true" applyNumberFormat="true" numFmtId="1" fillId="22" applyFill="true">
      <alignment horizontal="center" vertical="center"/>
    </xf>
    <xf fontId="8594" applyFont="true" borderId="8" applyBorder="true" applyNumberFormat="true" numFmtId="1" fillId="22" applyFill="true">
      <alignment horizontal="center" vertical="center"/>
    </xf>
    <xf fontId="8595" applyFont="true" borderId="8" applyBorder="true" applyNumberFormat="true" numFmtId="1" fillId="22" applyFill="true">
      <alignment horizontal="center" vertical="center"/>
    </xf>
    <xf fontId="8596" applyFont="true" borderId="8" applyBorder="true" applyNumberFormat="true" numFmtId="167" fillId="22" applyFill="true">
      <alignment horizontal="center" vertical="center"/>
    </xf>
    <xf fontId="8597" applyFont="true" borderId="8" applyBorder="true" applyNumberFormat="true" numFmtId="1" fillId="22" applyFill="true">
      <alignment horizontal="center" vertical="center"/>
    </xf>
    <xf fontId="8598" applyFont="true" borderId="8" applyBorder="true" applyNumberFormat="true" numFmtId="167" fillId="22" applyFill="true">
      <alignment horizontal="center" vertical="center"/>
    </xf>
    <xf fontId="8599" applyFont="true" borderId="8" applyBorder="true" applyNumberFormat="true" numFmtId="1" fillId="22" applyFill="true">
      <alignment horizontal="center" vertical="center"/>
    </xf>
    <xf fontId="8600" applyFont="true" borderId="8" applyBorder="true" applyNumberFormat="true" numFmtId="167" fillId="22" applyFill="true">
      <alignment horizontal="center" vertical="center"/>
    </xf>
    <xf fontId="8601" applyFont="true" borderId="8" applyBorder="true" applyNumberFormat="true" numFmtId="1" fillId="22" applyFill="true">
      <alignment horizontal="center" vertical="center"/>
    </xf>
    <xf fontId="8602" applyFont="true" borderId="8" applyBorder="true" applyNumberFormat="true" numFmtId="167" fillId="22" applyFill="true">
      <alignment horizontal="center" vertical="center"/>
    </xf>
    <xf fontId="8603" applyFont="true" borderId="8" applyBorder="true" applyNumberFormat="true" numFmtId="167" fillId="22" applyFill="true">
      <alignment horizontal="center" vertical="center"/>
    </xf>
    <xf fontId="8604" applyFont="true" borderId="8" applyBorder="true" applyNumberFormat="true" numFmtId="1" fillId="22" applyFill="true">
      <alignment horizontal="center" vertical="center"/>
    </xf>
    <xf fontId="8605" applyFont="true" borderId="8" applyBorder="true" applyNumberFormat="true" numFmtId="1" fillId="22" applyFill="true">
      <alignment horizontal="center" vertical="center"/>
    </xf>
    <xf fontId="8606" applyFont="true" borderId="8" applyBorder="true" applyNumberFormat="true" numFmtId="1" fillId="22" applyFill="true">
      <alignment horizontal="center" vertical="center"/>
    </xf>
    <xf fontId="8607" applyFont="true" borderId="8" applyBorder="true" applyNumberFormat="true" numFmtId="167" fillId="22" applyFill="true">
      <alignment horizontal="center" vertical="center"/>
    </xf>
    <xf fontId="8608" applyFont="true" borderId="8" applyBorder="true" applyNumberFormat="true" numFmtId="166" fillId="22" applyFill="true">
      <alignment horizontal="center" vertical="center"/>
    </xf>
    <xf fontId="8609" applyFont="true" borderId="8" applyBorder="true" applyNumberFormat="true" numFmtId="166" fillId="22" applyFill="true">
      <alignment horizontal="center" vertical="center"/>
    </xf>
    <xf fontId="8610" applyFont="true" borderId="8" applyBorder="true" applyNumberFormat="true" numFmtId="1" fillId="22" applyFill="true">
      <alignment horizontal="center" vertical="center"/>
    </xf>
    <xf fontId="8611" applyFont="true" borderId="8" applyBorder="true" applyNumberFormat="true" numFmtId="1" fillId="22" applyFill="true">
      <alignment horizontal="center" vertical="center"/>
    </xf>
    <xf fontId="8612" applyFont="true" borderId="8" applyBorder="true" applyNumberFormat="true" numFmtId="1" fillId="22" applyFill="true">
      <alignment horizontal="center" vertical="center"/>
    </xf>
    <xf fontId="8613" applyFont="true" borderId="8" applyBorder="true" applyNumberFormat="true" numFmtId="167" fillId="22" applyFill="true">
      <alignment horizontal="center" vertical="center"/>
    </xf>
    <xf fontId="8614" applyFont="true" borderId="8" applyBorder="true" applyNumberFormat="true" numFmtId="1" fillId="22" applyFill="true">
      <alignment horizontal="center" vertical="center"/>
    </xf>
    <xf fontId="8615" applyFont="true" borderId="8" applyBorder="true" applyNumberFormat="true" numFmtId="167" fillId="22" applyFill="true">
      <alignment horizontal="center" vertical="center"/>
    </xf>
    <xf fontId="8616" applyFont="true" borderId="8" applyBorder="true" applyNumberFormat="true" numFmtId="1" fillId="22" applyFill="true">
      <alignment horizontal="center" vertical="center"/>
    </xf>
    <xf fontId="8617" applyFont="true" borderId="8" applyBorder="true" applyNumberFormat="true" numFmtId="1" fillId="22" applyFill="true">
      <alignment horizontal="center" vertical="center"/>
    </xf>
    <xf fontId="8618" applyFont="true" borderId="8" applyBorder="true" applyNumberFormat="true" numFmtId="1" fillId="22" applyFill="true">
      <alignment horizontal="center" vertical="center"/>
    </xf>
    <xf fontId="8619" applyFont="true" borderId="8" applyBorder="true" applyNumberFormat="true" numFmtId="1" fillId="22" applyFill="true">
      <alignment horizontal="center" vertical="center"/>
    </xf>
    <xf fontId="8620" applyFont="true" borderId="8" applyBorder="true" applyNumberFormat="true" numFmtId="167" fillId="22" applyFill="true">
      <alignment horizontal="center" vertical="center"/>
    </xf>
    <xf fontId="8621" applyFont="true" borderId="8" applyBorder="true" applyNumberFormat="true" numFmtId="1" fillId="22" applyFill="true">
      <alignment horizontal="center" vertical="center"/>
    </xf>
    <xf fontId="8622" applyFont="true" borderId="8" applyBorder="true" applyNumberFormat="true" numFmtId="167" fillId="22" applyFill="true">
      <alignment horizontal="center" vertical="center"/>
    </xf>
    <xf fontId="8623" applyFont="true" borderId="8" applyBorder="true" applyNumberFormat="true" numFmtId="1" fillId="22" applyFill="true">
      <alignment horizontal="center" vertical="center"/>
    </xf>
    <xf fontId="8624" applyFont="true" borderId="8" applyBorder="true" applyNumberFormat="true" numFmtId="167" fillId="22" applyFill="true">
      <alignment horizontal="center" vertical="center"/>
    </xf>
    <xf fontId="8625" applyFont="true" borderId="8" applyBorder="true" applyNumberFormat="true" numFmtId="2" fillId="22" applyFill="true">
      <alignment horizontal="center" vertical="center"/>
    </xf>
    <xf fontId="8626" applyFont="true" borderId="8" applyBorder="true" applyNumberFormat="true" numFmtId="2" fillId="22" applyFill="true">
      <alignment horizontal="center" vertical="center"/>
    </xf>
    <xf fontId="8627" applyFont="true" borderId="8" applyBorder="true" applyNumberFormat="true" numFmtId="2" fillId="22" applyFill="true">
      <alignment horizontal="center" vertical="center"/>
    </xf>
    <xf fontId="8628" applyFont="true" borderId="8" applyBorder="true" applyNumberFormat="true" numFmtId="2" fillId="22" applyFill="true">
      <alignment horizontal="center" vertical="center"/>
    </xf>
    <xf fontId="8629" applyFont="true" borderId="8" applyBorder="true" applyNumberFormat="true" numFmtId="2" fillId="22" applyFill="true">
      <alignment horizontal="center" vertical="center"/>
    </xf>
    <xf fontId="8630" applyFont="true" borderId="8" applyBorder="true" applyNumberFormat="true" numFmtId="2" fillId="22" applyFill="true">
      <alignment horizontal="center" vertical="center"/>
    </xf>
    <xf fontId="8631" applyFont="true" borderId="8" applyBorder="true" applyNumberFormat="true" numFmtId="2" fillId="22" applyFill="true">
      <alignment horizontal="center" vertical="center"/>
    </xf>
    <xf fontId="8632" applyFont="true" borderId="8" applyBorder="true" applyNumberFormat="true" numFmtId="2" fillId="22" applyFill="true">
      <alignment horizontal="center" vertical="center"/>
    </xf>
    <xf fontId="8633" applyFont="true" borderId="8" applyBorder="true" applyNumberFormat="true" numFmtId="2" fillId="22" applyFill="true">
      <alignment horizontal="center" vertical="center"/>
    </xf>
    <xf fontId="8634" applyFont="true" borderId="8" applyBorder="true" applyNumberFormat="true" numFmtId="2" fillId="22" applyFill="true">
      <alignment horizontal="center" vertical="center"/>
    </xf>
    <xf fontId="8635" applyFont="true" borderId="8" applyBorder="true" applyNumberFormat="true" numFmtId="2" fillId="22" applyFill="true">
      <alignment horizontal="center" vertical="center"/>
    </xf>
    <xf fontId="8636" applyFont="true" borderId="8" applyBorder="true" applyNumberFormat="true" numFmtId="2" fillId="22" applyFill="true">
      <alignment horizontal="center" vertical="center"/>
    </xf>
    <xf fontId="8637" applyFont="true" borderId="8" applyBorder="true" applyNumberFormat="true" numFmtId="2" fillId="22" applyFill="true">
      <alignment horizontal="center" vertical="center"/>
    </xf>
    <xf fontId="8638" applyFont="true" borderId="8" applyBorder="true" applyNumberFormat="true" numFmtId="2" fillId="22" applyFill="true">
      <alignment horizontal="center" vertical="center"/>
    </xf>
    <xf fontId="8639" applyFont="true" borderId="8" applyBorder="true" applyNumberFormat="true" numFmtId="2" fillId="22" applyFill="true">
      <alignment horizontal="center" vertical="center"/>
    </xf>
    <xf fontId="8640" applyFont="true" borderId="8" applyBorder="true" applyNumberFormat="true" numFmtId="2" fillId="22" applyFill="true">
      <alignment horizontal="center" vertical="center"/>
    </xf>
    <xf fontId="8641" applyFont="true" borderId="8" applyBorder="true" applyNumberFormat="true" numFmtId="2" fillId="22" applyFill="true">
      <alignment horizontal="center" vertical="center"/>
    </xf>
    <xf fontId="8642" applyFont="true" borderId="8" applyBorder="true" applyNumberFormat="true" numFmtId="2" fillId="22" applyFill="true">
      <alignment horizontal="center" vertical="center"/>
    </xf>
    <xf fontId="8643" applyFont="true" borderId="8" applyBorder="true" applyNumberFormat="true" numFmtId="2" fillId="22" applyFill="true">
      <alignment horizontal="center" vertical="center"/>
    </xf>
    <xf fontId="8644" applyFont="true" borderId="8" applyBorder="true" applyNumberFormat="true" numFmtId="2" fillId="22" applyFill="true">
      <alignment horizontal="center" vertical="center"/>
    </xf>
    <xf fontId="8645" applyFont="true" borderId="8" applyBorder="true" applyNumberFormat="true" numFmtId="2" fillId="22" applyFill="true">
      <alignment horizontal="center" vertical="center"/>
    </xf>
    <xf fontId="8646" applyFont="true" borderId="8" applyBorder="true" applyNumberFormat="true" numFmtId="2" fillId="22" applyFill="true">
      <alignment horizontal="center" vertical="center"/>
    </xf>
    <xf fontId="8647" applyFont="true" borderId="8" applyBorder="true" applyNumberFormat="true" numFmtId="2" fillId="22" applyFill="true">
      <alignment horizontal="center" vertical="center"/>
    </xf>
    <xf fontId="8648" applyFont="true" borderId="8" applyBorder="true" applyNumberFormat="true" numFmtId="2" fillId="22" applyFill="true">
      <alignment horizontal="center" vertical="center"/>
    </xf>
    <xf fontId="8649" applyFont="true" borderId="8" applyBorder="true" applyNumberFormat="true" numFmtId="2" fillId="22" applyFill="true">
      <alignment horizontal="center" vertical="center"/>
    </xf>
    <xf fontId="8650" applyFont="true" borderId="8" applyBorder="true" applyNumberFormat="true" numFmtId="2" fillId="22" applyFill="true">
      <alignment horizontal="center" vertical="center"/>
    </xf>
    <xf fontId="8651" applyFont="true" borderId="8" applyBorder="true" applyNumberFormat="true" numFmtId="2" fillId="22" applyFill="true">
      <alignment horizontal="center" vertical="center"/>
    </xf>
    <xf fontId="8652" applyFont="true" borderId="8" applyBorder="true" applyNumberFormat="true" numFmtId="2" fillId="22" applyFill="true">
      <alignment horizontal="center" vertical="center"/>
    </xf>
    <xf fontId="8653" applyFont="true" borderId="8" applyBorder="true" applyNumberFormat="true" numFmtId="2" fillId="22" applyFill="true">
      <alignment horizontal="center" vertical="center"/>
    </xf>
    <xf fontId="8654" applyFont="true" borderId="8" applyBorder="true" applyNumberFormat="true" numFmtId="2" fillId="22" applyFill="true">
      <alignment horizontal="center" vertical="center"/>
    </xf>
    <xf fontId="8655" applyFont="true" borderId="8" applyBorder="true" applyNumberFormat="true" numFmtId="2" fillId="22" applyFill="true">
      <alignment horizontal="center" vertical="center"/>
    </xf>
    <xf fontId="8656" applyFont="true" borderId="8" applyBorder="true" applyNumberFormat="true" numFmtId="2" fillId="22" applyFill="true">
      <alignment horizontal="center" vertical="center"/>
    </xf>
    <xf fontId="8657" applyFont="true" borderId="8" applyBorder="true" applyNumberFormat="true" numFmtId="2" fillId="22" applyFill="true">
      <alignment horizontal="center" vertical="center"/>
    </xf>
    <xf fontId="8658" applyFont="true" borderId="8" applyBorder="true" applyNumberFormat="true" numFmtId="2" fillId="22" applyFill="true">
      <alignment horizontal="center" vertical="center"/>
    </xf>
    <xf fontId="8659" applyFont="true" borderId="8" applyBorder="true" applyNumberFormat="true" numFmtId="165" fillId="19" applyFill="true">
      <alignment horizontal="left" vertical="center"/>
    </xf>
    <xf fontId="8660" applyFont="true" borderId="8" applyBorder="true" applyNumberFormat="true" numFmtId="165" fillId="22" applyFill="true">
      <alignment horizontal="center" vertical="center"/>
    </xf>
    <xf fontId="8661" applyFont="true" borderId="8" applyBorder="true" applyNumberFormat="true" numFmtId="166" fillId="22" applyFill="true">
      <alignment horizontal="center" vertical="center"/>
    </xf>
    <xf fontId="8662" applyFont="true" borderId="8" applyBorder="true" applyNumberFormat="true" numFmtId="1" fillId="22" applyFill="true">
      <alignment horizontal="center" vertical="center"/>
    </xf>
    <xf fontId="8663" applyFont="true" borderId="8" applyBorder="true" applyNumberFormat="true" numFmtId="1" fillId="22" applyFill="true">
      <alignment horizontal="center" vertical="center"/>
    </xf>
    <xf fontId="8664" applyFont="true" borderId="8" applyBorder="true" applyNumberFormat="true" numFmtId="1" fillId="22" applyFill="true">
      <alignment horizontal="center" vertical="center"/>
    </xf>
    <xf fontId="8665" applyFont="true" borderId="8" applyBorder="true" applyNumberFormat="true" numFmtId="1" fillId="22" applyFill="true">
      <alignment horizontal="center" vertical="center"/>
    </xf>
    <xf fontId="8666" applyFont="true" borderId="8" applyBorder="true" applyNumberFormat="true" numFmtId="1" fillId="22" applyFill="true">
      <alignment horizontal="center" vertical="center"/>
    </xf>
    <xf fontId="8667" applyFont="true" borderId="8" applyBorder="true" applyNumberFormat="true" numFmtId="1" fillId="22" applyFill="true">
      <alignment horizontal="center" vertical="center"/>
    </xf>
    <xf fontId="8668" applyFont="true" borderId="8" applyBorder="true" applyNumberFormat="true" numFmtId="1" fillId="22" applyFill="true">
      <alignment horizontal="center" vertical="center"/>
    </xf>
    <xf fontId="8669" applyFont="true" borderId="8" applyBorder="true" applyNumberFormat="true" numFmtId="165" fillId="22" applyFill="true">
      <alignment horizontal="center" vertical="center"/>
    </xf>
    <xf fontId="8670" applyFont="true" borderId="8" applyBorder="true" applyNumberFormat="true" numFmtId="165" fillId="22" applyFill="true">
      <alignment horizontal="center" vertical="center"/>
    </xf>
    <xf fontId="8671" applyFont="true" borderId="8" applyBorder="true" applyNumberFormat="true" numFmtId="1" fillId="22" applyFill="true">
      <alignment horizontal="center" vertical="center"/>
    </xf>
    <xf fontId="8672" applyFont="true" borderId="8" applyBorder="true" applyNumberFormat="true" numFmtId="1" fillId="22" applyFill="true">
      <alignment horizontal="center" vertical="center"/>
    </xf>
    <xf fontId="8673" applyFont="true" borderId="8" applyBorder="true" applyNumberFormat="true" numFmtId="1" fillId="22" applyFill="true">
      <alignment horizontal="center" vertical="center"/>
    </xf>
    <xf fontId="8674" applyFont="true" borderId="8" applyBorder="true" applyNumberFormat="true" numFmtId="167" fillId="22" applyFill="true">
      <alignment horizontal="center" vertical="center"/>
    </xf>
    <xf fontId="8675" applyFont="true" borderId="8" applyBorder="true" applyNumberFormat="true" numFmtId="1" fillId="22" applyFill="true">
      <alignment horizontal="center" vertical="center"/>
    </xf>
    <xf fontId="8676" applyFont="true" borderId="8" applyBorder="true" applyNumberFormat="true" numFmtId="167" fillId="22" applyFill="true">
      <alignment horizontal="center" vertical="center"/>
    </xf>
    <xf fontId="8677" applyFont="true" borderId="8" applyBorder="true" applyNumberFormat="true" numFmtId="1" fillId="22" applyFill="true">
      <alignment horizontal="center" vertical="center"/>
    </xf>
    <xf fontId="8678" applyFont="true" borderId="8" applyBorder="true" applyNumberFormat="true" numFmtId="167" fillId="22" applyFill="true">
      <alignment horizontal="center" vertical="center"/>
    </xf>
    <xf fontId="8679" applyFont="true" borderId="8" applyBorder="true" applyNumberFormat="true" numFmtId="1" fillId="22" applyFill="true">
      <alignment horizontal="center" vertical="center"/>
    </xf>
    <xf fontId="8680" applyFont="true" borderId="8" applyBorder="true" applyNumberFormat="true" numFmtId="167" fillId="22" applyFill="true">
      <alignment horizontal="center" vertical="center"/>
    </xf>
    <xf fontId="8681" applyFont="true" borderId="8" applyBorder="true" applyNumberFormat="true" numFmtId="167" fillId="22" applyFill="true">
      <alignment horizontal="center" vertical="center"/>
    </xf>
    <xf fontId="8682" applyFont="true" borderId="8" applyBorder="true" applyNumberFormat="true" numFmtId="1" fillId="22" applyFill="true">
      <alignment horizontal="center" vertical="center"/>
    </xf>
    <xf fontId="8683" applyFont="true" borderId="8" applyBorder="true" applyNumberFormat="true" numFmtId="1" fillId="22" applyFill="true">
      <alignment horizontal="center" vertical="center"/>
    </xf>
    <xf fontId="8684" applyFont="true" borderId="8" applyBorder="true" applyNumberFormat="true" numFmtId="1" fillId="22" applyFill="true">
      <alignment horizontal="center" vertical="center"/>
    </xf>
    <xf fontId="8685" applyFont="true" borderId="8" applyBorder="true" applyNumberFormat="true" numFmtId="167" fillId="22" applyFill="true">
      <alignment horizontal="center" vertical="center"/>
    </xf>
    <xf fontId="8686" applyFont="true" borderId="8" applyBorder="true" applyNumberFormat="true" numFmtId="166" fillId="22" applyFill="true">
      <alignment horizontal="center" vertical="center"/>
    </xf>
    <xf fontId="8687" applyFont="true" borderId="8" applyBorder="true" applyNumberFormat="true" numFmtId="166" fillId="22" applyFill="true">
      <alignment horizontal="center" vertical="center"/>
    </xf>
    <xf fontId="8688" applyFont="true" borderId="8" applyBorder="true" applyNumberFormat="true" numFmtId="1" fillId="22" applyFill="true">
      <alignment horizontal="center" vertical="center"/>
    </xf>
    <xf fontId="8689" applyFont="true" borderId="8" applyBorder="true" applyNumberFormat="true" numFmtId="1" fillId="22" applyFill="true">
      <alignment horizontal="center" vertical="center"/>
    </xf>
    <xf fontId="8690" applyFont="true" borderId="8" applyBorder="true" applyNumberFormat="true" numFmtId="1" fillId="22" applyFill="true">
      <alignment horizontal="center" vertical="center"/>
    </xf>
    <xf fontId="8691" applyFont="true" borderId="8" applyBorder="true" applyNumberFormat="true" numFmtId="167" fillId="22" applyFill="true">
      <alignment horizontal="center" vertical="center"/>
    </xf>
    <xf fontId="8692" applyFont="true" borderId="8" applyBorder="true" applyNumberFormat="true" numFmtId="1" fillId="22" applyFill="true">
      <alignment horizontal="center" vertical="center"/>
    </xf>
    <xf fontId="8693" applyFont="true" borderId="8" applyBorder="true" applyNumberFormat="true" numFmtId="167" fillId="22" applyFill="true">
      <alignment horizontal="center" vertical="center"/>
    </xf>
    <xf fontId="8694" applyFont="true" borderId="8" applyBorder="true" applyNumberFormat="true" numFmtId="1" fillId="22" applyFill="true">
      <alignment horizontal="center" vertical="center"/>
    </xf>
    <xf fontId="8695" applyFont="true" borderId="8" applyBorder="true" applyNumberFormat="true" numFmtId="1" fillId="22" applyFill="true">
      <alignment horizontal="center" vertical="center"/>
    </xf>
    <xf fontId="8696" applyFont="true" borderId="8" applyBorder="true" applyNumberFormat="true" numFmtId="1" fillId="22" applyFill="true">
      <alignment horizontal="center" vertical="center"/>
    </xf>
    <xf fontId="8697" applyFont="true" borderId="8" applyBorder="true" applyNumberFormat="true" numFmtId="1" fillId="22" applyFill="true">
      <alignment horizontal="center" vertical="center"/>
    </xf>
    <xf fontId="8698" applyFont="true" borderId="8" applyBorder="true" applyNumberFormat="true" numFmtId="167" fillId="22" applyFill="true">
      <alignment horizontal="center" vertical="center"/>
    </xf>
    <xf fontId="8699" applyFont="true" borderId="8" applyBorder="true" applyNumberFormat="true" numFmtId="1" fillId="22" applyFill="true">
      <alignment horizontal="center" vertical="center"/>
    </xf>
    <xf fontId="8700" applyFont="true" borderId="8" applyBorder="true" applyNumberFormat="true" numFmtId="167" fillId="22" applyFill="true">
      <alignment horizontal="center" vertical="center"/>
    </xf>
    <xf fontId="8701" applyFont="true" borderId="8" applyBorder="true" applyNumberFormat="true" numFmtId="1" fillId="22" applyFill="true">
      <alignment horizontal="center" vertical="center"/>
    </xf>
    <xf fontId="8702" applyFont="true" borderId="8" applyBorder="true" applyNumberFormat="true" numFmtId="167" fillId="22" applyFill="true">
      <alignment horizontal="center" vertical="center"/>
    </xf>
    <xf fontId="8703" applyFont="true" borderId="8" applyBorder="true" applyNumberFormat="true" numFmtId="2" fillId="22" applyFill="true">
      <alignment horizontal="center" vertical="center"/>
    </xf>
    <xf fontId="8704" applyFont="true" borderId="8" applyBorder="true" applyNumberFormat="true" numFmtId="2" fillId="22" applyFill="true">
      <alignment horizontal="center" vertical="center"/>
    </xf>
    <xf fontId="8705" applyFont="true" borderId="8" applyBorder="true" applyNumberFormat="true" numFmtId="2" fillId="22" applyFill="true">
      <alignment horizontal="center" vertical="center"/>
    </xf>
    <xf fontId="8706" applyFont="true" borderId="8" applyBorder="true" applyNumberFormat="true" numFmtId="2" fillId="22" applyFill="true">
      <alignment horizontal="center" vertical="center"/>
    </xf>
    <xf fontId="8707" applyFont="true" borderId="8" applyBorder="true" applyNumberFormat="true" numFmtId="2" fillId="22" applyFill="true">
      <alignment horizontal="center" vertical="center"/>
    </xf>
    <xf fontId="8708" applyFont="true" borderId="8" applyBorder="true" applyNumberFormat="true" numFmtId="2" fillId="22" applyFill="true">
      <alignment horizontal="center" vertical="center"/>
    </xf>
    <xf fontId="8709" applyFont="true" borderId="8" applyBorder="true" applyNumberFormat="true" numFmtId="2" fillId="22" applyFill="true">
      <alignment horizontal="center" vertical="center"/>
    </xf>
    <xf fontId="8710" applyFont="true" borderId="8" applyBorder="true" applyNumberFormat="true" numFmtId="2" fillId="22" applyFill="true">
      <alignment horizontal="center" vertical="center"/>
    </xf>
    <xf fontId="8711" applyFont="true" borderId="8" applyBorder="true" applyNumberFormat="true" numFmtId="2" fillId="22" applyFill="true">
      <alignment horizontal="center" vertical="center"/>
    </xf>
    <xf fontId="8712" applyFont="true" borderId="8" applyBorder="true" applyNumberFormat="true" numFmtId="2" fillId="22" applyFill="true">
      <alignment horizontal="center" vertical="center"/>
    </xf>
    <xf fontId="8713" applyFont="true" borderId="8" applyBorder="true" applyNumberFormat="true" numFmtId="2" fillId="22" applyFill="true">
      <alignment horizontal="center" vertical="center"/>
    </xf>
    <xf fontId="8714" applyFont="true" borderId="8" applyBorder="true" applyNumberFormat="true" numFmtId="2" fillId="22" applyFill="true">
      <alignment horizontal="center" vertical="center"/>
    </xf>
    <xf fontId="8715" applyFont="true" borderId="8" applyBorder="true" applyNumberFormat="true" numFmtId="2" fillId="22" applyFill="true">
      <alignment horizontal="center" vertical="center"/>
    </xf>
    <xf fontId="8716" applyFont="true" borderId="8" applyBorder="true" applyNumberFormat="true" numFmtId="2" fillId="22" applyFill="true">
      <alignment horizontal="center" vertical="center"/>
    </xf>
    <xf fontId="8717" applyFont="true" borderId="8" applyBorder="true" applyNumberFormat="true" numFmtId="2" fillId="22" applyFill="true">
      <alignment horizontal="center" vertical="center"/>
    </xf>
    <xf fontId="8718" applyFont="true" borderId="8" applyBorder="true" applyNumberFormat="true" numFmtId="2" fillId="22" applyFill="true">
      <alignment horizontal="center" vertical="center"/>
    </xf>
    <xf fontId="8719" applyFont="true" borderId="8" applyBorder="true" applyNumberFormat="true" numFmtId="2" fillId="22" applyFill="true">
      <alignment horizontal="center" vertical="center"/>
    </xf>
    <xf fontId="8720" applyFont="true" borderId="8" applyBorder="true" applyNumberFormat="true" numFmtId="2" fillId="22" applyFill="true">
      <alignment horizontal="center" vertical="center"/>
    </xf>
    <xf fontId="8721" applyFont="true" borderId="8" applyBorder="true" applyNumberFormat="true" numFmtId="2" fillId="22" applyFill="true">
      <alignment horizontal="center" vertical="center"/>
    </xf>
    <xf fontId="8722" applyFont="true" borderId="8" applyBorder="true" applyNumberFormat="true" numFmtId="2" fillId="22" applyFill="true">
      <alignment horizontal="center" vertical="center"/>
    </xf>
    <xf fontId="8723" applyFont="true" borderId="8" applyBorder="true" applyNumberFormat="true" numFmtId="2" fillId="22" applyFill="true">
      <alignment horizontal="center" vertical="center"/>
    </xf>
    <xf fontId="8724" applyFont="true" borderId="8" applyBorder="true" applyNumberFormat="true" numFmtId="2" fillId="22" applyFill="true">
      <alignment horizontal="center" vertical="center"/>
    </xf>
    <xf fontId="8725" applyFont="true" borderId="8" applyBorder="true" applyNumberFormat="true" numFmtId="2" fillId="22" applyFill="true">
      <alignment horizontal="center" vertical="center"/>
    </xf>
    <xf fontId="8726" applyFont="true" borderId="8" applyBorder="true" applyNumberFormat="true" numFmtId="2" fillId="22" applyFill="true">
      <alignment horizontal="center" vertical="center"/>
    </xf>
    <xf fontId="8727" applyFont="true" borderId="8" applyBorder="true" applyNumberFormat="true" numFmtId="2" fillId="22" applyFill="true">
      <alignment horizontal="center" vertical="center"/>
    </xf>
    <xf fontId="8728" applyFont="true" borderId="8" applyBorder="true" applyNumberFormat="true" numFmtId="2" fillId="22" applyFill="true">
      <alignment horizontal="center" vertical="center"/>
    </xf>
    <xf fontId="8729" applyFont="true" borderId="8" applyBorder="true" applyNumberFormat="true" numFmtId="2" fillId="22" applyFill="true">
      <alignment horizontal="center" vertical="center"/>
    </xf>
    <xf fontId="8730" applyFont="true" borderId="8" applyBorder="true" applyNumberFormat="true" numFmtId="2" fillId="22" applyFill="true">
      <alignment horizontal="center" vertical="center"/>
    </xf>
    <xf fontId="8731" applyFont="true" borderId="8" applyBorder="true" applyNumberFormat="true" numFmtId="2" fillId="22" applyFill="true">
      <alignment horizontal="center" vertical="center"/>
    </xf>
    <xf fontId="8732" applyFont="true" borderId="8" applyBorder="true" applyNumberFormat="true" numFmtId="2" fillId="22" applyFill="true">
      <alignment horizontal="center" vertical="center"/>
    </xf>
    <xf fontId="8733" applyFont="true" borderId="8" applyBorder="true" applyNumberFormat="true" numFmtId="2" fillId="22" applyFill="true">
      <alignment horizontal="center" vertical="center"/>
    </xf>
    <xf fontId="8734" applyFont="true" borderId="8" applyBorder="true" applyNumberFormat="true" numFmtId="2" fillId="22" applyFill="true">
      <alignment horizontal="center" vertical="center"/>
    </xf>
    <xf fontId="8735" applyFont="true" borderId="8" applyBorder="true" applyNumberFormat="true" numFmtId="2" fillId="22" applyFill="true">
      <alignment horizontal="center" vertical="center"/>
    </xf>
    <xf fontId="8736" applyFont="true" borderId="8" applyBorder="true" applyNumberFormat="true" numFmtId="2" fillId="22" applyFill="true">
      <alignment horizontal="center" vertical="center"/>
    </xf>
    <xf fontId="8737" applyFont="true" borderId="8" applyBorder="true" applyNumberFormat="true" numFmtId="165" fillId="19" applyFill="true">
      <alignment horizontal="left" vertical="center"/>
    </xf>
    <xf fontId="8738" applyFont="true" borderId="8" applyBorder="true" applyNumberFormat="true" numFmtId="165" fillId="22" applyFill="true">
      <alignment horizontal="center" vertical="center"/>
    </xf>
    <xf fontId="8739" applyFont="true" borderId="8" applyBorder="true" applyNumberFormat="true" numFmtId="166" fillId="22" applyFill="true">
      <alignment horizontal="center" vertical="center"/>
    </xf>
    <xf fontId="8740" applyFont="true" borderId="8" applyBorder="true" applyNumberFormat="true" numFmtId="1" fillId="22" applyFill="true">
      <alignment horizontal="center" vertical="center"/>
    </xf>
    <xf fontId="8741" applyFont="true" borderId="8" applyBorder="true" applyNumberFormat="true" numFmtId="1" fillId="22" applyFill="true">
      <alignment horizontal="center" vertical="center"/>
    </xf>
    <xf fontId="8742" applyFont="true" borderId="8" applyBorder="true" applyNumberFormat="true" numFmtId="1" fillId="22" applyFill="true">
      <alignment horizontal="center" vertical="center"/>
    </xf>
    <xf fontId="8743" applyFont="true" borderId="8" applyBorder="true" applyNumberFormat="true" numFmtId="1" fillId="22" applyFill="true">
      <alignment horizontal="center" vertical="center"/>
    </xf>
    <xf fontId="8744" applyFont="true" borderId="8" applyBorder="true" applyNumberFormat="true" numFmtId="1" fillId="22" applyFill="true">
      <alignment horizontal="center" vertical="center"/>
    </xf>
    <xf fontId="8745" applyFont="true" borderId="8" applyBorder="true" applyNumberFormat="true" numFmtId="1" fillId="22" applyFill="true">
      <alignment horizontal="center" vertical="center"/>
    </xf>
    <xf fontId="8746" applyFont="true" borderId="8" applyBorder="true" applyNumberFormat="true" numFmtId="1" fillId="22" applyFill="true">
      <alignment horizontal="center" vertical="center"/>
    </xf>
    <xf fontId="8747" applyFont="true" borderId="8" applyBorder="true" applyNumberFormat="true" numFmtId="165" fillId="22" applyFill="true">
      <alignment horizontal="center" vertical="center"/>
    </xf>
    <xf fontId="8748" applyFont="true" borderId="8" applyBorder="true" applyNumberFormat="true" numFmtId="165" fillId="22" applyFill="true">
      <alignment horizontal="center" vertical="center"/>
    </xf>
    <xf fontId="8749" applyFont="true" borderId="8" applyBorder="true" applyNumberFormat="true" numFmtId="1" fillId="22" applyFill="true">
      <alignment horizontal="center" vertical="center"/>
    </xf>
    <xf fontId="8750" applyFont="true" borderId="8" applyBorder="true" applyNumberFormat="true" numFmtId="1" fillId="22" applyFill="true">
      <alignment horizontal="center" vertical="center"/>
    </xf>
    <xf fontId="8751" applyFont="true" borderId="8" applyBorder="true" applyNumberFormat="true" numFmtId="1" fillId="22" applyFill="true">
      <alignment horizontal="center" vertical="center"/>
    </xf>
    <xf fontId="8752" applyFont="true" borderId="8" applyBorder="true" applyNumberFormat="true" numFmtId="167" fillId="22" applyFill="true">
      <alignment horizontal="center" vertical="center"/>
    </xf>
    <xf fontId="8753" applyFont="true" borderId="8" applyBorder="true" applyNumberFormat="true" numFmtId="1" fillId="22" applyFill="true">
      <alignment horizontal="center" vertical="center"/>
    </xf>
    <xf fontId="8754" applyFont="true" borderId="8" applyBorder="true" applyNumberFormat="true" numFmtId="167" fillId="22" applyFill="true">
      <alignment horizontal="center" vertical="center"/>
    </xf>
    <xf fontId="8755" applyFont="true" borderId="8" applyBorder="true" applyNumberFormat="true" numFmtId="1" fillId="22" applyFill="true">
      <alignment horizontal="center" vertical="center"/>
    </xf>
    <xf fontId="8756" applyFont="true" borderId="8" applyBorder="true" applyNumberFormat="true" numFmtId="167" fillId="22" applyFill="true">
      <alignment horizontal="center" vertical="center"/>
    </xf>
    <xf fontId="8757" applyFont="true" borderId="8" applyBorder="true" applyNumberFormat="true" numFmtId="1" fillId="22" applyFill="true">
      <alignment horizontal="center" vertical="center"/>
    </xf>
    <xf fontId="8758" applyFont="true" borderId="8" applyBorder="true" applyNumberFormat="true" numFmtId="167" fillId="22" applyFill="true">
      <alignment horizontal="center" vertical="center"/>
    </xf>
    <xf fontId="8759" applyFont="true" borderId="8" applyBorder="true" applyNumberFormat="true" numFmtId="167" fillId="22" applyFill="true">
      <alignment horizontal="center" vertical="center"/>
    </xf>
    <xf fontId="8760" applyFont="true" borderId="8" applyBorder="true" applyNumberFormat="true" numFmtId="1" fillId="22" applyFill="true">
      <alignment horizontal="center" vertical="center"/>
    </xf>
    <xf fontId="8761" applyFont="true" borderId="8" applyBorder="true" applyNumberFormat="true" numFmtId="1" fillId="22" applyFill="true">
      <alignment horizontal="center" vertical="center"/>
    </xf>
    <xf fontId="8762" applyFont="true" borderId="8" applyBorder="true" applyNumberFormat="true" numFmtId="1" fillId="22" applyFill="true">
      <alignment horizontal="center" vertical="center"/>
    </xf>
    <xf fontId="8763" applyFont="true" borderId="8" applyBorder="true" applyNumberFormat="true" numFmtId="167" fillId="22" applyFill="true">
      <alignment horizontal="center" vertical="center"/>
    </xf>
    <xf fontId="8764" applyFont="true" borderId="8" applyBorder="true" applyNumberFormat="true" numFmtId="166" fillId="22" applyFill="true">
      <alignment horizontal="center" vertical="center"/>
    </xf>
    <xf fontId="8765" applyFont="true" borderId="8" applyBorder="true" applyNumberFormat="true" numFmtId="166" fillId="22" applyFill="true">
      <alignment horizontal="center" vertical="center"/>
    </xf>
    <xf fontId="8766" applyFont="true" borderId="8" applyBorder="true" applyNumberFormat="true" numFmtId="1" fillId="22" applyFill="true">
      <alignment horizontal="center" vertical="center"/>
    </xf>
    <xf fontId="8767" applyFont="true" borderId="8" applyBorder="true" applyNumberFormat="true" numFmtId="1" fillId="22" applyFill="true">
      <alignment horizontal="center" vertical="center"/>
    </xf>
    <xf fontId="8768" applyFont="true" borderId="8" applyBorder="true" applyNumberFormat="true" numFmtId="1" fillId="22" applyFill="true">
      <alignment horizontal="center" vertical="center"/>
    </xf>
    <xf fontId="8769" applyFont="true" borderId="8" applyBorder="true" applyNumberFormat="true" numFmtId="167" fillId="22" applyFill="true">
      <alignment horizontal="center" vertical="center"/>
    </xf>
    <xf fontId="8770" applyFont="true" borderId="8" applyBorder="true" applyNumberFormat="true" numFmtId="1" fillId="22" applyFill="true">
      <alignment horizontal="center" vertical="center"/>
    </xf>
    <xf fontId="8771" applyFont="true" borderId="8" applyBorder="true" applyNumberFormat="true" numFmtId="167" fillId="22" applyFill="true">
      <alignment horizontal="center" vertical="center"/>
    </xf>
    <xf fontId="8772" applyFont="true" borderId="8" applyBorder="true" applyNumberFormat="true" numFmtId="1" fillId="22" applyFill="true">
      <alignment horizontal="center" vertical="center"/>
    </xf>
    <xf fontId="8773" applyFont="true" borderId="8" applyBorder="true" applyNumberFormat="true" numFmtId="1" fillId="22" applyFill="true">
      <alignment horizontal="center" vertical="center"/>
    </xf>
    <xf fontId="8774" applyFont="true" borderId="8" applyBorder="true" applyNumberFormat="true" numFmtId="1" fillId="22" applyFill="true">
      <alignment horizontal="center" vertical="center"/>
    </xf>
    <xf fontId="8775" applyFont="true" borderId="8" applyBorder="true" applyNumberFormat="true" numFmtId="1" fillId="22" applyFill="true">
      <alignment horizontal="center" vertical="center"/>
    </xf>
    <xf fontId="8776" applyFont="true" borderId="8" applyBorder="true" applyNumberFormat="true" numFmtId="167" fillId="22" applyFill="true">
      <alignment horizontal="center" vertical="center"/>
    </xf>
    <xf fontId="8777" applyFont="true" borderId="8" applyBorder="true" applyNumberFormat="true" numFmtId="1" fillId="22" applyFill="true">
      <alignment horizontal="center" vertical="center"/>
    </xf>
    <xf fontId="8778" applyFont="true" borderId="8" applyBorder="true" applyNumberFormat="true" numFmtId="167" fillId="22" applyFill="true">
      <alignment horizontal="center" vertical="center"/>
    </xf>
    <xf fontId="8779" applyFont="true" borderId="8" applyBorder="true" applyNumberFormat="true" numFmtId="1" fillId="22" applyFill="true">
      <alignment horizontal="center" vertical="center"/>
    </xf>
    <xf fontId="8780" applyFont="true" borderId="8" applyBorder="true" applyNumberFormat="true" numFmtId="167" fillId="22" applyFill="true">
      <alignment horizontal="center" vertical="center"/>
    </xf>
    <xf fontId="8781" applyFont="true" borderId="8" applyBorder="true" applyNumberFormat="true" numFmtId="2" fillId="22" applyFill="true">
      <alignment horizontal="center" vertical="center"/>
    </xf>
    <xf fontId="8782" applyFont="true" borderId="8" applyBorder="true" applyNumberFormat="true" numFmtId="2" fillId="22" applyFill="true">
      <alignment horizontal="center" vertical="center"/>
    </xf>
    <xf fontId="8783" applyFont="true" borderId="8" applyBorder="true" applyNumberFormat="true" numFmtId="2" fillId="22" applyFill="true">
      <alignment horizontal="center" vertical="center"/>
    </xf>
    <xf fontId="8784" applyFont="true" borderId="8" applyBorder="true" applyNumberFormat="true" numFmtId="2" fillId="22" applyFill="true">
      <alignment horizontal="center" vertical="center"/>
    </xf>
    <xf fontId="8785" applyFont="true" borderId="8" applyBorder="true" applyNumberFormat="true" numFmtId="2" fillId="22" applyFill="true">
      <alignment horizontal="center" vertical="center"/>
    </xf>
    <xf fontId="8786" applyFont="true" borderId="8" applyBorder="true" applyNumberFormat="true" numFmtId="2" fillId="22" applyFill="true">
      <alignment horizontal="center" vertical="center"/>
    </xf>
    <xf fontId="8787" applyFont="true" borderId="8" applyBorder="true" applyNumberFormat="true" numFmtId="2" fillId="22" applyFill="true">
      <alignment horizontal="center" vertical="center"/>
    </xf>
    <xf fontId="8788" applyFont="true" borderId="8" applyBorder="true" applyNumberFormat="true" numFmtId="2" fillId="22" applyFill="true">
      <alignment horizontal="center" vertical="center"/>
    </xf>
    <xf fontId="8789" applyFont="true" borderId="8" applyBorder="true" applyNumberFormat="true" numFmtId="2" fillId="22" applyFill="true">
      <alignment horizontal="center" vertical="center"/>
    </xf>
    <xf fontId="8790" applyFont="true" borderId="8" applyBorder="true" applyNumberFormat="true" numFmtId="2" fillId="22" applyFill="true">
      <alignment horizontal="center" vertical="center"/>
    </xf>
    <xf fontId="8791" applyFont="true" borderId="8" applyBorder="true" applyNumberFormat="true" numFmtId="2" fillId="22" applyFill="true">
      <alignment horizontal="center" vertical="center"/>
    </xf>
    <xf fontId="8792" applyFont="true" borderId="8" applyBorder="true" applyNumberFormat="true" numFmtId="2" fillId="22" applyFill="true">
      <alignment horizontal="center" vertical="center"/>
    </xf>
    <xf fontId="8793" applyFont="true" borderId="8" applyBorder="true" applyNumberFormat="true" numFmtId="2" fillId="22" applyFill="true">
      <alignment horizontal="center" vertical="center"/>
    </xf>
    <xf fontId="8794" applyFont="true" borderId="8" applyBorder="true" applyNumberFormat="true" numFmtId="2" fillId="22" applyFill="true">
      <alignment horizontal="center" vertical="center"/>
    </xf>
    <xf fontId="8795" applyFont="true" borderId="8" applyBorder="true" applyNumberFormat="true" numFmtId="2" fillId="22" applyFill="true">
      <alignment horizontal="center" vertical="center"/>
    </xf>
    <xf fontId="8796" applyFont="true" borderId="8" applyBorder="true" applyNumberFormat="true" numFmtId="2" fillId="22" applyFill="true">
      <alignment horizontal="center" vertical="center"/>
    </xf>
    <xf fontId="8797" applyFont="true" borderId="8" applyBorder="true" applyNumberFormat="true" numFmtId="2" fillId="22" applyFill="true">
      <alignment horizontal="center" vertical="center"/>
    </xf>
    <xf fontId="8798" applyFont="true" borderId="8" applyBorder="true" applyNumberFormat="true" numFmtId="2" fillId="22" applyFill="true">
      <alignment horizontal="center" vertical="center"/>
    </xf>
    <xf fontId="8799" applyFont="true" borderId="8" applyBorder="true" applyNumberFormat="true" numFmtId="2" fillId="22" applyFill="true">
      <alignment horizontal="center" vertical="center"/>
    </xf>
    <xf fontId="8800" applyFont="true" borderId="8" applyBorder="true" applyNumberFormat="true" numFmtId="2" fillId="22" applyFill="true">
      <alignment horizontal="center" vertical="center"/>
    </xf>
    <xf fontId="8801" applyFont="true" borderId="8" applyBorder="true" applyNumberFormat="true" numFmtId="2" fillId="22" applyFill="true">
      <alignment horizontal="center" vertical="center"/>
    </xf>
    <xf fontId="8802" applyFont="true" borderId="8" applyBorder="true" applyNumberFormat="true" numFmtId="2" fillId="22" applyFill="true">
      <alignment horizontal="center" vertical="center"/>
    </xf>
    <xf fontId="8803" applyFont="true" borderId="8" applyBorder="true" applyNumberFormat="true" numFmtId="2" fillId="22" applyFill="true">
      <alignment horizontal="center" vertical="center"/>
    </xf>
    <xf fontId="8804" applyFont="true" borderId="8" applyBorder="true" applyNumberFormat="true" numFmtId="2" fillId="22" applyFill="true">
      <alignment horizontal="center" vertical="center"/>
    </xf>
    <xf fontId="8805" applyFont="true" borderId="8" applyBorder="true" applyNumberFormat="true" numFmtId="2" fillId="22" applyFill="true">
      <alignment horizontal="center" vertical="center"/>
    </xf>
    <xf fontId="8806" applyFont="true" borderId="8" applyBorder="true" applyNumberFormat="true" numFmtId="2" fillId="22" applyFill="true">
      <alignment horizontal="center" vertical="center"/>
    </xf>
    <xf fontId="8807" applyFont="true" borderId="8" applyBorder="true" applyNumberFormat="true" numFmtId="2" fillId="22" applyFill="true">
      <alignment horizontal="center" vertical="center"/>
    </xf>
    <xf fontId="8808" applyFont="true" borderId="8" applyBorder="true" applyNumberFormat="true" numFmtId="2" fillId="22" applyFill="true">
      <alignment horizontal="center" vertical="center"/>
    </xf>
    <xf fontId="8809" applyFont="true" borderId="8" applyBorder="true" applyNumberFormat="true" numFmtId="2" fillId="22" applyFill="true">
      <alignment horizontal="center" vertical="center"/>
    </xf>
    <xf fontId="8810" applyFont="true" borderId="8" applyBorder="true" applyNumberFormat="true" numFmtId="2" fillId="22" applyFill="true">
      <alignment horizontal="center" vertical="center"/>
    </xf>
    <xf fontId="8811" applyFont="true" borderId="8" applyBorder="true" applyNumberFormat="true" numFmtId="2" fillId="22" applyFill="true">
      <alignment horizontal="center" vertical="center"/>
    </xf>
    <xf fontId="8812" applyFont="true" borderId="8" applyBorder="true" applyNumberFormat="true" numFmtId="2" fillId="22" applyFill="true">
      <alignment horizontal="center" vertical="center"/>
    </xf>
    <xf fontId="8813" applyFont="true" borderId="8" applyBorder="true" applyNumberFormat="true" numFmtId="2" fillId="22" applyFill="true">
      <alignment horizontal="center" vertical="center"/>
    </xf>
    <xf fontId="8814" applyFont="true" borderId="8" applyBorder="true" applyNumberFormat="true" numFmtId="2" fillId="22" applyFill="true">
      <alignment horizontal="center" vertical="center"/>
    </xf>
    <xf fontId="8815" applyFont="true" borderId="8" applyBorder="true" applyNumberFormat="true" numFmtId="165" fillId="19" applyFill="true">
      <alignment horizontal="left" vertical="center"/>
    </xf>
    <xf fontId="8816" applyFont="true" borderId="8" applyBorder="true" applyNumberFormat="true" numFmtId="165" fillId="22" applyFill="true">
      <alignment horizontal="center" vertical="center"/>
    </xf>
    <xf fontId="8817" applyFont="true" borderId="8" applyBorder="true" applyNumberFormat="true" numFmtId="166" fillId="22" applyFill="true">
      <alignment horizontal="center" vertical="center"/>
    </xf>
    <xf fontId="8818" applyFont="true" borderId="8" applyBorder="true" applyNumberFormat="true" numFmtId="1" fillId="22" applyFill="true">
      <alignment horizontal="center" vertical="center"/>
    </xf>
    <xf fontId="8819" applyFont="true" borderId="8" applyBorder="true" applyNumberFormat="true" numFmtId="1" fillId="22" applyFill="true">
      <alignment horizontal="center" vertical="center"/>
    </xf>
    <xf fontId="8820" applyFont="true" borderId="8" applyBorder="true" applyNumberFormat="true" numFmtId="1" fillId="22" applyFill="true">
      <alignment horizontal="center" vertical="center"/>
    </xf>
    <xf fontId="8821" applyFont="true" borderId="8" applyBorder="true" applyNumberFormat="true" numFmtId="1" fillId="22" applyFill="true">
      <alignment horizontal="center" vertical="center"/>
    </xf>
    <xf fontId="8822" applyFont="true" borderId="8" applyBorder="true" applyNumberFormat="true" numFmtId="1" fillId="22" applyFill="true">
      <alignment horizontal="center" vertical="center"/>
    </xf>
    <xf fontId="8823" applyFont="true" borderId="8" applyBorder="true" applyNumberFormat="true" numFmtId="1" fillId="22" applyFill="true">
      <alignment horizontal="center" vertical="center"/>
    </xf>
    <xf fontId="8824" applyFont="true" borderId="8" applyBorder="true" applyNumberFormat="true" numFmtId="1" fillId="22" applyFill="true">
      <alignment horizontal="center" vertical="center"/>
    </xf>
    <xf fontId="8825" applyFont="true" borderId="8" applyBorder="true" applyNumberFormat="true" numFmtId="165" fillId="22" applyFill="true">
      <alignment horizontal="center" vertical="center"/>
    </xf>
    <xf fontId="8826" applyFont="true" borderId="8" applyBorder="true" applyNumberFormat="true" numFmtId="165" fillId="22" applyFill="true">
      <alignment horizontal="center" vertical="center"/>
    </xf>
    <xf fontId="8827" applyFont="true" borderId="8" applyBorder="true" applyNumberFormat="true" numFmtId="1" fillId="22" applyFill="true">
      <alignment horizontal="center" vertical="center"/>
    </xf>
    <xf fontId="8828" applyFont="true" borderId="8" applyBorder="true" applyNumberFormat="true" numFmtId="1" fillId="22" applyFill="true">
      <alignment horizontal="center" vertical="center"/>
    </xf>
    <xf fontId="8829" applyFont="true" borderId="8" applyBorder="true" applyNumberFormat="true" numFmtId="1" fillId="22" applyFill="true">
      <alignment horizontal="center" vertical="center"/>
    </xf>
    <xf fontId="8830" applyFont="true" borderId="8" applyBorder="true" applyNumberFormat="true" numFmtId="167" fillId="22" applyFill="true">
      <alignment horizontal="center" vertical="center"/>
    </xf>
    <xf fontId="8831" applyFont="true" borderId="8" applyBorder="true" applyNumberFormat="true" numFmtId="1" fillId="22" applyFill="true">
      <alignment horizontal="center" vertical="center"/>
    </xf>
    <xf fontId="8832" applyFont="true" borderId="8" applyBorder="true" applyNumberFormat="true" numFmtId="167" fillId="22" applyFill="true">
      <alignment horizontal="center" vertical="center"/>
    </xf>
    <xf fontId="8833" applyFont="true" borderId="8" applyBorder="true" applyNumberFormat="true" numFmtId="1" fillId="22" applyFill="true">
      <alignment horizontal="center" vertical="center"/>
    </xf>
    <xf fontId="8834" applyFont="true" borderId="8" applyBorder="true" applyNumberFormat="true" numFmtId="167" fillId="22" applyFill="true">
      <alignment horizontal="center" vertical="center"/>
    </xf>
    <xf fontId="8835" applyFont="true" borderId="8" applyBorder="true" applyNumberFormat="true" numFmtId="1" fillId="22" applyFill="true">
      <alignment horizontal="center" vertical="center"/>
    </xf>
    <xf fontId="8836" applyFont="true" borderId="8" applyBorder="true" applyNumberFormat="true" numFmtId="167" fillId="22" applyFill="true">
      <alignment horizontal="center" vertical="center"/>
    </xf>
    <xf fontId="8837" applyFont="true" borderId="8" applyBorder="true" applyNumberFormat="true" numFmtId="167" fillId="22" applyFill="true">
      <alignment horizontal="center" vertical="center"/>
    </xf>
    <xf fontId="8838" applyFont="true" borderId="8" applyBorder="true" applyNumberFormat="true" numFmtId="1" fillId="22" applyFill="true">
      <alignment horizontal="center" vertical="center"/>
    </xf>
    <xf fontId="8839" applyFont="true" borderId="8" applyBorder="true" applyNumberFormat="true" numFmtId="1" fillId="22" applyFill="true">
      <alignment horizontal="center" vertical="center"/>
    </xf>
    <xf fontId="8840" applyFont="true" borderId="8" applyBorder="true" applyNumberFormat="true" numFmtId="1" fillId="22" applyFill="true">
      <alignment horizontal="center" vertical="center"/>
    </xf>
    <xf fontId="8841" applyFont="true" borderId="8" applyBorder="true" applyNumberFormat="true" numFmtId="167" fillId="22" applyFill="true">
      <alignment horizontal="center" vertical="center"/>
    </xf>
    <xf fontId="8842" applyFont="true" borderId="8" applyBorder="true" applyNumberFormat="true" numFmtId="166" fillId="22" applyFill="true">
      <alignment horizontal="center" vertical="center"/>
    </xf>
    <xf fontId="8843" applyFont="true" borderId="8" applyBorder="true" applyNumberFormat="true" numFmtId="166" fillId="22" applyFill="true">
      <alignment horizontal="center" vertical="center"/>
    </xf>
    <xf fontId="8844" applyFont="true" borderId="8" applyBorder="true" applyNumberFormat="true" numFmtId="1" fillId="22" applyFill="true">
      <alignment horizontal="center" vertical="center"/>
    </xf>
    <xf fontId="8845" applyFont="true" borderId="8" applyBorder="true" applyNumberFormat="true" numFmtId="1" fillId="22" applyFill="true">
      <alignment horizontal="center" vertical="center"/>
    </xf>
    <xf fontId="8846" applyFont="true" borderId="8" applyBorder="true" applyNumberFormat="true" numFmtId="1" fillId="22" applyFill="true">
      <alignment horizontal="center" vertical="center"/>
    </xf>
    <xf fontId="8847" applyFont="true" borderId="8" applyBorder="true" applyNumberFormat="true" numFmtId="167" fillId="22" applyFill="true">
      <alignment horizontal="center" vertical="center"/>
    </xf>
    <xf fontId="8848" applyFont="true" borderId="8" applyBorder="true" applyNumberFormat="true" numFmtId="1" fillId="22" applyFill="true">
      <alignment horizontal="center" vertical="center"/>
    </xf>
    <xf fontId="8849" applyFont="true" borderId="8" applyBorder="true" applyNumberFormat="true" numFmtId="167" fillId="22" applyFill="true">
      <alignment horizontal="center" vertical="center"/>
    </xf>
    <xf fontId="8850" applyFont="true" borderId="8" applyBorder="true" applyNumberFormat="true" numFmtId="1" fillId="22" applyFill="true">
      <alignment horizontal="center" vertical="center"/>
    </xf>
    <xf fontId="8851" applyFont="true" borderId="8" applyBorder="true" applyNumberFormat="true" numFmtId="1" fillId="22" applyFill="true">
      <alignment horizontal="center" vertical="center"/>
    </xf>
    <xf fontId="8852" applyFont="true" borderId="8" applyBorder="true" applyNumberFormat="true" numFmtId="1" fillId="22" applyFill="true">
      <alignment horizontal="center" vertical="center"/>
    </xf>
    <xf fontId="8853" applyFont="true" borderId="8" applyBorder="true" applyNumberFormat="true" numFmtId="1" fillId="22" applyFill="true">
      <alignment horizontal="center" vertical="center"/>
    </xf>
    <xf fontId="8854" applyFont="true" borderId="8" applyBorder="true" applyNumberFormat="true" numFmtId="167" fillId="22" applyFill="true">
      <alignment horizontal="center" vertical="center"/>
    </xf>
    <xf fontId="8855" applyFont="true" borderId="8" applyBorder="true" applyNumberFormat="true" numFmtId="1" fillId="22" applyFill="true">
      <alignment horizontal="center" vertical="center"/>
    </xf>
    <xf fontId="8856" applyFont="true" borderId="8" applyBorder="true" applyNumberFormat="true" numFmtId="167" fillId="22" applyFill="true">
      <alignment horizontal="center" vertical="center"/>
    </xf>
    <xf fontId="8857" applyFont="true" borderId="8" applyBorder="true" applyNumberFormat="true" numFmtId="1" fillId="22" applyFill="true">
      <alignment horizontal="center" vertical="center"/>
    </xf>
    <xf fontId="8858" applyFont="true" borderId="8" applyBorder="true" applyNumberFormat="true" numFmtId="167" fillId="22" applyFill="true">
      <alignment horizontal="center" vertical="center"/>
    </xf>
    <xf fontId="8859" applyFont="true" borderId="8" applyBorder="true" applyNumberFormat="true" numFmtId="2" fillId="22" applyFill="true">
      <alignment horizontal="center" vertical="center"/>
    </xf>
    <xf fontId="8860" applyFont="true" borderId="8" applyBorder="true" applyNumberFormat="true" numFmtId="2" fillId="22" applyFill="true">
      <alignment horizontal="center" vertical="center"/>
    </xf>
    <xf fontId="8861" applyFont="true" borderId="8" applyBorder="true" applyNumberFormat="true" numFmtId="2" fillId="22" applyFill="true">
      <alignment horizontal="center" vertical="center"/>
    </xf>
    <xf fontId="8862" applyFont="true" borderId="8" applyBorder="true" applyNumberFormat="true" numFmtId="2" fillId="22" applyFill="true">
      <alignment horizontal="center" vertical="center"/>
    </xf>
    <xf fontId="8863" applyFont="true" borderId="8" applyBorder="true" applyNumberFormat="true" numFmtId="2" fillId="22" applyFill="true">
      <alignment horizontal="center" vertical="center"/>
    </xf>
    <xf fontId="8864" applyFont="true" borderId="8" applyBorder="true" applyNumberFormat="true" numFmtId="2" fillId="22" applyFill="true">
      <alignment horizontal="center" vertical="center"/>
    </xf>
    <xf fontId="8865" applyFont="true" borderId="8" applyBorder="true" applyNumberFormat="true" numFmtId="2" fillId="22" applyFill="true">
      <alignment horizontal="center" vertical="center"/>
    </xf>
    <xf fontId="8866" applyFont="true" borderId="8" applyBorder="true" applyNumberFormat="true" numFmtId="2" fillId="22" applyFill="true">
      <alignment horizontal="center" vertical="center"/>
    </xf>
    <xf fontId="8867" applyFont="true" borderId="8" applyBorder="true" applyNumberFormat="true" numFmtId="2" fillId="22" applyFill="true">
      <alignment horizontal="center" vertical="center"/>
    </xf>
    <xf fontId="8868" applyFont="true" borderId="8" applyBorder="true" applyNumberFormat="true" numFmtId="2" fillId="22" applyFill="true">
      <alignment horizontal="center" vertical="center"/>
    </xf>
    <xf fontId="8869" applyFont="true" borderId="8" applyBorder="true" applyNumberFormat="true" numFmtId="2" fillId="22" applyFill="true">
      <alignment horizontal="center" vertical="center"/>
    </xf>
    <xf fontId="8870" applyFont="true" borderId="8" applyBorder="true" applyNumberFormat="true" numFmtId="2" fillId="22" applyFill="true">
      <alignment horizontal="center" vertical="center"/>
    </xf>
    <xf fontId="8871" applyFont="true" borderId="8" applyBorder="true" applyNumberFormat="true" numFmtId="2" fillId="22" applyFill="true">
      <alignment horizontal="center" vertical="center"/>
    </xf>
    <xf fontId="8872" applyFont="true" borderId="8" applyBorder="true" applyNumberFormat="true" numFmtId="2" fillId="22" applyFill="true">
      <alignment horizontal="center" vertical="center"/>
    </xf>
    <xf fontId="8873" applyFont="true" borderId="8" applyBorder="true" applyNumberFormat="true" numFmtId="2" fillId="22" applyFill="true">
      <alignment horizontal="center" vertical="center"/>
    </xf>
    <xf fontId="8874" applyFont="true" borderId="8" applyBorder="true" applyNumberFormat="true" numFmtId="2" fillId="22" applyFill="true">
      <alignment horizontal="center" vertical="center"/>
    </xf>
    <xf fontId="8875" applyFont="true" borderId="8" applyBorder="true" applyNumberFormat="true" numFmtId="2" fillId="22" applyFill="true">
      <alignment horizontal="center" vertical="center"/>
    </xf>
    <xf fontId="8876" applyFont="true" borderId="8" applyBorder="true" applyNumberFormat="true" numFmtId="2" fillId="22" applyFill="true">
      <alignment horizontal="center" vertical="center"/>
    </xf>
    <xf fontId="8877" applyFont="true" borderId="8" applyBorder="true" applyNumberFormat="true" numFmtId="2" fillId="22" applyFill="true">
      <alignment horizontal="center" vertical="center"/>
    </xf>
    <xf fontId="8878" applyFont="true" borderId="8" applyBorder="true" applyNumberFormat="true" numFmtId="2" fillId="22" applyFill="true">
      <alignment horizontal="center" vertical="center"/>
    </xf>
    <xf fontId="8879" applyFont="true" borderId="8" applyBorder="true" applyNumberFormat="true" numFmtId="2" fillId="22" applyFill="true">
      <alignment horizontal="center" vertical="center"/>
    </xf>
    <xf fontId="8880" applyFont="true" borderId="8" applyBorder="true" applyNumberFormat="true" numFmtId="2" fillId="22" applyFill="true">
      <alignment horizontal="center" vertical="center"/>
    </xf>
    <xf fontId="8881" applyFont="true" borderId="8" applyBorder="true" applyNumberFormat="true" numFmtId="2" fillId="22" applyFill="true">
      <alignment horizontal="center" vertical="center"/>
    </xf>
    <xf fontId="8882" applyFont="true" borderId="8" applyBorder="true" applyNumberFormat="true" numFmtId="2" fillId="22" applyFill="true">
      <alignment horizontal="center" vertical="center"/>
    </xf>
    <xf fontId="8883" applyFont="true" borderId="8" applyBorder="true" applyNumberFormat="true" numFmtId="2" fillId="22" applyFill="true">
      <alignment horizontal="center" vertical="center"/>
    </xf>
    <xf fontId="8884" applyFont="true" borderId="8" applyBorder="true" applyNumberFormat="true" numFmtId="2" fillId="22" applyFill="true">
      <alignment horizontal="center" vertical="center"/>
    </xf>
    <xf fontId="8885" applyFont="true" borderId="8" applyBorder="true" applyNumberFormat="true" numFmtId="2" fillId="22" applyFill="true">
      <alignment horizontal="center" vertical="center"/>
    </xf>
    <xf fontId="8886" applyFont="true" borderId="8" applyBorder="true" applyNumberFormat="true" numFmtId="2" fillId="22" applyFill="true">
      <alignment horizontal="center" vertical="center"/>
    </xf>
    <xf fontId="8887" applyFont="true" borderId="8" applyBorder="true" applyNumberFormat="true" numFmtId="2" fillId="22" applyFill="true">
      <alignment horizontal="center" vertical="center"/>
    </xf>
    <xf fontId="8888" applyFont="true" borderId="8" applyBorder="true" applyNumberFormat="true" numFmtId="2" fillId="22" applyFill="true">
      <alignment horizontal="center" vertical="center"/>
    </xf>
    <xf fontId="8889" applyFont="true" borderId="8" applyBorder="true" applyNumberFormat="true" numFmtId="2" fillId="22" applyFill="true">
      <alignment horizontal="center" vertical="center"/>
    </xf>
    <xf fontId="8890" applyFont="true" borderId="8" applyBorder="true" applyNumberFormat="true" numFmtId="2" fillId="22" applyFill="true">
      <alignment horizontal="center" vertical="center"/>
    </xf>
    <xf fontId="8891" applyFont="true" borderId="8" applyBorder="true" applyNumberFormat="true" numFmtId="2" fillId="22" applyFill="true">
      <alignment horizontal="center" vertical="center"/>
    </xf>
    <xf fontId="8892" applyFont="true" borderId="8" applyBorder="true" applyNumberFormat="true" numFmtId="2" fillId="22" applyFill="true">
      <alignment horizontal="center" vertical="center"/>
    </xf>
    <xf fontId="8893" applyFont="true" borderId="8" applyBorder="true" applyNumberFormat="true" numFmtId="165" fillId="19" applyFill="true">
      <alignment horizontal="left" vertical="center"/>
    </xf>
    <xf fontId="8894" applyFont="true" borderId="8" applyBorder="true" applyNumberFormat="true" numFmtId="165" fillId="22" applyFill="true">
      <alignment horizontal="center" vertical="center"/>
    </xf>
    <xf fontId="8895" applyFont="true" borderId="8" applyBorder="true" applyNumberFormat="true" numFmtId="166" fillId="22" applyFill="true">
      <alignment horizontal="center" vertical="center"/>
    </xf>
    <xf fontId="8896" applyFont="true" borderId="8" applyBorder="true" applyNumberFormat="true" numFmtId="1" fillId="22" applyFill="true">
      <alignment horizontal="center" vertical="center"/>
    </xf>
    <xf fontId="8897" applyFont="true" borderId="8" applyBorder="true" applyNumberFormat="true" numFmtId="1" fillId="22" applyFill="true">
      <alignment horizontal="center" vertical="center"/>
    </xf>
    <xf fontId="8898" applyFont="true" borderId="8" applyBorder="true" applyNumberFormat="true" numFmtId="1" fillId="22" applyFill="true">
      <alignment horizontal="center" vertical="center"/>
    </xf>
    <xf fontId="8899" applyFont="true" borderId="8" applyBorder="true" applyNumberFormat="true" numFmtId="1" fillId="22" applyFill="true">
      <alignment horizontal="center" vertical="center"/>
    </xf>
    <xf fontId="8900" applyFont="true" borderId="8" applyBorder="true" applyNumberFormat="true" numFmtId="1" fillId="22" applyFill="true">
      <alignment horizontal="center" vertical="center"/>
    </xf>
    <xf fontId="8901" applyFont="true" borderId="8" applyBorder="true" applyNumberFormat="true" numFmtId="1" fillId="22" applyFill="true">
      <alignment horizontal="center" vertical="center"/>
    </xf>
    <xf fontId="8902" applyFont="true" borderId="8" applyBorder="true" applyNumberFormat="true" numFmtId="1" fillId="22" applyFill="true">
      <alignment horizontal="center" vertical="center"/>
    </xf>
    <xf fontId="8903" applyFont="true" borderId="8" applyBorder="true" applyNumberFormat="true" numFmtId="165" fillId="22" applyFill="true">
      <alignment horizontal="center" vertical="center"/>
    </xf>
    <xf fontId="8904" applyFont="true" borderId="8" applyBorder="true" applyNumberFormat="true" numFmtId="165" fillId="22" applyFill="true">
      <alignment horizontal="center" vertical="center"/>
    </xf>
    <xf fontId="8905" applyFont="true" borderId="8" applyBorder="true" applyNumberFormat="true" numFmtId="1" fillId="22" applyFill="true">
      <alignment horizontal="center" vertical="center"/>
    </xf>
    <xf fontId="8906" applyFont="true" borderId="8" applyBorder="true" applyNumberFormat="true" numFmtId="1" fillId="22" applyFill="true">
      <alignment horizontal="center" vertical="center"/>
    </xf>
    <xf fontId="8907" applyFont="true" borderId="8" applyBorder="true" applyNumberFormat="true" numFmtId="1" fillId="22" applyFill="true">
      <alignment horizontal="center" vertical="center"/>
    </xf>
    <xf fontId="8908" applyFont="true" borderId="8" applyBorder="true" applyNumberFormat="true" numFmtId="167" fillId="22" applyFill="true">
      <alignment horizontal="center" vertical="center"/>
    </xf>
    <xf fontId="8909" applyFont="true" borderId="8" applyBorder="true" applyNumberFormat="true" numFmtId="1" fillId="22" applyFill="true">
      <alignment horizontal="center" vertical="center"/>
    </xf>
    <xf fontId="8910" applyFont="true" borderId="8" applyBorder="true" applyNumberFormat="true" numFmtId="167" fillId="22" applyFill="true">
      <alignment horizontal="center" vertical="center"/>
    </xf>
    <xf fontId="8911" applyFont="true" borderId="8" applyBorder="true" applyNumberFormat="true" numFmtId="1" fillId="22" applyFill="true">
      <alignment horizontal="center" vertical="center"/>
    </xf>
    <xf fontId="8912" applyFont="true" borderId="8" applyBorder="true" applyNumberFormat="true" numFmtId="167" fillId="22" applyFill="true">
      <alignment horizontal="center" vertical="center"/>
    </xf>
    <xf fontId="8913" applyFont="true" borderId="8" applyBorder="true" applyNumberFormat="true" numFmtId="1" fillId="22" applyFill="true">
      <alignment horizontal="center" vertical="center"/>
    </xf>
    <xf fontId="8914" applyFont="true" borderId="8" applyBorder="true" applyNumberFormat="true" numFmtId="167" fillId="22" applyFill="true">
      <alignment horizontal="center" vertical="center"/>
    </xf>
    <xf fontId="8915" applyFont="true" borderId="8" applyBorder="true" applyNumberFormat="true" numFmtId="167" fillId="22" applyFill="true">
      <alignment horizontal="center" vertical="center"/>
    </xf>
    <xf fontId="8916" applyFont="true" borderId="8" applyBorder="true" applyNumberFormat="true" numFmtId="1" fillId="22" applyFill="true">
      <alignment horizontal="center" vertical="center"/>
    </xf>
    <xf fontId="8917" applyFont="true" borderId="8" applyBorder="true" applyNumberFormat="true" numFmtId="1" fillId="22" applyFill="true">
      <alignment horizontal="center" vertical="center"/>
    </xf>
    <xf fontId="8918" applyFont="true" borderId="8" applyBorder="true" applyNumberFormat="true" numFmtId="1" fillId="22" applyFill="true">
      <alignment horizontal="center" vertical="center"/>
    </xf>
    <xf fontId="8919" applyFont="true" borderId="8" applyBorder="true" applyNumberFormat="true" numFmtId="167" fillId="22" applyFill="true">
      <alignment horizontal="center" vertical="center"/>
    </xf>
    <xf fontId="8920" applyFont="true" borderId="8" applyBorder="true" applyNumberFormat="true" numFmtId="166" fillId="22" applyFill="true">
      <alignment horizontal="center" vertical="center"/>
    </xf>
    <xf fontId="8921" applyFont="true" borderId="8" applyBorder="true" applyNumberFormat="true" numFmtId="166" fillId="22" applyFill="true">
      <alignment horizontal="center" vertical="center"/>
    </xf>
    <xf fontId="8922" applyFont="true" borderId="8" applyBorder="true" applyNumberFormat="true" numFmtId="1" fillId="22" applyFill="true">
      <alignment horizontal="center" vertical="center"/>
    </xf>
    <xf fontId="8923" applyFont="true" borderId="8" applyBorder="true" applyNumberFormat="true" numFmtId="1" fillId="22" applyFill="true">
      <alignment horizontal="center" vertical="center"/>
    </xf>
    <xf fontId="8924" applyFont="true" borderId="8" applyBorder="true" applyNumberFormat="true" numFmtId="1" fillId="22" applyFill="true">
      <alignment horizontal="center" vertical="center"/>
    </xf>
    <xf fontId="8925" applyFont="true" borderId="8" applyBorder="true" applyNumberFormat="true" numFmtId="167" fillId="22" applyFill="true">
      <alignment horizontal="center" vertical="center"/>
    </xf>
    <xf fontId="8926" applyFont="true" borderId="8" applyBorder="true" applyNumberFormat="true" numFmtId="1" fillId="22" applyFill="true">
      <alignment horizontal="center" vertical="center"/>
    </xf>
    <xf fontId="8927" applyFont="true" borderId="8" applyBorder="true" applyNumberFormat="true" numFmtId="167" fillId="22" applyFill="true">
      <alignment horizontal="center" vertical="center"/>
    </xf>
    <xf fontId="8928" applyFont="true" borderId="8" applyBorder="true" applyNumberFormat="true" numFmtId="1" fillId="22" applyFill="true">
      <alignment horizontal="center" vertical="center"/>
    </xf>
    <xf fontId="8929" applyFont="true" borderId="8" applyBorder="true" applyNumberFormat="true" numFmtId="1" fillId="22" applyFill="true">
      <alignment horizontal="center" vertical="center"/>
    </xf>
    <xf fontId="8930" applyFont="true" borderId="8" applyBorder="true" applyNumberFormat="true" numFmtId="1" fillId="22" applyFill="true">
      <alignment horizontal="center" vertical="center"/>
    </xf>
    <xf fontId="8931" applyFont="true" borderId="8" applyBorder="true" applyNumberFormat="true" numFmtId="1" fillId="22" applyFill="true">
      <alignment horizontal="center" vertical="center"/>
    </xf>
    <xf fontId="8932" applyFont="true" borderId="8" applyBorder="true" applyNumberFormat="true" numFmtId="167" fillId="22" applyFill="true">
      <alignment horizontal="center" vertical="center"/>
    </xf>
    <xf fontId="8933" applyFont="true" borderId="8" applyBorder="true" applyNumberFormat="true" numFmtId="1" fillId="22" applyFill="true">
      <alignment horizontal="center" vertical="center"/>
    </xf>
    <xf fontId="8934" applyFont="true" borderId="8" applyBorder="true" applyNumberFormat="true" numFmtId="167" fillId="22" applyFill="true">
      <alignment horizontal="center" vertical="center"/>
    </xf>
    <xf fontId="8935" applyFont="true" borderId="8" applyBorder="true" applyNumberFormat="true" numFmtId="1" fillId="22" applyFill="true">
      <alignment horizontal="center" vertical="center"/>
    </xf>
    <xf fontId="8936" applyFont="true" borderId="8" applyBorder="true" applyNumberFormat="true" numFmtId="167" fillId="22" applyFill="true">
      <alignment horizontal="center" vertical="center"/>
    </xf>
    <xf fontId="8937" applyFont="true" borderId="8" applyBorder="true" applyNumberFormat="true" numFmtId="2" fillId="22" applyFill="true">
      <alignment horizontal="center" vertical="center"/>
    </xf>
    <xf fontId="8938" applyFont="true" borderId="8" applyBorder="true" applyNumberFormat="true" numFmtId="2" fillId="22" applyFill="true">
      <alignment horizontal="center" vertical="center"/>
    </xf>
    <xf fontId="8939" applyFont="true" borderId="8" applyBorder="true" applyNumberFormat="true" numFmtId="2" fillId="22" applyFill="true">
      <alignment horizontal="center" vertical="center"/>
    </xf>
    <xf fontId="8940" applyFont="true" borderId="8" applyBorder="true" applyNumberFormat="true" numFmtId="2" fillId="22" applyFill="true">
      <alignment horizontal="center" vertical="center"/>
    </xf>
    <xf fontId="8941" applyFont="true" borderId="8" applyBorder="true" applyNumberFormat="true" numFmtId="2" fillId="22" applyFill="true">
      <alignment horizontal="center" vertical="center"/>
    </xf>
    <xf fontId="8942" applyFont="true" borderId="8" applyBorder="true" applyNumberFormat="true" numFmtId="2" fillId="22" applyFill="true">
      <alignment horizontal="center" vertical="center"/>
    </xf>
    <xf fontId="8943" applyFont="true" borderId="8" applyBorder="true" applyNumberFormat="true" numFmtId="2" fillId="22" applyFill="true">
      <alignment horizontal="center" vertical="center"/>
    </xf>
    <xf fontId="8944" applyFont="true" borderId="8" applyBorder="true" applyNumberFormat="true" numFmtId="2" fillId="22" applyFill="true">
      <alignment horizontal="center" vertical="center"/>
    </xf>
    <xf fontId="8945" applyFont="true" borderId="8" applyBorder="true" applyNumberFormat="true" numFmtId="2" fillId="22" applyFill="true">
      <alignment horizontal="center" vertical="center"/>
    </xf>
    <xf fontId="8946" applyFont="true" borderId="8" applyBorder="true" applyNumberFormat="true" numFmtId="2" fillId="22" applyFill="true">
      <alignment horizontal="center" vertical="center"/>
    </xf>
    <xf fontId="8947" applyFont="true" borderId="8" applyBorder="true" applyNumberFormat="true" numFmtId="2" fillId="22" applyFill="true">
      <alignment horizontal="center" vertical="center"/>
    </xf>
    <xf fontId="8948" applyFont="true" borderId="8" applyBorder="true" applyNumberFormat="true" numFmtId="2" fillId="22" applyFill="true">
      <alignment horizontal="center" vertical="center"/>
    </xf>
    <xf fontId="8949" applyFont="true" borderId="8" applyBorder="true" applyNumberFormat="true" numFmtId="2" fillId="22" applyFill="true">
      <alignment horizontal="center" vertical="center"/>
    </xf>
    <xf fontId="8950" applyFont="true" borderId="8" applyBorder="true" applyNumberFormat="true" numFmtId="2" fillId="22" applyFill="true">
      <alignment horizontal="center" vertical="center"/>
    </xf>
    <xf fontId="8951" applyFont="true" borderId="8" applyBorder="true" applyNumberFormat="true" numFmtId="2" fillId="22" applyFill="true">
      <alignment horizontal="center" vertical="center"/>
    </xf>
    <xf fontId="8952" applyFont="true" borderId="8" applyBorder="true" applyNumberFormat="true" numFmtId="2" fillId="22" applyFill="true">
      <alignment horizontal="center" vertical="center"/>
    </xf>
    <xf fontId="8953" applyFont="true" borderId="8" applyBorder="true" applyNumberFormat="true" numFmtId="2" fillId="22" applyFill="true">
      <alignment horizontal="center" vertical="center"/>
    </xf>
    <xf fontId="8954" applyFont="true" borderId="8" applyBorder="true" applyNumberFormat="true" numFmtId="2" fillId="22" applyFill="true">
      <alignment horizontal="center" vertical="center"/>
    </xf>
    <xf fontId="8955" applyFont="true" borderId="8" applyBorder="true" applyNumberFormat="true" numFmtId="2" fillId="22" applyFill="true">
      <alignment horizontal="center" vertical="center"/>
    </xf>
    <xf fontId="8956" applyFont="true" borderId="8" applyBorder="true" applyNumberFormat="true" numFmtId="2" fillId="22" applyFill="true">
      <alignment horizontal="center" vertical="center"/>
    </xf>
    <xf fontId="8957" applyFont="true" borderId="8" applyBorder="true" applyNumberFormat="true" numFmtId="2" fillId="22" applyFill="true">
      <alignment horizontal="center" vertical="center"/>
    </xf>
    <xf fontId="8958" applyFont="true" borderId="8" applyBorder="true" applyNumberFormat="true" numFmtId="2" fillId="22" applyFill="true">
      <alignment horizontal="center" vertical="center"/>
    </xf>
    <xf fontId="8959" applyFont="true" borderId="8" applyBorder="true" applyNumberFormat="true" numFmtId="2" fillId="22" applyFill="true">
      <alignment horizontal="center" vertical="center"/>
    </xf>
    <xf fontId="8960" applyFont="true" borderId="8" applyBorder="true" applyNumberFormat="true" numFmtId="2" fillId="22" applyFill="true">
      <alignment horizontal="center" vertical="center"/>
    </xf>
    <xf fontId="8961" applyFont="true" borderId="8" applyBorder="true" applyNumberFormat="true" numFmtId="2" fillId="22" applyFill="true">
      <alignment horizontal="center" vertical="center"/>
    </xf>
    <xf fontId="8962" applyFont="true" borderId="8" applyBorder="true" applyNumberFormat="true" numFmtId="2" fillId="22" applyFill="true">
      <alignment horizontal="center" vertical="center"/>
    </xf>
    <xf fontId="8963" applyFont="true" borderId="8" applyBorder="true" applyNumberFormat="true" numFmtId="2" fillId="22" applyFill="true">
      <alignment horizontal="center" vertical="center"/>
    </xf>
    <xf fontId="8964" applyFont="true" borderId="8" applyBorder="true" applyNumberFormat="true" numFmtId="2" fillId="22" applyFill="true">
      <alignment horizontal="center" vertical="center"/>
    </xf>
    <xf fontId="8965" applyFont="true" borderId="8" applyBorder="true" applyNumberFormat="true" numFmtId="2" fillId="22" applyFill="true">
      <alignment horizontal="center" vertical="center"/>
    </xf>
    <xf fontId="8966" applyFont="true" borderId="8" applyBorder="true" applyNumberFormat="true" numFmtId="2" fillId="22" applyFill="true">
      <alignment horizontal="center" vertical="center"/>
    </xf>
    <xf fontId="8967" applyFont="true" borderId="8" applyBorder="true" applyNumberFormat="true" numFmtId="2" fillId="22" applyFill="true">
      <alignment horizontal="center" vertical="center"/>
    </xf>
    <xf fontId="8968" applyFont="true" borderId="8" applyBorder="true" applyNumberFormat="true" numFmtId="2" fillId="22" applyFill="true">
      <alignment horizontal="center" vertical="center"/>
    </xf>
    <xf fontId="8969" applyFont="true" borderId="8" applyBorder="true" applyNumberFormat="true" numFmtId="2" fillId="22" applyFill="true">
      <alignment horizontal="center" vertical="center"/>
    </xf>
    <xf fontId="8970" applyFont="true" borderId="8" applyBorder="true" applyNumberFormat="true" numFmtId="2" fillId="22" applyFill="true">
      <alignment horizontal="center" vertical="center"/>
    </xf>
    <xf fontId="8971" applyFont="true" borderId="8" applyBorder="true" applyNumberFormat="true" numFmtId="165" fillId="19" applyFill="true">
      <alignment horizontal="left" vertical="center"/>
    </xf>
    <xf fontId="8972" applyFont="true" borderId="8" applyBorder="true" applyNumberFormat="true" numFmtId="165" fillId="22" applyFill="true">
      <alignment horizontal="center" vertical="center"/>
    </xf>
    <xf fontId="8973" applyFont="true" borderId="8" applyBorder="true" applyNumberFormat="true" numFmtId="166" fillId="22" applyFill="true">
      <alignment horizontal="center" vertical="center"/>
    </xf>
    <xf fontId="8974" applyFont="true" borderId="8" applyBorder="true" applyNumberFormat="true" numFmtId="1" fillId="22" applyFill="true">
      <alignment horizontal="center" vertical="center"/>
    </xf>
    <xf fontId="8975" applyFont="true" borderId="8" applyBorder="true" applyNumberFormat="true" numFmtId="1" fillId="22" applyFill="true">
      <alignment horizontal="center" vertical="center"/>
    </xf>
    <xf fontId="8976" applyFont="true" borderId="8" applyBorder="true" applyNumberFormat="true" numFmtId="1" fillId="22" applyFill="true">
      <alignment horizontal="center" vertical="center"/>
    </xf>
    <xf fontId="8977" applyFont="true" borderId="8" applyBorder="true" applyNumberFormat="true" numFmtId="1" fillId="22" applyFill="true">
      <alignment horizontal="center" vertical="center"/>
    </xf>
    <xf fontId="8978" applyFont="true" borderId="8" applyBorder="true" applyNumberFormat="true" numFmtId="1" fillId="22" applyFill="true">
      <alignment horizontal="center" vertical="center"/>
    </xf>
    <xf fontId="8979" applyFont="true" borderId="8" applyBorder="true" applyNumberFormat="true" numFmtId="1" fillId="22" applyFill="true">
      <alignment horizontal="center" vertical="center"/>
    </xf>
    <xf fontId="8980" applyFont="true" borderId="8" applyBorder="true" applyNumberFormat="true" numFmtId="1" fillId="22" applyFill="true">
      <alignment horizontal="center" vertical="center"/>
    </xf>
    <xf fontId="8981" applyFont="true" borderId="8" applyBorder="true" applyNumberFormat="true" numFmtId="165" fillId="22" applyFill="true">
      <alignment horizontal="center" vertical="center"/>
    </xf>
    <xf fontId="8982" applyFont="true" borderId="8" applyBorder="true" applyNumberFormat="true" numFmtId="165" fillId="22" applyFill="true">
      <alignment horizontal="center" vertical="center"/>
    </xf>
    <xf fontId="8983" applyFont="true" borderId="8" applyBorder="true" applyNumberFormat="true" numFmtId="1" fillId="22" applyFill="true">
      <alignment horizontal="center" vertical="center"/>
    </xf>
    <xf fontId="8984" applyFont="true" borderId="8" applyBorder="true" applyNumberFormat="true" numFmtId="1" fillId="22" applyFill="true">
      <alignment horizontal="center" vertical="center"/>
    </xf>
    <xf fontId="8985" applyFont="true" borderId="8" applyBorder="true" applyNumberFormat="true" numFmtId="1" fillId="22" applyFill="true">
      <alignment horizontal="center" vertical="center"/>
    </xf>
    <xf fontId="8986" applyFont="true" borderId="8" applyBorder="true" applyNumberFormat="true" numFmtId="167" fillId="22" applyFill="true">
      <alignment horizontal="center" vertical="center"/>
    </xf>
    <xf fontId="8987" applyFont="true" borderId="8" applyBorder="true" applyNumberFormat="true" numFmtId="1" fillId="22" applyFill="true">
      <alignment horizontal="center" vertical="center"/>
    </xf>
    <xf fontId="8988" applyFont="true" borderId="8" applyBorder="true" applyNumberFormat="true" numFmtId="167" fillId="22" applyFill="true">
      <alignment horizontal="center" vertical="center"/>
    </xf>
    <xf fontId="8989" applyFont="true" borderId="8" applyBorder="true" applyNumberFormat="true" numFmtId="1" fillId="22" applyFill="true">
      <alignment horizontal="center" vertical="center"/>
    </xf>
    <xf fontId="8990" applyFont="true" borderId="8" applyBorder="true" applyNumberFormat="true" numFmtId="167" fillId="22" applyFill="true">
      <alignment horizontal="center" vertical="center"/>
    </xf>
    <xf fontId="8991" applyFont="true" borderId="8" applyBorder="true" applyNumberFormat="true" numFmtId="1" fillId="22" applyFill="true">
      <alignment horizontal="center" vertical="center"/>
    </xf>
    <xf fontId="8992" applyFont="true" borderId="8" applyBorder="true" applyNumberFormat="true" numFmtId="167" fillId="22" applyFill="true">
      <alignment horizontal="center" vertical="center"/>
    </xf>
    <xf fontId="8993" applyFont="true" borderId="8" applyBorder="true" applyNumberFormat="true" numFmtId="167" fillId="22" applyFill="true">
      <alignment horizontal="center" vertical="center"/>
    </xf>
    <xf fontId="8994" applyFont="true" borderId="8" applyBorder="true" applyNumberFormat="true" numFmtId="1" fillId="22" applyFill="true">
      <alignment horizontal="center" vertical="center"/>
    </xf>
    <xf fontId="8995" applyFont="true" borderId="8" applyBorder="true" applyNumberFormat="true" numFmtId="1" fillId="22" applyFill="true">
      <alignment horizontal="center" vertical="center"/>
    </xf>
    <xf fontId="8996" applyFont="true" borderId="8" applyBorder="true" applyNumberFormat="true" numFmtId="1" fillId="22" applyFill="true">
      <alignment horizontal="center" vertical="center"/>
    </xf>
    <xf fontId="8997" applyFont="true" borderId="8" applyBorder="true" applyNumberFormat="true" numFmtId="167" fillId="22" applyFill="true">
      <alignment horizontal="center" vertical="center"/>
    </xf>
    <xf fontId="8998" applyFont="true" borderId="8" applyBorder="true" applyNumberFormat="true" numFmtId="166" fillId="22" applyFill="true">
      <alignment horizontal="center" vertical="center"/>
    </xf>
    <xf fontId="8999" applyFont="true" borderId="8" applyBorder="true" applyNumberFormat="true" numFmtId="166" fillId="22" applyFill="true">
      <alignment horizontal="center" vertical="center"/>
    </xf>
    <xf fontId="9000" applyFont="true" borderId="8" applyBorder="true" applyNumberFormat="true" numFmtId="1" fillId="22" applyFill="true">
      <alignment horizontal="center" vertical="center"/>
    </xf>
    <xf fontId="9001" applyFont="true" borderId="8" applyBorder="true" applyNumberFormat="true" numFmtId="1" fillId="22" applyFill="true">
      <alignment horizontal="center" vertical="center"/>
    </xf>
    <xf fontId="9002" applyFont="true" borderId="8" applyBorder="true" applyNumberFormat="true" numFmtId="1" fillId="22" applyFill="true">
      <alignment horizontal="center" vertical="center"/>
    </xf>
    <xf fontId="9003" applyFont="true" borderId="8" applyBorder="true" applyNumberFormat="true" numFmtId="167" fillId="22" applyFill="true">
      <alignment horizontal="center" vertical="center"/>
    </xf>
    <xf fontId="9004" applyFont="true" borderId="8" applyBorder="true" applyNumberFormat="true" numFmtId="1" fillId="22" applyFill="true">
      <alignment horizontal="center" vertical="center"/>
    </xf>
    <xf fontId="9005" applyFont="true" borderId="8" applyBorder="true" applyNumberFormat="true" numFmtId="167" fillId="22" applyFill="true">
      <alignment horizontal="center" vertical="center"/>
    </xf>
    <xf fontId="9006" applyFont="true" borderId="8" applyBorder="true" applyNumberFormat="true" numFmtId="1" fillId="22" applyFill="true">
      <alignment horizontal="center" vertical="center"/>
    </xf>
    <xf fontId="9007" applyFont="true" borderId="8" applyBorder="true" applyNumberFormat="true" numFmtId="1" fillId="22" applyFill="true">
      <alignment horizontal="center" vertical="center"/>
    </xf>
    <xf fontId="9008" applyFont="true" borderId="8" applyBorder="true" applyNumberFormat="true" numFmtId="1" fillId="22" applyFill="true">
      <alignment horizontal="center" vertical="center"/>
    </xf>
    <xf fontId="9009" applyFont="true" borderId="8" applyBorder="true" applyNumberFormat="true" numFmtId="1" fillId="22" applyFill="true">
      <alignment horizontal="center" vertical="center"/>
    </xf>
    <xf fontId="9010" applyFont="true" borderId="8" applyBorder="true" applyNumberFormat="true" numFmtId="167" fillId="22" applyFill="true">
      <alignment horizontal="center" vertical="center"/>
    </xf>
    <xf fontId="9011" applyFont="true" borderId="8" applyBorder="true" applyNumberFormat="true" numFmtId="1" fillId="22" applyFill="true">
      <alignment horizontal="center" vertical="center"/>
    </xf>
    <xf fontId="9012" applyFont="true" borderId="8" applyBorder="true" applyNumberFormat="true" numFmtId="167" fillId="22" applyFill="true">
      <alignment horizontal="center" vertical="center"/>
    </xf>
    <xf fontId="9013" applyFont="true" borderId="8" applyBorder="true" applyNumberFormat="true" numFmtId="1" fillId="22" applyFill="true">
      <alignment horizontal="center" vertical="center"/>
    </xf>
    <xf fontId="9014" applyFont="true" borderId="8" applyBorder="true" applyNumberFormat="true" numFmtId="167" fillId="22" applyFill="true">
      <alignment horizontal="center" vertical="center"/>
    </xf>
    <xf fontId="9015" applyFont="true" borderId="8" applyBorder="true" applyNumberFormat="true" numFmtId="2" fillId="22" applyFill="true">
      <alignment horizontal="center" vertical="center"/>
    </xf>
    <xf fontId="9016" applyFont="true" borderId="8" applyBorder="true" applyNumberFormat="true" numFmtId="2" fillId="22" applyFill="true">
      <alignment horizontal="center" vertical="center"/>
    </xf>
    <xf fontId="9017" applyFont="true" borderId="8" applyBorder="true" applyNumberFormat="true" numFmtId="2" fillId="22" applyFill="true">
      <alignment horizontal="center" vertical="center"/>
    </xf>
    <xf fontId="9018" applyFont="true" borderId="8" applyBorder="true" applyNumberFormat="true" numFmtId="2" fillId="22" applyFill="true">
      <alignment horizontal="center" vertical="center"/>
    </xf>
    <xf fontId="9019" applyFont="true" borderId="8" applyBorder="true" applyNumberFormat="true" numFmtId="2" fillId="22" applyFill="true">
      <alignment horizontal="center" vertical="center"/>
    </xf>
    <xf fontId="9020" applyFont="true" borderId="8" applyBorder="true" applyNumberFormat="true" numFmtId="2" fillId="22" applyFill="true">
      <alignment horizontal="center" vertical="center"/>
    </xf>
    <xf fontId="9021" applyFont="true" borderId="8" applyBorder="true" applyNumberFormat="true" numFmtId="2" fillId="22" applyFill="true">
      <alignment horizontal="center" vertical="center"/>
    </xf>
    <xf fontId="9022" applyFont="true" borderId="8" applyBorder="true" applyNumberFormat="true" numFmtId="2" fillId="22" applyFill="true">
      <alignment horizontal="center" vertical="center"/>
    </xf>
    <xf fontId="9023" applyFont="true" borderId="8" applyBorder="true" applyNumberFormat="true" numFmtId="2" fillId="22" applyFill="true">
      <alignment horizontal="center" vertical="center"/>
    </xf>
    <xf fontId="9024" applyFont="true" borderId="8" applyBorder="true" applyNumberFormat="true" numFmtId="2" fillId="22" applyFill="true">
      <alignment horizontal="center" vertical="center"/>
    </xf>
    <xf fontId="9025" applyFont="true" borderId="8" applyBorder="true" applyNumberFormat="true" numFmtId="2" fillId="22" applyFill="true">
      <alignment horizontal="center" vertical="center"/>
    </xf>
    <xf fontId="9026" applyFont="true" borderId="8" applyBorder="true" applyNumberFormat="true" numFmtId="2" fillId="22" applyFill="true">
      <alignment horizontal="center" vertical="center"/>
    </xf>
    <xf fontId="9027" applyFont="true" borderId="8" applyBorder="true" applyNumberFormat="true" numFmtId="2" fillId="22" applyFill="true">
      <alignment horizontal="center" vertical="center"/>
    </xf>
    <xf fontId="9028" applyFont="true" borderId="8" applyBorder="true" applyNumberFormat="true" numFmtId="2" fillId="22" applyFill="true">
      <alignment horizontal="center" vertical="center"/>
    </xf>
    <xf fontId="9029" applyFont="true" borderId="8" applyBorder="true" applyNumberFormat="true" numFmtId="2" fillId="22" applyFill="true">
      <alignment horizontal="center" vertical="center"/>
    </xf>
    <xf fontId="9030" applyFont="true" borderId="8" applyBorder="true" applyNumberFormat="true" numFmtId="2" fillId="22" applyFill="true">
      <alignment horizontal="center" vertical="center"/>
    </xf>
    <xf fontId="9031" applyFont="true" borderId="8" applyBorder="true" applyNumberFormat="true" numFmtId="2" fillId="22" applyFill="true">
      <alignment horizontal="center" vertical="center"/>
    </xf>
    <xf fontId="9032" applyFont="true" borderId="8" applyBorder="true" applyNumberFormat="true" numFmtId="2" fillId="22" applyFill="true">
      <alignment horizontal="center" vertical="center"/>
    </xf>
    <xf fontId="9033" applyFont="true" borderId="8" applyBorder="true" applyNumberFormat="true" numFmtId="2" fillId="22" applyFill="true">
      <alignment horizontal="center" vertical="center"/>
    </xf>
    <xf fontId="9034" applyFont="true" borderId="8" applyBorder="true" applyNumberFormat="true" numFmtId="2" fillId="22" applyFill="true">
      <alignment horizontal="center" vertical="center"/>
    </xf>
    <xf fontId="9035" applyFont="true" borderId="8" applyBorder="true" applyNumberFormat="true" numFmtId="2" fillId="22" applyFill="true">
      <alignment horizontal="center" vertical="center"/>
    </xf>
    <xf fontId="9036" applyFont="true" borderId="8" applyBorder="true" applyNumberFormat="true" numFmtId="2" fillId="22" applyFill="true">
      <alignment horizontal="center" vertical="center"/>
    </xf>
    <xf fontId="9037" applyFont="true" borderId="8" applyBorder="true" applyNumberFormat="true" numFmtId="2" fillId="22" applyFill="true">
      <alignment horizontal="center" vertical="center"/>
    </xf>
    <xf fontId="9038" applyFont="true" borderId="8" applyBorder="true" applyNumberFormat="true" numFmtId="2" fillId="22" applyFill="true">
      <alignment horizontal="center" vertical="center"/>
    </xf>
    <xf fontId="9039" applyFont="true" borderId="8" applyBorder="true" applyNumberFormat="true" numFmtId="2" fillId="22" applyFill="true">
      <alignment horizontal="center" vertical="center"/>
    </xf>
    <xf fontId="9040" applyFont="true" borderId="8" applyBorder="true" applyNumberFormat="true" numFmtId="2" fillId="22" applyFill="true">
      <alignment horizontal="center" vertical="center"/>
    </xf>
    <xf fontId="9041" applyFont="true" borderId="8" applyBorder="true" applyNumberFormat="true" numFmtId="2" fillId="22" applyFill="true">
      <alignment horizontal="center" vertical="center"/>
    </xf>
    <xf fontId="9042" applyFont="true" borderId="8" applyBorder="true" applyNumberFormat="true" numFmtId="2" fillId="22" applyFill="true">
      <alignment horizontal="center" vertical="center"/>
    </xf>
    <xf fontId="9043" applyFont="true" borderId="8" applyBorder="true" applyNumberFormat="true" numFmtId="2" fillId="22" applyFill="true">
      <alignment horizontal="center" vertical="center"/>
    </xf>
    <xf fontId="9044" applyFont="true" borderId="8" applyBorder="true" applyNumberFormat="true" numFmtId="2" fillId="22" applyFill="true">
      <alignment horizontal="center" vertical="center"/>
    </xf>
    <xf fontId="9045" applyFont="true" borderId="8" applyBorder="true" applyNumberFormat="true" numFmtId="2" fillId="22" applyFill="true">
      <alignment horizontal="center" vertical="center"/>
    </xf>
    <xf fontId="9046" applyFont="true" borderId="8" applyBorder="true" applyNumberFormat="true" numFmtId="2" fillId="22" applyFill="true">
      <alignment horizontal="center" vertical="center"/>
    </xf>
    <xf fontId="9047" applyFont="true" borderId="8" applyBorder="true" applyNumberFormat="true" numFmtId="2" fillId="22" applyFill="true">
      <alignment horizontal="center" vertical="center"/>
    </xf>
    <xf fontId="9048" applyFont="true" borderId="8" applyBorder="true" applyNumberFormat="true" numFmtId="2" fillId="22" applyFill="true">
      <alignment horizontal="center" vertical="center"/>
    </xf>
    <xf fontId="9049" applyFont="true" borderId="8" applyBorder="true" applyNumberFormat="true" numFmtId="165" fillId="19" applyFill="true">
      <alignment horizontal="left" vertical="center"/>
    </xf>
    <xf fontId="9050" applyFont="true" borderId="8" applyBorder="true" applyNumberFormat="true" numFmtId="165" fillId="22" applyFill="true">
      <alignment horizontal="center" vertical="center"/>
    </xf>
    <xf fontId="9051" applyFont="true" borderId="8" applyBorder="true" applyNumberFormat="true" numFmtId="166" fillId="22" applyFill="true">
      <alignment horizontal="center" vertical="center"/>
    </xf>
    <xf fontId="9052" applyFont="true" borderId="8" applyBorder="true" applyNumberFormat="true" numFmtId="1" fillId="22" applyFill="true">
      <alignment horizontal="center" vertical="center"/>
    </xf>
    <xf fontId="9053" applyFont="true" borderId="8" applyBorder="true" applyNumberFormat="true" numFmtId="1" fillId="22" applyFill="true">
      <alignment horizontal="center" vertical="center"/>
    </xf>
    <xf fontId="9054" applyFont="true" borderId="8" applyBorder="true" applyNumberFormat="true" numFmtId="1" fillId="22" applyFill="true">
      <alignment horizontal="center" vertical="center"/>
    </xf>
    <xf fontId="9055" applyFont="true" borderId="8" applyBorder="true" applyNumberFormat="true" numFmtId="1" fillId="22" applyFill="true">
      <alignment horizontal="center" vertical="center"/>
    </xf>
    <xf fontId="9056" applyFont="true" borderId="8" applyBorder="true" applyNumberFormat="true" numFmtId="1" fillId="22" applyFill="true">
      <alignment horizontal="center" vertical="center"/>
    </xf>
    <xf fontId="9057" applyFont="true" borderId="8" applyBorder="true" applyNumberFormat="true" numFmtId="1" fillId="22" applyFill="true">
      <alignment horizontal="center" vertical="center"/>
    </xf>
    <xf fontId="9058" applyFont="true" borderId="8" applyBorder="true" applyNumberFormat="true" numFmtId="1" fillId="22" applyFill="true">
      <alignment horizontal="center" vertical="center"/>
    </xf>
    <xf fontId="9059" applyFont="true" borderId="8" applyBorder="true" applyNumberFormat="true" numFmtId="165" fillId="22" applyFill="true">
      <alignment horizontal="center" vertical="center"/>
    </xf>
    <xf fontId="9060" applyFont="true" borderId="8" applyBorder="true" applyNumberFormat="true" numFmtId="165" fillId="22" applyFill="true">
      <alignment horizontal="center" vertical="center"/>
    </xf>
    <xf fontId="9061" applyFont="true" borderId="8" applyBorder="true" applyNumberFormat="true" numFmtId="1" fillId="22" applyFill="true">
      <alignment horizontal="center" vertical="center"/>
    </xf>
    <xf fontId="9062" applyFont="true" borderId="8" applyBorder="true" applyNumberFormat="true" numFmtId="1" fillId="22" applyFill="true">
      <alignment horizontal="center" vertical="center"/>
    </xf>
    <xf fontId="9063" applyFont="true" borderId="8" applyBorder="true" applyNumberFormat="true" numFmtId="1" fillId="22" applyFill="true">
      <alignment horizontal="center" vertical="center"/>
    </xf>
    <xf fontId="9064" applyFont="true" borderId="8" applyBorder="true" applyNumberFormat="true" numFmtId="167" fillId="22" applyFill="true">
      <alignment horizontal="center" vertical="center"/>
    </xf>
    <xf fontId="9065" applyFont="true" borderId="8" applyBorder="true" applyNumberFormat="true" numFmtId="1" fillId="22" applyFill="true">
      <alignment horizontal="center" vertical="center"/>
    </xf>
    <xf fontId="9066" applyFont="true" borderId="8" applyBorder="true" applyNumberFormat="true" numFmtId="167" fillId="22" applyFill="true">
      <alignment horizontal="center" vertical="center"/>
    </xf>
    <xf fontId="9067" applyFont="true" borderId="8" applyBorder="true" applyNumberFormat="true" numFmtId="1" fillId="22" applyFill="true">
      <alignment horizontal="center" vertical="center"/>
    </xf>
    <xf fontId="9068" applyFont="true" borderId="8" applyBorder="true" applyNumberFormat="true" numFmtId="167" fillId="22" applyFill="true">
      <alignment horizontal="center" vertical="center"/>
    </xf>
    <xf fontId="9069" applyFont="true" borderId="8" applyBorder="true" applyNumberFormat="true" numFmtId="1" fillId="22" applyFill="true">
      <alignment horizontal="center" vertical="center"/>
    </xf>
    <xf fontId="9070" applyFont="true" borderId="8" applyBorder="true" applyNumberFormat="true" numFmtId="167" fillId="22" applyFill="true">
      <alignment horizontal="center" vertical="center"/>
    </xf>
    <xf fontId="9071" applyFont="true" borderId="8" applyBorder="true" applyNumberFormat="true" numFmtId="167" fillId="22" applyFill="true">
      <alignment horizontal="center" vertical="center"/>
    </xf>
    <xf fontId="9072" applyFont="true" borderId="8" applyBorder="true" applyNumberFormat="true" numFmtId="1" fillId="22" applyFill="true">
      <alignment horizontal="center" vertical="center"/>
    </xf>
    <xf fontId="9073" applyFont="true" borderId="8" applyBorder="true" applyNumberFormat="true" numFmtId="1" fillId="22" applyFill="true">
      <alignment horizontal="center" vertical="center"/>
    </xf>
    <xf fontId="9074" applyFont="true" borderId="8" applyBorder="true" applyNumberFormat="true" numFmtId="1" fillId="22" applyFill="true">
      <alignment horizontal="center" vertical="center"/>
    </xf>
    <xf fontId="9075" applyFont="true" borderId="8" applyBorder="true" applyNumberFormat="true" numFmtId="167" fillId="22" applyFill="true">
      <alignment horizontal="center" vertical="center"/>
    </xf>
    <xf fontId="9076" applyFont="true" borderId="8" applyBorder="true" applyNumberFormat="true" numFmtId="166" fillId="22" applyFill="true">
      <alignment horizontal="center" vertical="center"/>
    </xf>
    <xf fontId="9077" applyFont="true" borderId="8" applyBorder="true" applyNumberFormat="true" numFmtId="166" fillId="22" applyFill="true">
      <alignment horizontal="center" vertical="center"/>
    </xf>
    <xf fontId="9078" applyFont="true" borderId="8" applyBorder="true" applyNumberFormat="true" numFmtId="1" fillId="22" applyFill="true">
      <alignment horizontal="center" vertical="center"/>
    </xf>
    <xf fontId="9079" applyFont="true" borderId="8" applyBorder="true" applyNumberFormat="true" numFmtId="1" fillId="22" applyFill="true">
      <alignment horizontal="center" vertical="center"/>
    </xf>
    <xf fontId="9080" applyFont="true" borderId="8" applyBorder="true" applyNumberFormat="true" numFmtId="1" fillId="22" applyFill="true">
      <alignment horizontal="center" vertical="center"/>
    </xf>
    <xf fontId="9081" applyFont="true" borderId="8" applyBorder="true" applyNumberFormat="true" numFmtId="167" fillId="22" applyFill="true">
      <alignment horizontal="center" vertical="center"/>
    </xf>
    <xf fontId="9082" applyFont="true" borderId="8" applyBorder="true" applyNumberFormat="true" numFmtId="1" fillId="22" applyFill="true">
      <alignment horizontal="center" vertical="center"/>
    </xf>
    <xf fontId="9083" applyFont="true" borderId="8" applyBorder="true" applyNumberFormat="true" numFmtId="167" fillId="22" applyFill="true">
      <alignment horizontal="center" vertical="center"/>
    </xf>
    <xf fontId="9084" applyFont="true" borderId="8" applyBorder="true" applyNumberFormat="true" numFmtId="1" fillId="22" applyFill="true">
      <alignment horizontal="center" vertical="center"/>
    </xf>
    <xf fontId="9085" applyFont="true" borderId="8" applyBorder="true" applyNumberFormat="true" numFmtId="1" fillId="22" applyFill="true">
      <alignment horizontal="center" vertical="center"/>
    </xf>
    <xf fontId="9086" applyFont="true" borderId="8" applyBorder="true" applyNumberFormat="true" numFmtId="1" fillId="22" applyFill="true">
      <alignment horizontal="center" vertical="center"/>
    </xf>
    <xf fontId="9087" applyFont="true" borderId="8" applyBorder="true" applyNumberFormat="true" numFmtId="1" fillId="22" applyFill="true">
      <alignment horizontal="center" vertical="center"/>
    </xf>
    <xf fontId="9088" applyFont="true" borderId="8" applyBorder="true" applyNumberFormat="true" numFmtId="167" fillId="22" applyFill="true">
      <alignment horizontal="center" vertical="center"/>
    </xf>
    <xf fontId="9089" applyFont="true" borderId="8" applyBorder="true" applyNumberFormat="true" numFmtId="1" fillId="22" applyFill="true">
      <alignment horizontal="center" vertical="center"/>
    </xf>
    <xf fontId="9090" applyFont="true" borderId="8" applyBorder="true" applyNumberFormat="true" numFmtId="167" fillId="22" applyFill="true">
      <alignment horizontal="center" vertical="center"/>
    </xf>
    <xf fontId="9091" applyFont="true" borderId="8" applyBorder="true" applyNumberFormat="true" numFmtId="1" fillId="22" applyFill="true">
      <alignment horizontal="center" vertical="center"/>
    </xf>
    <xf fontId="9092" applyFont="true" borderId="8" applyBorder="true" applyNumberFormat="true" numFmtId="167" fillId="22" applyFill="true">
      <alignment horizontal="center" vertical="center"/>
    </xf>
    <xf fontId="9093" applyFont="true" borderId="8" applyBorder="true" applyNumberFormat="true" numFmtId="2" fillId="22" applyFill="true">
      <alignment horizontal="center" vertical="center"/>
    </xf>
    <xf fontId="9094" applyFont="true" borderId="8" applyBorder="true" applyNumberFormat="true" numFmtId="2" fillId="22" applyFill="true">
      <alignment horizontal="center" vertical="center"/>
    </xf>
    <xf fontId="9095" applyFont="true" borderId="8" applyBorder="true" applyNumberFormat="true" numFmtId="2" fillId="22" applyFill="true">
      <alignment horizontal="center" vertical="center"/>
    </xf>
    <xf fontId="9096" applyFont="true" borderId="8" applyBorder="true" applyNumberFormat="true" numFmtId="2" fillId="22" applyFill="true">
      <alignment horizontal="center" vertical="center"/>
    </xf>
    <xf fontId="9097" applyFont="true" borderId="8" applyBorder="true" applyNumberFormat="true" numFmtId="2" fillId="22" applyFill="true">
      <alignment horizontal="center" vertical="center"/>
    </xf>
    <xf fontId="9098" applyFont="true" borderId="8" applyBorder="true" applyNumberFormat="true" numFmtId="2" fillId="22" applyFill="true">
      <alignment horizontal="center" vertical="center"/>
    </xf>
    <xf fontId="9099" applyFont="true" borderId="8" applyBorder="true" applyNumberFormat="true" numFmtId="2" fillId="22" applyFill="true">
      <alignment horizontal="center" vertical="center"/>
    </xf>
    <xf fontId="9100" applyFont="true" borderId="8" applyBorder="true" applyNumberFormat="true" numFmtId="2" fillId="22" applyFill="true">
      <alignment horizontal="center" vertical="center"/>
    </xf>
    <xf fontId="9101" applyFont="true" borderId="8" applyBorder="true" applyNumberFormat="true" numFmtId="2" fillId="22" applyFill="true">
      <alignment horizontal="center" vertical="center"/>
    </xf>
    <xf fontId="9102" applyFont="true" borderId="8" applyBorder="true" applyNumberFormat="true" numFmtId="2" fillId="22" applyFill="true">
      <alignment horizontal="center" vertical="center"/>
    </xf>
    <xf fontId="9103" applyFont="true" borderId="8" applyBorder="true" applyNumberFormat="true" numFmtId="2" fillId="22" applyFill="true">
      <alignment horizontal="center" vertical="center"/>
    </xf>
    <xf fontId="9104" applyFont="true" borderId="8" applyBorder="true" applyNumberFormat="true" numFmtId="2" fillId="22" applyFill="true">
      <alignment horizontal="center" vertical="center"/>
    </xf>
    <xf fontId="9105" applyFont="true" borderId="8" applyBorder="true" applyNumberFormat="true" numFmtId="2" fillId="22" applyFill="true">
      <alignment horizontal="center" vertical="center"/>
    </xf>
    <xf fontId="9106" applyFont="true" borderId="8" applyBorder="true" applyNumberFormat="true" numFmtId="2" fillId="22" applyFill="true">
      <alignment horizontal="center" vertical="center"/>
    </xf>
    <xf fontId="9107" applyFont="true" borderId="8" applyBorder="true" applyNumberFormat="true" numFmtId="2" fillId="22" applyFill="true">
      <alignment horizontal="center" vertical="center"/>
    </xf>
    <xf fontId="9108" applyFont="true" borderId="8" applyBorder="true" applyNumberFormat="true" numFmtId="2" fillId="22" applyFill="true">
      <alignment horizontal="center" vertical="center"/>
    </xf>
    <xf fontId="9109" applyFont="true" borderId="8" applyBorder="true" applyNumberFormat="true" numFmtId="2" fillId="22" applyFill="true">
      <alignment horizontal="center" vertical="center"/>
    </xf>
    <xf fontId="9110" applyFont="true" borderId="8" applyBorder="true" applyNumberFormat="true" numFmtId="2" fillId="22" applyFill="true">
      <alignment horizontal="center" vertical="center"/>
    </xf>
    <xf fontId="9111" applyFont="true" borderId="8" applyBorder="true" applyNumberFormat="true" numFmtId="2" fillId="22" applyFill="true">
      <alignment horizontal="center" vertical="center"/>
    </xf>
    <xf fontId="9112" applyFont="true" borderId="8" applyBorder="true" applyNumberFormat="true" numFmtId="2" fillId="22" applyFill="true">
      <alignment horizontal="center" vertical="center"/>
    </xf>
    <xf fontId="9113" applyFont="true" borderId="8" applyBorder="true" applyNumberFormat="true" numFmtId="2" fillId="22" applyFill="true">
      <alignment horizontal="center" vertical="center"/>
    </xf>
    <xf fontId="9114" applyFont="true" borderId="8" applyBorder="true" applyNumberFormat="true" numFmtId="2" fillId="22" applyFill="true">
      <alignment horizontal="center" vertical="center"/>
    </xf>
    <xf fontId="9115" applyFont="true" borderId="8" applyBorder="true" applyNumberFormat="true" numFmtId="2" fillId="22" applyFill="true">
      <alignment horizontal="center" vertical="center"/>
    </xf>
    <xf fontId="9116" applyFont="true" borderId="8" applyBorder="true" applyNumberFormat="true" numFmtId="2" fillId="22" applyFill="true">
      <alignment horizontal="center" vertical="center"/>
    </xf>
    <xf fontId="9117" applyFont="true" borderId="8" applyBorder="true" applyNumberFormat="true" numFmtId="2" fillId="22" applyFill="true">
      <alignment horizontal="center" vertical="center"/>
    </xf>
    <xf fontId="9118" applyFont="true" borderId="8" applyBorder="true" applyNumberFormat="true" numFmtId="2" fillId="22" applyFill="true">
      <alignment horizontal="center" vertical="center"/>
    </xf>
    <xf fontId="9119" applyFont="true" borderId="8" applyBorder="true" applyNumberFormat="true" numFmtId="2" fillId="22" applyFill="true">
      <alignment horizontal="center" vertical="center"/>
    </xf>
    <xf fontId="9120" applyFont="true" borderId="8" applyBorder="true" applyNumberFormat="true" numFmtId="2" fillId="22" applyFill="true">
      <alignment horizontal="center" vertical="center"/>
    </xf>
    <xf fontId="9121" applyFont="true" borderId="8" applyBorder="true" applyNumberFormat="true" numFmtId="2" fillId="22" applyFill="true">
      <alignment horizontal="center" vertical="center"/>
    </xf>
    <xf fontId="9122" applyFont="true" borderId="8" applyBorder="true" applyNumberFormat="true" numFmtId="2" fillId="22" applyFill="true">
      <alignment horizontal="center" vertical="center"/>
    </xf>
    <xf fontId="9123" applyFont="true" borderId="8" applyBorder="true" applyNumberFormat="true" numFmtId="2" fillId="22" applyFill="true">
      <alignment horizontal="center" vertical="center"/>
    </xf>
    <xf fontId="9124" applyFont="true" borderId="8" applyBorder="true" applyNumberFormat="true" numFmtId="2" fillId="22" applyFill="true">
      <alignment horizontal="center" vertical="center"/>
    </xf>
    <xf fontId="9125" applyFont="true" borderId="8" applyBorder="true" applyNumberFormat="true" numFmtId="2" fillId="22" applyFill="true">
      <alignment horizontal="center" vertical="center"/>
    </xf>
    <xf fontId="9126" applyFont="true" borderId="8" applyBorder="true" applyNumberFormat="true" numFmtId="2" fillId="22" applyFill="true">
      <alignment horizontal="center" vertical="center"/>
    </xf>
    <xf fontId="9127" applyFont="true" borderId="8" applyBorder="true" applyNumberFormat="true" numFmtId="165" fillId="19" applyFill="true">
      <alignment horizontal="left" vertical="center"/>
    </xf>
    <xf fontId="9128" applyFont="true" borderId="8" applyBorder="true" applyNumberFormat="true" numFmtId="165" fillId="22" applyFill="true">
      <alignment horizontal="center" vertical="center"/>
    </xf>
    <xf fontId="9129" applyFont="true" borderId="8" applyBorder="true" applyNumberFormat="true" numFmtId="166" fillId="22" applyFill="true">
      <alignment horizontal="center" vertical="center"/>
    </xf>
    <xf fontId="9130" applyFont="true" borderId="8" applyBorder="true" applyNumberFormat="true" numFmtId="1" fillId="22" applyFill="true">
      <alignment horizontal="center" vertical="center"/>
    </xf>
    <xf fontId="9131" applyFont="true" borderId="8" applyBorder="true" applyNumberFormat="true" numFmtId="1" fillId="22" applyFill="true">
      <alignment horizontal="center" vertical="center"/>
    </xf>
    <xf fontId="9132" applyFont="true" borderId="8" applyBorder="true" applyNumberFormat="true" numFmtId="1" fillId="22" applyFill="true">
      <alignment horizontal="center" vertical="center"/>
    </xf>
    <xf fontId="9133" applyFont="true" borderId="8" applyBorder="true" applyNumberFormat="true" numFmtId="1" fillId="22" applyFill="true">
      <alignment horizontal="center" vertical="center"/>
    </xf>
    <xf fontId="9134" applyFont="true" borderId="8" applyBorder="true" applyNumberFormat="true" numFmtId="1" fillId="22" applyFill="true">
      <alignment horizontal="center" vertical="center"/>
    </xf>
    <xf fontId="9135" applyFont="true" borderId="8" applyBorder="true" applyNumberFormat="true" numFmtId="1" fillId="22" applyFill="true">
      <alignment horizontal="center" vertical="center"/>
    </xf>
    <xf fontId="9136" applyFont="true" borderId="8" applyBorder="true" applyNumberFormat="true" numFmtId="1" fillId="22" applyFill="true">
      <alignment horizontal="center" vertical="center"/>
    </xf>
    <xf fontId="9137" applyFont="true" borderId="8" applyBorder="true" applyNumberFormat="true" numFmtId="165" fillId="22" applyFill="true">
      <alignment horizontal="center" vertical="center"/>
    </xf>
    <xf fontId="9138" applyFont="true" borderId="8" applyBorder="true" applyNumberFormat="true" numFmtId="165" fillId="22" applyFill="true">
      <alignment horizontal="center" vertical="center"/>
    </xf>
    <xf fontId="9139" applyFont="true" borderId="8" applyBorder="true" applyNumberFormat="true" numFmtId="1" fillId="22" applyFill="true">
      <alignment horizontal="center" vertical="center"/>
    </xf>
    <xf fontId="9140" applyFont="true" borderId="8" applyBorder="true" applyNumberFormat="true" numFmtId="1" fillId="22" applyFill="true">
      <alignment horizontal="center" vertical="center"/>
    </xf>
    <xf fontId="9141" applyFont="true" borderId="8" applyBorder="true" applyNumberFormat="true" numFmtId="1" fillId="22" applyFill="true">
      <alignment horizontal="center" vertical="center"/>
    </xf>
    <xf fontId="9142" applyFont="true" borderId="8" applyBorder="true" applyNumberFormat="true" numFmtId="167" fillId="22" applyFill="true">
      <alignment horizontal="center" vertical="center"/>
    </xf>
    <xf fontId="9143" applyFont="true" borderId="8" applyBorder="true" applyNumberFormat="true" numFmtId="1" fillId="22" applyFill="true">
      <alignment horizontal="center" vertical="center"/>
    </xf>
    <xf fontId="9144" applyFont="true" borderId="8" applyBorder="true" applyNumberFormat="true" numFmtId="167" fillId="22" applyFill="true">
      <alignment horizontal="center" vertical="center"/>
    </xf>
    <xf fontId="9145" applyFont="true" borderId="8" applyBorder="true" applyNumberFormat="true" numFmtId="1" fillId="22" applyFill="true">
      <alignment horizontal="center" vertical="center"/>
    </xf>
    <xf fontId="9146" applyFont="true" borderId="8" applyBorder="true" applyNumberFormat="true" numFmtId="167" fillId="22" applyFill="true">
      <alignment horizontal="center" vertical="center"/>
    </xf>
    <xf fontId="9147" applyFont="true" borderId="8" applyBorder="true" applyNumberFormat="true" numFmtId="1" fillId="22" applyFill="true">
      <alignment horizontal="center" vertical="center"/>
    </xf>
    <xf fontId="9148" applyFont="true" borderId="8" applyBorder="true" applyNumberFormat="true" numFmtId="167" fillId="22" applyFill="true">
      <alignment horizontal="center" vertical="center"/>
    </xf>
    <xf fontId="9149" applyFont="true" borderId="8" applyBorder="true" applyNumberFormat="true" numFmtId="167" fillId="22" applyFill="true">
      <alignment horizontal="center" vertical="center"/>
    </xf>
    <xf fontId="9150" applyFont="true" borderId="8" applyBorder="true" applyNumberFormat="true" numFmtId="1" fillId="22" applyFill="true">
      <alignment horizontal="center" vertical="center"/>
    </xf>
    <xf fontId="9151" applyFont="true" borderId="8" applyBorder="true" applyNumberFormat="true" numFmtId="1" fillId="22" applyFill="true">
      <alignment horizontal="center" vertical="center"/>
    </xf>
    <xf fontId="9152" applyFont="true" borderId="8" applyBorder="true" applyNumberFormat="true" numFmtId="1" fillId="22" applyFill="true">
      <alignment horizontal="center" vertical="center"/>
    </xf>
    <xf fontId="9153" applyFont="true" borderId="8" applyBorder="true" applyNumberFormat="true" numFmtId="167" fillId="22" applyFill="true">
      <alignment horizontal="center" vertical="center"/>
    </xf>
    <xf fontId="9154" applyFont="true" borderId="8" applyBorder="true" applyNumberFormat="true" numFmtId="166" fillId="22" applyFill="true">
      <alignment horizontal="center" vertical="center"/>
    </xf>
    <xf fontId="9155" applyFont="true" borderId="8" applyBorder="true" applyNumberFormat="true" numFmtId="166" fillId="22" applyFill="true">
      <alignment horizontal="center" vertical="center"/>
    </xf>
    <xf fontId="9156" applyFont="true" borderId="8" applyBorder="true" applyNumberFormat="true" numFmtId="1" fillId="22" applyFill="true">
      <alignment horizontal="center" vertical="center"/>
    </xf>
    <xf fontId="9157" applyFont="true" borderId="8" applyBorder="true" applyNumberFormat="true" numFmtId="1" fillId="22" applyFill="true">
      <alignment horizontal="center" vertical="center"/>
    </xf>
    <xf fontId="9158" applyFont="true" borderId="8" applyBorder="true" applyNumberFormat="true" numFmtId="1" fillId="22" applyFill="true">
      <alignment horizontal="center" vertical="center"/>
    </xf>
    <xf fontId="9159" applyFont="true" borderId="8" applyBorder="true" applyNumberFormat="true" numFmtId="167" fillId="22" applyFill="true">
      <alignment horizontal="center" vertical="center"/>
    </xf>
    <xf fontId="9160" applyFont="true" borderId="8" applyBorder="true" applyNumberFormat="true" numFmtId="1" fillId="22" applyFill="true">
      <alignment horizontal="center" vertical="center"/>
    </xf>
    <xf fontId="9161" applyFont="true" borderId="8" applyBorder="true" applyNumberFormat="true" numFmtId="167" fillId="22" applyFill="true">
      <alignment horizontal="center" vertical="center"/>
    </xf>
    <xf fontId="9162" applyFont="true" borderId="8" applyBorder="true" applyNumberFormat="true" numFmtId="1" fillId="22" applyFill="true">
      <alignment horizontal="center" vertical="center"/>
    </xf>
    <xf fontId="9163" applyFont="true" borderId="8" applyBorder="true" applyNumberFormat="true" numFmtId="1" fillId="22" applyFill="true">
      <alignment horizontal="center" vertical="center"/>
    </xf>
    <xf fontId="9164" applyFont="true" borderId="8" applyBorder="true" applyNumberFormat="true" numFmtId="1" fillId="22" applyFill="true">
      <alignment horizontal="center" vertical="center"/>
    </xf>
    <xf fontId="9165" applyFont="true" borderId="8" applyBorder="true" applyNumberFormat="true" numFmtId="1" fillId="22" applyFill="true">
      <alignment horizontal="center" vertical="center"/>
    </xf>
    <xf fontId="9166" applyFont="true" borderId="8" applyBorder="true" applyNumberFormat="true" numFmtId="167" fillId="22" applyFill="true">
      <alignment horizontal="center" vertical="center"/>
    </xf>
    <xf fontId="9167" applyFont="true" borderId="8" applyBorder="true" applyNumberFormat="true" numFmtId="1" fillId="22" applyFill="true">
      <alignment horizontal="center" vertical="center"/>
    </xf>
    <xf fontId="9168" applyFont="true" borderId="8" applyBorder="true" applyNumberFormat="true" numFmtId="167" fillId="22" applyFill="true">
      <alignment horizontal="center" vertical="center"/>
    </xf>
    <xf fontId="9169" applyFont="true" borderId="8" applyBorder="true" applyNumberFormat="true" numFmtId="1" fillId="22" applyFill="true">
      <alignment horizontal="center" vertical="center"/>
    </xf>
    <xf fontId="9170" applyFont="true" borderId="8" applyBorder="true" applyNumberFormat="true" numFmtId="167" fillId="22" applyFill="true">
      <alignment horizontal="center" vertical="center"/>
    </xf>
    <xf fontId="9171" applyFont="true" borderId="8" applyBorder="true" applyNumberFormat="true" numFmtId="2" fillId="22" applyFill="true">
      <alignment horizontal="center" vertical="center"/>
    </xf>
    <xf fontId="9172" applyFont="true" borderId="8" applyBorder="true" applyNumberFormat="true" numFmtId="2" fillId="22" applyFill="true">
      <alignment horizontal="center" vertical="center"/>
    </xf>
    <xf fontId="9173" applyFont="true" borderId="8" applyBorder="true" applyNumberFormat="true" numFmtId="2" fillId="22" applyFill="true">
      <alignment horizontal="center" vertical="center"/>
    </xf>
    <xf fontId="9174" applyFont="true" borderId="8" applyBorder="true" applyNumberFormat="true" numFmtId="2" fillId="22" applyFill="true">
      <alignment horizontal="center" vertical="center"/>
    </xf>
    <xf fontId="9175" applyFont="true" borderId="8" applyBorder="true" applyNumberFormat="true" numFmtId="2" fillId="22" applyFill="true">
      <alignment horizontal="center" vertical="center"/>
    </xf>
    <xf fontId="9176" applyFont="true" borderId="8" applyBorder="true" applyNumberFormat="true" numFmtId="2" fillId="22" applyFill="true">
      <alignment horizontal="center" vertical="center"/>
    </xf>
    <xf fontId="9177" applyFont="true" borderId="8" applyBorder="true" applyNumberFormat="true" numFmtId="2" fillId="22" applyFill="true">
      <alignment horizontal="center" vertical="center"/>
    </xf>
    <xf fontId="9178" applyFont="true" borderId="8" applyBorder="true" applyNumberFormat="true" numFmtId="2" fillId="22" applyFill="true">
      <alignment horizontal="center" vertical="center"/>
    </xf>
    <xf fontId="9179" applyFont="true" borderId="8" applyBorder="true" applyNumberFormat="true" numFmtId="2" fillId="22" applyFill="true">
      <alignment horizontal="center" vertical="center"/>
    </xf>
    <xf fontId="9180" applyFont="true" borderId="8" applyBorder="true" applyNumberFormat="true" numFmtId="2" fillId="22" applyFill="true">
      <alignment horizontal="center" vertical="center"/>
    </xf>
    <xf fontId="9181" applyFont="true" borderId="8" applyBorder="true" applyNumberFormat="true" numFmtId="2" fillId="22" applyFill="true">
      <alignment horizontal="center" vertical="center"/>
    </xf>
    <xf fontId="9182" applyFont="true" borderId="8" applyBorder="true" applyNumberFormat="true" numFmtId="2" fillId="22" applyFill="true">
      <alignment horizontal="center" vertical="center"/>
    </xf>
    <xf fontId="9183" applyFont="true" borderId="8" applyBorder="true" applyNumberFormat="true" numFmtId="2" fillId="22" applyFill="true">
      <alignment horizontal="center" vertical="center"/>
    </xf>
    <xf fontId="9184" applyFont="true" borderId="8" applyBorder="true" applyNumberFormat="true" numFmtId="2" fillId="22" applyFill="true">
      <alignment horizontal="center" vertical="center"/>
    </xf>
    <xf fontId="9185" applyFont="true" borderId="8" applyBorder="true" applyNumberFormat="true" numFmtId="2" fillId="22" applyFill="true">
      <alignment horizontal="center" vertical="center"/>
    </xf>
    <xf fontId="9186" applyFont="true" borderId="8" applyBorder="true" applyNumberFormat="true" numFmtId="2" fillId="22" applyFill="true">
      <alignment horizontal="center" vertical="center"/>
    </xf>
    <xf fontId="9187" applyFont="true" borderId="8" applyBorder="true" applyNumberFormat="true" numFmtId="2" fillId="22" applyFill="true">
      <alignment horizontal="center" vertical="center"/>
    </xf>
    <xf fontId="9188" applyFont="true" borderId="8" applyBorder="true" applyNumberFormat="true" numFmtId="2" fillId="22" applyFill="true">
      <alignment horizontal="center" vertical="center"/>
    </xf>
    <xf fontId="9189" applyFont="true" borderId="8" applyBorder="true" applyNumberFormat="true" numFmtId="2" fillId="22" applyFill="true">
      <alignment horizontal="center" vertical="center"/>
    </xf>
    <xf fontId="9190" applyFont="true" borderId="8" applyBorder="true" applyNumberFormat="true" numFmtId="2" fillId="22" applyFill="true">
      <alignment horizontal="center" vertical="center"/>
    </xf>
    <xf fontId="9191" applyFont="true" borderId="8" applyBorder="true" applyNumberFormat="true" numFmtId="2" fillId="22" applyFill="true">
      <alignment horizontal="center" vertical="center"/>
    </xf>
    <xf fontId="9192" applyFont="true" borderId="8" applyBorder="true" applyNumberFormat="true" numFmtId="2" fillId="22" applyFill="true">
      <alignment horizontal="center" vertical="center"/>
    </xf>
    <xf fontId="9193" applyFont="true" borderId="8" applyBorder="true" applyNumberFormat="true" numFmtId="2" fillId="22" applyFill="true">
      <alignment horizontal="center" vertical="center"/>
    </xf>
    <xf fontId="9194" applyFont="true" borderId="8" applyBorder="true" applyNumberFormat="true" numFmtId="2" fillId="22" applyFill="true">
      <alignment horizontal="center" vertical="center"/>
    </xf>
    <xf fontId="9195" applyFont="true" borderId="8" applyBorder="true" applyNumberFormat="true" numFmtId="2" fillId="22" applyFill="true">
      <alignment horizontal="center" vertical="center"/>
    </xf>
    <xf fontId="9196" applyFont="true" borderId="8" applyBorder="true" applyNumberFormat="true" numFmtId="2" fillId="22" applyFill="true">
      <alignment horizontal="center" vertical="center"/>
    </xf>
    <xf fontId="9197" applyFont="true" borderId="8" applyBorder="true" applyNumberFormat="true" numFmtId="2" fillId="22" applyFill="true">
      <alignment horizontal="center" vertical="center"/>
    </xf>
    <xf fontId="9198" applyFont="true" borderId="8" applyBorder="true" applyNumberFormat="true" numFmtId="2" fillId="22" applyFill="true">
      <alignment horizontal="center" vertical="center"/>
    </xf>
    <xf fontId="9199" applyFont="true" borderId="8" applyBorder="true" applyNumberFormat="true" numFmtId="2" fillId="22" applyFill="true">
      <alignment horizontal="center" vertical="center"/>
    </xf>
    <xf fontId="9200" applyFont="true" borderId="8" applyBorder="true" applyNumberFormat="true" numFmtId="2" fillId="22" applyFill="true">
      <alignment horizontal="center" vertical="center"/>
    </xf>
    <xf fontId="9201" applyFont="true" borderId="8" applyBorder="true" applyNumberFormat="true" numFmtId="2" fillId="22" applyFill="true">
      <alignment horizontal="center" vertical="center"/>
    </xf>
    <xf fontId="9202" applyFont="true" borderId="8" applyBorder="true" applyNumberFormat="true" numFmtId="2" fillId="22" applyFill="true">
      <alignment horizontal="center" vertical="center"/>
    </xf>
    <xf fontId="9203" applyFont="true" borderId="8" applyBorder="true" applyNumberFormat="true" numFmtId="2" fillId="22" applyFill="true">
      <alignment horizontal="center" vertical="center"/>
    </xf>
    <xf fontId="9204" applyFont="true" borderId="8" applyBorder="true" applyNumberFormat="true" numFmtId="2" fillId="22" applyFill="true">
      <alignment horizontal="center" vertical="center"/>
    </xf>
    <xf fontId="9205" applyFont="true" borderId="8" applyBorder="true" applyNumberFormat="true" numFmtId="165" fillId="19" applyFill="true">
      <alignment horizontal="left" vertical="center"/>
    </xf>
    <xf fontId="9206" applyFont="true" borderId="8" applyBorder="true" applyNumberFormat="true" numFmtId="165" fillId="22" applyFill="true">
      <alignment horizontal="center" vertical="center"/>
    </xf>
    <xf fontId="9207" applyFont="true" borderId="8" applyBorder="true" applyNumberFormat="true" numFmtId="166" fillId="22" applyFill="true">
      <alignment horizontal="center" vertical="center"/>
    </xf>
    <xf fontId="9208" applyFont="true" borderId="8" applyBorder="true" applyNumberFormat="true" numFmtId="1" fillId="22" applyFill="true">
      <alignment horizontal="center" vertical="center"/>
    </xf>
    <xf fontId="9209" applyFont="true" borderId="8" applyBorder="true" applyNumberFormat="true" numFmtId="1" fillId="22" applyFill="true">
      <alignment horizontal="center" vertical="center"/>
    </xf>
    <xf fontId="9210" applyFont="true" borderId="8" applyBorder="true" applyNumberFormat="true" numFmtId="1" fillId="22" applyFill="true">
      <alignment horizontal="center" vertical="center"/>
    </xf>
    <xf fontId="9211" applyFont="true" borderId="8" applyBorder="true" applyNumberFormat="true" numFmtId="1" fillId="22" applyFill="true">
      <alignment horizontal="center" vertical="center"/>
    </xf>
    <xf fontId="9212" applyFont="true" borderId="8" applyBorder="true" applyNumberFormat="true" numFmtId="1" fillId="22" applyFill="true">
      <alignment horizontal="center" vertical="center"/>
    </xf>
    <xf fontId="9213" applyFont="true" borderId="8" applyBorder="true" applyNumberFormat="true" numFmtId="1" fillId="22" applyFill="true">
      <alignment horizontal="center" vertical="center"/>
    </xf>
    <xf fontId="9214" applyFont="true" borderId="8" applyBorder="true" applyNumberFormat="true" numFmtId="1" fillId="22" applyFill="true">
      <alignment horizontal="center" vertical="center"/>
    </xf>
    <xf fontId="9215" applyFont="true" borderId="8" applyBorder="true" applyNumberFormat="true" numFmtId="165" fillId="22" applyFill="true">
      <alignment horizontal="center" vertical="center"/>
    </xf>
    <xf fontId="9216" applyFont="true" borderId="8" applyBorder="true" applyNumberFormat="true" numFmtId="165" fillId="22" applyFill="true">
      <alignment horizontal="center" vertical="center"/>
    </xf>
    <xf fontId="9217" applyFont="true" borderId="8" applyBorder="true" applyNumberFormat="true" numFmtId="1" fillId="22" applyFill="true">
      <alignment horizontal="center" vertical="center"/>
    </xf>
    <xf fontId="9218" applyFont="true" borderId="8" applyBorder="true" applyNumberFormat="true" numFmtId="1" fillId="22" applyFill="true">
      <alignment horizontal="center" vertical="center"/>
    </xf>
    <xf fontId="9219" applyFont="true" borderId="8" applyBorder="true" applyNumberFormat="true" numFmtId="1" fillId="22" applyFill="true">
      <alignment horizontal="center" vertical="center"/>
    </xf>
    <xf fontId="9220" applyFont="true" borderId="8" applyBorder="true" applyNumberFormat="true" numFmtId="167" fillId="22" applyFill="true">
      <alignment horizontal="center" vertical="center"/>
    </xf>
    <xf fontId="9221" applyFont="true" borderId="8" applyBorder="true" applyNumberFormat="true" numFmtId="1" fillId="22" applyFill="true">
      <alignment horizontal="center" vertical="center"/>
    </xf>
    <xf fontId="9222" applyFont="true" borderId="8" applyBorder="true" applyNumberFormat="true" numFmtId="167" fillId="22" applyFill="true">
      <alignment horizontal="center" vertical="center"/>
    </xf>
    <xf fontId="9223" applyFont="true" borderId="8" applyBorder="true" applyNumberFormat="true" numFmtId="1" fillId="22" applyFill="true">
      <alignment horizontal="center" vertical="center"/>
    </xf>
    <xf fontId="9224" applyFont="true" borderId="8" applyBorder="true" applyNumberFormat="true" numFmtId="167" fillId="22" applyFill="true">
      <alignment horizontal="center" vertical="center"/>
    </xf>
    <xf fontId="9225" applyFont="true" borderId="8" applyBorder="true" applyNumberFormat="true" numFmtId="1" fillId="22" applyFill="true">
      <alignment horizontal="center" vertical="center"/>
    </xf>
    <xf fontId="9226" applyFont="true" borderId="8" applyBorder="true" applyNumberFormat="true" numFmtId="167" fillId="22" applyFill="true">
      <alignment horizontal="center" vertical="center"/>
    </xf>
    <xf fontId="9227" applyFont="true" borderId="8" applyBorder="true" applyNumberFormat="true" numFmtId="167" fillId="22" applyFill="true">
      <alignment horizontal="center" vertical="center"/>
    </xf>
    <xf fontId="9228" applyFont="true" borderId="8" applyBorder="true" applyNumberFormat="true" numFmtId="1" fillId="22" applyFill="true">
      <alignment horizontal="center" vertical="center"/>
    </xf>
    <xf fontId="9229" applyFont="true" borderId="8" applyBorder="true" applyNumberFormat="true" numFmtId="1" fillId="22" applyFill="true">
      <alignment horizontal="center" vertical="center"/>
    </xf>
    <xf fontId="9230" applyFont="true" borderId="8" applyBorder="true" applyNumberFormat="true" numFmtId="1" fillId="22" applyFill="true">
      <alignment horizontal="center" vertical="center"/>
    </xf>
    <xf fontId="9231" applyFont="true" borderId="8" applyBorder="true" applyNumberFormat="true" numFmtId="167" fillId="22" applyFill="true">
      <alignment horizontal="center" vertical="center"/>
    </xf>
    <xf fontId="9232" applyFont="true" borderId="8" applyBorder="true" applyNumberFormat="true" numFmtId="166" fillId="22" applyFill="true">
      <alignment horizontal="center" vertical="center"/>
    </xf>
    <xf fontId="9233" applyFont="true" borderId="8" applyBorder="true" applyNumberFormat="true" numFmtId="166" fillId="22" applyFill="true">
      <alignment horizontal="center" vertical="center"/>
    </xf>
    <xf fontId="9234" applyFont="true" borderId="8" applyBorder="true" applyNumberFormat="true" numFmtId="1" fillId="22" applyFill="true">
      <alignment horizontal="center" vertical="center"/>
    </xf>
    <xf fontId="9235" applyFont="true" borderId="8" applyBorder="true" applyNumberFormat="true" numFmtId="1" fillId="22" applyFill="true">
      <alignment horizontal="center" vertical="center"/>
    </xf>
    <xf fontId="9236" applyFont="true" borderId="8" applyBorder="true" applyNumberFormat="true" numFmtId="1" fillId="22" applyFill="true">
      <alignment horizontal="center" vertical="center"/>
    </xf>
    <xf fontId="9237" applyFont="true" borderId="8" applyBorder="true" applyNumberFormat="true" numFmtId="167" fillId="22" applyFill="true">
      <alignment horizontal="center" vertical="center"/>
    </xf>
    <xf fontId="9238" applyFont="true" borderId="8" applyBorder="true" applyNumberFormat="true" numFmtId="1" fillId="22" applyFill="true">
      <alignment horizontal="center" vertical="center"/>
    </xf>
    <xf fontId="9239" applyFont="true" borderId="8" applyBorder="true" applyNumberFormat="true" numFmtId="167" fillId="22" applyFill="true">
      <alignment horizontal="center" vertical="center"/>
    </xf>
    <xf fontId="9240" applyFont="true" borderId="8" applyBorder="true" applyNumberFormat="true" numFmtId="1" fillId="22" applyFill="true">
      <alignment horizontal="center" vertical="center"/>
    </xf>
    <xf fontId="9241" applyFont="true" borderId="8" applyBorder="true" applyNumberFormat="true" numFmtId="1" fillId="22" applyFill="true">
      <alignment horizontal="center" vertical="center"/>
    </xf>
    <xf fontId="9242" applyFont="true" borderId="8" applyBorder="true" applyNumberFormat="true" numFmtId="1" fillId="22" applyFill="true">
      <alignment horizontal="center" vertical="center"/>
    </xf>
    <xf fontId="9243" applyFont="true" borderId="8" applyBorder="true" applyNumberFormat="true" numFmtId="1" fillId="22" applyFill="true">
      <alignment horizontal="center" vertical="center"/>
    </xf>
    <xf fontId="9244" applyFont="true" borderId="8" applyBorder="true" applyNumberFormat="true" numFmtId="167" fillId="22" applyFill="true">
      <alignment horizontal="center" vertical="center"/>
    </xf>
    <xf fontId="9245" applyFont="true" borderId="8" applyBorder="true" applyNumberFormat="true" numFmtId="1" fillId="22" applyFill="true">
      <alignment horizontal="center" vertical="center"/>
    </xf>
    <xf fontId="9246" applyFont="true" borderId="8" applyBorder="true" applyNumberFormat="true" numFmtId="167" fillId="22" applyFill="true">
      <alignment horizontal="center" vertical="center"/>
    </xf>
    <xf fontId="9247" applyFont="true" borderId="8" applyBorder="true" applyNumberFormat="true" numFmtId="1" fillId="22" applyFill="true">
      <alignment horizontal="center" vertical="center"/>
    </xf>
    <xf fontId="9248" applyFont="true" borderId="8" applyBorder="true" applyNumberFormat="true" numFmtId="167" fillId="22" applyFill="true">
      <alignment horizontal="center" vertical="center"/>
    </xf>
    <xf fontId="9249" applyFont="true" borderId="8" applyBorder="true" applyNumberFormat="true" numFmtId="2" fillId="22" applyFill="true">
      <alignment horizontal="center" vertical="center"/>
    </xf>
    <xf fontId="9250" applyFont="true" borderId="8" applyBorder="true" applyNumberFormat="true" numFmtId="2" fillId="22" applyFill="true">
      <alignment horizontal="center" vertical="center"/>
    </xf>
    <xf fontId="9251" applyFont="true" borderId="8" applyBorder="true" applyNumberFormat="true" numFmtId="2" fillId="22" applyFill="true">
      <alignment horizontal="center" vertical="center"/>
    </xf>
    <xf fontId="9252" applyFont="true" borderId="8" applyBorder="true" applyNumberFormat="true" numFmtId="2" fillId="22" applyFill="true">
      <alignment horizontal="center" vertical="center"/>
    </xf>
    <xf fontId="9253" applyFont="true" borderId="8" applyBorder="true" applyNumberFormat="true" numFmtId="2" fillId="22" applyFill="true">
      <alignment horizontal="center" vertical="center"/>
    </xf>
    <xf fontId="9254" applyFont="true" borderId="8" applyBorder="true" applyNumberFormat="true" numFmtId="2" fillId="22" applyFill="true">
      <alignment horizontal="center" vertical="center"/>
    </xf>
    <xf fontId="9255" applyFont="true" borderId="8" applyBorder="true" applyNumberFormat="true" numFmtId="2" fillId="22" applyFill="true">
      <alignment horizontal="center" vertical="center"/>
    </xf>
    <xf fontId="9256" applyFont="true" borderId="8" applyBorder="true" applyNumberFormat="true" numFmtId="2" fillId="22" applyFill="true">
      <alignment horizontal="center" vertical="center"/>
    </xf>
    <xf fontId="9257" applyFont="true" borderId="8" applyBorder="true" applyNumberFormat="true" numFmtId="2" fillId="22" applyFill="true">
      <alignment horizontal="center" vertical="center"/>
    </xf>
    <xf fontId="9258" applyFont="true" borderId="8" applyBorder="true" applyNumberFormat="true" numFmtId="2" fillId="22" applyFill="true">
      <alignment horizontal="center" vertical="center"/>
    </xf>
    <xf fontId="9259" applyFont="true" borderId="8" applyBorder="true" applyNumberFormat="true" numFmtId="2" fillId="22" applyFill="true">
      <alignment horizontal="center" vertical="center"/>
    </xf>
    <xf fontId="9260" applyFont="true" borderId="8" applyBorder="true" applyNumberFormat="true" numFmtId="2" fillId="22" applyFill="true">
      <alignment horizontal="center" vertical="center"/>
    </xf>
    <xf fontId="9261" applyFont="true" borderId="8" applyBorder="true" applyNumberFormat="true" numFmtId="2" fillId="22" applyFill="true">
      <alignment horizontal="center" vertical="center"/>
    </xf>
    <xf fontId="9262" applyFont="true" borderId="8" applyBorder="true" applyNumberFormat="true" numFmtId="2" fillId="22" applyFill="true">
      <alignment horizontal="center" vertical="center"/>
    </xf>
    <xf fontId="9263" applyFont="true" borderId="8" applyBorder="true" applyNumberFormat="true" numFmtId="2" fillId="22" applyFill="true">
      <alignment horizontal="center" vertical="center"/>
    </xf>
    <xf fontId="9264" applyFont="true" borderId="8" applyBorder="true" applyNumberFormat="true" numFmtId="2" fillId="22" applyFill="true">
      <alignment horizontal="center" vertical="center"/>
    </xf>
    <xf fontId="9265" applyFont="true" borderId="8" applyBorder="true" applyNumberFormat="true" numFmtId="2" fillId="22" applyFill="true">
      <alignment horizontal="center" vertical="center"/>
    </xf>
    <xf fontId="9266" applyFont="true" borderId="8" applyBorder="true" applyNumberFormat="true" numFmtId="2" fillId="22" applyFill="true">
      <alignment horizontal="center" vertical="center"/>
    </xf>
    <xf fontId="9267" applyFont="true" borderId="8" applyBorder="true" applyNumberFormat="true" numFmtId="2" fillId="22" applyFill="true">
      <alignment horizontal="center" vertical="center"/>
    </xf>
    <xf fontId="9268" applyFont="true" borderId="8" applyBorder="true" applyNumberFormat="true" numFmtId="2" fillId="22" applyFill="true">
      <alignment horizontal="center" vertical="center"/>
    </xf>
    <xf fontId="9269" applyFont="true" borderId="8" applyBorder="true" applyNumberFormat="true" numFmtId="2" fillId="22" applyFill="true">
      <alignment horizontal="center" vertical="center"/>
    </xf>
    <xf fontId="9270" applyFont="true" borderId="8" applyBorder="true" applyNumberFormat="true" numFmtId="2" fillId="22" applyFill="true">
      <alignment horizontal="center" vertical="center"/>
    </xf>
    <xf fontId="9271" applyFont="true" borderId="8" applyBorder="true" applyNumberFormat="true" numFmtId="2" fillId="22" applyFill="true">
      <alignment horizontal="center" vertical="center"/>
    </xf>
    <xf fontId="9272" applyFont="true" borderId="8" applyBorder="true" applyNumberFormat="true" numFmtId="2" fillId="22" applyFill="true">
      <alignment horizontal="center" vertical="center"/>
    </xf>
    <xf fontId="9273" applyFont="true" borderId="8" applyBorder="true" applyNumberFormat="true" numFmtId="2" fillId="22" applyFill="true">
      <alignment horizontal="center" vertical="center"/>
    </xf>
    <xf fontId="9274" applyFont="true" borderId="8" applyBorder="true" applyNumberFormat="true" numFmtId="2" fillId="22" applyFill="true">
      <alignment horizontal="center" vertical="center"/>
    </xf>
    <xf fontId="9275" applyFont="true" borderId="8" applyBorder="true" applyNumberFormat="true" numFmtId="2" fillId="22" applyFill="true">
      <alignment horizontal="center" vertical="center"/>
    </xf>
    <xf fontId="9276" applyFont="true" borderId="8" applyBorder="true" applyNumberFormat="true" numFmtId="2" fillId="22" applyFill="true">
      <alignment horizontal="center" vertical="center"/>
    </xf>
    <xf fontId="9277" applyFont="true" borderId="8" applyBorder="true" applyNumberFormat="true" numFmtId="2" fillId="22" applyFill="true">
      <alignment horizontal="center" vertical="center"/>
    </xf>
    <xf fontId="9278" applyFont="true" borderId="8" applyBorder="true" applyNumberFormat="true" numFmtId="2" fillId="22" applyFill="true">
      <alignment horizontal="center" vertical="center"/>
    </xf>
    <xf fontId="9279" applyFont="true" borderId="8" applyBorder="true" applyNumberFormat="true" numFmtId="2" fillId="22" applyFill="true">
      <alignment horizontal="center" vertical="center"/>
    </xf>
    <xf fontId="9280" applyFont="true" borderId="8" applyBorder="true" applyNumberFormat="true" numFmtId="2" fillId="22" applyFill="true">
      <alignment horizontal="center" vertical="center"/>
    </xf>
    <xf fontId="9281" applyFont="true" borderId="8" applyBorder="true" applyNumberFormat="true" numFmtId="2" fillId="22" applyFill="true">
      <alignment horizontal="center" vertical="center"/>
    </xf>
    <xf fontId="9282" applyFont="true" borderId="8" applyBorder="true" applyNumberFormat="true" numFmtId="2" fillId="22" applyFill="true">
      <alignment horizontal="center" vertical="center"/>
    </xf>
    <xf fontId="9283" applyFont="true" borderId="8" applyBorder="true" applyNumberFormat="true" numFmtId="165" fillId="19" applyFill="true">
      <alignment horizontal="left" vertical="center"/>
    </xf>
    <xf fontId="9284" applyFont="true" borderId="8" applyBorder="true" applyNumberFormat="true" numFmtId="165" fillId="22" applyFill="true">
      <alignment horizontal="center" vertical="center"/>
    </xf>
    <xf fontId="9285" applyFont="true" borderId="8" applyBorder="true" applyNumberFormat="true" numFmtId="166" fillId="22" applyFill="true">
      <alignment horizontal="center" vertical="center"/>
    </xf>
    <xf fontId="9286" applyFont="true" borderId="8" applyBorder="true" applyNumberFormat="true" numFmtId="1" fillId="22" applyFill="true">
      <alignment horizontal="center" vertical="center"/>
    </xf>
    <xf fontId="9287" applyFont="true" borderId="8" applyBorder="true" applyNumberFormat="true" numFmtId="1" fillId="22" applyFill="true">
      <alignment horizontal="center" vertical="center"/>
    </xf>
    <xf fontId="9288" applyFont="true" borderId="8" applyBorder="true" applyNumberFormat="true" numFmtId="1" fillId="22" applyFill="true">
      <alignment horizontal="center" vertical="center"/>
    </xf>
    <xf fontId="9289" applyFont="true" borderId="8" applyBorder="true" applyNumberFormat="true" numFmtId="1" fillId="22" applyFill="true">
      <alignment horizontal="center" vertical="center"/>
    </xf>
    <xf fontId="9290" applyFont="true" borderId="8" applyBorder="true" applyNumberFormat="true" numFmtId="1" fillId="22" applyFill="true">
      <alignment horizontal="center" vertical="center"/>
    </xf>
    <xf fontId="9291" applyFont="true" borderId="8" applyBorder="true" applyNumberFormat="true" numFmtId="1" fillId="22" applyFill="true">
      <alignment horizontal="center" vertical="center"/>
    </xf>
    <xf fontId="9292" applyFont="true" borderId="8" applyBorder="true" applyNumberFormat="true" numFmtId="1" fillId="22" applyFill="true">
      <alignment horizontal="center" vertical="center"/>
    </xf>
    <xf fontId="9293" applyFont="true" borderId="8" applyBorder="true" applyNumberFormat="true" numFmtId="165" fillId="22" applyFill="true">
      <alignment horizontal="center" vertical="center"/>
    </xf>
    <xf fontId="9294" applyFont="true" borderId="8" applyBorder="true" applyNumberFormat="true" numFmtId="165" fillId="22" applyFill="true">
      <alignment horizontal="center" vertical="center"/>
    </xf>
    <xf fontId="9295" applyFont="true" borderId="8" applyBorder="true" applyNumberFormat="true" numFmtId="1" fillId="22" applyFill="true">
      <alignment horizontal="center" vertical="center"/>
    </xf>
    <xf fontId="9296" applyFont="true" borderId="8" applyBorder="true" applyNumberFormat="true" numFmtId="1" fillId="22" applyFill="true">
      <alignment horizontal="center" vertical="center"/>
    </xf>
    <xf fontId="9297" applyFont="true" borderId="8" applyBorder="true" applyNumberFormat="true" numFmtId="1" fillId="22" applyFill="true">
      <alignment horizontal="center" vertical="center"/>
    </xf>
    <xf fontId="9298" applyFont="true" borderId="8" applyBorder="true" applyNumberFormat="true" numFmtId="167" fillId="22" applyFill="true">
      <alignment horizontal="center" vertical="center"/>
    </xf>
    <xf fontId="9299" applyFont="true" borderId="8" applyBorder="true" applyNumberFormat="true" numFmtId="1" fillId="22" applyFill="true">
      <alignment horizontal="center" vertical="center"/>
    </xf>
    <xf fontId="9300" applyFont="true" borderId="8" applyBorder="true" applyNumberFormat="true" numFmtId="167" fillId="22" applyFill="true">
      <alignment horizontal="center" vertical="center"/>
    </xf>
    <xf fontId="9301" applyFont="true" borderId="8" applyBorder="true" applyNumberFormat="true" numFmtId="1" fillId="22" applyFill="true">
      <alignment horizontal="center" vertical="center"/>
    </xf>
    <xf fontId="9302" applyFont="true" borderId="8" applyBorder="true" applyNumberFormat="true" numFmtId="167" fillId="22" applyFill="true">
      <alignment horizontal="center" vertical="center"/>
    </xf>
    <xf fontId="9303" applyFont="true" borderId="8" applyBorder="true" applyNumberFormat="true" numFmtId="1" fillId="22" applyFill="true">
      <alignment horizontal="center" vertical="center"/>
    </xf>
    <xf fontId="9304" applyFont="true" borderId="8" applyBorder="true" applyNumberFormat="true" numFmtId="167" fillId="22" applyFill="true">
      <alignment horizontal="center" vertical="center"/>
    </xf>
    <xf fontId="9305" applyFont="true" borderId="8" applyBorder="true" applyNumberFormat="true" numFmtId="167" fillId="22" applyFill="true">
      <alignment horizontal="center" vertical="center"/>
    </xf>
    <xf fontId="9306" applyFont="true" borderId="8" applyBorder="true" applyNumberFormat="true" numFmtId="1" fillId="22" applyFill="true">
      <alignment horizontal="center" vertical="center"/>
    </xf>
    <xf fontId="9307" applyFont="true" borderId="8" applyBorder="true" applyNumberFormat="true" numFmtId="1" fillId="22" applyFill="true">
      <alignment horizontal="center" vertical="center"/>
    </xf>
    <xf fontId="9308" applyFont="true" borderId="8" applyBorder="true" applyNumberFormat="true" numFmtId="1" fillId="22" applyFill="true">
      <alignment horizontal="center" vertical="center"/>
    </xf>
    <xf fontId="9309" applyFont="true" borderId="8" applyBorder="true" applyNumberFormat="true" numFmtId="167" fillId="22" applyFill="true">
      <alignment horizontal="center" vertical="center"/>
    </xf>
    <xf fontId="9310" applyFont="true" borderId="8" applyBorder="true" applyNumberFormat="true" numFmtId="166" fillId="22" applyFill="true">
      <alignment horizontal="center" vertical="center"/>
    </xf>
    <xf fontId="9311" applyFont="true" borderId="8" applyBorder="true" applyNumberFormat="true" numFmtId="166" fillId="22" applyFill="true">
      <alignment horizontal="center" vertical="center"/>
    </xf>
    <xf fontId="9312" applyFont="true" borderId="8" applyBorder="true" applyNumberFormat="true" numFmtId="1" fillId="22" applyFill="true">
      <alignment horizontal="center" vertical="center"/>
    </xf>
    <xf fontId="9313" applyFont="true" borderId="8" applyBorder="true" applyNumberFormat="true" numFmtId="1" fillId="22" applyFill="true">
      <alignment horizontal="center" vertical="center"/>
    </xf>
    <xf fontId="9314" applyFont="true" borderId="8" applyBorder="true" applyNumberFormat="true" numFmtId="1" fillId="22" applyFill="true">
      <alignment horizontal="center" vertical="center"/>
    </xf>
    <xf fontId="9315" applyFont="true" borderId="8" applyBorder="true" applyNumberFormat="true" numFmtId="167" fillId="22" applyFill="true">
      <alignment horizontal="center" vertical="center"/>
    </xf>
    <xf fontId="9316" applyFont="true" borderId="8" applyBorder="true" applyNumberFormat="true" numFmtId="1" fillId="22" applyFill="true">
      <alignment horizontal="center" vertical="center"/>
    </xf>
    <xf fontId="9317" applyFont="true" borderId="8" applyBorder="true" applyNumberFormat="true" numFmtId="167" fillId="22" applyFill="true">
      <alignment horizontal="center" vertical="center"/>
    </xf>
    <xf fontId="9318" applyFont="true" borderId="8" applyBorder="true" applyNumberFormat="true" numFmtId="1" fillId="22" applyFill="true">
      <alignment horizontal="center" vertical="center"/>
    </xf>
    <xf fontId="9319" applyFont="true" borderId="8" applyBorder="true" applyNumberFormat="true" numFmtId="1" fillId="22" applyFill="true">
      <alignment horizontal="center" vertical="center"/>
    </xf>
    <xf fontId="9320" applyFont="true" borderId="8" applyBorder="true" applyNumberFormat="true" numFmtId="1" fillId="22" applyFill="true">
      <alignment horizontal="center" vertical="center"/>
    </xf>
    <xf fontId="9321" applyFont="true" borderId="8" applyBorder="true" applyNumberFormat="true" numFmtId="1" fillId="22" applyFill="true">
      <alignment horizontal="center" vertical="center"/>
    </xf>
    <xf fontId="9322" applyFont="true" borderId="8" applyBorder="true" applyNumberFormat="true" numFmtId="167" fillId="22" applyFill="true">
      <alignment horizontal="center" vertical="center"/>
    </xf>
    <xf fontId="9323" applyFont="true" borderId="8" applyBorder="true" applyNumberFormat="true" numFmtId="1" fillId="22" applyFill="true">
      <alignment horizontal="center" vertical="center"/>
    </xf>
    <xf fontId="9324" applyFont="true" borderId="8" applyBorder="true" applyNumberFormat="true" numFmtId="167" fillId="22" applyFill="true">
      <alignment horizontal="center" vertical="center"/>
    </xf>
    <xf fontId="9325" applyFont="true" borderId="8" applyBorder="true" applyNumberFormat="true" numFmtId="1" fillId="22" applyFill="true">
      <alignment horizontal="center" vertical="center"/>
    </xf>
    <xf fontId="9326" applyFont="true" borderId="8" applyBorder="true" applyNumberFormat="true" numFmtId="167" fillId="22" applyFill="true">
      <alignment horizontal="center" vertical="center"/>
    </xf>
    <xf fontId="9327" applyFont="true" borderId="8" applyBorder="true" applyNumberFormat="true" numFmtId="2" fillId="22" applyFill="true">
      <alignment horizontal="center" vertical="center"/>
    </xf>
    <xf fontId="9328" applyFont="true" borderId="8" applyBorder="true" applyNumberFormat="true" numFmtId="2" fillId="22" applyFill="true">
      <alignment horizontal="center" vertical="center"/>
    </xf>
    <xf fontId="9329" applyFont="true" borderId="8" applyBorder="true" applyNumberFormat="true" numFmtId="2" fillId="22" applyFill="true">
      <alignment horizontal="center" vertical="center"/>
    </xf>
    <xf fontId="9330" applyFont="true" borderId="8" applyBorder="true" applyNumberFormat="true" numFmtId="2" fillId="22" applyFill="true">
      <alignment horizontal="center" vertical="center"/>
    </xf>
    <xf fontId="9331" applyFont="true" borderId="8" applyBorder="true" applyNumberFormat="true" numFmtId="2" fillId="22" applyFill="true">
      <alignment horizontal="center" vertical="center"/>
    </xf>
    <xf fontId="9332" applyFont="true" borderId="8" applyBorder="true" applyNumberFormat="true" numFmtId="2" fillId="22" applyFill="true">
      <alignment horizontal="center" vertical="center"/>
    </xf>
    <xf fontId="9333" applyFont="true" borderId="8" applyBorder="true" applyNumberFormat="true" numFmtId="2" fillId="22" applyFill="true">
      <alignment horizontal="center" vertical="center"/>
    </xf>
    <xf fontId="9334" applyFont="true" borderId="8" applyBorder="true" applyNumberFormat="true" numFmtId="2" fillId="22" applyFill="true">
      <alignment horizontal="center" vertical="center"/>
    </xf>
    <xf fontId="9335" applyFont="true" borderId="8" applyBorder="true" applyNumberFormat="true" numFmtId="2" fillId="22" applyFill="true">
      <alignment horizontal="center" vertical="center"/>
    </xf>
    <xf fontId="9336" applyFont="true" borderId="8" applyBorder="true" applyNumberFormat="true" numFmtId="2" fillId="22" applyFill="true">
      <alignment horizontal="center" vertical="center"/>
    </xf>
    <xf fontId="9337" applyFont="true" borderId="8" applyBorder="true" applyNumberFormat="true" numFmtId="2" fillId="22" applyFill="true">
      <alignment horizontal="center" vertical="center"/>
    </xf>
    <xf fontId="9338" applyFont="true" borderId="8" applyBorder="true" applyNumberFormat="true" numFmtId="2" fillId="22" applyFill="true">
      <alignment horizontal="center" vertical="center"/>
    </xf>
    <xf fontId="9339" applyFont="true" borderId="8" applyBorder="true" applyNumberFormat="true" numFmtId="2" fillId="22" applyFill="true">
      <alignment horizontal="center" vertical="center"/>
    </xf>
    <xf fontId="9340" applyFont="true" borderId="8" applyBorder="true" applyNumberFormat="true" numFmtId="2" fillId="22" applyFill="true">
      <alignment horizontal="center" vertical="center"/>
    </xf>
    <xf fontId="9341" applyFont="true" borderId="8" applyBorder="true" applyNumberFormat="true" numFmtId="2" fillId="22" applyFill="true">
      <alignment horizontal="center" vertical="center"/>
    </xf>
    <xf fontId="9342" applyFont="true" borderId="8" applyBorder="true" applyNumberFormat="true" numFmtId="2" fillId="22" applyFill="true">
      <alignment horizontal="center" vertical="center"/>
    </xf>
    <xf fontId="9343" applyFont="true" borderId="8" applyBorder="true" applyNumberFormat="true" numFmtId="2" fillId="22" applyFill="true">
      <alignment horizontal="center" vertical="center"/>
    </xf>
    <xf fontId="9344" applyFont="true" borderId="8" applyBorder="true" applyNumberFormat="true" numFmtId="2" fillId="22" applyFill="true">
      <alignment horizontal="center" vertical="center"/>
    </xf>
    <xf fontId="9345" applyFont="true" borderId="8" applyBorder="true" applyNumberFormat="true" numFmtId="2" fillId="22" applyFill="true">
      <alignment horizontal="center" vertical="center"/>
    </xf>
    <xf fontId="9346" applyFont="true" borderId="8" applyBorder="true" applyNumberFormat="true" numFmtId="2" fillId="22" applyFill="true">
      <alignment horizontal="center" vertical="center"/>
    </xf>
    <xf fontId="9347" applyFont="true" borderId="8" applyBorder="true" applyNumberFormat="true" numFmtId="2" fillId="22" applyFill="true">
      <alignment horizontal="center" vertical="center"/>
    </xf>
    <xf fontId="9348" applyFont="true" borderId="8" applyBorder="true" applyNumberFormat="true" numFmtId="2" fillId="22" applyFill="true">
      <alignment horizontal="center" vertical="center"/>
    </xf>
    <xf fontId="9349" applyFont="true" borderId="8" applyBorder="true" applyNumberFormat="true" numFmtId="2" fillId="22" applyFill="true">
      <alignment horizontal="center" vertical="center"/>
    </xf>
    <xf fontId="9350" applyFont="true" borderId="8" applyBorder="true" applyNumberFormat="true" numFmtId="2" fillId="22" applyFill="true">
      <alignment horizontal="center" vertical="center"/>
    </xf>
    <xf fontId="9351" applyFont="true" borderId="8" applyBorder="true" applyNumberFormat="true" numFmtId="2" fillId="22" applyFill="true">
      <alignment horizontal="center" vertical="center"/>
    </xf>
    <xf fontId="9352" applyFont="true" borderId="8" applyBorder="true" applyNumberFormat="true" numFmtId="2" fillId="22" applyFill="true">
      <alignment horizontal="center" vertical="center"/>
    </xf>
    <xf fontId="9353" applyFont="true" borderId="8" applyBorder="true" applyNumberFormat="true" numFmtId="2" fillId="22" applyFill="true">
      <alignment horizontal="center" vertical="center"/>
    </xf>
    <xf fontId="9354" applyFont="true" borderId="8" applyBorder="true" applyNumberFormat="true" numFmtId="2" fillId="22" applyFill="true">
      <alignment horizontal="center" vertical="center"/>
    </xf>
    <xf fontId="9355" applyFont="true" borderId="8" applyBorder="true" applyNumberFormat="true" numFmtId="2" fillId="22" applyFill="true">
      <alignment horizontal="center" vertical="center"/>
    </xf>
    <xf fontId="9356" applyFont="true" borderId="8" applyBorder="true" applyNumberFormat="true" numFmtId="2" fillId="22" applyFill="true">
      <alignment horizontal="center" vertical="center"/>
    </xf>
    <xf fontId="9357" applyFont="true" borderId="8" applyBorder="true" applyNumberFormat="true" numFmtId="2" fillId="22" applyFill="true">
      <alignment horizontal="center" vertical="center"/>
    </xf>
    <xf fontId="9358" applyFont="true" borderId="8" applyBorder="true" applyNumberFormat="true" numFmtId="2" fillId="22" applyFill="true">
      <alignment horizontal="center" vertical="center"/>
    </xf>
    <xf fontId="9359" applyFont="true" borderId="8" applyBorder="true" applyNumberFormat="true" numFmtId="2" fillId="22" applyFill="true">
      <alignment horizontal="center" vertical="center"/>
    </xf>
    <xf fontId="9360" applyFont="true" borderId="8" applyBorder="true" applyNumberFormat="true" numFmtId="2" fillId="22" applyFill="true">
      <alignment horizontal="center" vertical="center"/>
    </xf>
    <xf fontId="9361" applyFont="true" borderId="8" applyBorder="true" applyNumberFormat="true" numFmtId="165" fillId="19" applyFill="true">
      <alignment horizontal="left" vertical="center"/>
    </xf>
    <xf fontId="9362" applyFont="true" borderId="8" applyBorder="true" applyNumberFormat="true" numFmtId="165" fillId="22" applyFill="true">
      <alignment horizontal="center" vertical="center"/>
    </xf>
    <xf fontId="9363" applyFont="true" borderId="8" applyBorder="true" applyNumberFormat="true" numFmtId="166" fillId="22" applyFill="true">
      <alignment horizontal="center" vertical="center"/>
    </xf>
    <xf fontId="9364" applyFont="true" borderId="8" applyBorder="true" applyNumberFormat="true" numFmtId="1" fillId="22" applyFill="true">
      <alignment horizontal="center" vertical="center"/>
    </xf>
    <xf fontId="9365" applyFont="true" borderId="8" applyBorder="true" applyNumberFormat="true" numFmtId="1" fillId="22" applyFill="true">
      <alignment horizontal="center" vertical="center"/>
    </xf>
    <xf fontId="9366" applyFont="true" borderId="8" applyBorder="true" applyNumberFormat="true" numFmtId="1" fillId="22" applyFill="true">
      <alignment horizontal="center" vertical="center"/>
    </xf>
    <xf fontId="9367" applyFont="true" borderId="8" applyBorder="true" applyNumberFormat="true" numFmtId="1" fillId="22" applyFill="true">
      <alignment horizontal="center" vertical="center"/>
    </xf>
    <xf fontId="9368" applyFont="true" borderId="8" applyBorder="true" applyNumberFormat="true" numFmtId="1" fillId="22" applyFill="true">
      <alignment horizontal="center" vertical="center"/>
    </xf>
    <xf fontId="9369" applyFont="true" borderId="8" applyBorder="true" applyNumberFormat="true" numFmtId="1" fillId="22" applyFill="true">
      <alignment horizontal="center" vertical="center"/>
    </xf>
    <xf fontId="9370" applyFont="true" borderId="8" applyBorder="true" applyNumberFormat="true" numFmtId="1" fillId="22" applyFill="true">
      <alignment horizontal="center" vertical="center"/>
    </xf>
    <xf fontId="9371" applyFont="true" borderId="8" applyBorder="true" applyNumberFormat="true" numFmtId="165" fillId="22" applyFill="true">
      <alignment horizontal="center" vertical="center"/>
    </xf>
    <xf fontId="9372" applyFont="true" borderId="8" applyBorder="true" applyNumberFormat="true" numFmtId="165" fillId="22" applyFill="true">
      <alignment horizontal="center" vertical="center"/>
    </xf>
    <xf fontId="9373" applyFont="true" borderId="8" applyBorder="true" applyNumberFormat="true" numFmtId="1" fillId="22" applyFill="true">
      <alignment horizontal="center" vertical="center"/>
    </xf>
    <xf fontId="9374" applyFont="true" borderId="8" applyBorder="true" applyNumberFormat="true" numFmtId="1" fillId="22" applyFill="true">
      <alignment horizontal="center" vertical="center"/>
    </xf>
    <xf fontId="9375" applyFont="true" borderId="8" applyBorder="true" applyNumberFormat="true" numFmtId="1" fillId="22" applyFill="true">
      <alignment horizontal="center" vertical="center"/>
    </xf>
    <xf fontId="9376" applyFont="true" borderId="8" applyBorder="true" applyNumberFormat="true" numFmtId="167" fillId="22" applyFill="true">
      <alignment horizontal="center" vertical="center"/>
    </xf>
    <xf fontId="9377" applyFont="true" borderId="8" applyBorder="true" applyNumberFormat="true" numFmtId="1" fillId="22" applyFill="true">
      <alignment horizontal="center" vertical="center"/>
    </xf>
    <xf fontId="9378" applyFont="true" borderId="8" applyBorder="true" applyNumberFormat="true" numFmtId="167" fillId="22" applyFill="true">
      <alignment horizontal="center" vertical="center"/>
    </xf>
    <xf fontId="9379" applyFont="true" borderId="8" applyBorder="true" applyNumberFormat="true" numFmtId="1" fillId="22" applyFill="true">
      <alignment horizontal="center" vertical="center"/>
    </xf>
    <xf fontId="9380" applyFont="true" borderId="8" applyBorder="true" applyNumberFormat="true" numFmtId="167" fillId="22" applyFill="true">
      <alignment horizontal="center" vertical="center"/>
    </xf>
    <xf fontId="9381" applyFont="true" borderId="8" applyBorder="true" applyNumberFormat="true" numFmtId="1" fillId="22" applyFill="true">
      <alignment horizontal="center" vertical="center"/>
    </xf>
    <xf fontId="9382" applyFont="true" borderId="8" applyBorder="true" applyNumberFormat="true" numFmtId="167" fillId="22" applyFill="true">
      <alignment horizontal="center" vertical="center"/>
    </xf>
    <xf fontId="9383" applyFont="true" borderId="8" applyBorder="true" applyNumberFormat="true" numFmtId="167" fillId="22" applyFill="true">
      <alignment horizontal="center" vertical="center"/>
    </xf>
    <xf fontId="9384" applyFont="true" borderId="8" applyBorder="true" applyNumberFormat="true" numFmtId="1" fillId="22" applyFill="true">
      <alignment horizontal="center" vertical="center"/>
    </xf>
    <xf fontId="9385" applyFont="true" borderId="8" applyBorder="true" applyNumberFormat="true" numFmtId="1" fillId="22" applyFill="true">
      <alignment horizontal="center" vertical="center"/>
    </xf>
    <xf fontId="9386" applyFont="true" borderId="8" applyBorder="true" applyNumberFormat="true" numFmtId="1" fillId="22" applyFill="true">
      <alignment horizontal="center" vertical="center"/>
    </xf>
    <xf fontId="9387" applyFont="true" borderId="8" applyBorder="true" applyNumberFormat="true" numFmtId="167" fillId="22" applyFill="true">
      <alignment horizontal="center" vertical="center"/>
    </xf>
    <xf fontId="9388" applyFont="true" borderId="8" applyBorder="true" applyNumberFormat="true" numFmtId="166" fillId="22" applyFill="true">
      <alignment horizontal="center" vertical="center"/>
    </xf>
    <xf fontId="9389" applyFont="true" borderId="8" applyBorder="true" applyNumberFormat="true" numFmtId="166" fillId="22" applyFill="true">
      <alignment horizontal="center" vertical="center"/>
    </xf>
    <xf fontId="9390" applyFont="true" borderId="8" applyBorder="true" applyNumberFormat="true" numFmtId="1" fillId="22" applyFill="true">
      <alignment horizontal="center" vertical="center"/>
    </xf>
    <xf fontId="9391" applyFont="true" borderId="8" applyBorder="true" applyNumberFormat="true" numFmtId="1" fillId="22" applyFill="true">
      <alignment horizontal="center" vertical="center"/>
    </xf>
    <xf fontId="9392" applyFont="true" borderId="8" applyBorder="true" applyNumberFormat="true" numFmtId="1" fillId="22" applyFill="true">
      <alignment horizontal="center" vertical="center"/>
    </xf>
    <xf fontId="9393" applyFont="true" borderId="8" applyBorder="true" applyNumberFormat="true" numFmtId="167" fillId="22" applyFill="true">
      <alignment horizontal="center" vertical="center"/>
    </xf>
    <xf fontId="9394" applyFont="true" borderId="8" applyBorder="true" applyNumberFormat="true" numFmtId="1" fillId="22" applyFill="true">
      <alignment horizontal="center" vertical="center"/>
    </xf>
    <xf fontId="9395" applyFont="true" borderId="8" applyBorder="true" applyNumberFormat="true" numFmtId="167" fillId="22" applyFill="true">
      <alignment horizontal="center" vertical="center"/>
    </xf>
    <xf fontId="9396" applyFont="true" borderId="8" applyBorder="true" applyNumberFormat="true" numFmtId="1" fillId="22" applyFill="true">
      <alignment horizontal="center" vertical="center"/>
    </xf>
    <xf fontId="9397" applyFont="true" borderId="8" applyBorder="true" applyNumberFormat="true" numFmtId="1" fillId="22" applyFill="true">
      <alignment horizontal="center" vertical="center"/>
    </xf>
    <xf fontId="9398" applyFont="true" borderId="8" applyBorder="true" applyNumberFormat="true" numFmtId="1" fillId="22" applyFill="true">
      <alignment horizontal="center" vertical="center"/>
    </xf>
    <xf fontId="9399" applyFont="true" borderId="8" applyBorder="true" applyNumberFormat="true" numFmtId="1" fillId="22" applyFill="true">
      <alignment horizontal="center" vertical="center"/>
    </xf>
    <xf fontId="9400" applyFont="true" borderId="8" applyBorder="true" applyNumberFormat="true" numFmtId="167" fillId="22" applyFill="true">
      <alignment horizontal="center" vertical="center"/>
    </xf>
    <xf fontId="9401" applyFont="true" borderId="8" applyBorder="true" applyNumberFormat="true" numFmtId="1" fillId="22" applyFill="true">
      <alignment horizontal="center" vertical="center"/>
    </xf>
    <xf fontId="9402" applyFont="true" borderId="8" applyBorder="true" applyNumberFormat="true" numFmtId="167" fillId="22" applyFill="true">
      <alignment horizontal="center" vertical="center"/>
    </xf>
    <xf fontId="9403" applyFont="true" borderId="8" applyBorder="true" applyNumberFormat="true" numFmtId="1" fillId="22" applyFill="true">
      <alignment horizontal="center" vertical="center"/>
    </xf>
    <xf fontId="9404" applyFont="true" borderId="8" applyBorder="true" applyNumberFormat="true" numFmtId="167" fillId="22" applyFill="true">
      <alignment horizontal="center" vertical="center"/>
    </xf>
    <xf fontId="9405" applyFont="true" borderId="8" applyBorder="true" applyNumberFormat="true" numFmtId="2" fillId="22" applyFill="true">
      <alignment horizontal="center" vertical="center"/>
    </xf>
    <xf fontId="9406" applyFont="true" borderId="8" applyBorder="true" applyNumberFormat="true" numFmtId="2" fillId="22" applyFill="true">
      <alignment horizontal="center" vertical="center"/>
    </xf>
    <xf fontId="9407" applyFont="true" borderId="8" applyBorder="true" applyNumberFormat="true" numFmtId="2" fillId="22" applyFill="true">
      <alignment horizontal="center" vertical="center"/>
    </xf>
    <xf fontId="9408" applyFont="true" borderId="8" applyBorder="true" applyNumberFormat="true" numFmtId="2" fillId="22" applyFill="true">
      <alignment horizontal="center" vertical="center"/>
    </xf>
    <xf fontId="9409" applyFont="true" borderId="8" applyBorder="true" applyNumberFormat="true" numFmtId="2" fillId="22" applyFill="true">
      <alignment horizontal="center" vertical="center"/>
    </xf>
    <xf fontId="9410" applyFont="true" borderId="8" applyBorder="true" applyNumberFormat="true" numFmtId="2" fillId="22" applyFill="true">
      <alignment horizontal="center" vertical="center"/>
    </xf>
    <xf fontId="9411" applyFont="true" borderId="8" applyBorder="true" applyNumberFormat="true" numFmtId="2" fillId="22" applyFill="true">
      <alignment horizontal="center" vertical="center"/>
    </xf>
    <xf fontId="9412" applyFont="true" borderId="8" applyBorder="true" applyNumberFormat="true" numFmtId="2" fillId="22" applyFill="true">
      <alignment horizontal="center" vertical="center"/>
    </xf>
    <xf fontId="9413" applyFont="true" borderId="8" applyBorder="true" applyNumberFormat="true" numFmtId="2" fillId="22" applyFill="true">
      <alignment horizontal="center" vertical="center"/>
    </xf>
    <xf fontId="9414" applyFont="true" borderId="8" applyBorder="true" applyNumberFormat="true" numFmtId="2" fillId="22" applyFill="true">
      <alignment horizontal="center" vertical="center"/>
    </xf>
    <xf fontId="9415" applyFont="true" borderId="8" applyBorder="true" applyNumberFormat="true" numFmtId="2" fillId="22" applyFill="true">
      <alignment horizontal="center" vertical="center"/>
    </xf>
    <xf fontId="9416" applyFont="true" borderId="8" applyBorder="true" applyNumberFormat="true" numFmtId="2" fillId="22" applyFill="true">
      <alignment horizontal="center" vertical="center"/>
    </xf>
    <xf fontId="9417" applyFont="true" borderId="8" applyBorder="true" applyNumberFormat="true" numFmtId="2" fillId="22" applyFill="true">
      <alignment horizontal="center" vertical="center"/>
    </xf>
    <xf fontId="9418" applyFont="true" borderId="8" applyBorder="true" applyNumberFormat="true" numFmtId="2" fillId="22" applyFill="true">
      <alignment horizontal="center" vertical="center"/>
    </xf>
    <xf fontId="9419" applyFont="true" borderId="8" applyBorder="true" applyNumberFormat="true" numFmtId="2" fillId="22" applyFill="true">
      <alignment horizontal="center" vertical="center"/>
    </xf>
    <xf fontId="9420" applyFont="true" borderId="8" applyBorder="true" applyNumberFormat="true" numFmtId="2" fillId="22" applyFill="true">
      <alignment horizontal="center" vertical="center"/>
    </xf>
    <xf fontId="9421" applyFont="true" borderId="8" applyBorder="true" applyNumberFormat="true" numFmtId="2" fillId="22" applyFill="true">
      <alignment horizontal="center" vertical="center"/>
    </xf>
    <xf fontId="9422" applyFont="true" borderId="8" applyBorder="true" applyNumberFormat="true" numFmtId="2" fillId="22" applyFill="true">
      <alignment horizontal="center" vertical="center"/>
    </xf>
    <xf fontId="9423" applyFont="true" borderId="8" applyBorder="true" applyNumberFormat="true" numFmtId="2" fillId="22" applyFill="true">
      <alignment horizontal="center" vertical="center"/>
    </xf>
    <xf fontId="9424" applyFont="true" borderId="8" applyBorder="true" applyNumberFormat="true" numFmtId="2" fillId="22" applyFill="true">
      <alignment horizontal="center" vertical="center"/>
    </xf>
    <xf fontId="9425" applyFont="true" borderId="8" applyBorder="true" applyNumberFormat="true" numFmtId="2" fillId="22" applyFill="true">
      <alignment horizontal="center" vertical="center"/>
    </xf>
    <xf fontId="9426" applyFont="true" borderId="8" applyBorder="true" applyNumberFormat="true" numFmtId="2" fillId="22" applyFill="true">
      <alignment horizontal="center" vertical="center"/>
    </xf>
    <xf fontId="9427" applyFont="true" borderId="8" applyBorder="true" applyNumberFormat="true" numFmtId="2" fillId="22" applyFill="true">
      <alignment horizontal="center" vertical="center"/>
    </xf>
    <xf fontId="9428" applyFont="true" borderId="8" applyBorder="true" applyNumberFormat="true" numFmtId="2" fillId="22" applyFill="true">
      <alignment horizontal="center" vertical="center"/>
    </xf>
    <xf fontId="9429" applyFont="true" borderId="8" applyBorder="true" applyNumberFormat="true" numFmtId="2" fillId="22" applyFill="true">
      <alignment horizontal="center" vertical="center"/>
    </xf>
    <xf fontId="9430" applyFont="true" borderId="8" applyBorder="true" applyNumberFormat="true" numFmtId="2" fillId="22" applyFill="true">
      <alignment horizontal="center" vertical="center"/>
    </xf>
    <xf fontId="9431" applyFont="true" borderId="8" applyBorder="true" applyNumberFormat="true" numFmtId="2" fillId="22" applyFill="true">
      <alignment horizontal="center" vertical="center"/>
    </xf>
    <xf fontId="9432" applyFont="true" borderId="8" applyBorder="true" applyNumberFormat="true" numFmtId="2" fillId="22" applyFill="true">
      <alignment horizontal="center" vertical="center"/>
    </xf>
    <xf fontId="9433" applyFont="true" borderId="8" applyBorder="true" applyNumberFormat="true" numFmtId="2" fillId="22" applyFill="true">
      <alignment horizontal="center" vertical="center"/>
    </xf>
    <xf fontId="9434" applyFont="true" borderId="8" applyBorder="true" applyNumberFormat="true" numFmtId="2" fillId="22" applyFill="true">
      <alignment horizontal="center" vertical="center"/>
    </xf>
    <xf fontId="9435" applyFont="true" borderId="8" applyBorder="true" applyNumberFormat="true" numFmtId="2" fillId="22" applyFill="true">
      <alignment horizontal="center" vertical="center"/>
    </xf>
    <xf fontId="9436" applyFont="true" borderId="8" applyBorder="true" applyNumberFormat="true" numFmtId="2" fillId="22" applyFill="true">
      <alignment horizontal="center" vertical="center"/>
    </xf>
    <xf fontId="9437" applyFont="true" borderId="8" applyBorder="true" applyNumberFormat="true" numFmtId="2" fillId="22" applyFill="true">
      <alignment horizontal="center" vertical="center"/>
    </xf>
    <xf fontId="9438" applyFont="true" borderId="8" applyBorder="true" applyNumberFormat="true" numFmtId="2" fillId="22" applyFill="true">
      <alignment horizontal="center" vertical="center"/>
    </xf>
    <xf fontId="9439" applyFont="true" borderId="8" applyBorder="true" applyNumberFormat="true" numFmtId="165" fillId="19" applyFill="true">
      <alignment horizontal="left" vertical="center"/>
    </xf>
    <xf fontId="9440" applyFont="true" borderId="8" applyBorder="true" applyNumberFormat="true" numFmtId="165" fillId="22" applyFill="true">
      <alignment horizontal="center" vertical="center"/>
    </xf>
    <xf fontId="9441" applyFont="true" borderId="8" applyBorder="true" applyNumberFormat="true" numFmtId="166" fillId="22" applyFill="true">
      <alignment horizontal="center" vertical="center"/>
    </xf>
    <xf fontId="9442" applyFont="true" borderId="8" applyBorder="true" applyNumberFormat="true" numFmtId="1" fillId="22" applyFill="true">
      <alignment horizontal="center" vertical="center"/>
    </xf>
    <xf fontId="9443" applyFont="true" borderId="8" applyBorder="true" applyNumberFormat="true" numFmtId="1" fillId="22" applyFill="true">
      <alignment horizontal="center" vertical="center"/>
    </xf>
    <xf fontId="9444" applyFont="true" borderId="8" applyBorder="true" applyNumberFormat="true" numFmtId="1" fillId="22" applyFill="true">
      <alignment horizontal="center" vertical="center"/>
    </xf>
    <xf fontId="9445" applyFont="true" borderId="8" applyBorder="true" applyNumberFormat="true" numFmtId="1" fillId="22" applyFill="true">
      <alignment horizontal="center" vertical="center"/>
    </xf>
    <xf fontId="9446" applyFont="true" borderId="8" applyBorder="true" applyNumberFormat="true" numFmtId="1" fillId="22" applyFill="true">
      <alignment horizontal="center" vertical="center"/>
    </xf>
    <xf fontId="9447" applyFont="true" borderId="8" applyBorder="true" applyNumberFormat="true" numFmtId="1" fillId="22" applyFill="true">
      <alignment horizontal="center" vertical="center"/>
    </xf>
    <xf fontId="9448" applyFont="true" borderId="8" applyBorder="true" applyNumberFormat="true" numFmtId="1" fillId="22" applyFill="true">
      <alignment horizontal="center" vertical="center"/>
    </xf>
    <xf fontId="9449" applyFont="true" borderId="8" applyBorder="true" applyNumberFormat="true" numFmtId="165" fillId="22" applyFill="true">
      <alignment horizontal="center" vertical="center"/>
    </xf>
    <xf fontId="9450" applyFont="true" borderId="8" applyBorder="true" applyNumberFormat="true" numFmtId="165" fillId="22" applyFill="true">
      <alignment horizontal="center" vertical="center"/>
    </xf>
    <xf fontId="9451" applyFont="true" borderId="8" applyBorder="true" applyNumberFormat="true" numFmtId="1" fillId="22" applyFill="true">
      <alignment horizontal="center" vertical="center"/>
    </xf>
    <xf fontId="9452" applyFont="true" borderId="8" applyBorder="true" applyNumberFormat="true" numFmtId="1" fillId="22" applyFill="true">
      <alignment horizontal="center" vertical="center"/>
    </xf>
    <xf fontId="9453" applyFont="true" borderId="8" applyBorder="true" applyNumberFormat="true" numFmtId="1" fillId="22" applyFill="true">
      <alignment horizontal="center" vertical="center"/>
    </xf>
    <xf fontId="9454" applyFont="true" borderId="8" applyBorder="true" applyNumberFormat="true" numFmtId="167" fillId="22" applyFill="true">
      <alignment horizontal="center" vertical="center"/>
    </xf>
    <xf fontId="9455" applyFont="true" borderId="8" applyBorder="true" applyNumberFormat="true" numFmtId="1" fillId="22" applyFill="true">
      <alignment horizontal="center" vertical="center"/>
    </xf>
    <xf fontId="9456" applyFont="true" borderId="8" applyBorder="true" applyNumberFormat="true" numFmtId="167" fillId="22" applyFill="true">
      <alignment horizontal="center" vertical="center"/>
    </xf>
    <xf fontId="9457" applyFont="true" borderId="8" applyBorder="true" applyNumberFormat="true" numFmtId="1" fillId="22" applyFill="true">
      <alignment horizontal="center" vertical="center"/>
    </xf>
    <xf fontId="9458" applyFont="true" borderId="8" applyBorder="true" applyNumberFormat="true" numFmtId="167" fillId="22" applyFill="true">
      <alignment horizontal="center" vertical="center"/>
    </xf>
    <xf fontId="9459" applyFont="true" borderId="8" applyBorder="true" applyNumberFormat="true" numFmtId="1" fillId="22" applyFill="true">
      <alignment horizontal="center" vertical="center"/>
    </xf>
    <xf fontId="9460" applyFont="true" borderId="8" applyBorder="true" applyNumberFormat="true" numFmtId="167" fillId="22" applyFill="true">
      <alignment horizontal="center" vertical="center"/>
    </xf>
    <xf fontId="9461" applyFont="true" borderId="8" applyBorder="true" applyNumberFormat="true" numFmtId="167" fillId="22" applyFill="true">
      <alignment horizontal="center" vertical="center"/>
    </xf>
    <xf fontId="9462" applyFont="true" borderId="8" applyBorder="true" applyNumberFormat="true" numFmtId="1" fillId="22" applyFill="true">
      <alignment horizontal="center" vertical="center"/>
    </xf>
    <xf fontId="9463" applyFont="true" borderId="8" applyBorder="true" applyNumberFormat="true" numFmtId="1" fillId="22" applyFill="true">
      <alignment horizontal="center" vertical="center"/>
    </xf>
    <xf fontId="9464" applyFont="true" borderId="8" applyBorder="true" applyNumberFormat="true" numFmtId="1" fillId="22" applyFill="true">
      <alignment horizontal="center" vertical="center"/>
    </xf>
    <xf fontId="9465" applyFont="true" borderId="8" applyBorder="true" applyNumberFormat="true" numFmtId="167" fillId="22" applyFill="true">
      <alignment horizontal="center" vertical="center"/>
    </xf>
    <xf fontId="9466" applyFont="true" borderId="8" applyBorder="true" applyNumberFormat="true" numFmtId="166" fillId="22" applyFill="true">
      <alignment horizontal="center" vertical="center"/>
    </xf>
    <xf fontId="9467" applyFont="true" borderId="8" applyBorder="true" applyNumberFormat="true" numFmtId="166" fillId="22" applyFill="true">
      <alignment horizontal="center" vertical="center"/>
    </xf>
    <xf fontId="9468" applyFont="true" borderId="8" applyBorder="true" applyNumberFormat="true" numFmtId="1" fillId="22" applyFill="true">
      <alignment horizontal="center" vertical="center"/>
    </xf>
    <xf fontId="9469" applyFont="true" borderId="8" applyBorder="true" applyNumberFormat="true" numFmtId="1" fillId="22" applyFill="true">
      <alignment horizontal="center" vertical="center"/>
    </xf>
    <xf fontId="9470" applyFont="true" borderId="8" applyBorder="true" applyNumberFormat="true" numFmtId="1" fillId="22" applyFill="true">
      <alignment horizontal="center" vertical="center"/>
    </xf>
    <xf fontId="9471" applyFont="true" borderId="8" applyBorder="true" applyNumberFormat="true" numFmtId="167" fillId="22" applyFill="true">
      <alignment horizontal="center" vertical="center"/>
    </xf>
    <xf fontId="9472" applyFont="true" borderId="8" applyBorder="true" applyNumberFormat="true" numFmtId="1" fillId="22" applyFill="true">
      <alignment horizontal="center" vertical="center"/>
    </xf>
    <xf fontId="9473" applyFont="true" borderId="8" applyBorder="true" applyNumberFormat="true" numFmtId="167" fillId="22" applyFill="true">
      <alignment horizontal="center" vertical="center"/>
    </xf>
    <xf fontId="9474" applyFont="true" borderId="8" applyBorder="true" applyNumberFormat="true" numFmtId="1" fillId="22" applyFill="true">
      <alignment horizontal="center" vertical="center"/>
    </xf>
    <xf fontId="9475" applyFont="true" borderId="8" applyBorder="true" applyNumberFormat="true" numFmtId="1" fillId="22" applyFill="true">
      <alignment horizontal="center" vertical="center"/>
    </xf>
    <xf fontId="9476" applyFont="true" borderId="8" applyBorder="true" applyNumberFormat="true" numFmtId="1" fillId="22" applyFill="true">
      <alignment horizontal="center" vertical="center"/>
    </xf>
    <xf fontId="9477" applyFont="true" borderId="8" applyBorder="true" applyNumberFormat="true" numFmtId="1" fillId="22" applyFill="true">
      <alignment horizontal="center" vertical="center"/>
    </xf>
    <xf fontId="9478" applyFont="true" borderId="8" applyBorder="true" applyNumberFormat="true" numFmtId="167" fillId="22" applyFill="true">
      <alignment horizontal="center" vertical="center"/>
    </xf>
    <xf fontId="9479" applyFont="true" borderId="8" applyBorder="true" applyNumberFormat="true" numFmtId="1" fillId="22" applyFill="true">
      <alignment horizontal="center" vertical="center"/>
    </xf>
    <xf fontId="9480" applyFont="true" borderId="8" applyBorder="true" applyNumberFormat="true" numFmtId="167" fillId="22" applyFill="true">
      <alignment horizontal="center" vertical="center"/>
    </xf>
    <xf fontId="9481" applyFont="true" borderId="8" applyBorder="true" applyNumberFormat="true" numFmtId="1" fillId="22" applyFill="true">
      <alignment horizontal="center" vertical="center"/>
    </xf>
    <xf fontId="9482" applyFont="true" borderId="8" applyBorder="true" applyNumberFormat="true" numFmtId="167" fillId="22" applyFill="true">
      <alignment horizontal="center" vertical="center"/>
    </xf>
    <xf fontId="9483" applyFont="true" borderId="8" applyBorder="true" applyNumberFormat="true" numFmtId="2" fillId="22" applyFill="true">
      <alignment horizontal="center" vertical="center"/>
    </xf>
    <xf fontId="9484" applyFont="true" borderId="8" applyBorder="true" applyNumberFormat="true" numFmtId="2" fillId="22" applyFill="true">
      <alignment horizontal="center" vertical="center"/>
    </xf>
    <xf fontId="9485" applyFont="true" borderId="8" applyBorder="true" applyNumberFormat="true" numFmtId="2" fillId="22" applyFill="true">
      <alignment horizontal="center" vertical="center"/>
    </xf>
    <xf fontId="9486" applyFont="true" borderId="8" applyBorder="true" applyNumberFormat="true" numFmtId="2" fillId="22" applyFill="true">
      <alignment horizontal="center" vertical="center"/>
    </xf>
    <xf fontId="9487" applyFont="true" borderId="8" applyBorder="true" applyNumberFormat="true" numFmtId="2" fillId="22" applyFill="true">
      <alignment horizontal="center" vertical="center"/>
    </xf>
    <xf fontId="9488" applyFont="true" borderId="8" applyBorder="true" applyNumberFormat="true" numFmtId="2" fillId="22" applyFill="true">
      <alignment horizontal="center" vertical="center"/>
    </xf>
    <xf fontId="9489" applyFont="true" borderId="8" applyBorder="true" applyNumberFormat="true" numFmtId="2" fillId="22" applyFill="true">
      <alignment horizontal="center" vertical="center"/>
    </xf>
    <xf fontId="9490" applyFont="true" borderId="8" applyBorder="true" applyNumberFormat="true" numFmtId="2" fillId="22" applyFill="true">
      <alignment horizontal="center" vertical="center"/>
    </xf>
    <xf fontId="9491" applyFont="true" borderId="8" applyBorder="true" applyNumberFormat="true" numFmtId="2" fillId="22" applyFill="true">
      <alignment horizontal="center" vertical="center"/>
    </xf>
    <xf fontId="9492" applyFont="true" borderId="8" applyBorder="true" applyNumberFormat="true" numFmtId="2" fillId="22" applyFill="true">
      <alignment horizontal="center" vertical="center"/>
    </xf>
    <xf fontId="9493" applyFont="true" borderId="8" applyBorder="true" applyNumberFormat="true" numFmtId="2" fillId="22" applyFill="true">
      <alignment horizontal="center" vertical="center"/>
    </xf>
    <xf fontId="9494" applyFont="true" borderId="8" applyBorder="true" applyNumberFormat="true" numFmtId="2" fillId="22" applyFill="true">
      <alignment horizontal="center" vertical="center"/>
    </xf>
    <xf fontId="9495" applyFont="true" borderId="8" applyBorder="true" applyNumberFormat="true" numFmtId="2" fillId="22" applyFill="true">
      <alignment horizontal="center" vertical="center"/>
    </xf>
    <xf fontId="9496" applyFont="true" borderId="8" applyBorder="true" applyNumberFormat="true" numFmtId="2" fillId="22" applyFill="true">
      <alignment horizontal="center" vertical="center"/>
    </xf>
    <xf fontId="9497" applyFont="true" borderId="8" applyBorder="true" applyNumberFormat="true" numFmtId="2" fillId="22" applyFill="true">
      <alignment horizontal="center" vertical="center"/>
    </xf>
    <xf fontId="9498" applyFont="true" borderId="8" applyBorder="true" applyNumberFormat="true" numFmtId="2" fillId="22" applyFill="true">
      <alignment horizontal="center" vertical="center"/>
    </xf>
    <xf fontId="9499" applyFont="true" borderId="8" applyBorder="true" applyNumberFormat="true" numFmtId="2" fillId="22" applyFill="true">
      <alignment horizontal="center" vertical="center"/>
    </xf>
    <xf fontId="9500" applyFont="true" borderId="8" applyBorder="true" applyNumberFormat="true" numFmtId="2" fillId="22" applyFill="true">
      <alignment horizontal="center" vertical="center"/>
    </xf>
    <xf fontId="9501" applyFont="true" borderId="8" applyBorder="true" applyNumberFormat="true" numFmtId="2" fillId="22" applyFill="true">
      <alignment horizontal="center" vertical="center"/>
    </xf>
    <xf fontId="9502" applyFont="true" borderId="8" applyBorder="true" applyNumberFormat="true" numFmtId="2" fillId="22" applyFill="true">
      <alignment horizontal="center" vertical="center"/>
    </xf>
    <xf fontId="9503" applyFont="true" borderId="8" applyBorder="true" applyNumberFormat="true" numFmtId="2" fillId="22" applyFill="true">
      <alignment horizontal="center" vertical="center"/>
    </xf>
    <xf fontId="9504" applyFont="true" borderId="8" applyBorder="true" applyNumberFormat="true" numFmtId="2" fillId="22" applyFill="true">
      <alignment horizontal="center" vertical="center"/>
    </xf>
    <xf fontId="9505" applyFont="true" borderId="8" applyBorder="true" applyNumberFormat="true" numFmtId="2" fillId="22" applyFill="true">
      <alignment horizontal="center" vertical="center"/>
    </xf>
    <xf fontId="9506" applyFont="true" borderId="8" applyBorder="true" applyNumberFormat="true" numFmtId="2" fillId="22" applyFill="true">
      <alignment horizontal="center" vertical="center"/>
    </xf>
    <xf fontId="9507" applyFont="true" borderId="8" applyBorder="true" applyNumberFormat="true" numFmtId="2" fillId="22" applyFill="true">
      <alignment horizontal="center" vertical="center"/>
    </xf>
    <xf fontId="9508" applyFont="true" borderId="8" applyBorder="true" applyNumberFormat="true" numFmtId="2" fillId="22" applyFill="true">
      <alignment horizontal="center" vertical="center"/>
    </xf>
    <xf fontId="9509" applyFont="true" borderId="8" applyBorder="true" applyNumberFormat="true" numFmtId="2" fillId="22" applyFill="true">
      <alignment horizontal="center" vertical="center"/>
    </xf>
    <xf fontId="9510" applyFont="true" borderId="8" applyBorder="true" applyNumberFormat="true" numFmtId="2" fillId="22" applyFill="true">
      <alignment horizontal="center" vertical="center"/>
    </xf>
    <xf fontId="9511" applyFont="true" borderId="8" applyBorder="true" applyNumberFormat="true" numFmtId="2" fillId="22" applyFill="true">
      <alignment horizontal="center" vertical="center"/>
    </xf>
    <xf fontId="9512" applyFont="true" borderId="8" applyBorder="true" applyNumberFormat="true" numFmtId="2" fillId="22" applyFill="true">
      <alignment horizontal="center" vertical="center"/>
    </xf>
    <xf fontId="9513" applyFont="true" borderId="8" applyBorder="true" applyNumberFormat="true" numFmtId="2" fillId="22" applyFill="true">
      <alignment horizontal="center" vertical="center"/>
    </xf>
    <xf fontId="9514" applyFont="true" borderId="8" applyBorder="true" applyNumberFormat="true" numFmtId="2" fillId="22" applyFill="true">
      <alignment horizontal="center" vertical="center"/>
    </xf>
    <xf fontId="9515" applyFont="true" borderId="8" applyBorder="true" applyNumberFormat="true" numFmtId="2" fillId="22" applyFill="true">
      <alignment horizontal="center" vertical="center"/>
    </xf>
    <xf fontId="9516" applyFont="true" borderId="8" applyBorder="true" applyNumberFormat="true" numFmtId="2" fillId="22" applyFill="true">
      <alignment horizontal="center" vertical="center"/>
    </xf>
    <xf fontId="9517" applyFont="true" borderId="8" applyBorder="true" applyNumberFormat="true" numFmtId="165" fillId="19" applyFill="true">
      <alignment horizontal="left" vertical="center"/>
    </xf>
    <xf fontId="9518" applyFont="true" borderId="8" applyBorder="true" applyNumberFormat="true" numFmtId="165" fillId="22" applyFill="true">
      <alignment horizontal="center" vertical="center"/>
    </xf>
    <xf fontId="9519" applyFont="true" borderId="8" applyBorder="true" applyNumberFormat="true" numFmtId="166" fillId="22" applyFill="true">
      <alignment horizontal="center" vertical="center"/>
    </xf>
    <xf fontId="9520" applyFont="true" borderId="8" applyBorder="true" applyNumberFormat="true" numFmtId="1" fillId="22" applyFill="true">
      <alignment horizontal="center" vertical="center"/>
    </xf>
    <xf fontId="9521" applyFont="true" borderId="8" applyBorder="true" applyNumberFormat="true" numFmtId="1" fillId="22" applyFill="true">
      <alignment horizontal="center" vertical="center"/>
    </xf>
    <xf fontId="9522" applyFont="true" borderId="8" applyBorder="true" applyNumberFormat="true" numFmtId="1" fillId="22" applyFill="true">
      <alignment horizontal="center" vertical="center"/>
    </xf>
    <xf fontId="9523" applyFont="true" borderId="8" applyBorder="true" applyNumberFormat="true" numFmtId="1" fillId="22" applyFill="true">
      <alignment horizontal="center" vertical="center"/>
    </xf>
    <xf fontId="9524" applyFont="true" borderId="8" applyBorder="true" applyNumberFormat="true" numFmtId="1" fillId="22" applyFill="true">
      <alignment horizontal="center" vertical="center"/>
    </xf>
    <xf fontId="9525" applyFont="true" borderId="8" applyBorder="true" applyNumberFormat="true" numFmtId="1" fillId="22" applyFill="true">
      <alignment horizontal="center" vertical="center"/>
    </xf>
    <xf fontId="9526" applyFont="true" borderId="8" applyBorder="true" applyNumberFormat="true" numFmtId="1" fillId="22" applyFill="true">
      <alignment horizontal="center" vertical="center"/>
    </xf>
    <xf fontId="9527" applyFont="true" borderId="8" applyBorder="true" applyNumberFormat="true" numFmtId="165" fillId="22" applyFill="true">
      <alignment horizontal="center" vertical="center"/>
    </xf>
    <xf fontId="9528" applyFont="true" borderId="8" applyBorder="true" applyNumberFormat="true" numFmtId="165" fillId="22" applyFill="true">
      <alignment horizontal="center" vertical="center"/>
    </xf>
    <xf fontId="9529" applyFont="true" borderId="8" applyBorder="true" applyNumberFormat="true" numFmtId="1" fillId="22" applyFill="true">
      <alignment horizontal="center" vertical="center"/>
    </xf>
    <xf fontId="9530" applyFont="true" borderId="8" applyBorder="true" applyNumberFormat="true" numFmtId="1" fillId="22" applyFill="true">
      <alignment horizontal="center" vertical="center"/>
    </xf>
    <xf fontId="9531" applyFont="true" borderId="8" applyBorder="true" applyNumberFormat="true" numFmtId="1" fillId="22" applyFill="true">
      <alignment horizontal="center" vertical="center"/>
    </xf>
    <xf fontId="9532" applyFont="true" borderId="8" applyBorder="true" applyNumberFormat="true" numFmtId="167" fillId="22" applyFill="true">
      <alignment horizontal="center" vertical="center"/>
    </xf>
    <xf fontId="9533" applyFont="true" borderId="8" applyBorder="true" applyNumberFormat="true" numFmtId="1" fillId="22" applyFill="true">
      <alignment horizontal="center" vertical="center"/>
    </xf>
    <xf fontId="9534" applyFont="true" borderId="8" applyBorder="true" applyNumberFormat="true" numFmtId="167" fillId="22" applyFill="true">
      <alignment horizontal="center" vertical="center"/>
    </xf>
    <xf fontId="9535" applyFont="true" borderId="8" applyBorder="true" applyNumberFormat="true" numFmtId="1" fillId="22" applyFill="true">
      <alignment horizontal="center" vertical="center"/>
    </xf>
    <xf fontId="9536" applyFont="true" borderId="8" applyBorder="true" applyNumberFormat="true" numFmtId="167" fillId="22" applyFill="true">
      <alignment horizontal="center" vertical="center"/>
    </xf>
    <xf fontId="9537" applyFont="true" borderId="8" applyBorder="true" applyNumberFormat="true" numFmtId="1" fillId="22" applyFill="true">
      <alignment horizontal="center" vertical="center"/>
    </xf>
    <xf fontId="9538" applyFont="true" borderId="8" applyBorder="true" applyNumberFormat="true" numFmtId="167" fillId="22" applyFill="true">
      <alignment horizontal="center" vertical="center"/>
    </xf>
    <xf fontId="9539" applyFont="true" borderId="8" applyBorder="true" applyNumberFormat="true" numFmtId="167" fillId="22" applyFill="true">
      <alignment horizontal="center" vertical="center"/>
    </xf>
    <xf fontId="9540" applyFont="true" borderId="8" applyBorder="true" applyNumberFormat="true" numFmtId="1" fillId="22" applyFill="true">
      <alignment horizontal="center" vertical="center"/>
    </xf>
    <xf fontId="9541" applyFont="true" borderId="8" applyBorder="true" applyNumberFormat="true" numFmtId="1" fillId="22" applyFill="true">
      <alignment horizontal="center" vertical="center"/>
    </xf>
    <xf fontId="9542" applyFont="true" borderId="8" applyBorder="true" applyNumberFormat="true" numFmtId="1" fillId="22" applyFill="true">
      <alignment horizontal="center" vertical="center"/>
    </xf>
    <xf fontId="9543" applyFont="true" borderId="8" applyBorder="true" applyNumberFormat="true" numFmtId="167" fillId="22" applyFill="true">
      <alignment horizontal="center" vertical="center"/>
    </xf>
    <xf fontId="9544" applyFont="true" borderId="8" applyBorder="true" applyNumberFormat="true" numFmtId="166" fillId="22" applyFill="true">
      <alignment horizontal="center" vertical="center"/>
    </xf>
    <xf fontId="9545" applyFont="true" borderId="8" applyBorder="true" applyNumberFormat="true" numFmtId="166" fillId="22" applyFill="true">
      <alignment horizontal="center" vertical="center"/>
    </xf>
    <xf fontId="9546" applyFont="true" borderId="8" applyBorder="true" applyNumberFormat="true" numFmtId="1" fillId="22" applyFill="true">
      <alignment horizontal="center" vertical="center"/>
    </xf>
    <xf fontId="9547" applyFont="true" borderId="8" applyBorder="true" applyNumberFormat="true" numFmtId="1" fillId="22" applyFill="true">
      <alignment horizontal="center" vertical="center"/>
    </xf>
    <xf fontId="9548" applyFont="true" borderId="8" applyBorder="true" applyNumberFormat="true" numFmtId="1" fillId="22" applyFill="true">
      <alignment horizontal="center" vertical="center"/>
    </xf>
    <xf fontId="9549" applyFont="true" borderId="8" applyBorder="true" applyNumberFormat="true" numFmtId="167" fillId="22" applyFill="true">
      <alignment horizontal="center" vertical="center"/>
    </xf>
    <xf fontId="9550" applyFont="true" borderId="8" applyBorder="true" applyNumberFormat="true" numFmtId="1" fillId="22" applyFill="true">
      <alignment horizontal="center" vertical="center"/>
    </xf>
    <xf fontId="9551" applyFont="true" borderId="8" applyBorder="true" applyNumberFormat="true" numFmtId="167" fillId="22" applyFill="true">
      <alignment horizontal="center" vertical="center"/>
    </xf>
    <xf fontId="9552" applyFont="true" borderId="8" applyBorder="true" applyNumberFormat="true" numFmtId="1" fillId="22" applyFill="true">
      <alignment horizontal="center" vertical="center"/>
    </xf>
    <xf fontId="9553" applyFont="true" borderId="8" applyBorder="true" applyNumberFormat="true" numFmtId="1" fillId="22" applyFill="true">
      <alignment horizontal="center" vertical="center"/>
    </xf>
    <xf fontId="9554" applyFont="true" borderId="8" applyBorder="true" applyNumberFormat="true" numFmtId="1" fillId="22" applyFill="true">
      <alignment horizontal="center" vertical="center"/>
    </xf>
    <xf fontId="9555" applyFont="true" borderId="8" applyBorder="true" applyNumberFormat="true" numFmtId="1" fillId="22" applyFill="true">
      <alignment horizontal="center" vertical="center"/>
    </xf>
    <xf fontId="9556" applyFont="true" borderId="8" applyBorder="true" applyNumberFormat="true" numFmtId="167" fillId="22" applyFill="true">
      <alignment horizontal="center" vertical="center"/>
    </xf>
    <xf fontId="9557" applyFont="true" borderId="8" applyBorder="true" applyNumberFormat="true" numFmtId="1" fillId="22" applyFill="true">
      <alignment horizontal="center" vertical="center"/>
    </xf>
    <xf fontId="9558" applyFont="true" borderId="8" applyBorder="true" applyNumberFormat="true" numFmtId="167" fillId="22" applyFill="true">
      <alignment horizontal="center" vertical="center"/>
    </xf>
    <xf fontId="9559" applyFont="true" borderId="8" applyBorder="true" applyNumberFormat="true" numFmtId="1" fillId="22" applyFill="true">
      <alignment horizontal="center" vertical="center"/>
    </xf>
    <xf fontId="9560" applyFont="true" borderId="8" applyBorder="true" applyNumberFormat="true" numFmtId="167" fillId="22" applyFill="true">
      <alignment horizontal="center" vertical="center"/>
    </xf>
    <xf fontId="9561" applyFont="true" borderId="8" applyBorder="true" applyNumberFormat="true" numFmtId="2" fillId="22" applyFill="true">
      <alignment horizontal="center" vertical="center"/>
    </xf>
    <xf fontId="9562" applyFont="true" borderId="8" applyBorder="true" applyNumberFormat="true" numFmtId="2" fillId="22" applyFill="true">
      <alignment horizontal="center" vertical="center"/>
    </xf>
    <xf fontId="9563" applyFont="true" borderId="8" applyBorder="true" applyNumberFormat="true" numFmtId="2" fillId="22" applyFill="true">
      <alignment horizontal="center" vertical="center"/>
    </xf>
    <xf fontId="9564" applyFont="true" borderId="8" applyBorder="true" applyNumberFormat="true" numFmtId="2" fillId="22" applyFill="true">
      <alignment horizontal="center" vertical="center"/>
    </xf>
    <xf fontId="9565" applyFont="true" borderId="8" applyBorder="true" applyNumberFormat="true" numFmtId="2" fillId="22" applyFill="true">
      <alignment horizontal="center" vertical="center"/>
    </xf>
    <xf fontId="9566" applyFont="true" borderId="8" applyBorder="true" applyNumberFormat="true" numFmtId="2" fillId="22" applyFill="true">
      <alignment horizontal="center" vertical="center"/>
    </xf>
    <xf fontId="9567" applyFont="true" borderId="8" applyBorder="true" applyNumberFormat="true" numFmtId="2" fillId="22" applyFill="true">
      <alignment horizontal="center" vertical="center"/>
    </xf>
    <xf fontId="9568" applyFont="true" borderId="8" applyBorder="true" applyNumberFormat="true" numFmtId="2" fillId="22" applyFill="true">
      <alignment horizontal="center" vertical="center"/>
    </xf>
    <xf fontId="9569" applyFont="true" borderId="8" applyBorder="true" applyNumberFormat="true" numFmtId="2" fillId="22" applyFill="true">
      <alignment horizontal="center" vertical="center"/>
    </xf>
    <xf fontId="9570" applyFont="true" borderId="8" applyBorder="true" applyNumberFormat="true" numFmtId="2" fillId="22" applyFill="true">
      <alignment horizontal="center" vertical="center"/>
    </xf>
    <xf fontId="9571" applyFont="true" borderId="8" applyBorder="true" applyNumberFormat="true" numFmtId="2" fillId="22" applyFill="true">
      <alignment horizontal="center" vertical="center"/>
    </xf>
    <xf fontId="9572" applyFont="true" borderId="8" applyBorder="true" applyNumberFormat="true" numFmtId="2" fillId="22" applyFill="true">
      <alignment horizontal="center" vertical="center"/>
    </xf>
    <xf fontId="9573" applyFont="true" borderId="8" applyBorder="true" applyNumberFormat="true" numFmtId="2" fillId="22" applyFill="true">
      <alignment horizontal="center" vertical="center"/>
    </xf>
    <xf fontId="9574" applyFont="true" borderId="8" applyBorder="true" applyNumberFormat="true" numFmtId="2" fillId="22" applyFill="true">
      <alignment horizontal="center" vertical="center"/>
    </xf>
    <xf fontId="9575" applyFont="true" borderId="8" applyBorder="true" applyNumberFormat="true" numFmtId="2" fillId="22" applyFill="true">
      <alignment horizontal="center" vertical="center"/>
    </xf>
    <xf fontId="9576" applyFont="true" borderId="8" applyBorder="true" applyNumberFormat="true" numFmtId="2" fillId="22" applyFill="true">
      <alignment horizontal="center" vertical="center"/>
    </xf>
    <xf fontId="9577" applyFont="true" borderId="8" applyBorder="true" applyNumberFormat="true" numFmtId="2" fillId="22" applyFill="true">
      <alignment horizontal="center" vertical="center"/>
    </xf>
    <xf fontId="9578" applyFont="true" borderId="8" applyBorder="true" applyNumberFormat="true" numFmtId="2" fillId="22" applyFill="true">
      <alignment horizontal="center" vertical="center"/>
    </xf>
    <xf fontId="9579" applyFont="true" borderId="8" applyBorder="true" applyNumberFormat="true" numFmtId="2" fillId="22" applyFill="true">
      <alignment horizontal="center" vertical="center"/>
    </xf>
    <xf fontId="9580" applyFont="true" borderId="8" applyBorder="true" applyNumberFormat="true" numFmtId="2" fillId="22" applyFill="true">
      <alignment horizontal="center" vertical="center"/>
    </xf>
    <xf fontId="9581" applyFont="true" borderId="8" applyBorder="true" applyNumberFormat="true" numFmtId="2" fillId="22" applyFill="true">
      <alignment horizontal="center" vertical="center"/>
    </xf>
    <xf fontId="9582" applyFont="true" borderId="8" applyBorder="true" applyNumberFormat="true" numFmtId="2" fillId="22" applyFill="true">
      <alignment horizontal="center" vertical="center"/>
    </xf>
    <xf fontId="9583" applyFont="true" borderId="8" applyBorder="true" applyNumberFormat="true" numFmtId="2" fillId="22" applyFill="true">
      <alignment horizontal="center" vertical="center"/>
    </xf>
    <xf fontId="9584" applyFont="true" borderId="8" applyBorder="true" applyNumberFormat="true" numFmtId="2" fillId="22" applyFill="true">
      <alignment horizontal="center" vertical="center"/>
    </xf>
    <xf fontId="9585" applyFont="true" borderId="8" applyBorder="true" applyNumberFormat="true" numFmtId="2" fillId="22" applyFill="true">
      <alignment horizontal="center" vertical="center"/>
    </xf>
    <xf fontId="9586" applyFont="true" borderId="8" applyBorder="true" applyNumberFormat="true" numFmtId="2" fillId="22" applyFill="true">
      <alignment horizontal="center" vertical="center"/>
    </xf>
    <xf fontId="9587" applyFont="true" borderId="8" applyBorder="true" applyNumberFormat="true" numFmtId="2" fillId="22" applyFill="true">
      <alignment horizontal="center" vertical="center"/>
    </xf>
    <xf fontId="9588" applyFont="true" borderId="8" applyBorder="true" applyNumberFormat="true" numFmtId="2" fillId="22" applyFill="true">
      <alignment horizontal="center" vertical="center"/>
    </xf>
    <xf fontId="9589" applyFont="true" borderId="8" applyBorder="true" applyNumberFormat="true" numFmtId="2" fillId="22" applyFill="true">
      <alignment horizontal="center" vertical="center"/>
    </xf>
    <xf fontId="9590" applyFont="true" borderId="8" applyBorder="true" applyNumberFormat="true" numFmtId="2" fillId="22" applyFill="true">
      <alignment horizontal="center" vertical="center"/>
    </xf>
    <xf fontId="9591" applyFont="true" borderId="8" applyBorder="true" applyNumberFormat="true" numFmtId="2" fillId="22" applyFill="true">
      <alignment horizontal="center" vertical="center"/>
    </xf>
    <xf fontId="9592" applyFont="true" borderId="8" applyBorder="true" applyNumberFormat="true" numFmtId="2" fillId="22" applyFill="true">
      <alignment horizontal="center" vertical="center"/>
    </xf>
    <xf fontId="9593" applyFont="true" borderId="8" applyBorder="true" applyNumberFormat="true" numFmtId="2" fillId="22" applyFill="true">
      <alignment horizontal="center" vertical="center"/>
    </xf>
    <xf fontId="9594" applyFont="true" borderId="8" applyBorder="true" applyNumberFormat="true" numFmtId="2" fillId="22" applyFill="true">
      <alignment horizontal="center" vertical="center"/>
    </xf>
    <xf fontId="9595" applyFont="true" borderId="8" applyBorder="true" applyNumberFormat="true" numFmtId="165" fillId="19" applyFill="true">
      <alignment horizontal="left" vertical="center"/>
    </xf>
    <xf fontId="9596" applyFont="true" borderId="8" applyBorder="true" applyNumberFormat="true" numFmtId="165" fillId="22" applyFill="true">
      <alignment horizontal="center" vertical="center"/>
    </xf>
    <xf fontId="9597" applyFont="true" borderId="8" applyBorder="true" applyNumberFormat="true" numFmtId="166" fillId="22" applyFill="true">
      <alignment horizontal="center" vertical="center"/>
    </xf>
    <xf fontId="9598" applyFont="true" borderId="8" applyBorder="true" applyNumberFormat="true" numFmtId="1" fillId="22" applyFill="true">
      <alignment horizontal="center" vertical="center"/>
    </xf>
    <xf fontId="9599" applyFont="true" borderId="8" applyBorder="true" applyNumberFormat="true" numFmtId="1" fillId="22" applyFill="true">
      <alignment horizontal="center" vertical="center"/>
    </xf>
    <xf fontId="9600" applyFont="true" borderId="8" applyBorder="true" applyNumberFormat="true" numFmtId="1" fillId="22" applyFill="true">
      <alignment horizontal="center" vertical="center"/>
    </xf>
    <xf fontId="9601" applyFont="true" borderId="8" applyBorder="true" applyNumberFormat="true" numFmtId="1" fillId="22" applyFill="true">
      <alignment horizontal="center" vertical="center"/>
    </xf>
    <xf fontId="9602" applyFont="true" borderId="8" applyBorder="true" applyNumberFormat="true" numFmtId="1" fillId="22" applyFill="true">
      <alignment horizontal="center" vertical="center"/>
    </xf>
    <xf fontId="9603" applyFont="true" borderId="8" applyBorder="true" applyNumberFormat="true" numFmtId="1" fillId="22" applyFill="true">
      <alignment horizontal="center" vertical="center"/>
    </xf>
    <xf fontId="9604" applyFont="true" borderId="8" applyBorder="true" applyNumberFormat="true" numFmtId="1" fillId="22" applyFill="true">
      <alignment horizontal="center" vertical="center"/>
    </xf>
    <xf fontId="9605" applyFont="true" borderId="8" applyBorder="true" applyNumberFormat="true" numFmtId="165" fillId="22" applyFill="true">
      <alignment horizontal="center" vertical="center"/>
    </xf>
    <xf fontId="9606" applyFont="true" borderId="8" applyBorder="true" applyNumberFormat="true" numFmtId="165" fillId="22" applyFill="true">
      <alignment horizontal="center" vertical="center"/>
    </xf>
    <xf fontId="9607" applyFont="true" borderId="8" applyBorder="true" applyNumberFormat="true" numFmtId="1" fillId="22" applyFill="true">
      <alignment horizontal="center" vertical="center"/>
    </xf>
    <xf fontId="9608" applyFont="true" borderId="8" applyBorder="true" applyNumberFormat="true" numFmtId="1" fillId="22" applyFill="true">
      <alignment horizontal="center" vertical="center"/>
    </xf>
    <xf fontId="9609" applyFont="true" borderId="8" applyBorder="true" applyNumberFormat="true" numFmtId="1" fillId="22" applyFill="true">
      <alignment horizontal="center" vertical="center"/>
    </xf>
    <xf fontId="9610" applyFont="true" borderId="8" applyBorder="true" applyNumberFormat="true" numFmtId="167" fillId="22" applyFill="true">
      <alignment horizontal="center" vertical="center"/>
    </xf>
    <xf fontId="9611" applyFont="true" borderId="8" applyBorder="true" applyNumberFormat="true" numFmtId="1" fillId="22" applyFill="true">
      <alignment horizontal="center" vertical="center"/>
    </xf>
    <xf fontId="9612" applyFont="true" borderId="8" applyBorder="true" applyNumberFormat="true" numFmtId="167" fillId="22" applyFill="true">
      <alignment horizontal="center" vertical="center"/>
    </xf>
    <xf fontId="9613" applyFont="true" borderId="8" applyBorder="true" applyNumberFormat="true" numFmtId="1" fillId="22" applyFill="true">
      <alignment horizontal="center" vertical="center"/>
    </xf>
    <xf fontId="9614" applyFont="true" borderId="8" applyBorder="true" applyNumberFormat="true" numFmtId="167" fillId="22" applyFill="true">
      <alignment horizontal="center" vertical="center"/>
    </xf>
    <xf fontId="9615" applyFont="true" borderId="8" applyBorder="true" applyNumberFormat="true" numFmtId="1" fillId="22" applyFill="true">
      <alignment horizontal="center" vertical="center"/>
    </xf>
    <xf fontId="9616" applyFont="true" borderId="8" applyBorder="true" applyNumberFormat="true" numFmtId="167" fillId="22" applyFill="true">
      <alignment horizontal="center" vertical="center"/>
    </xf>
    <xf fontId="9617" applyFont="true" borderId="8" applyBorder="true" applyNumberFormat="true" numFmtId="167" fillId="22" applyFill="true">
      <alignment horizontal="center" vertical="center"/>
    </xf>
    <xf fontId="9618" applyFont="true" borderId="8" applyBorder="true" applyNumberFormat="true" numFmtId="1" fillId="22" applyFill="true">
      <alignment horizontal="center" vertical="center"/>
    </xf>
    <xf fontId="9619" applyFont="true" borderId="8" applyBorder="true" applyNumberFormat="true" numFmtId="1" fillId="22" applyFill="true">
      <alignment horizontal="center" vertical="center"/>
    </xf>
    <xf fontId="9620" applyFont="true" borderId="8" applyBorder="true" applyNumberFormat="true" numFmtId="1" fillId="22" applyFill="true">
      <alignment horizontal="center" vertical="center"/>
    </xf>
    <xf fontId="9621" applyFont="true" borderId="8" applyBorder="true" applyNumberFormat="true" numFmtId="167" fillId="22" applyFill="true">
      <alignment horizontal="center" vertical="center"/>
    </xf>
    <xf fontId="9622" applyFont="true" borderId="8" applyBorder="true" applyNumberFormat="true" numFmtId="166" fillId="22" applyFill="true">
      <alignment horizontal="center" vertical="center"/>
    </xf>
    <xf fontId="9623" applyFont="true" borderId="8" applyBorder="true" applyNumberFormat="true" numFmtId="166" fillId="22" applyFill="true">
      <alignment horizontal="center" vertical="center"/>
    </xf>
    <xf fontId="9624" applyFont="true" borderId="8" applyBorder="true" applyNumberFormat="true" numFmtId="1" fillId="22" applyFill="true">
      <alignment horizontal="center" vertical="center"/>
    </xf>
    <xf fontId="9625" applyFont="true" borderId="8" applyBorder="true" applyNumberFormat="true" numFmtId="1" fillId="22" applyFill="true">
      <alignment horizontal="center" vertical="center"/>
    </xf>
    <xf fontId="9626" applyFont="true" borderId="8" applyBorder="true" applyNumberFormat="true" numFmtId="1" fillId="22" applyFill="true">
      <alignment horizontal="center" vertical="center"/>
    </xf>
    <xf fontId="9627" applyFont="true" borderId="8" applyBorder="true" applyNumberFormat="true" numFmtId="167" fillId="22" applyFill="true">
      <alignment horizontal="center" vertical="center"/>
    </xf>
    <xf fontId="9628" applyFont="true" borderId="8" applyBorder="true" applyNumberFormat="true" numFmtId="1" fillId="22" applyFill="true">
      <alignment horizontal="center" vertical="center"/>
    </xf>
    <xf fontId="9629" applyFont="true" borderId="8" applyBorder="true" applyNumberFormat="true" numFmtId="167" fillId="22" applyFill="true">
      <alignment horizontal="center" vertical="center"/>
    </xf>
    <xf fontId="9630" applyFont="true" borderId="8" applyBorder="true" applyNumberFormat="true" numFmtId="1" fillId="22" applyFill="true">
      <alignment horizontal="center" vertical="center"/>
    </xf>
    <xf fontId="9631" applyFont="true" borderId="8" applyBorder="true" applyNumberFormat="true" numFmtId="1" fillId="22" applyFill="true">
      <alignment horizontal="center" vertical="center"/>
    </xf>
    <xf fontId="9632" applyFont="true" borderId="8" applyBorder="true" applyNumberFormat="true" numFmtId="1" fillId="22" applyFill="true">
      <alignment horizontal="center" vertical="center"/>
    </xf>
    <xf fontId="9633" applyFont="true" borderId="8" applyBorder="true" applyNumberFormat="true" numFmtId="1" fillId="22" applyFill="true">
      <alignment horizontal="center" vertical="center"/>
    </xf>
    <xf fontId="9634" applyFont="true" borderId="8" applyBorder="true" applyNumberFormat="true" numFmtId="167" fillId="22" applyFill="true">
      <alignment horizontal="center" vertical="center"/>
    </xf>
    <xf fontId="9635" applyFont="true" borderId="8" applyBorder="true" applyNumberFormat="true" numFmtId="1" fillId="22" applyFill="true">
      <alignment horizontal="center" vertical="center"/>
    </xf>
    <xf fontId="9636" applyFont="true" borderId="8" applyBorder="true" applyNumberFormat="true" numFmtId="167" fillId="22" applyFill="true">
      <alignment horizontal="center" vertical="center"/>
    </xf>
    <xf fontId="9637" applyFont="true" borderId="8" applyBorder="true" applyNumberFormat="true" numFmtId="1" fillId="22" applyFill="true">
      <alignment horizontal="center" vertical="center"/>
    </xf>
    <xf fontId="9638" applyFont="true" borderId="8" applyBorder="true" applyNumberFormat="true" numFmtId="167" fillId="22" applyFill="true">
      <alignment horizontal="center" vertical="center"/>
    </xf>
    <xf fontId="9639" applyFont="true" borderId="8" applyBorder="true" applyNumberFormat="true" numFmtId="2" fillId="22" applyFill="true">
      <alignment horizontal="center" vertical="center"/>
    </xf>
    <xf fontId="9640" applyFont="true" borderId="8" applyBorder="true" applyNumberFormat="true" numFmtId="2" fillId="22" applyFill="true">
      <alignment horizontal="center" vertical="center"/>
    </xf>
    <xf fontId="9641" applyFont="true" borderId="8" applyBorder="true" applyNumberFormat="true" numFmtId="2" fillId="22" applyFill="true">
      <alignment horizontal="center" vertical="center"/>
    </xf>
    <xf fontId="9642" applyFont="true" borderId="8" applyBorder="true" applyNumberFormat="true" numFmtId="2" fillId="22" applyFill="true">
      <alignment horizontal="center" vertical="center"/>
    </xf>
    <xf fontId="9643" applyFont="true" borderId="8" applyBorder="true" applyNumberFormat="true" numFmtId="2" fillId="22" applyFill="true">
      <alignment horizontal="center" vertical="center"/>
    </xf>
    <xf fontId="9644" applyFont="true" borderId="8" applyBorder="true" applyNumberFormat="true" numFmtId="2" fillId="22" applyFill="true">
      <alignment horizontal="center" vertical="center"/>
    </xf>
    <xf fontId="9645" applyFont="true" borderId="8" applyBorder="true" applyNumberFormat="true" numFmtId="2" fillId="22" applyFill="true">
      <alignment horizontal="center" vertical="center"/>
    </xf>
    <xf fontId="9646" applyFont="true" borderId="8" applyBorder="true" applyNumberFormat="true" numFmtId="2" fillId="22" applyFill="true">
      <alignment horizontal="center" vertical="center"/>
    </xf>
    <xf fontId="9647" applyFont="true" borderId="8" applyBorder="true" applyNumberFormat="true" numFmtId="2" fillId="22" applyFill="true">
      <alignment horizontal="center" vertical="center"/>
    </xf>
    <xf fontId="9648" applyFont="true" borderId="8" applyBorder="true" applyNumberFormat="true" numFmtId="2" fillId="22" applyFill="true">
      <alignment horizontal="center" vertical="center"/>
    </xf>
    <xf fontId="9649" applyFont="true" borderId="8" applyBorder="true" applyNumberFormat="true" numFmtId="2" fillId="22" applyFill="true">
      <alignment horizontal="center" vertical="center"/>
    </xf>
    <xf fontId="9650" applyFont="true" borderId="8" applyBorder="true" applyNumberFormat="true" numFmtId="2" fillId="22" applyFill="true">
      <alignment horizontal="center" vertical="center"/>
    </xf>
    <xf fontId="9651" applyFont="true" borderId="8" applyBorder="true" applyNumberFormat="true" numFmtId="2" fillId="22" applyFill="true">
      <alignment horizontal="center" vertical="center"/>
    </xf>
    <xf fontId="9652" applyFont="true" borderId="8" applyBorder="true" applyNumberFormat="true" numFmtId="2" fillId="22" applyFill="true">
      <alignment horizontal="center" vertical="center"/>
    </xf>
    <xf fontId="9653" applyFont="true" borderId="8" applyBorder="true" applyNumberFormat="true" numFmtId="2" fillId="22" applyFill="true">
      <alignment horizontal="center" vertical="center"/>
    </xf>
    <xf fontId="9654" applyFont="true" borderId="8" applyBorder="true" applyNumberFormat="true" numFmtId="2" fillId="22" applyFill="true">
      <alignment horizontal="center" vertical="center"/>
    </xf>
    <xf fontId="9655" applyFont="true" borderId="8" applyBorder="true" applyNumberFormat="true" numFmtId="2" fillId="22" applyFill="true">
      <alignment horizontal="center" vertical="center"/>
    </xf>
    <xf fontId="9656" applyFont="true" borderId="8" applyBorder="true" applyNumberFormat="true" numFmtId="2" fillId="22" applyFill="true">
      <alignment horizontal="center" vertical="center"/>
    </xf>
    <xf fontId="9657" applyFont="true" borderId="8" applyBorder="true" applyNumberFormat="true" numFmtId="2" fillId="22" applyFill="true">
      <alignment horizontal="center" vertical="center"/>
    </xf>
    <xf fontId="9658" applyFont="true" borderId="8" applyBorder="true" applyNumberFormat="true" numFmtId="2" fillId="22" applyFill="true">
      <alignment horizontal="center" vertical="center"/>
    </xf>
    <xf fontId="9659" applyFont="true" borderId="8" applyBorder="true" applyNumberFormat="true" numFmtId="2" fillId="22" applyFill="true">
      <alignment horizontal="center" vertical="center"/>
    </xf>
    <xf fontId="9660" applyFont="true" borderId="8" applyBorder="true" applyNumberFormat="true" numFmtId="2" fillId="22" applyFill="true">
      <alignment horizontal="center" vertical="center"/>
    </xf>
    <xf fontId="9661" applyFont="true" borderId="8" applyBorder="true" applyNumberFormat="true" numFmtId="2" fillId="22" applyFill="true">
      <alignment horizontal="center" vertical="center"/>
    </xf>
    <xf fontId="9662" applyFont="true" borderId="8" applyBorder="true" applyNumberFormat="true" numFmtId="2" fillId="22" applyFill="true">
      <alignment horizontal="center" vertical="center"/>
    </xf>
    <xf fontId="9663" applyFont="true" borderId="8" applyBorder="true" applyNumberFormat="true" numFmtId="2" fillId="22" applyFill="true">
      <alignment horizontal="center" vertical="center"/>
    </xf>
    <xf fontId="9664" applyFont="true" borderId="8" applyBorder="true" applyNumberFormat="true" numFmtId="2" fillId="22" applyFill="true">
      <alignment horizontal="center" vertical="center"/>
    </xf>
    <xf fontId="9665" applyFont="true" borderId="8" applyBorder="true" applyNumberFormat="true" numFmtId="2" fillId="22" applyFill="true">
      <alignment horizontal="center" vertical="center"/>
    </xf>
    <xf fontId="9666" applyFont="true" borderId="8" applyBorder="true" applyNumberFormat="true" numFmtId="2" fillId="22" applyFill="true">
      <alignment horizontal="center" vertical="center"/>
    </xf>
    <xf fontId="9667" applyFont="true" borderId="8" applyBorder="true" applyNumberFormat="true" numFmtId="2" fillId="22" applyFill="true">
      <alignment horizontal="center" vertical="center"/>
    </xf>
    <xf fontId="9668" applyFont="true" borderId="8" applyBorder="true" applyNumberFormat="true" numFmtId="2" fillId="22" applyFill="true">
      <alignment horizontal="center" vertical="center"/>
    </xf>
    <xf fontId="9669" applyFont="true" borderId="8" applyBorder="true" applyNumberFormat="true" numFmtId="2" fillId="22" applyFill="true">
      <alignment horizontal="center" vertical="center"/>
    </xf>
    <xf fontId="9670" applyFont="true" borderId="8" applyBorder="true" applyNumberFormat="true" numFmtId="2" fillId="22" applyFill="true">
      <alignment horizontal="center" vertical="center"/>
    </xf>
    <xf fontId="9671" applyFont="true" borderId="8" applyBorder="true" applyNumberFormat="true" numFmtId="2" fillId="22" applyFill="true">
      <alignment horizontal="center" vertical="center"/>
    </xf>
    <xf fontId="9672" applyFont="true" borderId="8" applyBorder="true" applyNumberFormat="true" numFmtId="2" fillId="22" applyFill="true">
      <alignment horizontal="center" vertical="center"/>
    </xf>
    <xf fontId="9673" applyFont="true" borderId="8" applyBorder="true" applyNumberFormat="true" numFmtId="165" fillId="19" applyFill="true">
      <alignment horizontal="left" vertical="center"/>
    </xf>
    <xf fontId="9674" applyFont="true" borderId="8" applyBorder="true" applyNumberFormat="true" numFmtId="165" fillId="22" applyFill="true">
      <alignment horizontal="center" vertical="center"/>
    </xf>
    <xf fontId="9675" applyFont="true" borderId="8" applyBorder="true" applyNumberFormat="true" numFmtId="166" fillId="22" applyFill="true">
      <alignment horizontal="center" vertical="center"/>
    </xf>
    <xf fontId="9676" applyFont="true" borderId="8" applyBorder="true" applyNumberFormat="true" numFmtId="1" fillId="22" applyFill="true">
      <alignment horizontal="center" vertical="center"/>
    </xf>
    <xf fontId="9677" applyFont="true" borderId="8" applyBorder="true" applyNumberFormat="true" numFmtId="1" fillId="22" applyFill="true">
      <alignment horizontal="center" vertical="center"/>
    </xf>
    <xf fontId="9678" applyFont="true" borderId="8" applyBorder="true" applyNumberFormat="true" numFmtId="1" fillId="22" applyFill="true">
      <alignment horizontal="center" vertical="center"/>
    </xf>
    <xf fontId="9679" applyFont="true" borderId="8" applyBorder="true" applyNumberFormat="true" numFmtId="1" fillId="22" applyFill="true">
      <alignment horizontal="center" vertical="center"/>
    </xf>
    <xf fontId="9680" applyFont="true" borderId="8" applyBorder="true" applyNumberFormat="true" numFmtId="1" fillId="22" applyFill="true">
      <alignment horizontal="center" vertical="center"/>
    </xf>
    <xf fontId="9681" applyFont="true" borderId="8" applyBorder="true" applyNumberFormat="true" numFmtId="1" fillId="22" applyFill="true">
      <alignment horizontal="center" vertical="center"/>
    </xf>
    <xf fontId="9682" applyFont="true" borderId="8" applyBorder="true" applyNumberFormat="true" numFmtId="1" fillId="22" applyFill="true">
      <alignment horizontal="center" vertical="center"/>
    </xf>
    <xf fontId="9683" applyFont="true" borderId="8" applyBorder="true" applyNumberFormat="true" numFmtId="165" fillId="22" applyFill="true">
      <alignment horizontal="center" vertical="center"/>
    </xf>
    <xf fontId="9684" applyFont="true" borderId="8" applyBorder="true" applyNumberFormat="true" numFmtId="165" fillId="22" applyFill="true">
      <alignment horizontal="center" vertical="center"/>
    </xf>
    <xf fontId="9685" applyFont="true" borderId="8" applyBorder="true" applyNumberFormat="true" numFmtId="1" fillId="22" applyFill="true">
      <alignment horizontal="center" vertical="center"/>
    </xf>
    <xf fontId="9686" applyFont="true" borderId="8" applyBorder="true" applyNumberFormat="true" numFmtId="1" fillId="22" applyFill="true">
      <alignment horizontal="center" vertical="center"/>
    </xf>
    <xf fontId="9687" applyFont="true" borderId="8" applyBorder="true" applyNumberFormat="true" numFmtId="1" fillId="22" applyFill="true">
      <alignment horizontal="center" vertical="center"/>
    </xf>
    <xf fontId="9688" applyFont="true" borderId="8" applyBorder="true" applyNumberFormat="true" numFmtId="167" fillId="22" applyFill="true">
      <alignment horizontal="center" vertical="center"/>
    </xf>
    <xf fontId="9689" applyFont="true" borderId="8" applyBorder="true" applyNumberFormat="true" numFmtId="1" fillId="22" applyFill="true">
      <alignment horizontal="center" vertical="center"/>
    </xf>
    <xf fontId="9690" applyFont="true" borderId="8" applyBorder="true" applyNumberFormat="true" numFmtId="167" fillId="22" applyFill="true">
      <alignment horizontal="center" vertical="center"/>
    </xf>
    <xf fontId="9691" applyFont="true" borderId="8" applyBorder="true" applyNumberFormat="true" numFmtId="1" fillId="22" applyFill="true">
      <alignment horizontal="center" vertical="center"/>
    </xf>
    <xf fontId="9692" applyFont="true" borderId="8" applyBorder="true" applyNumberFormat="true" numFmtId="167" fillId="22" applyFill="true">
      <alignment horizontal="center" vertical="center"/>
    </xf>
    <xf fontId="9693" applyFont="true" borderId="8" applyBorder="true" applyNumberFormat="true" numFmtId="1" fillId="22" applyFill="true">
      <alignment horizontal="center" vertical="center"/>
    </xf>
    <xf fontId="9694" applyFont="true" borderId="8" applyBorder="true" applyNumberFormat="true" numFmtId="167" fillId="22" applyFill="true">
      <alignment horizontal="center" vertical="center"/>
    </xf>
    <xf fontId="9695" applyFont="true" borderId="8" applyBorder="true" applyNumberFormat="true" numFmtId="167" fillId="22" applyFill="true">
      <alignment horizontal="center" vertical="center"/>
    </xf>
    <xf fontId="9696" applyFont="true" borderId="8" applyBorder="true" applyNumberFormat="true" numFmtId="1" fillId="22" applyFill="true">
      <alignment horizontal="center" vertical="center"/>
    </xf>
    <xf fontId="9697" applyFont="true" borderId="8" applyBorder="true" applyNumberFormat="true" numFmtId="1" fillId="22" applyFill="true">
      <alignment horizontal="center" vertical="center"/>
    </xf>
    <xf fontId="9698" applyFont="true" borderId="8" applyBorder="true" applyNumberFormat="true" numFmtId="1" fillId="22" applyFill="true">
      <alignment horizontal="center" vertical="center"/>
    </xf>
    <xf fontId="9699" applyFont="true" borderId="8" applyBorder="true" applyNumberFormat="true" numFmtId="167" fillId="22" applyFill="true">
      <alignment horizontal="center" vertical="center"/>
    </xf>
    <xf fontId="9700" applyFont="true" borderId="8" applyBorder="true" applyNumberFormat="true" numFmtId="166" fillId="22" applyFill="true">
      <alignment horizontal="center" vertical="center"/>
    </xf>
    <xf fontId="9701" applyFont="true" borderId="8" applyBorder="true" applyNumberFormat="true" numFmtId="166" fillId="22" applyFill="true">
      <alignment horizontal="center" vertical="center"/>
    </xf>
    <xf fontId="9702" applyFont="true" borderId="8" applyBorder="true" applyNumberFormat="true" numFmtId="1" fillId="22" applyFill="true">
      <alignment horizontal="center" vertical="center"/>
    </xf>
    <xf fontId="9703" applyFont="true" borderId="8" applyBorder="true" applyNumberFormat="true" numFmtId="1" fillId="22" applyFill="true">
      <alignment horizontal="center" vertical="center"/>
    </xf>
    <xf fontId="9704" applyFont="true" borderId="8" applyBorder="true" applyNumberFormat="true" numFmtId="1" fillId="22" applyFill="true">
      <alignment horizontal="center" vertical="center"/>
    </xf>
    <xf fontId="9705" applyFont="true" borderId="8" applyBorder="true" applyNumberFormat="true" numFmtId="167" fillId="22" applyFill="true">
      <alignment horizontal="center" vertical="center"/>
    </xf>
    <xf fontId="9706" applyFont="true" borderId="8" applyBorder="true" applyNumberFormat="true" numFmtId="1" fillId="22" applyFill="true">
      <alignment horizontal="center" vertical="center"/>
    </xf>
    <xf fontId="9707" applyFont="true" borderId="8" applyBorder="true" applyNumberFormat="true" numFmtId="167" fillId="22" applyFill="true">
      <alignment horizontal="center" vertical="center"/>
    </xf>
    <xf fontId="9708" applyFont="true" borderId="8" applyBorder="true" applyNumberFormat="true" numFmtId="1" fillId="22" applyFill="true">
      <alignment horizontal="center" vertical="center"/>
    </xf>
    <xf fontId="9709" applyFont="true" borderId="8" applyBorder="true" applyNumberFormat="true" numFmtId="1" fillId="22" applyFill="true">
      <alignment horizontal="center" vertical="center"/>
    </xf>
    <xf fontId="9710" applyFont="true" borderId="8" applyBorder="true" applyNumberFormat="true" numFmtId="1" fillId="22" applyFill="true">
      <alignment horizontal="center" vertical="center"/>
    </xf>
    <xf fontId="9711" applyFont="true" borderId="8" applyBorder="true" applyNumberFormat="true" numFmtId="1" fillId="22" applyFill="true">
      <alignment horizontal="center" vertical="center"/>
    </xf>
    <xf fontId="9712" applyFont="true" borderId="8" applyBorder="true" applyNumberFormat="true" numFmtId="167" fillId="22" applyFill="true">
      <alignment horizontal="center" vertical="center"/>
    </xf>
    <xf fontId="9713" applyFont="true" borderId="8" applyBorder="true" applyNumberFormat="true" numFmtId="1" fillId="22" applyFill="true">
      <alignment horizontal="center" vertical="center"/>
    </xf>
    <xf fontId="9714" applyFont="true" borderId="8" applyBorder="true" applyNumberFormat="true" numFmtId="167" fillId="22" applyFill="true">
      <alignment horizontal="center" vertical="center"/>
    </xf>
    <xf fontId="9715" applyFont="true" borderId="8" applyBorder="true" applyNumberFormat="true" numFmtId="1" fillId="22" applyFill="true">
      <alignment horizontal="center" vertical="center"/>
    </xf>
    <xf fontId="9716" applyFont="true" borderId="8" applyBorder="true" applyNumberFormat="true" numFmtId="167" fillId="22" applyFill="true">
      <alignment horizontal="center" vertical="center"/>
    </xf>
    <xf fontId="9717" applyFont="true" borderId="8" applyBorder="true" applyNumberFormat="true" numFmtId="2" fillId="22" applyFill="true">
      <alignment horizontal="center" vertical="center"/>
    </xf>
    <xf fontId="9718" applyFont="true" borderId="8" applyBorder="true" applyNumberFormat="true" numFmtId="2" fillId="22" applyFill="true">
      <alignment horizontal="center" vertical="center"/>
    </xf>
    <xf fontId="9719" applyFont="true" borderId="8" applyBorder="true" applyNumberFormat="true" numFmtId="2" fillId="22" applyFill="true">
      <alignment horizontal="center" vertical="center"/>
    </xf>
    <xf fontId="9720" applyFont="true" borderId="8" applyBorder="true" applyNumberFormat="true" numFmtId="2" fillId="22" applyFill="true">
      <alignment horizontal="center" vertical="center"/>
    </xf>
    <xf fontId="9721" applyFont="true" borderId="8" applyBorder="true" applyNumberFormat="true" numFmtId="2" fillId="22" applyFill="true">
      <alignment horizontal="center" vertical="center"/>
    </xf>
    <xf fontId="9722" applyFont="true" borderId="8" applyBorder="true" applyNumberFormat="true" numFmtId="2" fillId="22" applyFill="true">
      <alignment horizontal="center" vertical="center"/>
    </xf>
    <xf fontId="9723" applyFont="true" borderId="8" applyBorder="true" applyNumberFormat="true" numFmtId="2" fillId="22" applyFill="true">
      <alignment horizontal="center" vertical="center"/>
    </xf>
    <xf fontId="9724" applyFont="true" borderId="8" applyBorder="true" applyNumberFormat="true" numFmtId="2" fillId="22" applyFill="true">
      <alignment horizontal="center" vertical="center"/>
    </xf>
    <xf fontId="9725" applyFont="true" borderId="8" applyBorder="true" applyNumberFormat="true" numFmtId="2" fillId="22" applyFill="true">
      <alignment horizontal="center" vertical="center"/>
    </xf>
    <xf fontId="9726" applyFont="true" borderId="8" applyBorder="true" applyNumberFormat="true" numFmtId="2" fillId="22" applyFill="true">
      <alignment horizontal="center" vertical="center"/>
    </xf>
    <xf fontId="9727" applyFont="true" borderId="8" applyBorder="true" applyNumberFormat="true" numFmtId="2" fillId="22" applyFill="true">
      <alignment horizontal="center" vertical="center"/>
    </xf>
    <xf fontId="9728" applyFont="true" borderId="8" applyBorder="true" applyNumberFormat="true" numFmtId="2" fillId="22" applyFill="true">
      <alignment horizontal="center" vertical="center"/>
    </xf>
    <xf fontId="9729" applyFont="true" borderId="8" applyBorder="true" applyNumberFormat="true" numFmtId="2" fillId="22" applyFill="true">
      <alignment horizontal="center" vertical="center"/>
    </xf>
    <xf fontId="9730" applyFont="true" borderId="8" applyBorder="true" applyNumberFormat="true" numFmtId="2" fillId="22" applyFill="true">
      <alignment horizontal="center" vertical="center"/>
    </xf>
    <xf fontId="9731" applyFont="true" borderId="8" applyBorder="true" applyNumberFormat="true" numFmtId="2" fillId="22" applyFill="true">
      <alignment horizontal="center" vertical="center"/>
    </xf>
    <xf fontId="9732" applyFont="true" borderId="8" applyBorder="true" applyNumberFormat="true" numFmtId="2" fillId="22" applyFill="true">
      <alignment horizontal="center" vertical="center"/>
    </xf>
    <xf fontId="9733" applyFont="true" borderId="8" applyBorder="true" applyNumberFormat="true" numFmtId="2" fillId="22" applyFill="true">
      <alignment horizontal="center" vertical="center"/>
    </xf>
    <xf fontId="9734" applyFont="true" borderId="8" applyBorder="true" applyNumberFormat="true" numFmtId="2" fillId="22" applyFill="true">
      <alignment horizontal="center" vertical="center"/>
    </xf>
    <xf fontId="9735" applyFont="true" borderId="8" applyBorder="true" applyNumberFormat="true" numFmtId="2" fillId="22" applyFill="true">
      <alignment horizontal="center" vertical="center"/>
    </xf>
    <xf fontId="9736" applyFont="true" borderId="8" applyBorder="true" applyNumberFormat="true" numFmtId="2" fillId="22" applyFill="true">
      <alignment horizontal="center" vertical="center"/>
    </xf>
    <xf fontId="9737" applyFont="true" borderId="8" applyBorder="true" applyNumberFormat="true" numFmtId="2" fillId="22" applyFill="true">
      <alignment horizontal="center" vertical="center"/>
    </xf>
    <xf fontId="9738" applyFont="true" borderId="8" applyBorder="true" applyNumberFormat="true" numFmtId="2" fillId="22" applyFill="true">
      <alignment horizontal="center" vertical="center"/>
    </xf>
    <xf fontId="9739" applyFont="true" borderId="8" applyBorder="true" applyNumberFormat="true" numFmtId="2" fillId="22" applyFill="true">
      <alignment horizontal="center" vertical="center"/>
    </xf>
    <xf fontId="9740" applyFont="true" borderId="8" applyBorder="true" applyNumberFormat="true" numFmtId="2" fillId="22" applyFill="true">
      <alignment horizontal="center" vertical="center"/>
    </xf>
    <xf fontId="9741" applyFont="true" borderId="8" applyBorder="true" applyNumberFormat="true" numFmtId="2" fillId="22" applyFill="true">
      <alignment horizontal="center" vertical="center"/>
    </xf>
    <xf fontId="9742" applyFont="true" borderId="8" applyBorder="true" applyNumberFormat="true" numFmtId="2" fillId="22" applyFill="true">
      <alignment horizontal="center" vertical="center"/>
    </xf>
    <xf fontId="9743" applyFont="true" borderId="8" applyBorder="true" applyNumberFormat="true" numFmtId="2" fillId="22" applyFill="true">
      <alignment horizontal="center" vertical="center"/>
    </xf>
    <xf fontId="9744" applyFont="true" borderId="8" applyBorder="true" applyNumberFormat="true" numFmtId="2" fillId="22" applyFill="true">
      <alignment horizontal="center" vertical="center"/>
    </xf>
    <xf fontId="9745" applyFont="true" borderId="8" applyBorder="true" applyNumberFormat="true" numFmtId="2" fillId="22" applyFill="true">
      <alignment horizontal="center" vertical="center"/>
    </xf>
    <xf fontId="9746" applyFont="true" borderId="8" applyBorder="true" applyNumberFormat="true" numFmtId="2" fillId="22" applyFill="true">
      <alignment horizontal="center" vertical="center"/>
    </xf>
    <xf fontId="9747" applyFont="true" borderId="8" applyBorder="true" applyNumberFormat="true" numFmtId="2" fillId="22" applyFill="true">
      <alignment horizontal="center" vertical="center"/>
    </xf>
    <xf fontId="9748" applyFont="true" borderId="8" applyBorder="true" applyNumberFormat="true" numFmtId="2" fillId="22" applyFill="true">
      <alignment horizontal="center" vertical="center"/>
    </xf>
    <xf fontId="9749" applyFont="true" borderId="8" applyBorder="true" applyNumberFormat="true" numFmtId="2" fillId="22" applyFill="true">
      <alignment horizontal="center" vertical="center"/>
    </xf>
    <xf fontId="9750" applyFont="true" borderId="8" applyBorder="true" applyNumberFormat="true" numFmtId="2" fillId="22" applyFill="true">
      <alignment horizontal="center" vertical="center"/>
    </xf>
    <xf fontId="9751" applyFont="true" borderId="8" applyBorder="true" applyNumberFormat="true" numFmtId="165" fillId="19" applyFill="true">
      <alignment horizontal="left" vertical="center"/>
    </xf>
    <xf fontId="9752" applyFont="true" borderId="8" applyBorder="true" applyNumberFormat="true" numFmtId="165" fillId="22" applyFill="true">
      <alignment horizontal="center" vertical="center"/>
    </xf>
    <xf fontId="9753" applyFont="true" borderId="8" applyBorder="true" applyNumberFormat="true" numFmtId="166" fillId="22" applyFill="true">
      <alignment horizontal="center" vertical="center"/>
    </xf>
    <xf fontId="9754" applyFont="true" borderId="8" applyBorder="true" applyNumberFormat="true" numFmtId="1" fillId="22" applyFill="true">
      <alignment horizontal="center" vertical="center"/>
    </xf>
    <xf fontId="9755" applyFont="true" borderId="8" applyBorder="true" applyNumberFormat="true" numFmtId="1" fillId="22" applyFill="true">
      <alignment horizontal="center" vertical="center"/>
    </xf>
    <xf fontId="9756" applyFont="true" borderId="8" applyBorder="true" applyNumberFormat="true" numFmtId="1" fillId="22" applyFill="true">
      <alignment horizontal="center" vertical="center"/>
    </xf>
    <xf fontId="9757" applyFont="true" borderId="8" applyBorder="true" applyNumberFormat="true" numFmtId="1" fillId="22" applyFill="true">
      <alignment horizontal="center" vertical="center"/>
    </xf>
    <xf fontId="9758" applyFont="true" borderId="8" applyBorder="true" applyNumberFormat="true" numFmtId="1" fillId="22" applyFill="true">
      <alignment horizontal="center" vertical="center"/>
    </xf>
    <xf fontId="9759" applyFont="true" borderId="8" applyBorder="true" applyNumberFormat="true" numFmtId="1" fillId="22" applyFill="true">
      <alignment horizontal="center" vertical="center"/>
    </xf>
    <xf fontId="9760" applyFont="true" borderId="8" applyBorder="true" applyNumberFormat="true" numFmtId="1" fillId="22" applyFill="true">
      <alignment horizontal="center" vertical="center"/>
    </xf>
    <xf fontId="9761" applyFont="true" borderId="8" applyBorder="true" applyNumberFormat="true" numFmtId="165" fillId="22" applyFill="true">
      <alignment horizontal="center" vertical="center"/>
    </xf>
    <xf fontId="9762" applyFont="true" borderId="8" applyBorder="true" applyNumberFormat="true" numFmtId="165" fillId="22" applyFill="true">
      <alignment horizontal="center" vertical="center"/>
    </xf>
    <xf fontId="9763" applyFont="true" borderId="8" applyBorder="true" applyNumberFormat="true" numFmtId="1" fillId="22" applyFill="true">
      <alignment horizontal="center" vertical="center"/>
    </xf>
    <xf fontId="9764" applyFont="true" borderId="8" applyBorder="true" applyNumberFormat="true" numFmtId="1" fillId="22" applyFill="true">
      <alignment horizontal="center" vertical="center"/>
    </xf>
    <xf fontId="9765" applyFont="true" borderId="8" applyBorder="true" applyNumberFormat="true" numFmtId="1" fillId="22" applyFill="true">
      <alignment horizontal="center" vertical="center"/>
    </xf>
    <xf fontId="9766" applyFont="true" borderId="8" applyBorder="true" applyNumberFormat="true" numFmtId="167" fillId="22" applyFill="true">
      <alignment horizontal="center" vertical="center"/>
    </xf>
    <xf fontId="9767" applyFont="true" borderId="8" applyBorder="true" applyNumberFormat="true" numFmtId="1" fillId="22" applyFill="true">
      <alignment horizontal="center" vertical="center"/>
    </xf>
    <xf fontId="9768" applyFont="true" borderId="8" applyBorder="true" applyNumberFormat="true" numFmtId="167" fillId="22" applyFill="true">
      <alignment horizontal="center" vertical="center"/>
    </xf>
    <xf fontId="9769" applyFont="true" borderId="8" applyBorder="true" applyNumberFormat="true" numFmtId="1" fillId="22" applyFill="true">
      <alignment horizontal="center" vertical="center"/>
    </xf>
    <xf fontId="9770" applyFont="true" borderId="8" applyBorder="true" applyNumberFormat="true" numFmtId="167" fillId="22" applyFill="true">
      <alignment horizontal="center" vertical="center"/>
    </xf>
    <xf fontId="9771" applyFont="true" borderId="8" applyBorder="true" applyNumberFormat="true" numFmtId="1" fillId="22" applyFill="true">
      <alignment horizontal="center" vertical="center"/>
    </xf>
    <xf fontId="9772" applyFont="true" borderId="8" applyBorder="true" applyNumberFormat="true" numFmtId="167" fillId="22" applyFill="true">
      <alignment horizontal="center" vertical="center"/>
    </xf>
    <xf fontId="9773" applyFont="true" borderId="8" applyBorder="true" applyNumberFormat="true" numFmtId="167" fillId="22" applyFill="true">
      <alignment horizontal="center" vertical="center"/>
    </xf>
    <xf fontId="9774" applyFont="true" borderId="8" applyBorder="true" applyNumberFormat="true" numFmtId="1" fillId="22" applyFill="true">
      <alignment horizontal="center" vertical="center"/>
    </xf>
    <xf fontId="9775" applyFont="true" borderId="8" applyBorder="true" applyNumberFormat="true" numFmtId="1" fillId="22" applyFill="true">
      <alignment horizontal="center" vertical="center"/>
    </xf>
    <xf fontId="9776" applyFont="true" borderId="8" applyBorder="true" applyNumberFormat="true" numFmtId="1" fillId="22" applyFill="true">
      <alignment horizontal="center" vertical="center"/>
    </xf>
    <xf fontId="9777" applyFont="true" borderId="8" applyBorder="true" applyNumberFormat="true" numFmtId="167" fillId="22" applyFill="true">
      <alignment horizontal="center" vertical="center"/>
    </xf>
    <xf fontId="9778" applyFont="true" borderId="8" applyBorder="true" applyNumberFormat="true" numFmtId="166" fillId="22" applyFill="true">
      <alignment horizontal="center" vertical="center"/>
    </xf>
    <xf fontId="9779" applyFont="true" borderId="8" applyBorder="true" applyNumberFormat="true" numFmtId="166" fillId="22" applyFill="true">
      <alignment horizontal="center" vertical="center"/>
    </xf>
    <xf fontId="9780" applyFont="true" borderId="8" applyBorder="true" applyNumberFormat="true" numFmtId="1" fillId="22" applyFill="true">
      <alignment horizontal="center" vertical="center"/>
    </xf>
    <xf fontId="9781" applyFont="true" borderId="8" applyBorder="true" applyNumberFormat="true" numFmtId="1" fillId="22" applyFill="true">
      <alignment horizontal="center" vertical="center"/>
    </xf>
    <xf fontId="9782" applyFont="true" borderId="8" applyBorder="true" applyNumberFormat="true" numFmtId="1" fillId="22" applyFill="true">
      <alignment horizontal="center" vertical="center"/>
    </xf>
    <xf fontId="9783" applyFont="true" borderId="8" applyBorder="true" applyNumberFormat="true" numFmtId="167" fillId="22" applyFill="true">
      <alignment horizontal="center" vertical="center"/>
    </xf>
    <xf fontId="9784" applyFont="true" borderId="8" applyBorder="true" applyNumberFormat="true" numFmtId="1" fillId="22" applyFill="true">
      <alignment horizontal="center" vertical="center"/>
    </xf>
    <xf fontId="9785" applyFont="true" borderId="8" applyBorder="true" applyNumberFormat="true" numFmtId="167" fillId="22" applyFill="true">
      <alignment horizontal="center" vertical="center"/>
    </xf>
    <xf fontId="9786" applyFont="true" borderId="8" applyBorder="true" applyNumberFormat="true" numFmtId="1" fillId="22" applyFill="true">
      <alignment horizontal="center" vertical="center"/>
    </xf>
    <xf fontId="9787" applyFont="true" borderId="8" applyBorder="true" applyNumberFormat="true" numFmtId="1" fillId="22" applyFill="true">
      <alignment horizontal="center" vertical="center"/>
    </xf>
    <xf fontId="9788" applyFont="true" borderId="8" applyBorder="true" applyNumberFormat="true" numFmtId="1" fillId="22" applyFill="true">
      <alignment horizontal="center" vertical="center"/>
    </xf>
    <xf fontId="9789" applyFont="true" borderId="8" applyBorder="true" applyNumberFormat="true" numFmtId="1" fillId="22" applyFill="true">
      <alignment horizontal="center" vertical="center"/>
    </xf>
    <xf fontId="9790" applyFont="true" borderId="8" applyBorder="true" applyNumberFormat="true" numFmtId="167" fillId="22" applyFill="true">
      <alignment horizontal="center" vertical="center"/>
    </xf>
    <xf fontId="9791" applyFont="true" borderId="8" applyBorder="true" applyNumberFormat="true" numFmtId="1" fillId="22" applyFill="true">
      <alignment horizontal="center" vertical="center"/>
    </xf>
    <xf fontId="9792" applyFont="true" borderId="8" applyBorder="true" applyNumberFormat="true" numFmtId="167" fillId="22" applyFill="true">
      <alignment horizontal="center" vertical="center"/>
    </xf>
    <xf fontId="9793" applyFont="true" borderId="8" applyBorder="true" applyNumberFormat="true" numFmtId="1" fillId="22" applyFill="true">
      <alignment horizontal="center" vertical="center"/>
    </xf>
    <xf fontId="9794" applyFont="true" borderId="8" applyBorder="true" applyNumberFormat="true" numFmtId="167" fillId="22" applyFill="true">
      <alignment horizontal="center" vertical="center"/>
    </xf>
    <xf fontId="9795" applyFont="true" borderId="8" applyBorder="true" applyNumberFormat="true" numFmtId="2" fillId="22" applyFill="true">
      <alignment horizontal="center" vertical="center"/>
    </xf>
    <xf fontId="9796" applyFont="true" borderId="8" applyBorder="true" applyNumberFormat="true" numFmtId="2" fillId="22" applyFill="true">
      <alignment horizontal="center" vertical="center"/>
    </xf>
    <xf fontId="9797" applyFont="true" borderId="8" applyBorder="true" applyNumberFormat="true" numFmtId="2" fillId="22" applyFill="true">
      <alignment horizontal="center" vertical="center"/>
    </xf>
    <xf fontId="9798" applyFont="true" borderId="8" applyBorder="true" applyNumberFormat="true" numFmtId="2" fillId="22" applyFill="true">
      <alignment horizontal="center" vertical="center"/>
    </xf>
    <xf fontId="9799" applyFont="true" borderId="8" applyBorder="true" applyNumberFormat="true" numFmtId="2" fillId="22" applyFill="true">
      <alignment horizontal="center" vertical="center"/>
    </xf>
    <xf fontId="9800" applyFont="true" borderId="8" applyBorder="true" applyNumberFormat="true" numFmtId="2" fillId="22" applyFill="true">
      <alignment horizontal="center" vertical="center"/>
    </xf>
    <xf fontId="9801" applyFont="true" borderId="8" applyBorder="true" applyNumberFormat="true" numFmtId="2" fillId="22" applyFill="true">
      <alignment horizontal="center" vertical="center"/>
    </xf>
    <xf fontId="9802" applyFont="true" borderId="8" applyBorder="true" applyNumberFormat="true" numFmtId="2" fillId="22" applyFill="true">
      <alignment horizontal="center" vertical="center"/>
    </xf>
    <xf fontId="9803" applyFont="true" borderId="8" applyBorder="true" applyNumberFormat="true" numFmtId="2" fillId="22" applyFill="true">
      <alignment horizontal="center" vertical="center"/>
    </xf>
    <xf fontId="9804" applyFont="true" borderId="8" applyBorder="true" applyNumberFormat="true" numFmtId="2" fillId="22" applyFill="true">
      <alignment horizontal="center" vertical="center"/>
    </xf>
    <xf fontId="9805" applyFont="true" borderId="8" applyBorder="true" applyNumberFormat="true" numFmtId="2" fillId="22" applyFill="true">
      <alignment horizontal="center" vertical="center"/>
    </xf>
    <xf fontId="9806" applyFont="true" borderId="8" applyBorder="true" applyNumberFormat="true" numFmtId="2" fillId="22" applyFill="true">
      <alignment horizontal="center" vertical="center"/>
    </xf>
    <xf fontId="9807" applyFont="true" borderId="8" applyBorder="true" applyNumberFormat="true" numFmtId="2" fillId="22" applyFill="true">
      <alignment horizontal="center" vertical="center"/>
    </xf>
    <xf fontId="9808" applyFont="true" borderId="8" applyBorder="true" applyNumberFormat="true" numFmtId="2" fillId="22" applyFill="true">
      <alignment horizontal="center" vertical="center"/>
    </xf>
    <xf fontId="9809" applyFont="true" borderId="8" applyBorder="true" applyNumberFormat="true" numFmtId="2" fillId="22" applyFill="true">
      <alignment horizontal="center" vertical="center"/>
    </xf>
    <xf fontId="9810" applyFont="true" borderId="8" applyBorder="true" applyNumberFormat="true" numFmtId="2" fillId="22" applyFill="true">
      <alignment horizontal="center" vertical="center"/>
    </xf>
    <xf fontId="9811" applyFont="true" borderId="8" applyBorder="true" applyNumberFormat="true" numFmtId="2" fillId="22" applyFill="true">
      <alignment horizontal="center" vertical="center"/>
    </xf>
    <xf fontId="9812" applyFont="true" borderId="8" applyBorder="true" applyNumberFormat="true" numFmtId="2" fillId="22" applyFill="true">
      <alignment horizontal="center" vertical="center"/>
    </xf>
    <xf fontId="9813" applyFont="true" borderId="8" applyBorder="true" applyNumberFormat="true" numFmtId="2" fillId="22" applyFill="true">
      <alignment horizontal="center" vertical="center"/>
    </xf>
    <xf fontId="9814" applyFont="true" borderId="8" applyBorder="true" applyNumberFormat="true" numFmtId="2" fillId="22" applyFill="true">
      <alignment horizontal="center" vertical="center"/>
    </xf>
    <xf fontId="9815" applyFont="true" borderId="8" applyBorder="true" applyNumberFormat="true" numFmtId="2" fillId="22" applyFill="true">
      <alignment horizontal="center" vertical="center"/>
    </xf>
    <xf fontId="9816" applyFont="true" borderId="8" applyBorder="true" applyNumberFormat="true" numFmtId="2" fillId="22" applyFill="true">
      <alignment horizontal="center" vertical="center"/>
    </xf>
    <xf fontId="9817" applyFont="true" borderId="8" applyBorder="true" applyNumberFormat="true" numFmtId="2" fillId="22" applyFill="true">
      <alignment horizontal="center" vertical="center"/>
    </xf>
    <xf fontId="9818" applyFont="true" borderId="8" applyBorder="true" applyNumberFormat="true" numFmtId="2" fillId="22" applyFill="true">
      <alignment horizontal="center" vertical="center"/>
    </xf>
    <xf fontId="9819" applyFont="true" borderId="8" applyBorder="true" applyNumberFormat="true" numFmtId="2" fillId="22" applyFill="true">
      <alignment horizontal="center" vertical="center"/>
    </xf>
    <xf fontId="9820" applyFont="true" borderId="8" applyBorder="true" applyNumberFormat="true" numFmtId="2" fillId="22" applyFill="true">
      <alignment horizontal="center" vertical="center"/>
    </xf>
    <xf fontId="9821" applyFont="true" borderId="8" applyBorder="true" applyNumberFormat="true" numFmtId="2" fillId="22" applyFill="true">
      <alignment horizontal="center" vertical="center"/>
    </xf>
    <xf fontId="9822" applyFont="true" borderId="8" applyBorder="true" applyNumberFormat="true" numFmtId="2" fillId="22" applyFill="true">
      <alignment horizontal="center" vertical="center"/>
    </xf>
    <xf fontId="9823" applyFont="true" borderId="8" applyBorder="true" applyNumberFormat="true" numFmtId="2" fillId="22" applyFill="true">
      <alignment horizontal="center" vertical="center"/>
    </xf>
    <xf fontId="9824" applyFont="true" borderId="8" applyBorder="true" applyNumberFormat="true" numFmtId="2" fillId="22" applyFill="true">
      <alignment horizontal="center" vertical="center"/>
    </xf>
    <xf fontId="9825" applyFont="true" borderId="8" applyBorder="true" applyNumberFormat="true" numFmtId="2" fillId="22" applyFill="true">
      <alignment horizontal="center" vertical="center"/>
    </xf>
    <xf fontId="9826" applyFont="true" borderId="8" applyBorder="true" applyNumberFormat="true" numFmtId="2" fillId="22" applyFill="true">
      <alignment horizontal="center" vertical="center"/>
    </xf>
    <xf fontId="9827" applyFont="true" borderId="8" applyBorder="true" applyNumberFormat="true" numFmtId="2" fillId="22" applyFill="true">
      <alignment horizontal="center" vertical="center"/>
    </xf>
    <xf fontId="9828" applyFont="true" borderId="8" applyBorder="true" applyNumberFormat="true" numFmtId="2" fillId="22" applyFill="true">
      <alignment horizontal="center" vertical="center"/>
    </xf>
    <xf fontId="9829" applyFont="true" borderId="8" applyBorder="true" applyNumberFormat="true" numFmtId="165" fillId="19" applyFill="true">
      <alignment horizontal="left" vertical="center"/>
    </xf>
    <xf fontId="9830" applyFont="true" borderId="8" applyBorder="true" applyNumberFormat="true" numFmtId="165" fillId="22" applyFill="true">
      <alignment horizontal="center" vertical="center"/>
    </xf>
    <xf fontId="9831" applyFont="true" borderId="8" applyBorder="true" applyNumberFormat="true" numFmtId="166" fillId="22" applyFill="true">
      <alignment horizontal="center" vertical="center"/>
    </xf>
    <xf fontId="9832" applyFont="true" borderId="8" applyBorder="true" applyNumberFormat="true" numFmtId="1" fillId="22" applyFill="true">
      <alignment horizontal="center" vertical="center"/>
    </xf>
    <xf fontId="9833" applyFont="true" borderId="8" applyBorder="true" applyNumberFormat="true" numFmtId="1" fillId="22" applyFill="true">
      <alignment horizontal="center" vertical="center"/>
    </xf>
    <xf fontId="9834" applyFont="true" borderId="8" applyBorder="true" applyNumberFormat="true" numFmtId="1" fillId="22" applyFill="true">
      <alignment horizontal="center" vertical="center"/>
    </xf>
    <xf fontId="9835" applyFont="true" borderId="8" applyBorder="true" applyNumberFormat="true" numFmtId="1" fillId="22" applyFill="true">
      <alignment horizontal="center" vertical="center"/>
    </xf>
    <xf fontId="9836" applyFont="true" borderId="8" applyBorder="true" applyNumberFormat="true" numFmtId="1" fillId="22" applyFill="true">
      <alignment horizontal="center" vertical="center"/>
    </xf>
    <xf fontId="9837" applyFont="true" borderId="8" applyBorder="true" applyNumberFormat="true" numFmtId="1" fillId="22" applyFill="true">
      <alignment horizontal="center" vertical="center"/>
    </xf>
    <xf fontId="9838" applyFont="true" borderId="8" applyBorder="true" applyNumberFormat="true" numFmtId="1" fillId="22" applyFill="true">
      <alignment horizontal="center" vertical="center"/>
    </xf>
    <xf fontId="9839" applyFont="true" borderId="8" applyBorder="true" applyNumberFormat="true" numFmtId="165" fillId="22" applyFill="true">
      <alignment horizontal="center" vertical="center"/>
    </xf>
    <xf fontId="9840" applyFont="true" borderId="8" applyBorder="true" applyNumberFormat="true" numFmtId="165" fillId="22" applyFill="true">
      <alignment horizontal="center" vertical="center"/>
    </xf>
    <xf fontId="9841" applyFont="true" borderId="8" applyBorder="true" applyNumberFormat="true" numFmtId="1" fillId="22" applyFill="true">
      <alignment horizontal="center" vertical="center"/>
    </xf>
    <xf fontId="9842" applyFont="true" borderId="8" applyBorder="true" applyNumberFormat="true" numFmtId="1" fillId="22" applyFill="true">
      <alignment horizontal="center" vertical="center"/>
    </xf>
    <xf fontId="9843" applyFont="true" borderId="8" applyBorder="true" applyNumberFormat="true" numFmtId="1" fillId="22" applyFill="true">
      <alignment horizontal="center" vertical="center"/>
    </xf>
    <xf fontId="9844" applyFont="true" borderId="8" applyBorder="true" applyNumberFormat="true" numFmtId="167" fillId="22" applyFill="true">
      <alignment horizontal="center" vertical="center"/>
    </xf>
    <xf fontId="9845" applyFont="true" borderId="8" applyBorder="true" applyNumberFormat="true" numFmtId="1" fillId="22" applyFill="true">
      <alignment horizontal="center" vertical="center"/>
    </xf>
    <xf fontId="9846" applyFont="true" borderId="8" applyBorder="true" applyNumberFormat="true" numFmtId="167" fillId="22" applyFill="true">
      <alignment horizontal="center" vertical="center"/>
    </xf>
    <xf fontId="9847" applyFont="true" borderId="8" applyBorder="true" applyNumberFormat="true" numFmtId="1" fillId="22" applyFill="true">
      <alignment horizontal="center" vertical="center"/>
    </xf>
    <xf fontId="9848" applyFont="true" borderId="8" applyBorder="true" applyNumberFormat="true" numFmtId="167" fillId="22" applyFill="true">
      <alignment horizontal="center" vertical="center"/>
    </xf>
    <xf fontId="9849" applyFont="true" borderId="8" applyBorder="true" applyNumberFormat="true" numFmtId="1" fillId="22" applyFill="true">
      <alignment horizontal="center" vertical="center"/>
    </xf>
    <xf fontId="9850" applyFont="true" borderId="8" applyBorder="true" applyNumberFormat="true" numFmtId="167" fillId="22" applyFill="true">
      <alignment horizontal="center" vertical="center"/>
    </xf>
    <xf fontId="9851" applyFont="true" borderId="8" applyBorder="true" applyNumberFormat="true" numFmtId="167" fillId="22" applyFill="true">
      <alignment horizontal="center" vertical="center"/>
    </xf>
    <xf fontId="9852" applyFont="true" borderId="8" applyBorder="true" applyNumberFormat="true" numFmtId="1" fillId="22" applyFill="true">
      <alignment horizontal="center" vertical="center"/>
    </xf>
    <xf fontId="9853" applyFont="true" borderId="8" applyBorder="true" applyNumberFormat="true" numFmtId="1" fillId="22" applyFill="true">
      <alignment horizontal="center" vertical="center"/>
    </xf>
    <xf fontId="9854" applyFont="true" borderId="8" applyBorder="true" applyNumberFormat="true" numFmtId="1" fillId="22" applyFill="true">
      <alignment horizontal="center" vertical="center"/>
    </xf>
    <xf fontId="9855" applyFont="true" borderId="8" applyBorder="true" applyNumberFormat="true" numFmtId="167" fillId="22" applyFill="true">
      <alignment horizontal="center" vertical="center"/>
    </xf>
    <xf fontId="9856" applyFont="true" borderId="8" applyBorder="true" applyNumberFormat="true" numFmtId="166" fillId="22" applyFill="true">
      <alignment horizontal="center" vertical="center"/>
    </xf>
    <xf fontId="9857" applyFont="true" borderId="8" applyBorder="true" applyNumberFormat="true" numFmtId="166" fillId="22" applyFill="true">
      <alignment horizontal="center" vertical="center"/>
    </xf>
    <xf fontId="9858" applyFont="true" borderId="8" applyBorder="true" applyNumberFormat="true" numFmtId="1" fillId="22" applyFill="true">
      <alignment horizontal="center" vertical="center"/>
    </xf>
    <xf fontId="9859" applyFont="true" borderId="8" applyBorder="true" applyNumberFormat="true" numFmtId="1" fillId="22" applyFill="true">
      <alignment horizontal="center" vertical="center"/>
    </xf>
    <xf fontId="9860" applyFont="true" borderId="8" applyBorder="true" applyNumberFormat="true" numFmtId="1" fillId="22" applyFill="true">
      <alignment horizontal="center" vertical="center"/>
    </xf>
    <xf fontId="9861" applyFont="true" borderId="8" applyBorder="true" applyNumberFormat="true" numFmtId="167" fillId="22" applyFill="true">
      <alignment horizontal="center" vertical="center"/>
    </xf>
    <xf fontId="9862" applyFont="true" borderId="8" applyBorder="true" applyNumberFormat="true" numFmtId="1" fillId="22" applyFill="true">
      <alignment horizontal="center" vertical="center"/>
    </xf>
    <xf fontId="9863" applyFont="true" borderId="8" applyBorder="true" applyNumberFormat="true" numFmtId="167" fillId="22" applyFill="true">
      <alignment horizontal="center" vertical="center"/>
    </xf>
    <xf fontId="9864" applyFont="true" borderId="8" applyBorder="true" applyNumberFormat="true" numFmtId="1" fillId="22" applyFill="true">
      <alignment horizontal="center" vertical="center"/>
    </xf>
    <xf fontId="9865" applyFont="true" borderId="8" applyBorder="true" applyNumberFormat="true" numFmtId="1" fillId="22" applyFill="true">
      <alignment horizontal="center" vertical="center"/>
    </xf>
    <xf fontId="9866" applyFont="true" borderId="8" applyBorder="true" applyNumberFormat="true" numFmtId="1" fillId="22" applyFill="true">
      <alignment horizontal="center" vertical="center"/>
    </xf>
    <xf fontId="9867" applyFont="true" borderId="8" applyBorder="true" applyNumberFormat="true" numFmtId="1" fillId="22" applyFill="true">
      <alignment horizontal="center" vertical="center"/>
    </xf>
    <xf fontId="9868" applyFont="true" borderId="8" applyBorder="true" applyNumberFormat="true" numFmtId="167" fillId="22" applyFill="true">
      <alignment horizontal="center" vertical="center"/>
    </xf>
    <xf fontId="9869" applyFont="true" borderId="8" applyBorder="true" applyNumberFormat="true" numFmtId="1" fillId="22" applyFill="true">
      <alignment horizontal="center" vertical="center"/>
    </xf>
    <xf fontId="9870" applyFont="true" borderId="8" applyBorder="true" applyNumberFormat="true" numFmtId="167" fillId="22" applyFill="true">
      <alignment horizontal="center" vertical="center"/>
    </xf>
    <xf fontId="9871" applyFont="true" borderId="8" applyBorder="true" applyNumberFormat="true" numFmtId="1" fillId="22" applyFill="true">
      <alignment horizontal="center" vertical="center"/>
    </xf>
    <xf fontId="9872" applyFont="true" borderId="8" applyBorder="true" applyNumberFormat="true" numFmtId="167" fillId="22" applyFill="true">
      <alignment horizontal="center" vertical="center"/>
    </xf>
    <xf fontId="9873" applyFont="true" borderId="8" applyBorder="true" applyNumberFormat="true" numFmtId="2" fillId="22" applyFill="true">
      <alignment horizontal="center" vertical="center"/>
    </xf>
    <xf fontId="9874" applyFont="true" borderId="8" applyBorder="true" applyNumberFormat="true" numFmtId="2" fillId="22" applyFill="true">
      <alignment horizontal="center" vertical="center"/>
    </xf>
    <xf fontId="9875" applyFont="true" borderId="8" applyBorder="true" applyNumberFormat="true" numFmtId="2" fillId="22" applyFill="true">
      <alignment horizontal="center" vertical="center"/>
    </xf>
    <xf fontId="9876" applyFont="true" borderId="8" applyBorder="true" applyNumberFormat="true" numFmtId="2" fillId="22" applyFill="true">
      <alignment horizontal="center" vertical="center"/>
    </xf>
    <xf fontId="9877" applyFont="true" borderId="8" applyBorder="true" applyNumberFormat="true" numFmtId="2" fillId="22" applyFill="true">
      <alignment horizontal="center" vertical="center"/>
    </xf>
    <xf fontId="9878" applyFont="true" borderId="8" applyBorder="true" applyNumberFormat="true" numFmtId="2" fillId="22" applyFill="true">
      <alignment horizontal="center" vertical="center"/>
    </xf>
    <xf fontId="9879" applyFont="true" borderId="8" applyBorder="true" applyNumberFormat="true" numFmtId="2" fillId="22" applyFill="true">
      <alignment horizontal="center" vertical="center"/>
    </xf>
    <xf fontId="9880" applyFont="true" borderId="8" applyBorder="true" applyNumberFormat="true" numFmtId="2" fillId="22" applyFill="true">
      <alignment horizontal="center" vertical="center"/>
    </xf>
    <xf fontId="9881" applyFont="true" borderId="8" applyBorder="true" applyNumberFormat="true" numFmtId="2" fillId="22" applyFill="true">
      <alignment horizontal="center" vertical="center"/>
    </xf>
    <xf fontId="9882" applyFont="true" borderId="8" applyBorder="true" applyNumberFormat="true" numFmtId="2" fillId="22" applyFill="true">
      <alignment horizontal="center" vertical="center"/>
    </xf>
    <xf fontId="9883" applyFont="true" borderId="8" applyBorder="true" applyNumberFormat="true" numFmtId="2" fillId="22" applyFill="true">
      <alignment horizontal="center" vertical="center"/>
    </xf>
    <xf fontId="9884" applyFont="true" borderId="8" applyBorder="true" applyNumberFormat="true" numFmtId="2" fillId="22" applyFill="true">
      <alignment horizontal="center" vertical="center"/>
    </xf>
    <xf fontId="9885" applyFont="true" borderId="8" applyBorder="true" applyNumberFormat="true" numFmtId="2" fillId="22" applyFill="true">
      <alignment horizontal="center" vertical="center"/>
    </xf>
    <xf fontId="9886" applyFont="true" borderId="8" applyBorder="true" applyNumberFormat="true" numFmtId="2" fillId="22" applyFill="true">
      <alignment horizontal="center" vertical="center"/>
    </xf>
    <xf fontId="9887" applyFont="true" borderId="8" applyBorder="true" applyNumberFormat="true" numFmtId="2" fillId="22" applyFill="true">
      <alignment horizontal="center" vertical="center"/>
    </xf>
    <xf fontId="9888" applyFont="true" borderId="8" applyBorder="true" applyNumberFormat="true" numFmtId="2" fillId="22" applyFill="true">
      <alignment horizontal="center" vertical="center"/>
    </xf>
    <xf fontId="9889" applyFont="true" borderId="8" applyBorder="true" applyNumberFormat="true" numFmtId="2" fillId="22" applyFill="true">
      <alignment horizontal="center" vertical="center"/>
    </xf>
    <xf fontId="9890" applyFont="true" borderId="8" applyBorder="true" applyNumberFormat="true" numFmtId="2" fillId="22" applyFill="true">
      <alignment horizontal="center" vertical="center"/>
    </xf>
    <xf fontId="9891" applyFont="true" borderId="8" applyBorder="true" applyNumberFormat="true" numFmtId="2" fillId="22" applyFill="true">
      <alignment horizontal="center" vertical="center"/>
    </xf>
    <xf fontId="9892" applyFont="true" borderId="8" applyBorder="true" applyNumberFormat="true" numFmtId="2" fillId="22" applyFill="true">
      <alignment horizontal="center" vertical="center"/>
    </xf>
    <xf fontId="9893" applyFont="true" borderId="8" applyBorder="true" applyNumberFormat="true" numFmtId="2" fillId="22" applyFill="true">
      <alignment horizontal="center" vertical="center"/>
    </xf>
    <xf fontId="9894" applyFont="true" borderId="8" applyBorder="true" applyNumberFormat="true" numFmtId="2" fillId="22" applyFill="true">
      <alignment horizontal="center" vertical="center"/>
    </xf>
    <xf fontId="9895" applyFont="true" borderId="8" applyBorder="true" applyNumberFormat="true" numFmtId="2" fillId="22" applyFill="true">
      <alignment horizontal="center" vertical="center"/>
    </xf>
    <xf fontId="9896" applyFont="true" borderId="8" applyBorder="true" applyNumberFormat="true" numFmtId="2" fillId="22" applyFill="true">
      <alignment horizontal="center" vertical="center"/>
    </xf>
    <xf fontId="9897" applyFont="true" borderId="8" applyBorder="true" applyNumberFormat="true" numFmtId="2" fillId="22" applyFill="true">
      <alignment horizontal="center" vertical="center"/>
    </xf>
    <xf fontId="9898" applyFont="true" borderId="8" applyBorder="true" applyNumberFormat="true" numFmtId="2" fillId="22" applyFill="true">
      <alignment horizontal="center" vertical="center"/>
    </xf>
    <xf fontId="9899" applyFont="true" borderId="8" applyBorder="true" applyNumberFormat="true" numFmtId="2" fillId="22" applyFill="true">
      <alignment horizontal="center" vertical="center"/>
    </xf>
    <xf fontId="9900" applyFont="true" borderId="8" applyBorder="true" applyNumberFormat="true" numFmtId="2" fillId="22" applyFill="true">
      <alignment horizontal="center" vertical="center"/>
    </xf>
    <xf fontId="9901" applyFont="true" borderId="8" applyBorder="true" applyNumberFormat="true" numFmtId="2" fillId="22" applyFill="true">
      <alignment horizontal="center" vertical="center"/>
    </xf>
    <xf fontId="9902" applyFont="true" borderId="8" applyBorder="true" applyNumberFormat="true" numFmtId="2" fillId="22" applyFill="true">
      <alignment horizontal="center" vertical="center"/>
    </xf>
    <xf fontId="9903" applyFont="true" borderId="8" applyBorder="true" applyNumberFormat="true" numFmtId="2" fillId="22" applyFill="true">
      <alignment horizontal="center" vertical="center"/>
    </xf>
    <xf fontId="9904" applyFont="true" borderId="8" applyBorder="true" applyNumberFormat="true" numFmtId="2" fillId="22" applyFill="true">
      <alignment horizontal="center" vertical="center"/>
    </xf>
    <xf fontId="9905" applyFont="true" borderId="8" applyBorder="true" applyNumberFormat="true" numFmtId="2" fillId="22" applyFill="true">
      <alignment horizontal="center" vertical="center"/>
    </xf>
    <xf fontId="9906" applyFont="true" borderId="8" applyBorder="true" applyNumberFormat="true" numFmtId="2" fillId="22" applyFill="true">
      <alignment horizontal="center" vertical="center"/>
    </xf>
    <xf fontId="9907" applyFont="true" borderId="8" applyBorder="true" applyNumberFormat="true" numFmtId="165" fillId="19" applyFill="true">
      <alignment horizontal="left" vertical="center"/>
    </xf>
    <xf fontId="9908" applyFont="true" borderId="8" applyBorder="true" applyNumberFormat="true" numFmtId="165" fillId="22" applyFill="true">
      <alignment horizontal="center" vertical="center"/>
    </xf>
    <xf fontId="9909" applyFont="true" borderId="8" applyBorder="true" applyNumberFormat="true" numFmtId="166" fillId="22" applyFill="true">
      <alignment horizontal="center" vertical="center"/>
    </xf>
    <xf fontId="9910" applyFont="true" borderId="8" applyBorder="true" applyNumberFormat="true" numFmtId="1" fillId="22" applyFill="true">
      <alignment horizontal="center" vertical="center"/>
    </xf>
    <xf fontId="9911" applyFont="true" borderId="8" applyBorder="true" applyNumberFormat="true" numFmtId="1" fillId="22" applyFill="true">
      <alignment horizontal="center" vertical="center"/>
    </xf>
    <xf fontId="9912" applyFont="true" borderId="8" applyBorder="true" applyNumberFormat="true" numFmtId="1" fillId="22" applyFill="true">
      <alignment horizontal="center" vertical="center"/>
    </xf>
    <xf fontId="9913" applyFont="true" borderId="8" applyBorder="true" applyNumberFormat="true" numFmtId="1" fillId="22" applyFill="true">
      <alignment horizontal="center" vertical="center"/>
    </xf>
    <xf fontId="9914" applyFont="true" borderId="8" applyBorder="true" applyNumberFormat="true" numFmtId="1" fillId="22" applyFill="true">
      <alignment horizontal="center" vertical="center"/>
    </xf>
    <xf fontId="9915" applyFont="true" borderId="8" applyBorder="true" applyNumberFormat="true" numFmtId="1" fillId="22" applyFill="true">
      <alignment horizontal="center" vertical="center"/>
    </xf>
    <xf fontId="9916" applyFont="true" borderId="8" applyBorder="true" applyNumberFormat="true" numFmtId="1" fillId="22" applyFill="true">
      <alignment horizontal="center" vertical="center"/>
    </xf>
    <xf fontId="9917" applyFont="true" borderId="8" applyBorder="true" applyNumberFormat="true" numFmtId="165" fillId="22" applyFill="true">
      <alignment horizontal="center" vertical="center"/>
    </xf>
    <xf fontId="9918" applyFont="true" borderId="8" applyBorder="true" applyNumberFormat="true" numFmtId="165" fillId="22" applyFill="true">
      <alignment horizontal="center" vertical="center"/>
    </xf>
    <xf fontId="9919" applyFont="true" borderId="8" applyBorder="true" applyNumberFormat="true" numFmtId="1" fillId="22" applyFill="true">
      <alignment horizontal="center" vertical="center"/>
    </xf>
    <xf fontId="9920" applyFont="true" borderId="8" applyBorder="true" applyNumberFormat="true" numFmtId="1" fillId="22" applyFill="true">
      <alignment horizontal="center" vertical="center"/>
    </xf>
    <xf fontId="9921" applyFont="true" borderId="8" applyBorder="true" applyNumberFormat="true" numFmtId="1" fillId="22" applyFill="true">
      <alignment horizontal="center" vertical="center"/>
    </xf>
    <xf fontId="9922" applyFont="true" borderId="8" applyBorder="true" applyNumberFormat="true" numFmtId="167" fillId="22" applyFill="true">
      <alignment horizontal="center" vertical="center"/>
    </xf>
    <xf fontId="9923" applyFont="true" borderId="8" applyBorder="true" applyNumberFormat="true" numFmtId="1" fillId="22" applyFill="true">
      <alignment horizontal="center" vertical="center"/>
    </xf>
    <xf fontId="9924" applyFont="true" borderId="8" applyBorder="true" applyNumberFormat="true" numFmtId="167" fillId="22" applyFill="true">
      <alignment horizontal="center" vertical="center"/>
    </xf>
    <xf fontId="9925" applyFont="true" borderId="8" applyBorder="true" applyNumberFormat="true" numFmtId="1" fillId="22" applyFill="true">
      <alignment horizontal="center" vertical="center"/>
    </xf>
    <xf fontId="9926" applyFont="true" borderId="8" applyBorder="true" applyNumberFormat="true" numFmtId="167" fillId="22" applyFill="true">
      <alignment horizontal="center" vertical="center"/>
    </xf>
    <xf fontId="9927" applyFont="true" borderId="8" applyBorder="true" applyNumberFormat="true" numFmtId="1" fillId="22" applyFill="true">
      <alignment horizontal="center" vertical="center"/>
    </xf>
    <xf fontId="9928" applyFont="true" borderId="8" applyBorder="true" applyNumberFormat="true" numFmtId="167" fillId="22" applyFill="true">
      <alignment horizontal="center" vertical="center"/>
    </xf>
    <xf fontId="9929" applyFont="true" borderId="8" applyBorder="true" applyNumberFormat="true" numFmtId="167" fillId="22" applyFill="true">
      <alignment horizontal="center" vertical="center"/>
    </xf>
    <xf fontId="9930" applyFont="true" borderId="8" applyBorder="true" applyNumberFormat="true" numFmtId="1" fillId="22" applyFill="true">
      <alignment horizontal="center" vertical="center"/>
    </xf>
    <xf fontId="9931" applyFont="true" borderId="8" applyBorder="true" applyNumberFormat="true" numFmtId="1" fillId="22" applyFill="true">
      <alignment horizontal="center" vertical="center"/>
    </xf>
    <xf fontId="9932" applyFont="true" borderId="8" applyBorder="true" applyNumberFormat="true" numFmtId="1" fillId="22" applyFill="true">
      <alignment horizontal="center" vertical="center"/>
    </xf>
    <xf fontId="9933" applyFont="true" borderId="8" applyBorder="true" applyNumberFormat="true" numFmtId="167" fillId="22" applyFill="true">
      <alignment horizontal="center" vertical="center"/>
    </xf>
    <xf fontId="9934" applyFont="true" borderId="8" applyBorder="true" applyNumberFormat="true" numFmtId="166" fillId="22" applyFill="true">
      <alignment horizontal="center" vertical="center"/>
    </xf>
    <xf fontId="9935" applyFont="true" borderId="8" applyBorder="true" applyNumberFormat="true" numFmtId="166" fillId="22" applyFill="true">
      <alignment horizontal="center" vertical="center"/>
    </xf>
    <xf fontId="9936" applyFont="true" borderId="8" applyBorder="true" applyNumberFormat="true" numFmtId="1" fillId="22" applyFill="true">
      <alignment horizontal="center" vertical="center"/>
    </xf>
    <xf fontId="9937" applyFont="true" borderId="8" applyBorder="true" applyNumberFormat="true" numFmtId="1" fillId="22" applyFill="true">
      <alignment horizontal="center" vertical="center"/>
    </xf>
    <xf fontId="9938" applyFont="true" borderId="8" applyBorder="true" applyNumberFormat="true" numFmtId="1" fillId="22" applyFill="true">
      <alignment horizontal="center" vertical="center"/>
    </xf>
    <xf fontId="9939" applyFont="true" borderId="8" applyBorder="true" applyNumberFormat="true" numFmtId="167" fillId="22" applyFill="true">
      <alignment horizontal="center" vertical="center"/>
    </xf>
    <xf fontId="9940" applyFont="true" borderId="8" applyBorder="true" applyNumberFormat="true" numFmtId="1" fillId="22" applyFill="true">
      <alignment horizontal="center" vertical="center"/>
    </xf>
    <xf fontId="9941" applyFont="true" borderId="8" applyBorder="true" applyNumberFormat="true" numFmtId="167" fillId="22" applyFill="true">
      <alignment horizontal="center" vertical="center"/>
    </xf>
    <xf fontId="9942" applyFont="true" borderId="8" applyBorder="true" applyNumberFormat="true" numFmtId="1" fillId="22" applyFill="true">
      <alignment horizontal="center" vertical="center"/>
    </xf>
    <xf fontId="9943" applyFont="true" borderId="8" applyBorder="true" applyNumberFormat="true" numFmtId="1" fillId="22" applyFill="true">
      <alignment horizontal="center" vertical="center"/>
    </xf>
    <xf fontId="9944" applyFont="true" borderId="8" applyBorder="true" applyNumberFormat="true" numFmtId="1" fillId="22" applyFill="true">
      <alignment horizontal="center" vertical="center"/>
    </xf>
    <xf fontId="9945" applyFont="true" borderId="8" applyBorder="true" applyNumberFormat="true" numFmtId="1" fillId="22" applyFill="true">
      <alignment horizontal="center" vertical="center"/>
    </xf>
    <xf fontId="9946" applyFont="true" borderId="8" applyBorder="true" applyNumberFormat="true" numFmtId="167" fillId="22" applyFill="true">
      <alignment horizontal="center" vertical="center"/>
    </xf>
    <xf fontId="9947" applyFont="true" borderId="8" applyBorder="true" applyNumberFormat="true" numFmtId="1" fillId="22" applyFill="true">
      <alignment horizontal="center" vertical="center"/>
    </xf>
    <xf fontId="9948" applyFont="true" borderId="8" applyBorder="true" applyNumberFormat="true" numFmtId="167" fillId="22" applyFill="true">
      <alignment horizontal="center" vertical="center"/>
    </xf>
    <xf fontId="9949" applyFont="true" borderId="8" applyBorder="true" applyNumberFormat="true" numFmtId="1" fillId="22" applyFill="true">
      <alignment horizontal="center" vertical="center"/>
    </xf>
    <xf fontId="9950" applyFont="true" borderId="8" applyBorder="true" applyNumberFormat="true" numFmtId="167" fillId="22" applyFill="true">
      <alignment horizontal="center" vertical="center"/>
    </xf>
    <xf fontId="9951" applyFont="true" borderId="8" applyBorder="true" applyNumberFormat="true" numFmtId="2" fillId="22" applyFill="true">
      <alignment horizontal="center" vertical="center"/>
    </xf>
    <xf fontId="9952" applyFont="true" borderId="8" applyBorder="true" applyNumberFormat="true" numFmtId="2" fillId="22" applyFill="true">
      <alignment horizontal="center" vertical="center"/>
    </xf>
    <xf fontId="9953" applyFont="true" borderId="8" applyBorder="true" applyNumberFormat="true" numFmtId="2" fillId="22" applyFill="true">
      <alignment horizontal="center" vertical="center"/>
    </xf>
    <xf fontId="9954" applyFont="true" borderId="8" applyBorder="true" applyNumberFormat="true" numFmtId="2" fillId="22" applyFill="true">
      <alignment horizontal="center" vertical="center"/>
    </xf>
    <xf fontId="9955" applyFont="true" borderId="8" applyBorder="true" applyNumberFormat="true" numFmtId="2" fillId="22" applyFill="true">
      <alignment horizontal="center" vertical="center"/>
    </xf>
    <xf fontId="9956" applyFont="true" borderId="8" applyBorder="true" applyNumberFormat="true" numFmtId="2" fillId="22" applyFill="true">
      <alignment horizontal="center" vertical="center"/>
    </xf>
    <xf fontId="9957" applyFont="true" borderId="8" applyBorder="true" applyNumberFormat="true" numFmtId="2" fillId="22" applyFill="true">
      <alignment horizontal="center" vertical="center"/>
    </xf>
    <xf fontId="9958" applyFont="true" borderId="8" applyBorder="true" applyNumberFormat="true" numFmtId="2" fillId="22" applyFill="true">
      <alignment horizontal="center" vertical="center"/>
    </xf>
    <xf fontId="9959" applyFont="true" borderId="8" applyBorder="true" applyNumberFormat="true" numFmtId="2" fillId="22" applyFill="true">
      <alignment horizontal="center" vertical="center"/>
    </xf>
    <xf fontId="9960" applyFont="true" borderId="8" applyBorder="true" applyNumberFormat="true" numFmtId="2" fillId="22" applyFill="true">
      <alignment horizontal="center" vertical="center"/>
    </xf>
    <xf fontId="9961" applyFont="true" borderId="8" applyBorder="true" applyNumberFormat="true" numFmtId="2" fillId="22" applyFill="true">
      <alignment horizontal="center" vertical="center"/>
    </xf>
    <xf fontId="9962" applyFont="true" borderId="8" applyBorder="true" applyNumberFormat="true" numFmtId="2" fillId="22" applyFill="true">
      <alignment horizontal="center" vertical="center"/>
    </xf>
    <xf fontId="9963" applyFont="true" borderId="8" applyBorder="true" applyNumberFormat="true" numFmtId="2" fillId="22" applyFill="true">
      <alignment horizontal="center" vertical="center"/>
    </xf>
    <xf fontId="9964" applyFont="true" borderId="8" applyBorder="true" applyNumberFormat="true" numFmtId="2" fillId="22" applyFill="true">
      <alignment horizontal="center" vertical="center"/>
    </xf>
    <xf fontId="9965" applyFont="true" borderId="8" applyBorder="true" applyNumberFormat="true" numFmtId="2" fillId="22" applyFill="true">
      <alignment horizontal="center" vertical="center"/>
    </xf>
    <xf fontId="9966" applyFont="true" borderId="8" applyBorder="true" applyNumberFormat="true" numFmtId="2" fillId="22" applyFill="true">
      <alignment horizontal="center" vertical="center"/>
    </xf>
    <xf fontId="9967" applyFont="true" borderId="8" applyBorder="true" applyNumberFormat="true" numFmtId="2" fillId="22" applyFill="true">
      <alignment horizontal="center" vertical="center"/>
    </xf>
    <xf fontId="9968" applyFont="true" borderId="8" applyBorder="true" applyNumberFormat="true" numFmtId="2" fillId="22" applyFill="true">
      <alignment horizontal="center" vertical="center"/>
    </xf>
    <xf fontId="9969" applyFont="true" borderId="8" applyBorder="true" applyNumberFormat="true" numFmtId="2" fillId="22" applyFill="true">
      <alignment horizontal="center" vertical="center"/>
    </xf>
    <xf fontId="9970" applyFont="true" borderId="8" applyBorder="true" applyNumberFormat="true" numFmtId="2" fillId="22" applyFill="true">
      <alignment horizontal="center" vertical="center"/>
    </xf>
    <xf fontId="9971" applyFont="true" borderId="8" applyBorder="true" applyNumberFormat="true" numFmtId="2" fillId="22" applyFill="true">
      <alignment horizontal="center" vertical="center"/>
    </xf>
    <xf fontId="9972" applyFont="true" borderId="8" applyBorder="true" applyNumberFormat="true" numFmtId="2" fillId="22" applyFill="true">
      <alignment horizontal="center" vertical="center"/>
    </xf>
    <xf fontId="9973" applyFont="true" borderId="8" applyBorder="true" applyNumberFormat="true" numFmtId="2" fillId="22" applyFill="true">
      <alignment horizontal="center" vertical="center"/>
    </xf>
    <xf fontId="9974" applyFont="true" borderId="8" applyBorder="true" applyNumberFormat="true" numFmtId="2" fillId="22" applyFill="true">
      <alignment horizontal="center" vertical="center"/>
    </xf>
    <xf fontId="9975" applyFont="true" borderId="8" applyBorder="true" applyNumberFormat="true" numFmtId="2" fillId="22" applyFill="true">
      <alignment horizontal="center" vertical="center"/>
    </xf>
    <xf fontId="9976" applyFont="true" borderId="8" applyBorder="true" applyNumberFormat="true" numFmtId="2" fillId="22" applyFill="true">
      <alignment horizontal="center" vertical="center"/>
    </xf>
    <xf fontId="9977" applyFont="true" borderId="8" applyBorder="true" applyNumberFormat="true" numFmtId="2" fillId="22" applyFill="true">
      <alignment horizontal="center" vertical="center"/>
    </xf>
    <xf fontId="9978" applyFont="true" borderId="8" applyBorder="true" applyNumberFormat="true" numFmtId="2" fillId="22" applyFill="true">
      <alignment horizontal="center" vertical="center"/>
    </xf>
    <xf fontId="9979" applyFont="true" borderId="8" applyBorder="true" applyNumberFormat="true" numFmtId="2" fillId="22" applyFill="true">
      <alignment horizontal="center" vertical="center"/>
    </xf>
    <xf fontId="9980" applyFont="true" borderId="8" applyBorder="true" applyNumberFormat="true" numFmtId="2" fillId="22" applyFill="true">
      <alignment horizontal="center" vertical="center"/>
    </xf>
    <xf fontId="9981" applyFont="true" borderId="8" applyBorder="true" applyNumberFormat="true" numFmtId="2" fillId="22" applyFill="true">
      <alignment horizontal="center" vertical="center"/>
    </xf>
    <xf fontId="9982" applyFont="true" borderId="8" applyBorder="true" applyNumberFormat="true" numFmtId="2" fillId="22" applyFill="true">
      <alignment horizontal="center" vertical="center"/>
    </xf>
    <xf fontId="9983" applyFont="true" borderId="8" applyBorder="true" applyNumberFormat="true" numFmtId="2" fillId="22" applyFill="true">
      <alignment horizontal="center" vertical="center"/>
    </xf>
    <xf fontId="9984" applyFont="true" borderId="8" applyBorder="true" applyNumberFormat="true" numFmtId="2" fillId="22" applyFill="true">
      <alignment horizontal="center" vertical="center"/>
    </xf>
    <xf fontId="9985" applyFont="true" borderId="8" applyBorder="true" applyNumberFormat="true" numFmtId="165" fillId="19" applyFill="true">
      <alignment horizontal="left" vertical="center"/>
    </xf>
    <xf fontId="9986" applyFont="true" borderId="8" applyBorder="true" applyNumberFormat="true" numFmtId="165" fillId="22" applyFill="true">
      <alignment horizontal="center" vertical="center"/>
    </xf>
    <xf fontId="9987" applyFont="true" borderId="8" applyBorder="true" applyNumberFormat="true" numFmtId="166" fillId="22" applyFill="true">
      <alignment horizontal="center" vertical="center"/>
    </xf>
    <xf fontId="9988" applyFont="true" borderId="8" applyBorder="true" applyNumberFormat="true" numFmtId="1" fillId="22" applyFill="true">
      <alignment horizontal="center" vertical="center"/>
    </xf>
    <xf fontId="9989" applyFont="true" borderId="8" applyBorder="true" applyNumberFormat="true" numFmtId="1" fillId="22" applyFill="true">
      <alignment horizontal="center" vertical="center"/>
    </xf>
    <xf fontId="9990" applyFont="true" borderId="8" applyBorder="true" applyNumberFormat="true" numFmtId="1" fillId="22" applyFill="true">
      <alignment horizontal="center" vertical="center"/>
    </xf>
    <xf fontId="9991" applyFont="true" borderId="8" applyBorder="true" applyNumberFormat="true" numFmtId="1" fillId="22" applyFill="true">
      <alignment horizontal="center" vertical="center"/>
    </xf>
    <xf fontId="9992" applyFont="true" borderId="8" applyBorder="true" applyNumberFormat="true" numFmtId="1" fillId="22" applyFill="true">
      <alignment horizontal="center" vertical="center"/>
    </xf>
    <xf fontId="9993" applyFont="true" borderId="8" applyBorder="true" applyNumberFormat="true" numFmtId="1" fillId="22" applyFill="true">
      <alignment horizontal="center" vertical="center"/>
    </xf>
    <xf fontId="9994" applyFont="true" borderId="8" applyBorder="true" applyNumberFormat="true" numFmtId="1" fillId="22" applyFill="true">
      <alignment horizontal="center" vertical="center"/>
    </xf>
    <xf fontId="9995" applyFont="true" borderId="8" applyBorder="true" applyNumberFormat="true" numFmtId="165" fillId="22" applyFill="true">
      <alignment horizontal="center" vertical="center"/>
    </xf>
    <xf fontId="9996" applyFont="true" borderId="8" applyBorder="true" applyNumberFormat="true" numFmtId="165" fillId="22" applyFill="true">
      <alignment horizontal="center" vertical="center"/>
    </xf>
    <xf fontId="9997" applyFont="true" borderId="8" applyBorder="true" applyNumberFormat="true" numFmtId="1" fillId="22" applyFill="true">
      <alignment horizontal="center" vertical="center"/>
    </xf>
    <xf fontId="9998" applyFont="true" borderId="8" applyBorder="true" applyNumberFormat="true" numFmtId="1" fillId="22" applyFill="true">
      <alignment horizontal="center" vertical="center"/>
    </xf>
    <xf fontId="9999" applyFont="true" borderId="8" applyBorder="true" applyNumberFormat="true" numFmtId="1" fillId="22" applyFill="true">
      <alignment horizontal="center" vertical="center"/>
    </xf>
    <xf fontId="10000" applyFont="true" borderId="8" applyBorder="true" applyNumberFormat="true" numFmtId="167" fillId="22" applyFill="true">
      <alignment horizontal="center" vertical="center"/>
    </xf>
    <xf fontId="10001" applyFont="true" borderId="8" applyBorder="true" applyNumberFormat="true" numFmtId="1" fillId="22" applyFill="true">
      <alignment horizontal="center" vertical="center"/>
    </xf>
    <xf fontId="10002" applyFont="true" borderId="8" applyBorder="true" applyNumberFormat="true" numFmtId="167" fillId="22" applyFill="true">
      <alignment horizontal="center" vertical="center"/>
    </xf>
    <xf fontId="10003" applyFont="true" borderId="8" applyBorder="true" applyNumberFormat="true" numFmtId="1" fillId="22" applyFill="true">
      <alignment horizontal="center" vertical="center"/>
    </xf>
    <xf fontId="10004" applyFont="true" borderId="8" applyBorder="true" applyNumberFormat="true" numFmtId="167" fillId="22" applyFill="true">
      <alignment horizontal="center" vertical="center"/>
    </xf>
    <xf fontId="10005" applyFont="true" borderId="8" applyBorder="true" applyNumberFormat="true" numFmtId="1" fillId="22" applyFill="true">
      <alignment horizontal="center" vertical="center"/>
    </xf>
    <xf fontId="10006" applyFont="true" borderId="8" applyBorder="true" applyNumberFormat="true" numFmtId="167" fillId="22" applyFill="true">
      <alignment horizontal="center" vertical="center"/>
    </xf>
    <xf fontId="10007" applyFont="true" borderId="8" applyBorder="true" applyNumberFormat="true" numFmtId="167" fillId="22" applyFill="true">
      <alignment horizontal="center" vertical="center"/>
    </xf>
    <xf fontId="10008" applyFont="true" borderId="8" applyBorder="true" applyNumberFormat="true" numFmtId="1" fillId="22" applyFill="true">
      <alignment horizontal="center" vertical="center"/>
    </xf>
    <xf fontId="10009" applyFont="true" borderId="8" applyBorder="true" applyNumberFormat="true" numFmtId="1" fillId="22" applyFill="true">
      <alignment horizontal="center" vertical="center"/>
    </xf>
    <xf fontId="10010" applyFont="true" borderId="8" applyBorder="true" applyNumberFormat="true" numFmtId="1" fillId="22" applyFill="true">
      <alignment horizontal="center" vertical="center"/>
    </xf>
    <xf fontId="10011" applyFont="true" borderId="8" applyBorder="true" applyNumberFormat="true" numFmtId="167" fillId="22" applyFill="true">
      <alignment horizontal="center" vertical="center"/>
    </xf>
    <xf fontId="10012" applyFont="true" borderId="8" applyBorder="true" applyNumberFormat="true" numFmtId="166" fillId="22" applyFill="true">
      <alignment horizontal="center" vertical="center"/>
    </xf>
    <xf fontId="10013" applyFont="true" borderId="8" applyBorder="true" applyNumberFormat="true" numFmtId="166" fillId="22" applyFill="true">
      <alignment horizontal="center" vertical="center"/>
    </xf>
    <xf fontId="10014" applyFont="true" borderId="8" applyBorder="true" applyNumberFormat="true" numFmtId="1" fillId="22" applyFill="true">
      <alignment horizontal="center" vertical="center"/>
    </xf>
    <xf fontId="10015" applyFont="true" borderId="8" applyBorder="true" applyNumberFormat="true" numFmtId="1" fillId="22" applyFill="true">
      <alignment horizontal="center" vertical="center"/>
    </xf>
    <xf fontId="10016" applyFont="true" borderId="8" applyBorder="true" applyNumberFormat="true" numFmtId="1" fillId="22" applyFill="true">
      <alignment horizontal="center" vertical="center"/>
    </xf>
    <xf fontId="10017" applyFont="true" borderId="8" applyBorder="true" applyNumberFormat="true" numFmtId="167" fillId="22" applyFill="true">
      <alignment horizontal="center" vertical="center"/>
    </xf>
    <xf fontId="10018" applyFont="true" borderId="8" applyBorder="true" applyNumberFormat="true" numFmtId="1" fillId="22" applyFill="true">
      <alignment horizontal="center" vertical="center"/>
    </xf>
    <xf fontId="10019" applyFont="true" borderId="8" applyBorder="true" applyNumberFormat="true" numFmtId="167" fillId="22" applyFill="true">
      <alignment horizontal="center" vertical="center"/>
    </xf>
    <xf fontId="10020" applyFont="true" borderId="8" applyBorder="true" applyNumberFormat="true" numFmtId="1" fillId="22" applyFill="true">
      <alignment horizontal="center" vertical="center"/>
    </xf>
    <xf fontId="10021" applyFont="true" borderId="8" applyBorder="true" applyNumberFormat="true" numFmtId="1" fillId="22" applyFill="true">
      <alignment horizontal="center" vertical="center"/>
    </xf>
    <xf fontId="10022" applyFont="true" borderId="8" applyBorder="true" applyNumberFormat="true" numFmtId="1" fillId="22" applyFill="true">
      <alignment horizontal="center" vertical="center"/>
    </xf>
    <xf fontId="10023" applyFont="true" borderId="8" applyBorder="true" applyNumberFormat="true" numFmtId="1" fillId="22" applyFill="true">
      <alignment horizontal="center" vertical="center"/>
    </xf>
    <xf fontId="10024" applyFont="true" borderId="8" applyBorder="true" applyNumberFormat="true" numFmtId="167" fillId="22" applyFill="true">
      <alignment horizontal="center" vertical="center"/>
    </xf>
    <xf fontId="10025" applyFont="true" borderId="8" applyBorder="true" applyNumberFormat="true" numFmtId="1" fillId="22" applyFill="true">
      <alignment horizontal="center" vertical="center"/>
    </xf>
    <xf fontId="10026" applyFont="true" borderId="8" applyBorder="true" applyNumberFormat="true" numFmtId="167" fillId="22" applyFill="true">
      <alignment horizontal="center" vertical="center"/>
    </xf>
    <xf fontId="10027" applyFont="true" borderId="8" applyBorder="true" applyNumberFormat="true" numFmtId="1" fillId="22" applyFill="true">
      <alignment horizontal="center" vertical="center"/>
    </xf>
    <xf fontId="10028" applyFont="true" borderId="8" applyBorder="true" applyNumberFormat="true" numFmtId="167" fillId="22" applyFill="true">
      <alignment horizontal="center" vertical="center"/>
    </xf>
    <xf fontId="10029" applyFont="true" borderId="8" applyBorder="true" applyNumberFormat="true" numFmtId="2" fillId="22" applyFill="true">
      <alignment horizontal="center" vertical="center"/>
    </xf>
    <xf fontId="10030" applyFont="true" borderId="8" applyBorder="true" applyNumberFormat="true" numFmtId="2" fillId="22" applyFill="true">
      <alignment horizontal="center" vertical="center"/>
    </xf>
    <xf fontId="10031" applyFont="true" borderId="8" applyBorder="true" applyNumberFormat="true" numFmtId="2" fillId="22" applyFill="true">
      <alignment horizontal="center" vertical="center"/>
    </xf>
    <xf fontId="10032" applyFont="true" borderId="8" applyBorder="true" applyNumberFormat="true" numFmtId="2" fillId="22" applyFill="true">
      <alignment horizontal="center" vertical="center"/>
    </xf>
    <xf fontId="10033" applyFont="true" borderId="8" applyBorder="true" applyNumberFormat="true" numFmtId="2" fillId="22" applyFill="true">
      <alignment horizontal="center" vertical="center"/>
    </xf>
    <xf fontId="10034" applyFont="true" borderId="8" applyBorder="true" applyNumberFormat="true" numFmtId="2" fillId="22" applyFill="true">
      <alignment horizontal="center" vertical="center"/>
    </xf>
    <xf fontId="10035" applyFont="true" borderId="8" applyBorder="true" applyNumberFormat="true" numFmtId="2" fillId="22" applyFill="true">
      <alignment horizontal="center" vertical="center"/>
    </xf>
    <xf fontId="10036" applyFont="true" borderId="8" applyBorder="true" applyNumberFormat="true" numFmtId="2" fillId="22" applyFill="true">
      <alignment horizontal="center" vertical="center"/>
    </xf>
    <xf fontId="10037" applyFont="true" borderId="8" applyBorder="true" applyNumberFormat="true" numFmtId="2" fillId="22" applyFill="true">
      <alignment horizontal="center" vertical="center"/>
    </xf>
    <xf fontId="10038" applyFont="true" borderId="8" applyBorder="true" applyNumberFormat="true" numFmtId="2" fillId="22" applyFill="true">
      <alignment horizontal="center" vertical="center"/>
    </xf>
    <xf fontId="10039" applyFont="true" borderId="8" applyBorder="true" applyNumberFormat="true" numFmtId="2" fillId="22" applyFill="true">
      <alignment horizontal="center" vertical="center"/>
    </xf>
    <xf fontId="10040" applyFont="true" borderId="8" applyBorder="true" applyNumberFormat="true" numFmtId="2" fillId="22" applyFill="true">
      <alignment horizontal="center" vertical="center"/>
    </xf>
    <xf fontId="10041" applyFont="true" borderId="8" applyBorder="true" applyNumberFormat="true" numFmtId="2" fillId="22" applyFill="true">
      <alignment horizontal="center" vertical="center"/>
    </xf>
    <xf fontId="10042" applyFont="true" borderId="8" applyBorder="true" applyNumberFormat="true" numFmtId="2" fillId="22" applyFill="true">
      <alignment horizontal="center" vertical="center"/>
    </xf>
    <xf fontId="10043" applyFont="true" borderId="8" applyBorder="true" applyNumberFormat="true" numFmtId="2" fillId="22" applyFill="true">
      <alignment horizontal="center" vertical="center"/>
    </xf>
    <xf fontId="10044" applyFont="true" borderId="8" applyBorder="true" applyNumberFormat="true" numFmtId="2" fillId="22" applyFill="true">
      <alignment horizontal="center" vertical="center"/>
    </xf>
    <xf fontId="10045" applyFont="true" borderId="8" applyBorder="true" applyNumberFormat="true" numFmtId="2" fillId="22" applyFill="true">
      <alignment horizontal="center" vertical="center"/>
    </xf>
    <xf fontId="10046" applyFont="true" borderId="8" applyBorder="true" applyNumberFormat="true" numFmtId="2" fillId="22" applyFill="true">
      <alignment horizontal="center" vertical="center"/>
    </xf>
    <xf fontId="10047" applyFont="true" borderId="8" applyBorder="true" applyNumberFormat="true" numFmtId="2" fillId="22" applyFill="true">
      <alignment horizontal="center" vertical="center"/>
    </xf>
    <xf fontId="10048" applyFont="true" borderId="8" applyBorder="true" applyNumberFormat="true" numFmtId="2" fillId="22" applyFill="true">
      <alignment horizontal="center" vertical="center"/>
    </xf>
    <xf fontId="10049" applyFont="true" borderId="8" applyBorder="true" applyNumberFormat="true" numFmtId="2" fillId="22" applyFill="true">
      <alignment horizontal="center" vertical="center"/>
    </xf>
    <xf fontId="10050" applyFont="true" borderId="8" applyBorder="true" applyNumberFormat="true" numFmtId="2" fillId="22" applyFill="true">
      <alignment horizontal="center" vertical="center"/>
    </xf>
    <xf fontId="10051" applyFont="true" borderId="8" applyBorder="true" applyNumberFormat="true" numFmtId="2" fillId="22" applyFill="true">
      <alignment horizontal="center" vertical="center"/>
    </xf>
    <xf fontId="10052" applyFont="true" borderId="8" applyBorder="true" applyNumberFormat="true" numFmtId="2" fillId="22" applyFill="true">
      <alignment horizontal="center" vertical="center"/>
    </xf>
    <xf fontId="10053" applyFont="true" borderId="8" applyBorder="true" applyNumberFormat="true" numFmtId="2" fillId="22" applyFill="true">
      <alignment horizontal="center" vertical="center"/>
    </xf>
    <xf fontId="10054" applyFont="true" borderId="8" applyBorder="true" applyNumberFormat="true" numFmtId="2" fillId="22" applyFill="true">
      <alignment horizontal="center" vertical="center"/>
    </xf>
    <xf fontId="10055" applyFont="true" borderId="8" applyBorder="true" applyNumberFormat="true" numFmtId="2" fillId="22" applyFill="true">
      <alignment horizontal="center" vertical="center"/>
    </xf>
    <xf fontId="10056" applyFont="true" borderId="8" applyBorder="true" applyNumberFormat="true" numFmtId="2" fillId="22" applyFill="true">
      <alignment horizontal="center" vertical="center"/>
    </xf>
    <xf fontId="10057" applyFont="true" borderId="8" applyBorder="true" applyNumberFormat="true" numFmtId="2" fillId="22" applyFill="true">
      <alignment horizontal="center" vertical="center"/>
    </xf>
    <xf fontId="10058" applyFont="true" borderId="8" applyBorder="true" applyNumberFormat="true" numFmtId="2" fillId="22" applyFill="true">
      <alignment horizontal="center" vertical="center"/>
    </xf>
    <xf fontId="10059" applyFont="true" borderId="8" applyBorder="true" applyNumberFormat="true" numFmtId="2" fillId="22" applyFill="true">
      <alignment horizontal="center" vertical="center"/>
    </xf>
    <xf fontId="10060" applyFont="true" borderId="8" applyBorder="true" applyNumberFormat="true" numFmtId="2" fillId="22" applyFill="true">
      <alignment horizontal="center" vertical="center"/>
    </xf>
    <xf fontId="10061" applyFont="true" borderId="8" applyBorder="true" applyNumberFormat="true" numFmtId="2" fillId="22" applyFill="true">
      <alignment horizontal="center" vertical="center"/>
    </xf>
    <xf fontId="10062" applyFont="true" borderId="8" applyBorder="true" applyNumberFormat="true" numFmtId="2" fillId="22" applyFill="true">
      <alignment horizontal="center" vertical="center"/>
    </xf>
    <xf fontId="10063" applyFont="true" borderId="8" applyBorder="true" applyNumberFormat="true" numFmtId="165" fillId="19" applyFill="true">
      <alignment horizontal="left" vertical="center"/>
    </xf>
    <xf fontId="10064" applyFont="true" borderId="8" applyBorder="true" applyNumberFormat="true" numFmtId="165" fillId="22" applyFill="true">
      <alignment horizontal="center" vertical="center"/>
    </xf>
    <xf fontId="10065" applyFont="true" borderId="8" applyBorder="true" applyNumberFormat="true" numFmtId="166" fillId="22" applyFill="true">
      <alignment horizontal="center" vertical="center"/>
    </xf>
    <xf fontId="10066" applyFont="true" borderId="8" applyBorder="true" applyNumberFormat="true" numFmtId="1" fillId="22" applyFill="true">
      <alignment horizontal="center" vertical="center"/>
    </xf>
    <xf fontId="10067" applyFont="true" borderId="8" applyBorder="true" applyNumberFormat="true" numFmtId="1" fillId="22" applyFill="true">
      <alignment horizontal="center" vertical="center"/>
    </xf>
    <xf fontId="10068" applyFont="true" borderId="8" applyBorder="true" applyNumberFormat="true" numFmtId="1" fillId="22" applyFill="true">
      <alignment horizontal="center" vertical="center"/>
    </xf>
    <xf fontId="10069" applyFont="true" borderId="8" applyBorder="true" applyNumberFormat="true" numFmtId="1" fillId="22" applyFill="true">
      <alignment horizontal="center" vertical="center"/>
    </xf>
    <xf fontId="10070" applyFont="true" borderId="8" applyBorder="true" applyNumberFormat="true" numFmtId="1" fillId="22" applyFill="true">
      <alignment horizontal="center" vertical="center"/>
    </xf>
    <xf fontId="10071" applyFont="true" borderId="8" applyBorder="true" applyNumberFormat="true" numFmtId="1" fillId="22" applyFill="true">
      <alignment horizontal="center" vertical="center"/>
    </xf>
    <xf fontId="10072" applyFont="true" borderId="8" applyBorder="true" applyNumberFormat="true" numFmtId="1" fillId="22" applyFill="true">
      <alignment horizontal="center" vertical="center"/>
    </xf>
    <xf fontId="10073" applyFont="true" borderId="8" applyBorder="true" applyNumberFormat="true" numFmtId="165" fillId="22" applyFill="true">
      <alignment horizontal="center" vertical="center"/>
    </xf>
    <xf fontId="10074" applyFont="true" borderId="8" applyBorder="true" applyNumberFormat="true" numFmtId="165" fillId="22" applyFill="true">
      <alignment horizontal="center" vertical="center"/>
    </xf>
    <xf fontId="10075" applyFont="true" borderId="8" applyBorder="true" applyNumberFormat="true" numFmtId="1" fillId="22" applyFill="true">
      <alignment horizontal="center" vertical="center"/>
    </xf>
    <xf fontId="10076" applyFont="true" borderId="8" applyBorder="true" applyNumberFormat="true" numFmtId="1" fillId="22" applyFill="true">
      <alignment horizontal="center" vertical="center"/>
    </xf>
    <xf fontId="10077" applyFont="true" borderId="8" applyBorder="true" applyNumberFormat="true" numFmtId="1" fillId="22" applyFill="true">
      <alignment horizontal="center" vertical="center"/>
    </xf>
    <xf fontId="10078" applyFont="true" borderId="8" applyBorder="true" applyNumberFormat="true" numFmtId="167" fillId="22" applyFill="true">
      <alignment horizontal="center" vertical="center"/>
    </xf>
    <xf fontId="10079" applyFont="true" borderId="8" applyBorder="true" applyNumberFormat="true" numFmtId="1" fillId="22" applyFill="true">
      <alignment horizontal="center" vertical="center"/>
    </xf>
    <xf fontId="10080" applyFont="true" borderId="8" applyBorder="true" applyNumberFormat="true" numFmtId="167" fillId="22" applyFill="true">
      <alignment horizontal="center" vertical="center"/>
    </xf>
    <xf fontId="10081" applyFont="true" borderId="8" applyBorder="true" applyNumberFormat="true" numFmtId="1" fillId="22" applyFill="true">
      <alignment horizontal="center" vertical="center"/>
    </xf>
    <xf fontId="10082" applyFont="true" borderId="8" applyBorder="true" applyNumberFormat="true" numFmtId="167" fillId="22" applyFill="true">
      <alignment horizontal="center" vertical="center"/>
    </xf>
    <xf fontId="10083" applyFont="true" borderId="8" applyBorder="true" applyNumberFormat="true" numFmtId="1" fillId="22" applyFill="true">
      <alignment horizontal="center" vertical="center"/>
    </xf>
    <xf fontId="10084" applyFont="true" borderId="8" applyBorder="true" applyNumberFormat="true" numFmtId="167" fillId="22" applyFill="true">
      <alignment horizontal="center" vertical="center"/>
    </xf>
    <xf fontId="10085" applyFont="true" borderId="8" applyBorder="true" applyNumberFormat="true" numFmtId="167" fillId="22" applyFill="true">
      <alignment horizontal="center" vertical="center"/>
    </xf>
    <xf fontId="10086" applyFont="true" borderId="8" applyBorder="true" applyNumberFormat="true" numFmtId="1" fillId="22" applyFill="true">
      <alignment horizontal="center" vertical="center"/>
    </xf>
    <xf fontId="10087" applyFont="true" borderId="8" applyBorder="true" applyNumberFormat="true" numFmtId="1" fillId="22" applyFill="true">
      <alignment horizontal="center" vertical="center"/>
    </xf>
    <xf fontId="10088" applyFont="true" borderId="8" applyBorder="true" applyNumberFormat="true" numFmtId="1" fillId="22" applyFill="true">
      <alignment horizontal="center" vertical="center"/>
    </xf>
    <xf fontId="10089" applyFont="true" borderId="8" applyBorder="true" applyNumberFormat="true" numFmtId="167" fillId="22" applyFill="true">
      <alignment horizontal="center" vertical="center"/>
    </xf>
    <xf fontId="10090" applyFont="true" borderId="8" applyBorder="true" applyNumberFormat="true" numFmtId="166" fillId="22" applyFill="true">
      <alignment horizontal="center" vertical="center"/>
    </xf>
    <xf fontId="10091" applyFont="true" borderId="8" applyBorder="true" applyNumberFormat="true" numFmtId="166" fillId="22" applyFill="true">
      <alignment horizontal="center" vertical="center"/>
    </xf>
    <xf fontId="10092" applyFont="true" borderId="8" applyBorder="true" applyNumberFormat="true" numFmtId="1" fillId="22" applyFill="true">
      <alignment horizontal="center" vertical="center"/>
    </xf>
    <xf fontId="10093" applyFont="true" borderId="8" applyBorder="true" applyNumberFormat="true" numFmtId="1" fillId="22" applyFill="true">
      <alignment horizontal="center" vertical="center"/>
    </xf>
    <xf fontId="10094" applyFont="true" borderId="8" applyBorder="true" applyNumberFormat="true" numFmtId="1" fillId="22" applyFill="true">
      <alignment horizontal="center" vertical="center"/>
    </xf>
    <xf fontId="10095" applyFont="true" borderId="8" applyBorder="true" applyNumberFormat="true" numFmtId="167" fillId="22" applyFill="true">
      <alignment horizontal="center" vertical="center"/>
    </xf>
    <xf fontId="10096" applyFont="true" borderId="8" applyBorder="true" applyNumberFormat="true" numFmtId="1" fillId="22" applyFill="true">
      <alignment horizontal="center" vertical="center"/>
    </xf>
    <xf fontId="10097" applyFont="true" borderId="8" applyBorder="true" applyNumberFormat="true" numFmtId="167" fillId="22" applyFill="true">
      <alignment horizontal="center" vertical="center"/>
    </xf>
    <xf fontId="10098" applyFont="true" borderId="8" applyBorder="true" applyNumberFormat="true" numFmtId="1" fillId="22" applyFill="true">
      <alignment horizontal="center" vertical="center"/>
    </xf>
    <xf fontId="10099" applyFont="true" borderId="8" applyBorder="true" applyNumberFormat="true" numFmtId="1" fillId="22" applyFill="true">
      <alignment horizontal="center" vertical="center"/>
    </xf>
    <xf fontId="10100" applyFont="true" borderId="8" applyBorder="true" applyNumberFormat="true" numFmtId="1" fillId="22" applyFill="true">
      <alignment horizontal="center" vertical="center"/>
    </xf>
    <xf fontId="10101" applyFont="true" borderId="8" applyBorder="true" applyNumberFormat="true" numFmtId="1" fillId="22" applyFill="true">
      <alignment horizontal="center" vertical="center"/>
    </xf>
    <xf fontId="10102" applyFont="true" borderId="8" applyBorder="true" applyNumberFormat="true" numFmtId="167" fillId="22" applyFill="true">
      <alignment horizontal="center" vertical="center"/>
    </xf>
    <xf fontId="10103" applyFont="true" borderId="8" applyBorder="true" applyNumberFormat="true" numFmtId="1" fillId="22" applyFill="true">
      <alignment horizontal="center" vertical="center"/>
    </xf>
    <xf fontId="10104" applyFont="true" borderId="8" applyBorder="true" applyNumberFormat="true" numFmtId="167" fillId="22" applyFill="true">
      <alignment horizontal="center" vertical="center"/>
    </xf>
    <xf fontId="10105" applyFont="true" borderId="8" applyBorder="true" applyNumberFormat="true" numFmtId="1" fillId="22" applyFill="true">
      <alignment horizontal="center" vertical="center"/>
    </xf>
    <xf fontId="10106" applyFont="true" borderId="8" applyBorder="true" applyNumberFormat="true" numFmtId="167" fillId="22" applyFill="true">
      <alignment horizontal="center" vertical="center"/>
    </xf>
    <xf fontId="10107" applyFont="true" borderId="8" applyBorder="true" applyNumberFormat="true" numFmtId="2" fillId="22" applyFill="true">
      <alignment horizontal="center" vertical="center"/>
    </xf>
    <xf fontId="10108" applyFont="true" borderId="8" applyBorder="true" applyNumberFormat="true" numFmtId="2" fillId="22" applyFill="true">
      <alignment horizontal="center" vertical="center"/>
    </xf>
    <xf fontId="10109" applyFont="true" borderId="8" applyBorder="true" applyNumberFormat="true" numFmtId="2" fillId="22" applyFill="true">
      <alignment horizontal="center" vertical="center"/>
    </xf>
    <xf fontId="10110" applyFont="true" borderId="8" applyBorder="true" applyNumberFormat="true" numFmtId="2" fillId="22" applyFill="true">
      <alignment horizontal="center" vertical="center"/>
    </xf>
    <xf fontId="10111" applyFont="true" borderId="8" applyBorder="true" applyNumberFormat="true" numFmtId="2" fillId="22" applyFill="true">
      <alignment horizontal="center" vertical="center"/>
    </xf>
    <xf fontId="10112" applyFont="true" borderId="8" applyBorder="true" applyNumberFormat="true" numFmtId="2" fillId="22" applyFill="true">
      <alignment horizontal="center" vertical="center"/>
    </xf>
    <xf fontId="10113" applyFont="true" borderId="8" applyBorder="true" applyNumberFormat="true" numFmtId="2" fillId="22" applyFill="true">
      <alignment horizontal="center" vertical="center"/>
    </xf>
    <xf fontId="10114" applyFont="true" borderId="8" applyBorder="true" applyNumberFormat="true" numFmtId="2" fillId="22" applyFill="true">
      <alignment horizontal="center" vertical="center"/>
    </xf>
    <xf fontId="10115" applyFont="true" borderId="8" applyBorder="true" applyNumberFormat="true" numFmtId="2" fillId="22" applyFill="true">
      <alignment horizontal="center" vertical="center"/>
    </xf>
    <xf fontId="10116" applyFont="true" borderId="8" applyBorder="true" applyNumberFormat="true" numFmtId="2" fillId="22" applyFill="true">
      <alignment horizontal="center" vertical="center"/>
    </xf>
    <xf fontId="10117" applyFont="true" borderId="8" applyBorder="true" applyNumberFormat="true" numFmtId="2" fillId="22" applyFill="true">
      <alignment horizontal="center" vertical="center"/>
    </xf>
    <xf fontId="10118" applyFont="true" borderId="8" applyBorder="true" applyNumberFormat="true" numFmtId="2" fillId="22" applyFill="true">
      <alignment horizontal="center" vertical="center"/>
    </xf>
    <xf fontId="10119" applyFont="true" borderId="8" applyBorder="true" applyNumberFormat="true" numFmtId="2" fillId="22" applyFill="true">
      <alignment horizontal="center" vertical="center"/>
    </xf>
    <xf fontId="10120" applyFont="true" borderId="8" applyBorder="true" applyNumberFormat="true" numFmtId="2" fillId="22" applyFill="true">
      <alignment horizontal="center" vertical="center"/>
    </xf>
    <xf fontId="10121" applyFont="true" borderId="8" applyBorder="true" applyNumberFormat="true" numFmtId="2" fillId="22" applyFill="true">
      <alignment horizontal="center" vertical="center"/>
    </xf>
    <xf fontId="10122" applyFont="true" borderId="8" applyBorder="true" applyNumberFormat="true" numFmtId="2" fillId="22" applyFill="true">
      <alignment horizontal="center" vertical="center"/>
    </xf>
    <xf fontId="10123" applyFont="true" borderId="8" applyBorder="true" applyNumberFormat="true" numFmtId="2" fillId="22" applyFill="true">
      <alignment horizontal="center" vertical="center"/>
    </xf>
    <xf fontId="10124" applyFont="true" borderId="8" applyBorder="true" applyNumberFormat="true" numFmtId="2" fillId="22" applyFill="true">
      <alignment horizontal="center" vertical="center"/>
    </xf>
    <xf fontId="10125" applyFont="true" borderId="8" applyBorder="true" applyNumberFormat="true" numFmtId="2" fillId="22" applyFill="true">
      <alignment horizontal="center" vertical="center"/>
    </xf>
    <xf fontId="10126" applyFont="true" borderId="8" applyBorder="true" applyNumberFormat="true" numFmtId="2" fillId="22" applyFill="true">
      <alignment horizontal="center" vertical="center"/>
    </xf>
    <xf fontId="10127" applyFont="true" borderId="8" applyBorder="true" applyNumberFormat="true" numFmtId="2" fillId="22" applyFill="true">
      <alignment horizontal="center" vertical="center"/>
    </xf>
    <xf fontId="10128" applyFont="true" borderId="8" applyBorder="true" applyNumberFormat="true" numFmtId="2" fillId="22" applyFill="true">
      <alignment horizontal="center" vertical="center"/>
    </xf>
    <xf fontId="10129" applyFont="true" borderId="8" applyBorder="true" applyNumberFormat="true" numFmtId="2" fillId="22" applyFill="true">
      <alignment horizontal="center" vertical="center"/>
    </xf>
    <xf fontId="10130" applyFont="true" borderId="8" applyBorder="true" applyNumberFormat="true" numFmtId="2" fillId="22" applyFill="true">
      <alignment horizontal="center" vertical="center"/>
    </xf>
    <xf fontId="10131" applyFont="true" borderId="8" applyBorder="true" applyNumberFormat="true" numFmtId="2" fillId="22" applyFill="true">
      <alignment horizontal="center" vertical="center"/>
    </xf>
    <xf fontId="10132" applyFont="true" borderId="8" applyBorder="true" applyNumberFormat="true" numFmtId="2" fillId="22" applyFill="true">
      <alignment horizontal="center" vertical="center"/>
    </xf>
    <xf fontId="10133" applyFont="true" borderId="8" applyBorder="true" applyNumberFormat="true" numFmtId="2" fillId="22" applyFill="true">
      <alignment horizontal="center" vertical="center"/>
    </xf>
    <xf fontId="10134" applyFont="true" borderId="8" applyBorder="true" applyNumberFormat="true" numFmtId="2" fillId="22" applyFill="true">
      <alignment horizontal="center" vertical="center"/>
    </xf>
    <xf fontId="10135" applyFont="true" borderId="8" applyBorder="true" applyNumberFormat="true" numFmtId="2" fillId="22" applyFill="true">
      <alignment horizontal="center" vertical="center"/>
    </xf>
    <xf fontId="10136" applyFont="true" borderId="8" applyBorder="true" applyNumberFormat="true" numFmtId="2" fillId="22" applyFill="true">
      <alignment horizontal="center" vertical="center"/>
    </xf>
    <xf fontId="10137" applyFont="true" borderId="8" applyBorder="true" applyNumberFormat="true" numFmtId="2" fillId="22" applyFill="true">
      <alignment horizontal="center" vertical="center"/>
    </xf>
    <xf fontId="10138" applyFont="true" borderId="8" applyBorder="true" applyNumberFormat="true" numFmtId="2" fillId="22" applyFill="true">
      <alignment horizontal="center" vertical="center"/>
    </xf>
    <xf fontId="10139" applyFont="true" borderId="8" applyBorder="true" applyNumberFormat="true" numFmtId="2" fillId="22" applyFill="true">
      <alignment horizontal="center" vertical="center"/>
    </xf>
    <xf fontId="10140" applyFont="true" borderId="8" applyBorder="true" applyNumberFormat="true" numFmtId="2" fillId="22" applyFill="true">
      <alignment horizontal="center" vertical="center"/>
    </xf>
    <xf fontId="10141" applyFont="true" borderId="8" applyBorder="true" applyNumberFormat="true" numFmtId="165" fillId="19" applyFill="true">
      <alignment horizontal="left" vertical="center"/>
    </xf>
    <xf fontId="10142" applyFont="true" borderId="8" applyBorder="true" applyNumberFormat="true" numFmtId="165" fillId="22" applyFill="true">
      <alignment horizontal="center" vertical="center"/>
    </xf>
    <xf fontId="10143" applyFont="true" borderId="8" applyBorder="true" applyNumberFormat="true" numFmtId="166" fillId="22" applyFill="true">
      <alignment horizontal="center" vertical="center"/>
    </xf>
    <xf fontId="10144" applyFont="true" borderId="8" applyBorder="true" applyNumberFormat="true" numFmtId="1" fillId="22" applyFill="true">
      <alignment horizontal="center" vertical="center"/>
    </xf>
    <xf fontId="10145" applyFont="true" borderId="8" applyBorder="true" applyNumberFormat="true" numFmtId="1" fillId="22" applyFill="true">
      <alignment horizontal="center" vertical="center"/>
    </xf>
    <xf fontId="10146" applyFont="true" borderId="8" applyBorder="true" applyNumberFormat="true" numFmtId="1" fillId="22" applyFill="true">
      <alignment horizontal="center" vertical="center"/>
    </xf>
    <xf fontId="10147" applyFont="true" borderId="8" applyBorder="true" applyNumberFormat="true" numFmtId="1" fillId="22" applyFill="true">
      <alignment horizontal="center" vertical="center"/>
    </xf>
    <xf fontId="10148" applyFont="true" borderId="8" applyBorder="true" applyNumberFormat="true" numFmtId="1" fillId="22" applyFill="true">
      <alignment horizontal="center" vertical="center"/>
    </xf>
    <xf fontId="10149" applyFont="true" borderId="8" applyBorder="true" applyNumberFormat="true" numFmtId="1" fillId="22" applyFill="true">
      <alignment horizontal="center" vertical="center"/>
    </xf>
    <xf fontId="10150" applyFont="true" borderId="8" applyBorder="true" applyNumberFormat="true" numFmtId="1" fillId="22" applyFill="true">
      <alignment horizontal="center" vertical="center"/>
    </xf>
    <xf fontId="10151" applyFont="true" borderId="8" applyBorder="true" applyNumberFormat="true" numFmtId="165" fillId="22" applyFill="true">
      <alignment horizontal="center" vertical="center"/>
    </xf>
    <xf fontId="10152" applyFont="true" borderId="8" applyBorder="true" applyNumberFormat="true" numFmtId="165" fillId="22" applyFill="true">
      <alignment horizontal="center" vertical="center"/>
    </xf>
    <xf fontId="10153" applyFont="true" borderId="8" applyBorder="true" applyNumberFormat="true" numFmtId="1" fillId="22" applyFill="true">
      <alignment horizontal="center" vertical="center"/>
    </xf>
    <xf fontId="10154" applyFont="true" borderId="8" applyBorder="true" applyNumberFormat="true" numFmtId="1" fillId="22" applyFill="true">
      <alignment horizontal="center" vertical="center"/>
    </xf>
    <xf fontId="10155" applyFont="true" borderId="8" applyBorder="true" applyNumberFormat="true" numFmtId="1" fillId="22" applyFill="true">
      <alignment horizontal="center" vertical="center"/>
    </xf>
    <xf fontId="10156" applyFont="true" borderId="8" applyBorder="true" applyNumberFormat="true" numFmtId="167" fillId="22" applyFill="true">
      <alignment horizontal="center" vertical="center"/>
    </xf>
    <xf fontId="10157" applyFont="true" borderId="8" applyBorder="true" applyNumberFormat="true" numFmtId="1" fillId="22" applyFill="true">
      <alignment horizontal="center" vertical="center"/>
    </xf>
    <xf fontId="10158" applyFont="true" borderId="8" applyBorder="true" applyNumberFormat="true" numFmtId="167" fillId="22" applyFill="true">
      <alignment horizontal="center" vertical="center"/>
    </xf>
    <xf fontId="10159" applyFont="true" borderId="8" applyBorder="true" applyNumberFormat="true" numFmtId="1" fillId="22" applyFill="true">
      <alignment horizontal="center" vertical="center"/>
    </xf>
    <xf fontId="10160" applyFont="true" borderId="8" applyBorder="true" applyNumberFormat="true" numFmtId="167" fillId="22" applyFill="true">
      <alignment horizontal="center" vertical="center"/>
    </xf>
    <xf fontId="10161" applyFont="true" borderId="8" applyBorder="true" applyNumberFormat="true" numFmtId="1" fillId="22" applyFill="true">
      <alignment horizontal="center" vertical="center"/>
    </xf>
    <xf fontId="10162" applyFont="true" borderId="8" applyBorder="true" applyNumberFormat="true" numFmtId="167" fillId="22" applyFill="true">
      <alignment horizontal="center" vertical="center"/>
    </xf>
    <xf fontId="10163" applyFont="true" borderId="8" applyBorder="true" applyNumberFormat="true" numFmtId="167" fillId="22" applyFill="true">
      <alignment horizontal="center" vertical="center"/>
    </xf>
    <xf fontId="10164" applyFont="true" borderId="8" applyBorder="true" applyNumberFormat="true" numFmtId="1" fillId="22" applyFill="true">
      <alignment horizontal="center" vertical="center"/>
    </xf>
    <xf fontId="10165" applyFont="true" borderId="8" applyBorder="true" applyNumberFormat="true" numFmtId="1" fillId="22" applyFill="true">
      <alignment horizontal="center" vertical="center"/>
    </xf>
    <xf fontId="10166" applyFont="true" borderId="8" applyBorder="true" applyNumberFormat="true" numFmtId="1" fillId="22" applyFill="true">
      <alignment horizontal="center" vertical="center"/>
    </xf>
    <xf fontId="10167" applyFont="true" borderId="8" applyBorder="true" applyNumberFormat="true" numFmtId="167" fillId="22" applyFill="true">
      <alignment horizontal="center" vertical="center"/>
    </xf>
    <xf fontId="10168" applyFont="true" borderId="8" applyBorder="true" applyNumberFormat="true" numFmtId="166" fillId="22" applyFill="true">
      <alignment horizontal="center" vertical="center"/>
    </xf>
    <xf fontId="10169" applyFont="true" borderId="8" applyBorder="true" applyNumberFormat="true" numFmtId="166" fillId="22" applyFill="true">
      <alignment horizontal="center" vertical="center"/>
    </xf>
    <xf fontId="10170" applyFont="true" borderId="8" applyBorder="true" applyNumberFormat="true" numFmtId="1" fillId="22" applyFill="true">
      <alignment horizontal="center" vertical="center"/>
    </xf>
    <xf fontId="10171" applyFont="true" borderId="8" applyBorder="true" applyNumberFormat="true" numFmtId="1" fillId="22" applyFill="true">
      <alignment horizontal="center" vertical="center"/>
    </xf>
    <xf fontId="10172" applyFont="true" borderId="8" applyBorder="true" applyNumberFormat="true" numFmtId="1" fillId="22" applyFill="true">
      <alignment horizontal="center" vertical="center"/>
    </xf>
    <xf fontId="10173" applyFont="true" borderId="8" applyBorder="true" applyNumberFormat="true" numFmtId="167" fillId="22" applyFill="true">
      <alignment horizontal="center" vertical="center"/>
    </xf>
    <xf fontId="10174" applyFont="true" borderId="8" applyBorder="true" applyNumberFormat="true" numFmtId="1" fillId="22" applyFill="true">
      <alignment horizontal="center" vertical="center"/>
    </xf>
    <xf fontId="10175" applyFont="true" borderId="8" applyBorder="true" applyNumberFormat="true" numFmtId="167" fillId="22" applyFill="true">
      <alignment horizontal="center" vertical="center"/>
    </xf>
    <xf fontId="10176" applyFont="true" borderId="8" applyBorder="true" applyNumberFormat="true" numFmtId="1" fillId="22" applyFill="true">
      <alignment horizontal="center" vertical="center"/>
    </xf>
    <xf fontId="10177" applyFont="true" borderId="8" applyBorder="true" applyNumberFormat="true" numFmtId="1" fillId="22" applyFill="true">
      <alignment horizontal="center" vertical="center"/>
    </xf>
    <xf fontId="10178" applyFont="true" borderId="8" applyBorder="true" applyNumberFormat="true" numFmtId="1" fillId="22" applyFill="true">
      <alignment horizontal="center" vertical="center"/>
    </xf>
    <xf fontId="10179" applyFont="true" borderId="8" applyBorder="true" applyNumberFormat="true" numFmtId="1" fillId="22" applyFill="true">
      <alignment horizontal="center" vertical="center"/>
    </xf>
    <xf fontId="10180" applyFont="true" borderId="8" applyBorder="true" applyNumberFormat="true" numFmtId="167" fillId="22" applyFill="true">
      <alignment horizontal="center" vertical="center"/>
    </xf>
    <xf fontId="10181" applyFont="true" borderId="8" applyBorder="true" applyNumberFormat="true" numFmtId="1" fillId="22" applyFill="true">
      <alignment horizontal="center" vertical="center"/>
    </xf>
    <xf fontId="10182" applyFont="true" borderId="8" applyBorder="true" applyNumberFormat="true" numFmtId="167" fillId="22" applyFill="true">
      <alignment horizontal="center" vertical="center"/>
    </xf>
    <xf fontId="10183" applyFont="true" borderId="8" applyBorder="true" applyNumberFormat="true" numFmtId="1" fillId="22" applyFill="true">
      <alignment horizontal="center" vertical="center"/>
    </xf>
    <xf fontId="10184" applyFont="true" borderId="8" applyBorder="true" applyNumberFormat="true" numFmtId="167" fillId="22" applyFill="true">
      <alignment horizontal="center" vertical="center"/>
    </xf>
    <xf fontId="10185" applyFont="true" borderId="8" applyBorder="true" applyNumberFormat="true" numFmtId="2" fillId="22" applyFill="true">
      <alignment horizontal="center" vertical="center"/>
    </xf>
    <xf fontId="10186" applyFont="true" borderId="8" applyBorder="true" applyNumberFormat="true" numFmtId="2" fillId="22" applyFill="true">
      <alignment horizontal="center" vertical="center"/>
    </xf>
    <xf fontId="10187" applyFont="true" borderId="8" applyBorder="true" applyNumberFormat="true" numFmtId="2" fillId="22" applyFill="true">
      <alignment horizontal="center" vertical="center"/>
    </xf>
    <xf fontId="10188" applyFont="true" borderId="8" applyBorder="true" applyNumberFormat="true" numFmtId="2" fillId="22" applyFill="true">
      <alignment horizontal="center" vertical="center"/>
    </xf>
    <xf fontId="10189" applyFont="true" borderId="8" applyBorder="true" applyNumberFormat="true" numFmtId="2" fillId="22" applyFill="true">
      <alignment horizontal="center" vertical="center"/>
    </xf>
    <xf fontId="10190" applyFont="true" borderId="8" applyBorder="true" applyNumberFormat="true" numFmtId="2" fillId="22" applyFill="true">
      <alignment horizontal="center" vertical="center"/>
    </xf>
    <xf fontId="10191" applyFont="true" borderId="8" applyBorder="true" applyNumberFormat="true" numFmtId="2" fillId="22" applyFill="true">
      <alignment horizontal="center" vertical="center"/>
    </xf>
    <xf fontId="10192" applyFont="true" borderId="8" applyBorder="true" applyNumberFormat="true" numFmtId="2" fillId="22" applyFill="true">
      <alignment horizontal="center" vertical="center"/>
    </xf>
    <xf fontId="10193" applyFont="true" borderId="8" applyBorder="true" applyNumberFormat="true" numFmtId="2" fillId="22" applyFill="true">
      <alignment horizontal="center" vertical="center"/>
    </xf>
    <xf fontId="10194" applyFont="true" borderId="8" applyBorder="true" applyNumberFormat="true" numFmtId="2" fillId="22" applyFill="true">
      <alignment horizontal="center" vertical="center"/>
    </xf>
    <xf fontId="10195" applyFont="true" borderId="8" applyBorder="true" applyNumberFormat="true" numFmtId="2" fillId="22" applyFill="true">
      <alignment horizontal="center" vertical="center"/>
    </xf>
    <xf fontId="10196" applyFont="true" borderId="8" applyBorder="true" applyNumberFormat="true" numFmtId="2" fillId="22" applyFill="true">
      <alignment horizontal="center" vertical="center"/>
    </xf>
    <xf fontId="10197" applyFont="true" borderId="8" applyBorder="true" applyNumberFormat="true" numFmtId="2" fillId="22" applyFill="true">
      <alignment horizontal="center" vertical="center"/>
    </xf>
    <xf fontId="10198" applyFont="true" borderId="8" applyBorder="true" applyNumberFormat="true" numFmtId="2" fillId="22" applyFill="true">
      <alignment horizontal="center" vertical="center"/>
    </xf>
    <xf fontId="10199" applyFont="true" borderId="8" applyBorder="true" applyNumberFormat="true" numFmtId="2" fillId="22" applyFill="true">
      <alignment horizontal="center" vertical="center"/>
    </xf>
    <xf fontId="10200" applyFont="true" borderId="8" applyBorder="true" applyNumberFormat="true" numFmtId="2" fillId="22" applyFill="true">
      <alignment horizontal="center" vertical="center"/>
    </xf>
    <xf fontId="10201" applyFont="true" borderId="8" applyBorder="true" applyNumberFormat="true" numFmtId="2" fillId="22" applyFill="true">
      <alignment horizontal="center" vertical="center"/>
    </xf>
    <xf fontId="10202" applyFont="true" borderId="8" applyBorder="true" applyNumberFormat="true" numFmtId="2" fillId="22" applyFill="true">
      <alignment horizontal="center" vertical="center"/>
    </xf>
    <xf fontId="10203" applyFont="true" borderId="8" applyBorder="true" applyNumberFormat="true" numFmtId="2" fillId="22" applyFill="true">
      <alignment horizontal="center" vertical="center"/>
    </xf>
    <xf fontId="10204" applyFont="true" borderId="8" applyBorder="true" applyNumberFormat="true" numFmtId="2" fillId="22" applyFill="true">
      <alignment horizontal="center" vertical="center"/>
    </xf>
    <xf fontId="10205" applyFont="true" borderId="8" applyBorder="true" applyNumberFormat="true" numFmtId="2" fillId="22" applyFill="true">
      <alignment horizontal="center" vertical="center"/>
    </xf>
    <xf fontId="10206" applyFont="true" borderId="8" applyBorder="true" applyNumberFormat="true" numFmtId="2" fillId="22" applyFill="true">
      <alignment horizontal="center" vertical="center"/>
    </xf>
    <xf fontId="10207" applyFont="true" borderId="8" applyBorder="true" applyNumberFormat="true" numFmtId="2" fillId="22" applyFill="true">
      <alignment horizontal="center" vertical="center"/>
    </xf>
    <xf fontId="10208" applyFont="true" borderId="8" applyBorder="true" applyNumberFormat="true" numFmtId="2" fillId="22" applyFill="true">
      <alignment horizontal="center" vertical="center"/>
    </xf>
    <xf fontId="10209" applyFont="true" borderId="8" applyBorder="true" applyNumberFormat="true" numFmtId="2" fillId="22" applyFill="true">
      <alignment horizontal="center" vertical="center"/>
    </xf>
    <xf fontId="10210" applyFont="true" borderId="8" applyBorder="true" applyNumberFormat="true" numFmtId="2" fillId="22" applyFill="true">
      <alignment horizontal="center" vertical="center"/>
    </xf>
    <xf fontId="10211" applyFont="true" borderId="8" applyBorder="true" applyNumberFormat="true" numFmtId="2" fillId="22" applyFill="true">
      <alignment horizontal="center" vertical="center"/>
    </xf>
    <xf fontId="10212" applyFont="true" borderId="8" applyBorder="true" applyNumberFormat="true" numFmtId="2" fillId="22" applyFill="true">
      <alignment horizontal="center" vertical="center"/>
    </xf>
    <xf fontId="10213" applyFont="true" borderId="8" applyBorder="true" applyNumberFormat="true" numFmtId="2" fillId="22" applyFill="true">
      <alignment horizontal="center" vertical="center"/>
    </xf>
    <xf fontId="10214" applyFont="true" borderId="8" applyBorder="true" applyNumberFormat="true" numFmtId="2" fillId="22" applyFill="true">
      <alignment horizontal="center" vertical="center"/>
    </xf>
    <xf fontId="10215" applyFont="true" borderId="8" applyBorder="true" applyNumberFormat="true" numFmtId="2" fillId="22" applyFill="true">
      <alignment horizontal="center" vertical="center"/>
    </xf>
    <xf fontId="10216" applyFont="true" borderId="8" applyBorder="true" applyNumberFormat="true" numFmtId="2" fillId="22" applyFill="true">
      <alignment horizontal="center" vertical="center"/>
    </xf>
    <xf fontId="10217" applyFont="true" borderId="8" applyBorder="true" applyNumberFormat="true" numFmtId="2" fillId="22" applyFill="true">
      <alignment horizontal="center" vertical="center"/>
    </xf>
    <xf fontId="10218" applyFont="true" borderId="8" applyBorder="true" applyNumberFormat="true" numFmtId="2" fillId="22" applyFill="true">
      <alignment horizontal="center" vertical="center"/>
    </xf>
    <xf fontId="10219" applyFont="true" borderId="8" applyBorder="true" applyNumberFormat="true" numFmtId="165" fillId="19" applyFill="true">
      <alignment horizontal="left" vertical="center"/>
    </xf>
    <xf fontId="10220" applyFont="true" borderId="8" applyBorder="true" applyNumberFormat="true" numFmtId="165" fillId="22" applyFill="true">
      <alignment horizontal="center" vertical="center"/>
    </xf>
    <xf fontId="10221" applyFont="true" borderId="8" applyBorder="true" applyNumberFormat="true" numFmtId="166" fillId="22" applyFill="true">
      <alignment horizontal="center" vertical="center"/>
    </xf>
    <xf fontId="10222" applyFont="true" borderId="8" applyBorder="true" applyNumberFormat="true" numFmtId="1" fillId="22" applyFill="true">
      <alignment horizontal="center" vertical="center"/>
    </xf>
    <xf fontId="10223" applyFont="true" borderId="8" applyBorder="true" applyNumberFormat="true" numFmtId="1" fillId="22" applyFill="true">
      <alignment horizontal="center" vertical="center"/>
    </xf>
    <xf fontId="10224" applyFont="true" borderId="8" applyBorder="true" applyNumberFormat="true" numFmtId="1" fillId="22" applyFill="true">
      <alignment horizontal="center" vertical="center"/>
    </xf>
    <xf fontId="10225" applyFont="true" borderId="8" applyBorder="true" applyNumberFormat="true" numFmtId="1" fillId="22" applyFill="true">
      <alignment horizontal="center" vertical="center"/>
    </xf>
    <xf fontId="10226" applyFont="true" borderId="8" applyBorder="true" applyNumberFormat="true" numFmtId="1" fillId="22" applyFill="true">
      <alignment horizontal="center" vertical="center"/>
    </xf>
    <xf fontId="10227" applyFont="true" borderId="8" applyBorder="true" applyNumberFormat="true" numFmtId="1" fillId="22" applyFill="true">
      <alignment horizontal="center" vertical="center"/>
    </xf>
    <xf fontId="10228" applyFont="true" borderId="8" applyBorder="true" applyNumberFormat="true" numFmtId="1" fillId="22" applyFill="true">
      <alignment horizontal="center" vertical="center"/>
    </xf>
    <xf fontId="10229" applyFont="true" borderId="8" applyBorder="true" applyNumberFormat="true" numFmtId="165" fillId="22" applyFill="true">
      <alignment horizontal="center" vertical="center"/>
    </xf>
    <xf fontId="10230" applyFont="true" borderId="8" applyBorder="true" applyNumberFormat="true" numFmtId="165" fillId="22" applyFill="true">
      <alignment horizontal="center" vertical="center"/>
    </xf>
    <xf fontId="10231" applyFont="true" borderId="8" applyBorder="true" applyNumberFormat="true" numFmtId="1" fillId="22" applyFill="true">
      <alignment horizontal="center" vertical="center"/>
    </xf>
    <xf fontId="10232" applyFont="true" borderId="8" applyBorder="true" applyNumberFormat="true" numFmtId="1" fillId="22" applyFill="true">
      <alignment horizontal="center" vertical="center"/>
    </xf>
    <xf fontId="10233" applyFont="true" borderId="8" applyBorder="true" applyNumberFormat="true" numFmtId="1" fillId="22" applyFill="true">
      <alignment horizontal="center" vertical="center"/>
    </xf>
    <xf fontId="10234" applyFont="true" borderId="8" applyBorder="true" applyNumberFormat="true" numFmtId="167" fillId="22" applyFill="true">
      <alignment horizontal="center" vertical="center"/>
    </xf>
    <xf fontId="10235" applyFont="true" borderId="8" applyBorder="true" applyNumberFormat="true" numFmtId="1" fillId="22" applyFill="true">
      <alignment horizontal="center" vertical="center"/>
    </xf>
    <xf fontId="10236" applyFont="true" borderId="8" applyBorder="true" applyNumberFormat="true" numFmtId="167" fillId="22" applyFill="true">
      <alignment horizontal="center" vertical="center"/>
    </xf>
    <xf fontId="10237" applyFont="true" borderId="8" applyBorder="true" applyNumberFormat="true" numFmtId="1" fillId="22" applyFill="true">
      <alignment horizontal="center" vertical="center"/>
    </xf>
    <xf fontId="10238" applyFont="true" borderId="8" applyBorder="true" applyNumberFormat="true" numFmtId="167" fillId="22" applyFill="true">
      <alignment horizontal="center" vertical="center"/>
    </xf>
    <xf fontId="10239" applyFont="true" borderId="8" applyBorder="true" applyNumberFormat="true" numFmtId="1" fillId="22" applyFill="true">
      <alignment horizontal="center" vertical="center"/>
    </xf>
    <xf fontId="10240" applyFont="true" borderId="8" applyBorder="true" applyNumberFormat="true" numFmtId="167" fillId="22" applyFill="true">
      <alignment horizontal="center" vertical="center"/>
    </xf>
    <xf fontId="10241" applyFont="true" borderId="8" applyBorder="true" applyNumberFormat="true" numFmtId="167" fillId="22" applyFill="true">
      <alignment horizontal="center" vertical="center"/>
    </xf>
    <xf fontId="10242" applyFont="true" borderId="8" applyBorder="true" applyNumberFormat="true" numFmtId="1" fillId="22" applyFill="true">
      <alignment horizontal="center" vertical="center"/>
    </xf>
    <xf fontId="10243" applyFont="true" borderId="8" applyBorder="true" applyNumberFormat="true" numFmtId="1" fillId="22" applyFill="true">
      <alignment horizontal="center" vertical="center"/>
    </xf>
    <xf fontId="10244" applyFont="true" borderId="8" applyBorder="true" applyNumberFormat="true" numFmtId="1" fillId="22" applyFill="true">
      <alignment horizontal="center" vertical="center"/>
    </xf>
    <xf fontId="10245" applyFont="true" borderId="8" applyBorder="true" applyNumberFormat="true" numFmtId="167" fillId="22" applyFill="true">
      <alignment horizontal="center" vertical="center"/>
    </xf>
    <xf fontId="10246" applyFont="true" borderId="8" applyBorder="true" applyNumberFormat="true" numFmtId="166" fillId="22" applyFill="true">
      <alignment horizontal="center" vertical="center"/>
    </xf>
    <xf fontId="10247" applyFont="true" borderId="8" applyBorder="true" applyNumberFormat="true" numFmtId="166" fillId="22" applyFill="true">
      <alignment horizontal="center" vertical="center"/>
    </xf>
    <xf fontId="10248" applyFont="true" borderId="8" applyBorder="true" applyNumberFormat="true" numFmtId="1" fillId="22" applyFill="true">
      <alignment horizontal="center" vertical="center"/>
    </xf>
    <xf fontId="10249" applyFont="true" borderId="8" applyBorder="true" applyNumberFormat="true" numFmtId="1" fillId="22" applyFill="true">
      <alignment horizontal="center" vertical="center"/>
    </xf>
    <xf fontId="10250" applyFont="true" borderId="8" applyBorder="true" applyNumberFormat="true" numFmtId="1" fillId="22" applyFill="true">
      <alignment horizontal="center" vertical="center"/>
    </xf>
    <xf fontId="10251" applyFont="true" borderId="8" applyBorder="true" applyNumberFormat="true" numFmtId="167" fillId="22" applyFill="true">
      <alignment horizontal="center" vertical="center"/>
    </xf>
    <xf fontId="10252" applyFont="true" borderId="8" applyBorder="true" applyNumberFormat="true" numFmtId="1" fillId="22" applyFill="true">
      <alignment horizontal="center" vertical="center"/>
    </xf>
    <xf fontId="10253" applyFont="true" borderId="8" applyBorder="true" applyNumberFormat="true" numFmtId="167" fillId="22" applyFill="true">
      <alignment horizontal="center" vertical="center"/>
    </xf>
    <xf fontId="10254" applyFont="true" borderId="8" applyBorder="true" applyNumberFormat="true" numFmtId="1" fillId="22" applyFill="true">
      <alignment horizontal="center" vertical="center"/>
    </xf>
    <xf fontId="10255" applyFont="true" borderId="8" applyBorder="true" applyNumberFormat="true" numFmtId="1" fillId="22" applyFill="true">
      <alignment horizontal="center" vertical="center"/>
    </xf>
    <xf fontId="10256" applyFont="true" borderId="8" applyBorder="true" applyNumberFormat="true" numFmtId="1" fillId="22" applyFill="true">
      <alignment horizontal="center" vertical="center"/>
    </xf>
    <xf fontId="10257" applyFont="true" borderId="8" applyBorder="true" applyNumberFormat="true" numFmtId="1" fillId="22" applyFill="true">
      <alignment horizontal="center" vertical="center"/>
    </xf>
    <xf fontId="10258" applyFont="true" borderId="8" applyBorder="true" applyNumberFormat="true" numFmtId="167" fillId="22" applyFill="true">
      <alignment horizontal="center" vertical="center"/>
    </xf>
    <xf fontId="10259" applyFont="true" borderId="8" applyBorder="true" applyNumberFormat="true" numFmtId="1" fillId="22" applyFill="true">
      <alignment horizontal="center" vertical="center"/>
    </xf>
    <xf fontId="10260" applyFont="true" borderId="8" applyBorder="true" applyNumberFormat="true" numFmtId="167" fillId="22" applyFill="true">
      <alignment horizontal="center" vertical="center"/>
    </xf>
    <xf fontId="10261" applyFont="true" borderId="8" applyBorder="true" applyNumberFormat="true" numFmtId="1" fillId="22" applyFill="true">
      <alignment horizontal="center" vertical="center"/>
    </xf>
    <xf fontId="10262" applyFont="true" borderId="8" applyBorder="true" applyNumberFormat="true" numFmtId="167" fillId="22" applyFill="true">
      <alignment horizontal="center" vertical="center"/>
    </xf>
    <xf fontId="10263" applyFont="true" borderId="8" applyBorder="true" applyNumberFormat="true" numFmtId="2" fillId="22" applyFill="true">
      <alignment horizontal="center" vertical="center"/>
    </xf>
    <xf fontId="10264" applyFont="true" borderId="8" applyBorder="true" applyNumberFormat="true" numFmtId="2" fillId="22" applyFill="true">
      <alignment horizontal="center" vertical="center"/>
    </xf>
    <xf fontId="10265" applyFont="true" borderId="8" applyBorder="true" applyNumberFormat="true" numFmtId="2" fillId="22" applyFill="true">
      <alignment horizontal="center" vertical="center"/>
    </xf>
    <xf fontId="10266" applyFont="true" borderId="8" applyBorder="true" applyNumberFormat="true" numFmtId="2" fillId="22" applyFill="true">
      <alignment horizontal="center" vertical="center"/>
    </xf>
    <xf fontId="10267" applyFont="true" borderId="8" applyBorder="true" applyNumberFormat="true" numFmtId="2" fillId="22" applyFill="true">
      <alignment horizontal="center" vertical="center"/>
    </xf>
    <xf fontId="10268" applyFont="true" borderId="8" applyBorder="true" applyNumberFormat="true" numFmtId="2" fillId="22" applyFill="true">
      <alignment horizontal="center" vertical="center"/>
    </xf>
    <xf fontId="10269" applyFont="true" borderId="8" applyBorder="true" applyNumberFormat="true" numFmtId="2" fillId="22" applyFill="true">
      <alignment horizontal="center" vertical="center"/>
    </xf>
    <xf fontId="10270" applyFont="true" borderId="8" applyBorder="true" applyNumberFormat="true" numFmtId="2" fillId="22" applyFill="true">
      <alignment horizontal="center" vertical="center"/>
    </xf>
    <xf fontId="10271" applyFont="true" borderId="8" applyBorder="true" applyNumberFormat="true" numFmtId="2" fillId="22" applyFill="true">
      <alignment horizontal="center" vertical="center"/>
    </xf>
    <xf fontId="10272" applyFont="true" borderId="8" applyBorder="true" applyNumberFormat="true" numFmtId="2" fillId="22" applyFill="true">
      <alignment horizontal="center" vertical="center"/>
    </xf>
    <xf fontId="10273" applyFont="true" borderId="8" applyBorder="true" applyNumberFormat="true" numFmtId="2" fillId="22" applyFill="true">
      <alignment horizontal="center" vertical="center"/>
    </xf>
    <xf fontId="10274" applyFont="true" borderId="8" applyBorder="true" applyNumberFormat="true" numFmtId="2" fillId="22" applyFill="true">
      <alignment horizontal="center" vertical="center"/>
    </xf>
    <xf fontId="10275" applyFont="true" borderId="8" applyBorder="true" applyNumberFormat="true" numFmtId="2" fillId="22" applyFill="true">
      <alignment horizontal="center" vertical="center"/>
    </xf>
    <xf fontId="10276" applyFont="true" borderId="8" applyBorder="true" applyNumberFormat="true" numFmtId="2" fillId="22" applyFill="true">
      <alignment horizontal="center" vertical="center"/>
    </xf>
    <xf fontId="10277" applyFont="true" borderId="8" applyBorder="true" applyNumberFormat="true" numFmtId="2" fillId="22" applyFill="true">
      <alignment horizontal="center" vertical="center"/>
    </xf>
    <xf fontId="10278" applyFont="true" borderId="8" applyBorder="true" applyNumberFormat="true" numFmtId="2" fillId="22" applyFill="true">
      <alignment horizontal="center" vertical="center"/>
    </xf>
    <xf fontId="10279" applyFont="true" borderId="8" applyBorder="true" applyNumberFormat="true" numFmtId="2" fillId="22" applyFill="true">
      <alignment horizontal="center" vertical="center"/>
    </xf>
    <xf fontId="10280" applyFont="true" borderId="8" applyBorder="true" applyNumberFormat="true" numFmtId="2" fillId="22" applyFill="true">
      <alignment horizontal="center" vertical="center"/>
    </xf>
    <xf fontId="10281" applyFont="true" borderId="8" applyBorder="true" applyNumberFormat="true" numFmtId="2" fillId="22" applyFill="true">
      <alignment horizontal="center" vertical="center"/>
    </xf>
    <xf fontId="10282" applyFont="true" borderId="8" applyBorder="true" applyNumberFormat="true" numFmtId="2" fillId="22" applyFill="true">
      <alignment horizontal="center" vertical="center"/>
    </xf>
    <xf fontId="10283" applyFont="true" borderId="8" applyBorder="true" applyNumberFormat="true" numFmtId="2" fillId="22" applyFill="true">
      <alignment horizontal="center" vertical="center"/>
    </xf>
    <xf fontId="10284" applyFont="true" borderId="8" applyBorder="true" applyNumberFormat="true" numFmtId="2" fillId="22" applyFill="true">
      <alignment horizontal="center" vertical="center"/>
    </xf>
    <xf fontId="10285" applyFont="true" borderId="8" applyBorder="true" applyNumberFormat="true" numFmtId="2" fillId="22" applyFill="true">
      <alignment horizontal="center" vertical="center"/>
    </xf>
    <xf fontId="10286" applyFont="true" borderId="8" applyBorder="true" applyNumberFormat="true" numFmtId="2" fillId="22" applyFill="true">
      <alignment horizontal="center" vertical="center"/>
    </xf>
    <xf fontId="10287" applyFont="true" borderId="8" applyBorder="true" applyNumberFormat="true" numFmtId="2" fillId="22" applyFill="true">
      <alignment horizontal="center" vertical="center"/>
    </xf>
    <xf fontId="10288" applyFont="true" borderId="8" applyBorder="true" applyNumberFormat="true" numFmtId="2" fillId="22" applyFill="true">
      <alignment horizontal="center" vertical="center"/>
    </xf>
    <xf fontId="10289" applyFont="true" borderId="8" applyBorder="true" applyNumberFormat="true" numFmtId="2" fillId="22" applyFill="true">
      <alignment horizontal="center" vertical="center"/>
    </xf>
    <xf fontId="10290" applyFont="true" borderId="8" applyBorder="true" applyNumberFormat="true" numFmtId="2" fillId="22" applyFill="true">
      <alignment horizontal="center" vertical="center"/>
    </xf>
    <xf fontId="10291" applyFont="true" borderId="8" applyBorder="true" applyNumberFormat="true" numFmtId="2" fillId="22" applyFill="true">
      <alignment horizontal="center" vertical="center"/>
    </xf>
    <xf fontId="10292" applyFont="true" borderId="8" applyBorder="true" applyNumberFormat="true" numFmtId="2" fillId="22" applyFill="true">
      <alignment horizontal="center" vertical="center"/>
    </xf>
    <xf fontId="10293" applyFont="true" borderId="8" applyBorder="true" applyNumberFormat="true" numFmtId="2" fillId="22" applyFill="true">
      <alignment horizontal="center" vertical="center"/>
    </xf>
    <xf fontId="10294" applyFont="true" borderId="8" applyBorder="true" applyNumberFormat="true" numFmtId="2" fillId="22" applyFill="true">
      <alignment horizontal="center" vertical="center"/>
    </xf>
    <xf fontId="10295" applyFont="true" borderId="8" applyBorder="true" applyNumberFormat="true" numFmtId="2" fillId="22" applyFill="true">
      <alignment horizontal="center" vertical="center"/>
    </xf>
    <xf fontId="10296" applyFont="true" borderId="8" applyBorder="true" applyNumberFormat="true" numFmtId="2" fillId="22" applyFill="true">
      <alignment horizontal="center" vertical="center"/>
    </xf>
    <xf fontId="10297" applyFont="true" borderId="8" applyBorder="true" applyNumberFormat="true" numFmtId="165" fillId="19" applyFill="true">
      <alignment horizontal="left" vertical="center"/>
    </xf>
    <xf fontId="10298" applyFont="true" borderId="8" applyBorder="true" applyNumberFormat="true" numFmtId="165" fillId="22" applyFill="true">
      <alignment horizontal="center" vertical="center"/>
    </xf>
    <xf fontId="10299" applyFont="true" borderId="8" applyBorder="true" applyNumberFormat="true" numFmtId="166" fillId="22" applyFill="true">
      <alignment horizontal="center" vertical="center"/>
    </xf>
    <xf fontId="10300" applyFont="true" borderId="8" applyBorder="true" applyNumberFormat="true" numFmtId="1" fillId="22" applyFill="true">
      <alignment horizontal="center" vertical="center"/>
    </xf>
    <xf fontId="10301" applyFont="true" borderId="8" applyBorder="true" applyNumberFormat="true" numFmtId="1" fillId="22" applyFill="true">
      <alignment horizontal="center" vertical="center"/>
    </xf>
    <xf fontId="10302" applyFont="true" borderId="8" applyBorder="true" applyNumberFormat="true" numFmtId="1" fillId="22" applyFill="true">
      <alignment horizontal="center" vertical="center"/>
    </xf>
    <xf fontId="10303" applyFont="true" borderId="8" applyBorder="true" applyNumberFormat="true" numFmtId="1" fillId="22" applyFill="true">
      <alignment horizontal="center" vertical="center"/>
    </xf>
    <xf fontId="10304" applyFont="true" borderId="8" applyBorder="true" applyNumberFormat="true" numFmtId="1" fillId="22" applyFill="true">
      <alignment horizontal="center" vertical="center"/>
    </xf>
    <xf fontId="10305" applyFont="true" borderId="8" applyBorder="true" applyNumberFormat="true" numFmtId="1" fillId="22" applyFill="true">
      <alignment horizontal="center" vertical="center"/>
    </xf>
    <xf fontId="10306" applyFont="true" borderId="8" applyBorder="true" applyNumberFormat="true" numFmtId="1" fillId="22" applyFill="true">
      <alignment horizontal="center" vertical="center"/>
    </xf>
    <xf fontId="10307" applyFont="true" borderId="8" applyBorder="true" applyNumberFormat="true" numFmtId="165" fillId="22" applyFill="true">
      <alignment horizontal="center" vertical="center"/>
    </xf>
    <xf fontId="10308" applyFont="true" borderId="8" applyBorder="true" applyNumberFormat="true" numFmtId="165" fillId="22" applyFill="true">
      <alignment horizontal="center" vertical="center"/>
    </xf>
    <xf fontId="10309" applyFont="true" borderId="8" applyBorder="true" applyNumberFormat="true" numFmtId="1" fillId="22" applyFill="true">
      <alignment horizontal="center" vertical="center"/>
    </xf>
    <xf fontId="10310" applyFont="true" borderId="8" applyBorder="true" applyNumberFormat="true" numFmtId="1" fillId="22" applyFill="true">
      <alignment horizontal="center" vertical="center"/>
    </xf>
    <xf fontId="10311" applyFont="true" borderId="8" applyBorder="true" applyNumberFormat="true" numFmtId="1" fillId="22" applyFill="true">
      <alignment horizontal="center" vertical="center"/>
    </xf>
    <xf fontId="10312" applyFont="true" borderId="8" applyBorder="true" applyNumberFormat="true" numFmtId="167" fillId="22" applyFill="true">
      <alignment horizontal="center" vertical="center"/>
    </xf>
    <xf fontId="10313" applyFont="true" borderId="8" applyBorder="true" applyNumberFormat="true" numFmtId="1" fillId="22" applyFill="true">
      <alignment horizontal="center" vertical="center"/>
    </xf>
    <xf fontId="10314" applyFont="true" borderId="8" applyBorder="true" applyNumberFormat="true" numFmtId="167" fillId="22" applyFill="true">
      <alignment horizontal="center" vertical="center"/>
    </xf>
    <xf fontId="10315" applyFont="true" borderId="8" applyBorder="true" applyNumberFormat="true" numFmtId="1" fillId="22" applyFill="true">
      <alignment horizontal="center" vertical="center"/>
    </xf>
    <xf fontId="10316" applyFont="true" borderId="8" applyBorder="true" applyNumberFormat="true" numFmtId="167" fillId="22" applyFill="true">
      <alignment horizontal="center" vertical="center"/>
    </xf>
    <xf fontId="10317" applyFont="true" borderId="8" applyBorder="true" applyNumberFormat="true" numFmtId="1" fillId="22" applyFill="true">
      <alignment horizontal="center" vertical="center"/>
    </xf>
    <xf fontId="10318" applyFont="true" borderId="8" applyBorder="true" applyNumberFormat="true" numFmtId="167" fillId="22" applyFill="true">
      <alignment horizontal="center" vertical="center"/>
    </xf>
    <xf fontId="10319" applyFont="true" borderId="8" applyBorder="true" applyNumberFormat="true" numFmtId="167" fillId="22" applyFill="true">
      <alignment horizontal="center" vertical="center"/>
    </xf>
    <xf fontId="10320" applyFont="true" borderId="8" applyBorder="true" applyNumberFormat="true" numFmtId="1" fillId="22" applyFill="true">
      <alignment horizontal="center" vertical="center"/>
    </xf>
    <xf fontId="10321" applyFont="true" borderId="8" applyBorder="true" applyNumberFormat="true" numFmtId="1" fillId="22" applyFill="true">
      <alignment horizontal="center" vertical="center"/>
    </xf>
    <xf fontId="10322" applyFont="true" borderId="8" applyBorder="true" applyNumberFormat="true" numFmtId="1" fillId="22" applyFill="true">
      <alignment horizontal="center" vertical="center"/>
    </xf>
    <xf fontId="10323" applyFont="true" borderId="8" applyBorder="true" applyNumberFormat="true" numFmtId="167" fillId="22" applyFill="true">
      <alignment horizontal="center" vertical="center"/>
    </xf>
    <xf fontId="10324" applyFont="true" borderId="8" applyBorder="true" applyNumberFormat="true" numFmtId="166" fillId="22" applyFill="true">
      <alignment horizontal="center" vertical="center"/>
    </xf>
    <xf fontId="10325" applyFont="true" borderId="8" applyBorder="true" applyNumberFormat="true" numFmtId="166" fillId="22" applyFill="true">
      <alignment horizontal="center" vertical="center"/>
    </xf>
    <xf fontId="10326" applyFont="true" borderId="8" applyBorder="true" applyNumberFormat="true" numFmtId="1" fillId="22" applyFill="true">
      <alignment horizontal="center" vertical="center"/>
    </xf>
    <xf fontId="10327" applyFont="true" borderId="8" applyBorder="true" applyNumberFormat="true" numFmtId="1" fillId="22" applyFill="true">
      <alignment horizontal="center" vertical="center"/>
    </xf>
    <xf fontId="10328" applyFont="true" borderId="8" applyBorder="true" applyNumberFormat="true" numFmtId="1" fillId="22" applyFill="true">
      <alignment horizontal="center" vertical="center"/>
    </xf>
    <xf fontId="10329" applyFont="true" borderId="8" applyBorder="true" applyNumberFormat="true" numFmtId="167" fillId="22" applyFill="true">
      <alignment horizontal="center" vertical="center"/>
    </xf>
    <xf fontId="10330" applyFont="true" borderId="8" applyBorder="true" applyNumberFormat="true" numFmtId="1" fillId="22" applyFill="true">
      <alignment horizontal="center" vertical="center"/>
    </xf>
    <xf fontId="10331" applyFont="true" borderId="8" applyBorder="true" applyNumberFormat="true" numFmtId="167" fillId="22" applyFill="true">
      <alignment horizontal="center" vertical="center"/>
    </xf>
    <xf fontId="10332" applyFont="true" borderId="8" applyBorder="true" applyNumberFormat="true" numFmtId="1" fillId="22" applyFill="true">
      <alignment horizontal="center" vertical="center"/>
    </xf>
    <xf fontId="10333" applyFont="true" borderId="8" applyBorder="true" applyNumberFormat="true" numFmtId="1" fillId="22" applyFill="true">
      <alignment horizontal="center" vertical="center"/>
    </xf>
    <xf fontId="10334" applyFont="true" borderId="8" applyBorder="true" applyNumberFormat="true" numFmtId="1" fillId="22" applyFill="true">
      <alignment horizontal="center" vertical="center"/>
    </xf>
    <xf fontId="10335" applyFont="true" borderId="8" applyBorder="true" applyNumberFormat="true" numFmtId="1" fillId="22" applyFill="true">
      <alignment horizontal="center" vertical="center"/>
    </xf>
    <xf fontId="10336" applyFont="true" borderId="8" applyBorder="true" applyNumberFormat="true" numFmtId="167" fillId="22" applyFill="true">
      <alignment horizontal="center" vertical="center"/>
    </xf>
    <xf fontId="10337" applyFont="true" borderId="8" applyBorder="true" applyNumberFormat="true" numFmtId="1" fillId="22" applyFill="true">
      <alignment horizontal="center" vertical="center"/>
    </xf>
    <xf fontId="10338" applyFont="true" borderId="8" applyBorder="true" applyNumberFormat="true" numFmtId="167" fillId="22" applyFill="true">
      <alignment horizontal="center" vertical="center"/>
    </xf>
    <xf fontId="10339" applyFont="true" borderId="8" applyBorder="true" applyNumberFormat="true" numFmtId="1" fillId="22" applyFill="true">
      <alignment horizontal="center" vertical="center"/>
    </xf>
    <xf fontId="10340" applyFont="true" borderId="8" applyBorder="true" applyNumberFormat="true" numFmtId="167" fillId="22" applyFill="true">
      <alignment horizontal="center" vertical="center"/>
    </xf>
    <xf fontId="10341" applyFont="true" borderId="8" applyBorder="true" applyNumberFormat="true" numFmtId="2" fillId="22" applyFill="true">
      <alignment horizontal="center" vertical="center"/>
    </xf>
    <xf fontId="10342" applyFont="true" borderId="8" applyBorder="true" applyNumberFormat="true" numFmtId="2" fillId="22" applyFill="true">
      <alignment horizontal="center" vertical="center"/>
    </xf>
    <xf fontId="10343" applyFont="true" borderId="8" applyBorder="true" applyNumberFormat="true" numFmtId="2" fillId="22" applyFill="true">
      <alignment horizontal="center" vertical="center"/>
    </xf>
    <xf fontId="10344" applyFont="true" borderId="8" applyBorder="true" applyNumberFormat="true" numFmtId="2" fillId="22" applyFill="true">
      <alignment horizontal="center" vertical="center"/>
    </xf>
    <xf fontId="10345" applyFont="true" borderId="8" applyBorder="true" applyNumberFormat="true" numFmtId="2" fillId="22" applyFill="true">
      <alignment horizontal="center" vertical="center"/>
    </xf>
    <xf fontId="10346" applyFont="true" borderId="8" applyBorder="true" applyNumberFormat="true" numFmtId="2" fillId="22" applyFill="true">
      <alignment horizontal="center" vertical="center"/>
    </xf>
    <xf fontId="10347" applyFont="true" borderId="8" applyBorder="true" applyNumberFormat="true" numFmtId="2" fillId="22" applyFill="true">
      <alignment horizontal="center" vertical="center"/>
    </xf>
    <xf fontId="10348" applyFont="true" borderId="8" applyBorder="true" applyNumberFormat="true" numFmtId="2" fillId="22" applyFill="true">
      <alignment horizontal="center" vertical="center"/>
    </xf>
    <xf fontId="10349" applyFont="true" borderId="8" applyBorder="true" applyNumberFormat="true" numFmtId="2" fillId="22" applyFill="true">
      <alignment horizontal="center" vertical="center"/>
    </xf>
    <xf fontId="10350" applyFont="true" borderId="8" applyBorder="true" applyNumberFormat="true" numFmtId="2" fillId="22" applyFill="true">
      <alignment horizontal="center" vertical="center"/>
    </xf>
    <xf fontId="10351" applyFont="true" borderId="8" applyBorder="true" applyNumberFormat="true" numFmtId="2" fillId="22" applyFill="true">
      <alignment horizontal="center" vertical="center"/>
    </xf>
    <xf fontId="10352" applyFont="true" borderId="8" applyBorder="true" applyNumberFormat="true" numFmtId="2" fillId="22" applyFill="true">
      <alignment horizontal="center" vertical="center"/>
    </xf>
    <xf fontId="10353" applyFont="true" borderId="8" applyBorder="true" applyNumberFormat="true" numFmtId="2" fillId="22" applyFill="true">
      <alignment horizontal="center" vertical="center"/>
    </xf>
    <xf fontId="10354" applyFont="true" borderId="8" applyBorder="true" applyNumberFormat="true" numFmtId="2" fillId="22" applyFill="true">
      <alignment horizontal="center" vertical="center"/>
    </xf>
    <xf fontId="10355" applyFont="true" borderId="8" applyBorder="true" applyNumberFormat="true" numFmtId="2" fillId="22" applyFill="true">
      <alignment horizontal="center" vertical="center"/>
    </xf>
    <xf fontId="10356" applyFont="true" borderId="8" applyBorder="true" applyNumberFormat="true" numFmtId="2" fillId="22" applyFill="true">
      <alignment horizontal="center" vertical="center"/>
    </xf>
    <xf fontId="10357" applyFont="true" borderId="8" applyBorder="true" applyNumberFormat="true" numFmtId="2" fillId="22" applyFill="true">
      <alignment horizontal="center" vertical="center"/>
    </xf>
    <xf fontId="10358" applyFont="true" borderId="8" applyBorder="true" applyNumberFormat="true" numFmtId="2" fillId="22" applyFill="true">
      <alignment horizontal="center" vertical="center"/>
    </xf>
    <xf fontId="10359" applyFont="true" borderId="8" applyBorder="true" applyNumberFormat="true" numFmtId="2" fillId="22" applyFill="true">
      <alignment horizontal="center" vertical="center"/>
    </xf>
    <xf fontId="10360" applyFont="true" borderId="8" applyBorder="true" applyNumberFormat="true" numFmtId="2" fillId="22" applyFill="true">
      <alignment horizontal="center" vertical="center"/>
    </xf>
    <xf fontId="10361" applyFont="true" borderId="8" applyBorder="true" applyNumberFormat="true" numFmtId="2" fillId="22" applyFill="true">
      <alignment horizontal="center" vertical="center"/>
    </xf>
    <xf fontId="10362" applyFont="true" borderId="8" applyBorder="true" applyNumberFormat="true" numFmtId="2" fillId="22" applyFill="true">
      <alignment horizontal="center" vertical="center"/>
    </xf>
    <xf fontId="10363" applyFont="true" borderId="8" applyBorder="true" applyNumberFormat="true" numFmtId="2" fillId="22" applyFill="true">
      <alignment horizontal="center" vertical="center"/>
    </xf>
    <xf fontId="10364" applyFont="true" borderId="8" applyBorder="true" applyNumberFormat="true" numFmtId="2" fillId="22" applyFill="true">
      <alignment horizontal="center" vertical="center"/>
    </xf>
    <xf fontId="10365" applyFont="true" borderId="8" applyBorder="true" applyNumberFormat="true" numFmtId="2" fillId="22" applyFill="true">
      <alignment horizontal="center" vertical="center"/>
    </xf>
    <xf fontId="10366" applyFont="true" borderId="8" applyBorder="true" applyNumberFormat="true" numFmtId="2" fillId="22" applyFill="true">
      <alignment horizontal="center" vertical="center"/>
    </xf>
    <xf fontId="10367" applyFont="true" borderId="8" applyBorder="true" applyNumberFormat="true" numFmtId="2" fillId="22" applyFill="true">
      <alignment horizontal="center" vertical="center"/>
    </xf>
    <xf fontId="10368" applyFont="true" borderId="8" applyBorder="true" applyNumberFormat="true" numFmtId="2" fillId="22" applyFill="true">
      <alignment horizontal="center" vertical="center"/>
    </xf>
    <xf fontId="10369" applyFont="true" borderId="8" applyBorder="true" applyNumberFormat="true" numFmtId="2" fillId="22" applyFill="true">
      <alignment horizontal="center" vertical="center"/>
    </xf>
    <xf fontId="10370" applyFont="true" borderId="8" applyBorder="true" applyNumberFormat="true" numFmtId="2" fillId="22" applyFill="true">
      <alignment horizontal="center" vertical="center"/>
    </xf>
    <xf fontId="10371" applyFont="true" borderId="8" applyBorder="true" applyNumberFormat="true" numFmtId="2" fillId="22" applyFill="true">
      <alignment horizontal="center" vertical="center"/>
    </xf>
    <xf fontId="10372" applyFont="true" borderId="8" applyBorder="true" applyNumberFormat="true" numFmtId="2" fillId="22" applyFill="true">
      <alignment horizontal="center" vertical="center"/>
    </xf>
    <xf fontId="10373" applyFont="true" borderId="8" applyBorder="true" applyNumberFormat="true" numFmtId="2" fillId="22" applyFill="true">
      <alignment horizontal="center" vertical="center"/>
    </xf>
    <xf fontId="10374" applyFont="true" borderId="8" applyBorder="true" applyNumberFormat="true" numFmtId="2" fillId="22" applyFill="true">
      <alignment horizontal="center" vertical="center"/>
    </xf>
    <xf fontId="10375" applyFont="true" borderId="8" applyBorder="true" applyNumberFormat="true" numFmtId="165" fillId="19" applyFill="true">
      <alignment horizontal="left" vertical="center"/>
    </xf>
    <xf fontId="10376" applyFont="true" borderId="8" applyBorder="true" applyNumberFormat="true" numFmtId="165" fillId="22" applyFill="true">
      <alignment horizontal="center" vertical="center"/>
    </xf>
    <xf fontId="10377" applyFont="true" borderId="8" applyBorder="true" applyNumberFormat="true" numFmtId="166" fillId="22" applyFill="true">
      <alignment horizontal="center" vertical="center"/>
    </xf>
    <xf fontId="10378" applyFont="true" borderId="8" applyBorder="true" applyNumberFormat="true" numFmtId="1" fillId="22" applyFill="true">
      <alignment horizontal="center" vertical="center"/>
    </xf>
    <xf fontId="10379" applyFont="true" borderId="8" applyBorder="true" applyNumberFormat="true" numFmtId="1" fillId="22" applyFill="true">
      <alignment horizontal="center" vertical="center"/>
    </xf>
    <xf fontId="10380" applyFont="true" borderId="8" applyBorder="true" applyNumberFormat="true" numFmtId="1" fillId="22" applyFill="true">
      <alignment horizontal="center" vertical="center"/>
    </xf>
    <xf fontId="10381" applyFont="true" borderId="8" applyBorder="true" applyNumberFormat="true" numFmtId="1" fillId="22" applyFill="true">
      <alignment horizontal="center" vertical="center"/>
    </xf>
    <xf fontId="10382" applyFont="true" borderId="8" applyBorder="true" applyNumberFormat="true" numFmtId="1" fillId="22" applyFill="true">
      <alignment horizontal="center" vertical="center"/>
    </xf>
    <xf fontId="10383" applyFont="true" borderId="8" applyBorder="true" applyNumberFormat="true" numFmtId="1" fillId="22" applyFill="true">
      <alignment horizontal="center" vertical="center"/>
    </xf>
    <xf fontId="10384" applyFont="true" borderId="8" applyBorder="true" applyNumberFormat="true" numFmtId="1" fillId="22" applyFill="true">
      <alignment horizontal="center" vertical="center"/>
    </xf>
    <xf fontId="10385" applyFont="true" borderId="8" applyBorder="true" applyNumberFormat="true" numFmtId="165" fillId="22" applyFill="true">
      <alignment horizontal="center" vertical="center"/>
    </xf>
    <xf fontId="10386" applyFont="true" borderId="8" applyBorder="true" applyNumberFormat="true" numFmtId="165" fillId="22" applyFill="true">
      <alignment horizontal="center" vertical="center"/>
    </xf>
    <xf fontId="10387" applyFont="true" borderId="8" applyBorder="true" applyNumberFormat="true" numFmtId="1" fillId="22" applyFill="true">
      <alignment horizontal="center" vertical="center"/>
    </xf>
    <xf fontId="10388" applyFont="true" borderId="8" applyBorder="true" applyNumberFormat="true" numFmtId="1" fillId="22" applyFill="true">
      <alignment horizontal="center" vertical="center"/>
    </xf>
    <xf fontId="10389" applyFont="true" borderId="8" applyBorder="true" applyNumberFormat="true" numFmtId="1" fillId="22" applyFill="true">
      <alignment horizontal="center" vertical="center"/>
    </xf>
    <xf fontId="10390" applyFont="true" borderId="8" applyBorder="true" applyNumberFormat="true" numFmtId="167" fillId="22" applyFill="true">
      <alignment horizontal="center" vertical="center"/>
    </xf>
    <xf fontId="10391" applyFont="true" borderId="8" applyBorder="true" applyNumberFormat="true" numFmtId="1" fillId="22" applyFill="true">
      <alignment horizontal="center" vertical="center"/>
    </xf>
    <xf fontId="10392" applyFont="true" borderId="8" applyBorder="true" applyNumberFormat="true" numFmtId="167" fillId="22" applyFill="true">
      <alignment horizontal="center" vertical="center"/>
    </xf>
    <xf fontId="10393" applyFont="true" borderId="8" applyBorder="true" applyNumberFormat="true" numFmtId="1" fillId="22" applyFill="true">
      <alignment horizontal="center" vertical="center"/>
    </xf>
    <xf fontId="10394" applyFont="true" borderId="8" applyBorder="true" applyNumberFormat="true" numFmtId="167" fillId="22" applyFill="true">
      <alignment horizontal="center" vertical="center"/>
    </xf>
    <xf fontId="10395" applyFont="true" borderId="8" applyBorder="true" applyNumberFormat="true" numFmtId="1" fillId="22" applyFill="true">
      <alignment horizontal="center" vertical="center"/>
    </xf>
    <xf fontId="10396" applyFont="true" borderId="8" applyBorder="true" applyNumberFormat="true" numFmtId="167" fillId="22" applyFill="true">
      <alignment horizontal="center" vertical="center"/>
    </xf>
    <xf fontId="10397" applyFont="true" borderId="8" applyBorder="true" applyNumberFormat="true" numFmtId="167" fillId="22" applyFill="true">
      <alignment horizontal="center" vertical="center"/>
    </xf>
    <xf fontId="10398" applyFont="true" borderId="8" applyBorder="true" applyNumberFormat="true" numFmtId="1" fillId="22" applyFill="true">
      <alignment horizontal="center" vertical="center"/>
    </xf>
    <xf fontId="10399" applyFont="true" borderId="8" applyBorder="true" applyNumberFormat="true" numFmtId="1" fillId="22" applyFill="true">
      <alignment horizontal="center" vertical="center"/>
    </xf>
    <xf fontId="10400" applyFont="true" borderId="8" applyBorder="true" applyNumberFormat="true" numFmtId="1" fillId="22" applyFill="true">
      <alignment horizontal="center" vertical="center"/>
    </xf>
    <xf fontId="10401" applyFont="true" borderId="8" applyBorder="true" applyNumberFormat="true" numFmtId="167" fillId="22" applyFill="true">
      <alignment horizontal="center" vertical="center"/>
    </xf>
    <xf fontId="10402" applyFont="true" borderId="8" applyBorder="true" applyNumberFormat="true" numFmtId="166" fillId="22" applyFill="true">
      <alignment horizontal="center" vertical="center"/>
    </xf>
    <xf fontId="10403" applyFont="true" borderId="8" applyBorder="true" applyNumberFormat="true" numFmtId="166" fillId="22" applyFill="true">
      <alignment horizontal="center" vertical="center"/>
    </xf>
    <xf fontId="10404" applyFont="true" borderId="8" applyBorder="true" applyNumberFormat="true" numFmtId="1" fillId="22" applyFill="true">
      <alignment horizontal="center" vertical="center"/>
    </xf>
    <xf fontId="10405" applyFont="true" borderId="8" applyBorder="true" applyNumberFormat="true" numFmtId="1" fillId="22" applyFill="true">
      <alignment horizontal="center" vertical="center"/>
    </xf>
    <xf fontId="10406" applyFont="true" borderId="8" applyBorder="true" applyNumberFormat="true" numFmtId="1" fillId="22" applyFill="true">
      <alignment horizontal="center" vertical="center"/>
    </xf>
    <xf fontId="10407" applyFont="true" borderId="8" applyBorder="true" applyNumberFormat="true" numFmtId="167" fillId="22" applyFill="true">
      <alignment horizontal="center" vertical="center"/>
    </xf>
    <xf fontId="10408" applyFont="true" borderId="8" applyBorder="true" applyNumberFormat="true" numFmtId="1" fillId="22" applyFill="true">
      <alignment horizontal="center" vertical="center"/>
    </xf>
    <xf fontId="10409" applyFont="true" borderId="8" applyBorder="true" applyNumberFormat="true" numFmtId="167" fillId="22" applyFill="true">
      <alignment horizontal="center" vertical="center"/>
    </xf>
    <xf fontId="10410" applyFont="true" borderId="8" applyBorder="true" applyNumberFormat="true" numFmtId="1" fillId="22" applyFill="true">
      <alignment horizontal="center" vertical="center"/>
    </xf>
    <xf fontId="10411" applyFont="true" borderId="8" applyBorder="true" applyNumberFormat="true" numFmtId="1" fillId="22" applyFill="true">
      <alignment horizontal="center" vertical="center"/>
    </xf>
    <xf fontId="10412" applyFont="true" borderId="8" applyBorder="true" applyNumberFormat="true" numFmtId="1" fillId="22" applyFill="true">
      <alignment horizontal="center" vertical="center"/>
    </xf>
    <xf fontId="10413" applyFont="true" borderId="8" applyBorder="true" applyNumberFormat="true" numFmtId="1" fillId="22" applyFill="true">
      <alignment horizontal="center" vertical="center"/>
    </xf>
    <xf fontId="10414" applyFont="true" borderId="8" applyBorder="true" applyNumberFormat="true" numFmtId="167" fillId="22" applyFill="true">
      <alignment horizontal="center" vertical="center"/>
    </xf>
    <xf fontId="10415" applyFont="true" borderId="8" applyBorder="true" applyNumberFormat="true" numFmtId="1" fillId="22" applyFill="true">
      <alignment horizontal="center" vertical="center"/>
    </xf>
    <xf fontId="10416" applyFont="true" borderId="8" applyBorder="true" applyNumberFormat="true" numFmtId="167" fillId="22" applyFill="true">
      <alignment horizontal="center" vertical="center"/>
    </xf>
    <xf fontId="10417" applyFont="true" borderId="8" applyBorder="true" applyNumberFormat="true" numFmtId="1" fillId="22" applyFill="true">
      <alignment horizontal="center" vertical="center"/>
    </xf>
    <xf fontId="10418" applyFont="true" borderId="8" applyBorder="true" applyNumberFormat="true" numFmtId="167" fillId="22" applyFill="true">
      <alignment horizontal="center" vertical="center"/>
    </xf>
    <xf fontId="10419" applyFont="true" borderId="8" applyBorder="true" applyNumberFormat="true" numFmtId="2" fillId="22" applyFill="true">
      <alignment horizontal="center" vertical="center"/>
    </xf>
    <xf fontId="10420" applyFont="true" borderId="8" applyBorder="true" applyNumberFormat="true" numFmtId="2" fillId="22" applyFill="true">
      <alignment horizontal="center" vertical="center"/>
    </xf>
    <xf fontId="10421" applyFont="true" borderId="8" applyBorder="true" applyNumberFormat="true" numFmtId="2" fillId="22" applyFill="true">
      <alignment horizontal="center" vertical="center"/>
    </xf>
    <xf fontId="10422" applyFont="true" borderId="8" applyBorder="true" applyNumberFormat="true" numFmtId="2" fillId="22" applyFill="true">
      <alignment horizontal="center" vertical="center"/>
    </xf>
    <xf fontId="10423" applyFont="true" borderId="8" applyBorder="true" applyNumberFormat="true" numFmtId="2" fillId="22" applyFill="true">
      <alignment horizontal="center" vertical="center"/>
    </xf>
    <xf fontId="10424" applyFont="true" borderId="8" applyBorder="true" applyNumberFormat="true" numFmtId="2" fillId="22" applyFill="true">
      <alignment horizontal="center" vertical="center"/>
    </xf>
    <xf fontId="10425" applyFont="true" borderId="8" applyBorder="true" applyNumberFormat="true" numFmtId="2" fillId="22" applyFill="true">
      <alignment horizontal="center" vertical="center"/>
    </xf>
    <xf fontId="10426" applyFont="true" borderId="8" applyBorder="true" applyNumberFormat="true" numFmtId="2" fillId="22" applyFill="true">
      <alignment horizontal="center" vertical="center"/>
    </xf>
    <xf fontId="10427" applyFont="true" borderId="8" applyBorder="true" applyNumberFormat="true" numFmtId="2" fillId="22" applyFill="true">
      <alignment horizontal="center" vertical="center"/>
    </xf>
    <xf fontId="10428" applyFont="true" borderId="8" applyBorder="true" applyNumberFormat="true" numFmtId="2" fillId="22" applyFill="true">
      <alignment horizontal="center" vertical="center"/>
    </xf>
    <xf fontId="10429" applyFont="true" borderId="8" applyBorder="true" applyNumberFormat="true" numFmtId="2" fillId="22" applyFill="true">
      <alignment horizontal="center" vertical="center"/>
    </xf>
    <xf fontId="10430" applyFont="true" borderId="8" applyBorder="true" applyNumberFormat="true" numFmtId="2" fillId="22" applyFill="true">
      <alignment horizontal="center" vertical="center"/>
    </xf>
    <xf fontId="10431" applyFont="true" borderId="8" applyBorder="true" applyNumberFormat="true" numFmtId="2" fillId="22" applyFill="true">
      <alignment horizontal="center" vertical="center"/>
    </xf>
    <xf fontId="10432" applyFont="true" borderId="8" applyBorder="true" applyNumberFormat="true" numFmtId="2" fillId="22" applyFill="true">
      <alignment horizontal="center" vertical="center"/>
    </xf>
    <xf fontId="10433" applyFont="true" borderId="8" applyBorder="true" applyNumberFormat="true" numFmtId="2" fillId="22" applyFill="true">
      <alignment horizontal="center" vertical="center"/>
    </xf>
    <xf fontId="10434" applyFont="true" borderId="8" applyBorder="true" applyNumberFormat="true" numFmtId="2" fillId="22" applyFill="true">
      <alignment horizontal="center" vertical="center"/>
    </xf>
    <xf fontId="10435" applyFont="true" borderId="8" applyBorder="true" applyNumberFormat="true" numFmtId="2" fillId="22" applyFill="true">
      <alignment horizontal="center" vertical="center"/>
    </xf>
    <xf fontId="10436" applyFont="true" borderId="8" applyBorder="true" applyNumberFormat="true" numFmtId="2" fillId="22" applyFill="true">
      <alignment horizontal="center" vertical="center"/>
    </xf>
    <xf fontId="10437" applyFont="true" borderId="8" applyBorder="true" applyNumberFormat="true" numFmtId="2" fillId="22" applyFill="true">
      <alignment horizontal="center" vertical="center"/>
    </xf>
    <xf fontId="10438" applyFont="true" borderId="8" applyBorder="true" applyNumberFormat="true" numFmtId="2" fillId="22" applyFill="true">
      <alignment horizontal="center" vertical="center"/>
    </xf>
    <xf fontId="10439" applyFont="true" borderId="8" applyBorder="true" applyNumberFormat="true" numFmtId="2" fillId="22" applyFill="true">
      <alignment horizontal="center" vertical="center"/>
    </xf>
    <xf fontId="10440" applyFont="true" borderId="8" applyBorder="true" applyNumberFormat="true" numFmtId="2" fillId="22" applyFill="true">
      <alignment horizontal="center" vertical="center"/>
    </xf>
    <xf fontId="10441" applyFont="true" borderId="8" applyBorder="true" applyNumberFormat="true" numFmtId="2" fillId="22" applyFill="true">
      <alignment horizontal="center" vertical="center"/>
    </xf>
    <xf fontId="10442" applyFont="true" borderId="8" applyBorder="true" applyNumberFormat="true" numFmtId="2" fillId="22" applyFill="true">
      <alignment horizontal="center" vertical="center"/>
    </xf>
    <xf fontId="10443" applyFont="true" borderId="8" applyBorder="true" applyNumberFormat="true" numFmtId="2" fillId="22" applyFill="true">
      <alignment horizontal="center" vertical="center"/>
    </xf>
    <xf fontId="10444" applyFont="true" borderId="8" applyBorder="true" applyNumberFormat="true" numFmtId="2" fillId="22" applyFill="true">
      <alignment horizontal="center" vertical="center"/>
    </xf>
    <xf fontId="10445" applyFont="true" borderId="8" applyBorder="true" applyNumberFormat="true" numFmtId="2" fillId="22" applyFill="true">
      <alignment horizontal="center" vertical="center"/>
    </xf>
    <xf fontId="10446" applyFont="true" borderId="8" applyBorder="true" applyNumberFormat="true" numFmtId="2" fillId="22" applyFill="true">
      <alignment horizontal="center" vertical="center"/>
    </xf>
    <xf fontId="10447" applyFont="true" borderId="8" applyBorder="true" applyNumberFormat="true" numFmtId="2" fillId="22" applyFill="true">
      <alignment horizontal="center" vertical="center"/>
    </xf>
    <xf fontId="10448" applyFont="true" borderId="8" applyBorder="true" applyNumberFormat="true" numFmtId="2" fillId="22" applyFill="true">
      <alignment horizontal="center" vertical="center"/>
    </xf>
    <xf fontId="10449" applyFont="true" borderId="8" applyBorder="true" applyNumberFormat="true" numFmtId="2" fillId="22" applyFill="true">
      <alignment horizontal="center" vertical="center"/>
    </xf>
    <xf fontId="10450" applyFont="true" borderId="8" applyBorder="true" applyNumberFormat="true" numFmtId="2" fillId="22" applyFill="true">
      <alignment horizontal="center" vertical="center"/>
    </xf>
    <xf fontId="10451" applyFont="true" borderId="8" applyBorder="true" applyNumberFormat="true" numFmtId="2" fillId="22" applyFill="true">
      <alignment horizontal="center" vertical="center"/>
    </xf>
    <xf fontId="10452" applyFont="true" borderId="8" applyBorder="true" applyNumberFormat="true" numFmtId="2" fillId="22" applyFill="true">
      <alignment horizontal="center" vertical="center"/>
    </xf>
    <xf fontId="10453" applyFont="true" borderId="8" applyBorder="true" applyNumberFormat="true" numFmtId="165" fillId="19" applyFill="true">
      <alignment horizontal="left" vertical="center"/>
    </xf>
    <xf fontId="10454" applyFont="true" borderId="8" applyBorder="true" applyNumberFormat="true" numFmtId="165" fillId="22" applyFill="true">
      <alignment horizontal="center" vertical="center"/>
    </xf>
    <xf fontId="10455" applyFont="true" borderId="8" applyBorder="true" applyNumberFormat="true" numFmtId="166" fillId="22" applyFill="true">
      <alignment horizontal="center" vertical="center"/>
    </xf>
    <xf fontId="10456" applyFont="true" borderId="8" applyBorder="true" applyNumberFormat="true" numFmtId="1" fillId="22" applyFill="true">
      <alignment horizontal="center" vertical="center"/>
    </xf>
    <xf fontId="10457" applyFont="true" borderId="8" applyBorder="true" applyNumberFormat="true" numFmtId="1" fillId="22" applyFill="true">
      <alignment horizontal="center" vertical="center"/>
    </xf>
    <xf fontId="10458" applyFont="true" borderId="8" applyBorder="true" applyNumberFormat="true" numFmtId="1" fillId="22" applyFill="true">
      <alignment horizontal="center" vertical="center"/>
    </xf>
    <xf fontId="10459" applyFont="true" borderId="8" applyBorder="true" applyNumberFormat="true" numFmtId="1" fillId="22" applyFill="true">
      <alignment horizontal="center" vertical="center"/>
    </xf>
    <xf fontId="10460" applyFont="true" borderId="8" applyBorder="true" applyNumberFormat="true" numFmtId="1" fillId="22" applyFill="true">
      <alignment horizontal="center" vertical="center"/>
    </xf>
    <xf fontId="10461" applyFont="true" borderId="8" applyBorder="true" applyNumberFormat="true" numFmtId="1" fillId="22" applyFill="true">
      <alignment horizontal="center" vertical="center"/>
    </xf>
    <xf fontId="10462" applyFont="true" borderId="8" applyBorder="true" applyNumberFormat="true" numFmtId="1" fillId="22" applyFill="true">
      <alignment horizontal="center" vertical="center"/>
    </xf>
    <xf fontId="10463" applyFont="true" borderId="8" applyBorder="true" applyNumberFormat="true" numFmtId="165" fillId="22" applyFill="true">
      <alignment horizontal="center" vertical="center"/>
    </xf>
    <xf fontId="10464" applyFont="true" borderId="8" applyBorder="true" applyNumberFormat="true" numFmtId="165" fillId="22" applyFill="true">
      <alignment horizontal="center" vertical="center"/>
    </xf>
    <xf fontId="10465" applyFont="true" borderId="8" applyBorder="true" applyNumberFormat="true" numFmtId="1" fillId="22" applyFill="true">
      <alignment horizontal="center" vertical="center"/>
    </xf>
    <xf fontId="10466" applyFont="true" borderId="8" applyBorder="true" applyNumberFormat="true" numFmtId="1" fillId="22" applyFill="true">
      <alignment horizontal="center" vertical="center"/>
    </xf>
    <xf fontId="10467" applyFont="true" borderId="8" applyBorder="true" applyNumberFormat="true" numFmtId="1" fillId="22" applyFill="true">
      <alignment horizontal="center" vertical="center"/>
    </xf>
    <xf fontId="10468" applyFont="true" borderId="8" applyBorder="true" applyNumberFormat="true" numFmtId="167" fillId="22" applyFill="true">
      <alignment horizontal="center" vertical="center"/>
    </xf>
    <xf fontId="10469" applyFont="true" borderId="8" applyBorder="true" applyNumberFormat="true" numFmtId="1" fillId="22" applyFill="true">
      <alignment horizontal="center" vertical="center"/>
    </xf>
    <xf fontId="10470" applyFont="true" borderId="8" applyBorder="true" applyNumberFormat="true" numFmtId="167" fillId="22" applyFill="true">
      <alignment horizontal="center" vertical="center"/>
    </xf>
    <xf fontId="10471" applyFont="true" borderId="8" applyBorder="true" applyNumberFormat="true" numFmtId="1" fillId="22" applyFill="true">
      <alignment horizontal="center" vertical="center"/>
    </xf>
    <xf fontId="10472" applyFont="true" borderId="8" applyBorder="true" applyNumberFormat="true" numFmtId="167" fillId="22" applyFill="true">
      <alignment horizontal="center" vertical="center"/>
    </xf>
    <xf fontId="10473" applyFont="true" borderId="8" applyBorder="true" applyNumberFormat="true" numFmtId="1" fillId="22" applyFill="true">
      <alignment horizontal="center" vertical="center"/>
    </xf>
    <xf fontId="10474" applyFont="true" borderId="8" applyBorder="true" applyNumberFormat="true" numFmtId="167" fillId="22" applyFill="true">
      <alignment horizontal="center" vertical="center"/>
    </xf>
    <xf fontId="10475" applyFont="true" borderId="8" applyBorder="true" applyNumberFormat="true" numFmtId="167" fillId="22" applyFill="true">
      <alignment horizontal="center" vertical="center"/>
    </xf>
    <xf fontId="10476" applyFont="true" borderId="8" applyBorder="true" applyNumberFormat="true" numFmtId="1" fillId="22" applyFill="true">
      <alignment horizontal="center" vertical="center"/>
    </xf>
    <xf fontId="10477" applyFont="true" borderId="8" applyBorder="true" applyNumberFormat="true" numFmtId="1" fillId="22" applyFill="true">
      <alignment horizontal="center" vertical="center"/>
    </xf>
    <xf fontId="10478" applyFont="true" borderId="8" applyBorder="true" applyNumberFormat="true" numFmtId="1" fillId="22" applyFill="true">
      <alignment horizontal="center" vertical="center"/>
    </xf>
    <xf fontId="10479" applyFont="true" borderId="8" applyBorder="true" applyNumberFormat="true" numFmtId="167" fillId="22" applyFill="true">
      <alignment horizontal="center" vertical="center"/>
    </xf>
    <xf fontId="10480" applyFont="true" borderId="8" applyBorder="true" applyNumberFormat="true" numFmtId="166" fillId="22" applyFill="true">
      <alignment horizontal="center" vertical="center"/>
    </xf>
    <xf fontId="10481" applyFont="true" borderId="8" applyBorder="true" applyNumberFormat="true" numFmtId="166" fillId="22" applyFill="true">
      <alignment horizontal="center" vertical="center"/>
    </xf>
    <xf fontId="10482" applyFont="true" borderId="8" applyBorder="true" applyNumberFormat="true" numFmtId="1" fillId="22" applyFill="true">
      <alignment horizontal="center" vertical="center"/>
    </xf>
    <xf fontId="10483" applyFont="true" borderId="8" applyBorder="true" applyNumberFormat="true" numFmtId="1" fillId="22" applyFill="true">
      <alignment horizontal="center" vertical="center"/>
    </xf>
    <xf fontId="10484" applyFont="true" borderId="8" applyBorder="true" applyNumberFormat="true" numFmtId="1" fillId="22" applyFill="true">
      <alignment horizontal="center" vertical="center"/>
    </xf>
    <xf fontId="10485" applyFont="true" borderId="8" applyBorder="true" applyNumberFormat="true" numFmtId="167" fillId="22" applyFill="true">
      <alignment horizontal="center" vertical="center"/>
    </xf>
    <xf fontId="10486" applyFont="true" borderId="8" applyBorder="true" applyNumberFormat="true" numFmtId="1" fillId="22" applyFill="true">
      <alignment horizontal="center" vertical="center"/>
    </xf>
    <xf fontId="10487" applyFont="true" borderId="8" applyBorder="true" applyNumberFormat="true" numFmtId="167" fillId="22" applyFill="true">
      <alignment horizontal="center" vertical="center"/>
    </xf>
    <xf fontId="10488" applyFont="true" borderId="8" applyBorder="true" applyNumberFormat="true" numFmtId="1" fillId="22" applyFill="true">
      <alignment horizontal="center" vertical="center"/>
    </xf>
    <xf fontId="10489" applyFont="true" borderId="8" applyBorder="true" applyNumberFormat="true" numFmtId="1" fillId="22" applyFill="true">
      <alignment horizontal="center" vertical="center"/>
    </xf>
    <xf fontId="10490" applyFont="true" borderId="8" applyBorder="true" applyNumberFormat="true" numFmtId="1" fillId="22" applyFill="true">
      <alignment horizontal="center" vertical="center"/>
    </xf>
    <xf fontId="10491" applyFont="true" borderId="8" applyBorder="true" applyNumberFormat="true" numFmtId="1" fillId="22" applyFill="true">
      <alignment horizontal="center" vertical="center"/>
    </xf>
    <xf fontId="10492" applyFont="true" borderId="8" applyBorder="true" applyNumberFormat="true" numFmtId="167" fillId="22" applyFill="true">
      <alignment horizontal="center" vertical="center"/>
    </xf>
    <xf fontId="10493" applyFont="true" borderId="8" applyBorder="true" applyNumberFormat="true" numFmtId="1" fillId="22" applyFill="true">
      <alignment horizontal="center" vertical="center"/>
    </xf>
    <xf fontId="10494" applyFont="true" borderId="8" applyBorder="true" applyNumberFormat="true" numFmtId="167" fillId="22" applyFill="true">
      <alignment horizontal="center" vertical="center"/>
    </xf>
    <xf fontId="10495" applyFont="true" borderId="8" applyBorder="true" applyNumberFormat="true" numFmtId="1" fillId="22" applyFill="true">
      <alignment horizontal="center" vertical="center"/>
    </xf>
    <xf fontId="10496" applyFont="true" borderId="8" applyBorder="true" applyNumberFormat="true" numFmtId="167" fillId="22" applyFill="true">
      <alignment horizontal="center" vertical="center"/>
    </xf>
    <xf fontId="10497" applyFont="true" borderId="8" applyBorder="true" applyNumberFormat="true" numFmtId="2" fillId="22" applyFill="true">
      <alignment horizontal="center" vertical="center"/>
    </xf>
    <xf fontId="10498" applyFont="true" borderId="8" applyBorder="true" applyNumberFormat="true" numFmtId="2" fillId="22" applyFill="true">
      <alignment horizontal="center" vertical="center"/>
    </xf>
    <xf fontId="10499" applyFont="true" borderId="8" applyBorder="true" applyNumberFormat="true" numFmtId="2" fillId="22" applyFill="true">
      <alignment horizontal="center" vertical="center"/>
    </xf>
    <xf fontId="10500" applyFont="true" borderId="8" applyBorder="true" applyNumberFormat="true" numFmtId="2" fillId="22" applyFill="true">
      <alignment horizontal="center" vertical="center"/>
    </xf>
    <xf fontId="10501" applyFont="true" borderId="8" applyBorder="true" applyNumberFormat="true" numFmtId="2" fillId="22" applyFill="true">
      <alignment horizontal="center" vertical="center"/>
    </xf>
    <xf fontId="10502" applyFont="true" borderId="8" applyBorder="true" applyNumberFormat="true" numFmtId="2" fillId="22" applyFill="true">
      <alignment horizontal="center" vertical="center"/>
    </xf>
    <xf fontId="10503" applyFont="true" borderId="8" applyBorder="true" applyNumberFormat="true" numFmtId="2" fillId="22" applyFill="true">
      <alignment horizontal="center" vertical="center"/>
    </xf>
    <xf fontId="10504" applyFont="true" borderId="8" applyBorder="true" applyNumberFormat="true" numFmtId="2" fillId="22" applyFill="true">
      <alignment horizontal="center" vertical="center"/>
    </xf>
    <xf fontId="10505" applyFont="true" borderId="8" applyBorder="true" applyNumberFormat="true" numFmtId="2" fillId="22" applyFill="true">
      <alignment horizontal="center" vertical="center"/>
    </xf>
    <xf fontId="10506" applyFont="true" borderId="8" applyBorder="true" applyNumberFormat="true" numFmtId="2" fillId="22" applyFill="true">
      <alignment horizontal="center" vertical="center"/>
    </xf>
    <xf fontId="10507" applyFont="true" borderId="8" applyBorder="true" applyNumberFormat="true" numFmtId="2" fillId="22" applyFill="true">
      <alignment horizontal="center" vertical="center"/>
    </xf>
    <xf fontId="10508" applyFont="true" borderId="8" applyBorder="true" applyNumberFormat="true" numFmtId="2" fillId="22" applyFill="true">
      <alignment horizontal="center" vertical="center"/>
    </xf>
    <xf fontId="10509" applyFont="true" borderId="8" applyBorder="true" applyNumberFormat="true" numFmtId="2" fillId="22" applyFill="true">
      <alignment horizontal="center" vertical="center"/>
    </xf>
    <xf fontId="10510" applyFont="true" borderId="8" applyBorder="true" applyNumberFormat="true" numFmtId="2" fillId="22" applyFill="true">
      <alignment horizontal="center" vertical="center"/>
    </xf>
    <xf fontId="10511" applyFont="true" borderId="8" applyBorder="true" applyNumberFormat="true" numFmtId="2" fillId="22" applyFill="true">
      <alignment horizontal="center" vertical="center"/>
    </xf>
    <xf fontId="10512" applyFont="true" borderId="8" applyBorder="true" applyNumberFormat="true" numFmtId="2" fillId="22" applyFill="true">
      <alignment horizontal="center" vertical="center"/>
    </xf>
    <xf fontId="10513" applyFont="true" borderId="8" applyBorder="true" applyNumberFormat="true" numFmtId="2" fillId="22" applyFill="true">
      <alignment horizontal="center" vertical="center"/>
    </xf>
    <xf fontId="10514" applyFont="true" borderId="8" applyBorder="true" applyNumberFormat="true" numFmtId="2" fillId="22" applyFill="true">
      <alignment horizontal="center" vertical="center"/>
    </xf>
    <xf fontId="10515" applyFont="true" borderId="8" applyBorder="true" applyNumberFormat="true" numFmtId="2" fillId="22" applyFill="true">
      <alignment horizontal="center" vertical="center"/>
    </xf>
    <xf fontId="10516" applyFont="true" borderId="8" applyBorder="true" applyNumberFormat="true" numFmtId="2" fillId="22" applyFill="true">
      <alignment horizontal="center" vertical="center"/>
    </xf>
    <xf fontId="10517" applyFont="true" borderId="8" applyBorder="true" applyNumberFormat="true" numFmtId="2" fillId="22" applyFill="true">
      <alignment horizontal="center" vertical="center"/>
    </xf>
    <xf fontId="10518" applyFont="true" borderId="8" applyBorder="true" applyNumberFormat="true" numFmtId="2" fillId="22" applyFill="true">
      <alignment horizontal="center" vertical="center"/>
    </xf>
    <xf fontId="10519" applyFont="true" borderId="8" applyBorder="true" applyNumberFormat="true" numFmtId="2" fillId="22" applyFill="true">
      <alignment horizontal="center" vertical="center"/>
    </xf>
    <xf fontId="10520" applyFont="true" borderId="8" applyBorder="true" applyNumberFormat="true" numFmtId="2" fillId="22" applyFill="true">
      <alignment horizontal="center" vertical="center"/>
    </xf>
    <xf fontId="10521" applyFont="true" borderId="8" applyBorder="true" applyNumberFormat="true" numFmtId="2" fillId="22" applyFill="true">
      <alignment horizontal="center" vertical="center"/>
    </xf>
    <xf fontId="10522" applyFont="true" borderId="8" applyBorder="true" applyNumberFormat="true" numFmtId="2" fillId="22" applyFill="true">
      <alignment horizontal="center" vertical="center"/>
    </xf>
    <xf fontId="10523" applyFont="true" borderId="8" applyBorder="true" applyNumberFormat="true" numFmtId="2" fillId="22" applyFill="true">
      <alignment horizontal="center" vertical="center"/>
    </xf>
    <xf fontId="10524" applyFont="true" borderId="8" applyBorder="true" applyNumberFormat="true" numFmtId="2" fillId="22" applyFill="true">
      <alignment horizontal="center" vertical="center"/>
    </xf>
    <xf fontId="10525" applyFont="true" borderId="8" applyBorder="true" applyNumberFormat="true" numFmtId="2" fillId="22" applyFill="true">
      <alignment horizontal="center" vertical="center"/>
    </xf>
    <xf fontId="10526" applyFont="true" borderId="8" applyBorder="true" applyNumberFormat="true" numFmtId="2" fillId="22" applyFill="true">
      <alignment horizontal="center" vertical="center"/>
    </xf>
    <xf fontId="10527" applyFont="true" borderId="8" applyBorder="true" applyNumberFormat="true" numFmtId="2" fillId="22" applyFill="true">
      <alignment horizontal="center" vertical="center"/>
    </xf>
    <xf fontId="10528" applyFont="true" borderId="8" applyBorder="true" applyNumberFormat="true" numFmtId="2" fillId="22" applyFill="true">
      <alignment horizontal="center" vertical="center"/>
    </xf>
    <xf fontId="10529" applyFont="true" borderId="8" applyBorder="true" applyNumberFormat="true" numFmtId="2" fillId="22" applyFill="true">
      <alignment horizontal="center" vertical="center"/>
    </xf>
    <xf fontId="10530" applyFont="true" borderId="8" applyBorder="true" applyNumberFormat="true" numFmtId="2" fillId="22" applyFill="true">
      <alignment horizontal="center" vertical="center"/>
    </xf>
    <xf fontId="10531" applyFont="true" borderId="8" applyBorder="true" applyNumberFormat="true" numFmtId="165" fillId="19" applyFill="true">
      <alignment horizontal="left" vertical="center"/>
    </xf>
    <xf fontId="10532" applyFont="true" borderId="8" applyBorder="true" applyNumberFormat="true" numFmtId="165" fillId="22" applyFill="true">
      <alignment horizontal="center" vertical="center"/>
    </xf>
    <xf fontId="10533" applyFont="true" borderId="8" applyBorder="true" applyNumberFormat="true" numFmtId="166" fillId="22" applyFill="true">
      <alignment horizontal="center" vertical="center"/>
    </xf>
    <xf fontId="10534" applyFont="true" borderId="8" applyBorder="true" applyNumberFormat="true" numFmtId="1" fillId="22" applyFill="true">
      <alignment horizontal="center" vertical="center"/>
    </xf>
    <xf fontId="10535" applyFont="true" borderId="8" applyBorder="true" applyNumberFormat="true" numFmtId="1" fillId="22" applyFill="true">
      <alignment horizontal="center" vertical="center"/>
    </xf>
    <xf fontId="10536" applyFont="true" borderId="8" applyBorder="true" applyNumberFormat="true" numFmtId="1" fillId="22" applyFill="true">
      <alignment horizontal="center" vertical="center"/>
    </xf>
    <xf fontId="10537" applyFont="true" borderId="8" applyBorder="true" applyNumberFormat="true" numFmtId="1" fillId="22" applyFill="true">
      <alignment horizontal="center" vertical="center"/>
    </xf>
    <xf fontId="10538" applyFont="true" borderId="8" applyBorder="true" applyNumberFormat="true" numFmtId="1" fillId="22" applyFill="true">
      <alignment horizontal="center" vertical="center"/>
    </xf>
    <xf fontId="10539" applyFont="true" borderId="8" applyBorder="true" applyNumberFormat="true" numFmtId="1" fillId="22" applyFill="true">
      <alignment horizontal="center" vertical="center"/>
    </xf>
    <xf fontId="10540" applyFont="true" borderId="8" applyBorder="true" applyNumberFormat="true" numFmtId="1" fillId="22" applyFill="true">
      <alignment horizontal="center" vertical="center"/>
    </xf>
    <xf fontId="10541" applyFont="true" borderId="8" applyBorder="true" applyNumberFormat="true" numFmtId="165" fillId="22" applyFill="true">
      <alignment horizontal="center" vertical="center"/>
    </xf>
    <xf fontId="10542" applyFont="true" borderId="8" applyBorder="true" applyNumberFormat="true" numFmtId="165" fillId="22" applyFill="true">
      <alignment horizontal="center" vertical="center"/>
    </xf>
    <xf fontId="10543" applyFont="true" borderId="8" applyBorder="true" applyNumberFormat="true" numFmtId="1" fillId="22" applyFill="true">
      <alignment horizontal="center" vertical="center"/>
    </xf>
    <xf fontId="10544" applyFont="true" borderId="8" applyBorder="true" applyNumberFormat="true" numFmtId="1" fillId="22" applyFill="true">
      <alignment horizontal="center" vertical="center"/>
    </xf>
    <xf fontId="10545" applyFont="true" borderId="8" applyBorder="true" applyNumberFormat="true" numFmtId="1" fillId="22" applyFill="true">
      <alignment horizontal="center" vertical="center"/>
    </xf>
    <xf fontId="10546" applyFont="true" borderId="8" applyBorder="true" applyNumberFormat="true" numFmtId="167" fillId="22" applyFill="true">
      <alignment horizontal="center" vertical="center"/>
    </xf>
    <xf fontId="10547" applyFont="true" borderId="8" applyBorder="true" applyNumberFormat="true" numFmtId="1" fillId="22" applyFill="true">
      <alignment horizontal="center" vertical="center"/>
    </xf>
    <xf fontId="10548" applyFont="true" borderId="8" applyBorder="true" applyNumberFormat="true" numFmtId="167" fillId="22" applyFill="true">
      <alignment horizontal="center" vertical="center"/>
    </xf>
    <xf fontId="10549" applyFont="true" borderId="8" applyBorder="true" applyNumberFormat="true" numFmtId="1" fillId="22" applyFill="true">
      <alignment horizontal="center" vertical="center"/>
    </xf>
    <xf fontId="10550" applyFont="true" borderId="8" applyBorder="true" applyNumberFormat="true" numFmtId="167" fillId="22" applyFill="true">
      <alignment horizontal="center" vertical="center"/>
    </xf>
    <xf fontId="10551" applyFont="true" borderId="8" applyBorder="true" applyNumberFormat="true" numFmtId="1" fillId="22" applyFill="true">
      <alignment horizontal="center" vertical="center"/>
    </xf>
    <xf fontId="10552" applyFont="true" borderId="8" applyBorder="true" applyNumberFormat="true" numFmtId="167" fillId="22" applyFill="true">
      <alignment horizontal="center" vertical="center"/>
    </xf>
    <xf fontId="10553" applyFont="true" borderId="8" applyBorder="true" applyNumberFormat="true" numFmtId="167" fillId="22" applyFill="true">
      <alignment horizontal="center" vertical="center"/>
    </xf>
    <xf fontId="10554" applyFont="true" borderId="8" applyBorder="true" applyNumberFormat="true" numFmtId="1" fillId="22" applyFill="true">
      <alignment horizontal="center" vertical="center"/>
    </xf>
    <xf fontId="10555" applyFont="true" borderId="8" applyBorder="true" applyNumberFormat="true" numFmtId="1" fillId="22" applyFill="true">
      <alignment horizontal="center" vertical="center"/>
    </xf>
    <xf fontId="10556" applyFont="true" borderId="8" applyBorder="true" applyNumberFormat="true" numFmtId="1" fillId="22" applyFill="true">
      <alignment horizontal="center" vertical="center"/>
    </xf>
    <xf fontId="10557" applyFont="true" borderId="8" applyBorder="true" applyNumberFormat="true" numFmtId="167" fillId="22" applyFill="true">
      <alignment horizontal="center" vertical="center"/>
    </xf>
    <xf fontId="10558" applyFont="true" borderId="8" applyBorder="true" applyNumberFormat="true" numFmtId="166" fillId="22" applyFill="true">
      <alignment horizontal="center" vertical="center"/>
    </xf>
    <xf fontId="10559" applyFont="true" borderId="8" applyBorder="true" applyNumberFormat="true" numFmtId="166" fillId="22" applyFill="true">
      <alignment horizontal="center" vertical="center"/>
    </xf>
    <xf fontId="10560" applyFont="true" borderId="8" applyBorder="true" applyNumberFormat="true" numFmtId="1" fillId="22" applyFill="true">
      <alignment horizontal="center" vertical="center"/>
    </xf>
    <xf fontId="10561" applyFont="true" borderId="8" applyBorder="true" applyNumberFormat="true" numFmtId="1" fillId="22" applyFill="true">
      <alignment horizontal="center" vertical="center"/>
    </xf>
    <xf fontId="10562" applyFont="true" borderId="8" applyBorder="true" applyNumberFormat="true" numFmtId="1" fillId="22" applyFill="true">
      <alignment horizontal="center" vertical="center"/>
    </xf>
    <xf fontId="10563" applyFont="true" borderId="8" applyBorder="true" applyNumberFormat="true" numFmtId="167" fillId="22" applyFill="true">
      <alignment horizontal="center" vertical="center"/>
    </xf>
    <xf fontId="10564" applyFont="true" borderId="8" applyBorder="true" applyNumberFormat="true" numFmtId="1" fillId="22" applyFill="true">
      <alignment horizontal="center" vertical="center"/>
    </xf>
    <xf fontId="10565" applyFont="true" borderId="8" applyBorder="true" applyNumberFormat="true" numFmtId="167" fillId="22" applyFill="true">
      <alignment horizontal="center" vertical="center"/>
    </xf>
    <xf fontId="10566" applyFont="true" borderId="8" applyBorder="true" applyNumberFormat="true" numFmtId="1" fillId="22" applyFill="true">
      <alignment horizontal="center" vertical="center"/>
    </xf>
    <xf fontId="10567" applyFont="true" borderId="8" applyBorder="true" applyNumberFormat="true" numFmtId="1" fillId="22" applyFill="true">
      <alignment horizontal="center" vertical="center"/>
    </xf>
    <xf fontId="10568" applyFont="true" borderId="8" applyBorder="true" applyNumberFormat="true" numFmtId="1" fillId="22" applyFill="true">
      <alignment horizontal="center" vertical="center"/>
    </xf>
    <xf fontId="10569" applyFont="true" borderId="8" applyBorder="true" applyNumberFormat="true" numFmtId="1" fillId="22" applyFill="true">
      <alignment horizontal="center" vertical="center"/>
    </xf>
    <xf fontId="10570" applyFont="true" borderId="8" applyBorder="true" applyNumberFormat="true" numFmtId="167" fillId="22" applyFill="true">
      <alignment horizontal="center" vertical="center"/>
    </xf>
    <xf fontId="10571" applyFont="true" borderId="8" applyBorder="true" applyNumberFormat="true" numFmtId="1" fillId="22" applyFill="true">
      <alignment horizontal="center" vertical="center"/>
    </xf>
    <xf fontId="10572" applyFont="true" borderId="8" applyBorder="true" applyNumberFormat="true" numFmtId="167" fillId="22" applyFill="true">
      <alignment horizontal="center" vertical="center"/>
    </xf>
    <xf fontId="10573" applyFont="true" borderId="8" applyBorder="true" applyNumberFormat="true" numFmtId="1" fillId="22" applyFill="true">
      <alignment horizontal="center" vertical="center"/>
    </xf>
    <xf fontId="10574" applyFont="true" borderId="8" applyBorder="true" applyNumberFormat="true" numFmtId="167" fillId="22" applyFill="true">
      <alignment horizontal="center" vertical="center"/>
    </xf>
    <xf fontId="10575" applyFont="true" borderId="8" applyBorder="true" applyNumberFormat="true" numFmtId="2" fillId="22" applyFill="true">
      <alignment horizontal="center" vertical="center"/>
    </xf>
    <xf fontId="10576" applyFont="true" borderId="8" applyBorder="true" applyNumberFormat="true" numFmtId="2" fillId="22" applyFill="true">
      <alignment horizontal="center" vertical="center"/>
    </xf>
    <xf fontId="10577" applyFont="true" borderId="8" applyBorder="true" applyNumberFormat="true" numFmtId="2" fillId="22" applyFill="true">
      <alignment horizontal="center" vertical="center"/>
    </xf>
    <xf fontId="10578" applyFont="true" borderId="8" applyBorder="true" applyNumberFormat="true" numFmtId="2" fillId="22" applyFill="true">
      <alignment horizontal="center" vertical="center"/>
    </xf>
    <xf fontId="10579" applyFont="true" borderId="8" applyBorder="true" applyNumberFormat="true" numFmtId="2" fillId="22" applyFill="true">
      <alignment horizontal="center" vertical="center"/>
    </xf>
    <xf fontId="10580" applyFont="true" borderId="8" applyBorder="true" applyNumberFormat="true" numFmtId="2" fillId="22" applyFill="true">
      <alignment horizontal="center" vertical="center"/>
    </xf>
    <xf fontId="10581" applyFont="true" borderId="8" applyBorder="true" applyNumberFormat="true" numFmtId="2" fillId="22" applyFill="true">
      <alignment horizontal="center" vertical="center"/>
    </xf>
    <xf fontId="10582" applyFont="true" borderId="8" applyBorder="true" applyNumberFormat="true" numFmtId="2" fillId="22" applyFill="true">
      <alignment horizontal="center" vertical="center"/>
    </xf>
    <xf fontId="10583" applyFont="true" borderId="8" applyBorder="true" applyNumberFormat="true" numFmtId="2" fillId="22" applyFill="true">
      <alignment horizontal="center" vertical="center"/>
    </xf>
    <xf fontId="10584" applyFont="true" borderId="8" applyBorder="true" applyNumberFormat="true" numFmtId="2" fillId="22" applyFill="true">
      <alignment horizontal="center" vertical="center"/>
    </xf>
    <xf fontId="10585" applyFont="true" borderId="8" applyBorder="true" applyNumberFormat="true" numFmtId="2" fillId="22" applyFill="true">
      <alignment horizontal="center" vertical="center"/>
    </xf>
    <xf fontId="10586" applyFont="true" borderId="8" applyBorder="true" applyNumberFormat="true" numFmtId="2" fillId="22" applyFill="true">
      <alignment horizontal="center" vertical="center"/>
    </xf>
    <xf fontId="10587" applyFont="true" borderId="8" applyBorder="true" applyNumberFormat="true" numFmtId="2" fillId="22" applyFill="true">
      <alignment horizontal="center" vertical="center"/>
    </xf>
    <xf fontId="10588" applyFont="true" borderId="8" applyBorder="true" applyNumberFormat="true" numFmtId="2" fillId="22" applyFill="true">
      <alignment horizontal="center" vertical="center"/>
    </xf>
    <xf fontId="10589" applyFont="true" borderId="8" applyBorder="true" applyNumberFormat="true" numFmtId="2" fillId="22" applyFill="true">
      <alignment horizontal="center" vertical="center"/>
    </xf>
    <xf fontId="10590" applyFont="true" borderId="8" applyBorder="true" applyNumberFormat="true" numFmtId="2" fillId="22" applyFill="true">
      <alignment horizontal="center" vertical="center"/>
    </xf>
    <xf fontId="10591" applyFont="true" borderId="8" applyBorder="true" applyNumberFormat="true" numFmtId="2" fillId="22" applyFill="true">
      <alignment horizontal="center" vertical="center"/>
    </xf>
    <xf fontId="10592" applyFont="true" borderId="8" applyBorder="true" applyNumberFormat="true" numFmtId="2" fillId="22" applyFill="true">
      <alignment horizontal="center" vertical="center"/>
    </xf>
    <xf fontId="10593" applyFont="true" borderId="8" applyBorder="true" applyNumberFormat="true" numFmtId="2" fillId="22" applyFill="true">
      <alignment horizontal="center" vertical="center"/>
    </xf>
    <xf fontId="10594" applyFont="true" borderId="8" applyBorder="true" applyNumberFormat="true" numFmtId="2" fillId="22" applyFill="true">
      <alignment horizontal="center" vertical="center"/>
    </xf>
    <xf fontId="10595" applyFont="true" borderId="8" applyBorder="true" applyNumberFormat="true" numFmtId="2" fillId="22" applyFill="true">
      <alignment horizontal="center" vertical="center"/>
    </xf>
    <xf fontId="10596" applyFont="true" borderId="8" applyBorder="true" applyNumberFormat="true" numFmtId="2" fillId="22" applyFill="true">
      <alignment horizontal="center" vertical="center"/>
    </xf>
    <xf fontId="10597" applyFont="true" borderId="8" applyBorder="true" applyNumberFormat="true" numFmtId="2" fillId="22" applyFill="true">
      <alignment horizontal="center" vertical="center"/>
    </xf>
    <xf fontId="10598" applyFont="true" borderId="8" applyBorder="true" applyNumberFormat="true" numFmtId="2" fillId="22" applyFill="true">
      <alignment horizontal="center" vertical="center"/>
    </xf>
    <xf fontId="10599" applyFont="true" borderId="8" applyBorder="true" applyNumberFormat="true" numFmtId="2" fillId="22" applyFill="true">
      <alignment horizontal="center" vertical="center"/>
    </xf>
    <xf fontId="10600" applyFont="true" borderId="8" applyBorder="true" applyNumberFormat="true" numFmtId="2" fillId="22" applyFill="true">
      <alignment horizontal="center" vertical="center"/>
    </xf>
    <xf fontId="10601" applyFont="true" borderId="8" applyBorder="true" applyNumberFormat="true" numFmtId="2" fillId="22" applyFill="true">
      <alignment horizontal="center" vertical="center"/>
    </xf>
    <xf fontId="10602" applyFont="true" borderId="8" applyBorder="true" applyNumberFormat="true" numFmtId="2" fillId="22" applyFill="true">
      <alignment horizontal="center" vertical="center"/>
    </xf>
    <xf fontId="10603" applyFont="true" borderId="8" applyBorder="true" applyNumberFormat="true" numFmtId="2" fillId="22" applyFill="true">
      <alignment horizontal="center" vertical="center"/>
    </xf>
    <xf fontId="10604" applyFont="true" borderId="8" applyBorder="true" applyNumberFormat="true" numFmtId="2" fillId="22" applyFill="true">
      <alignment horizontal="center" vertical="center"/>
    </xf>
    <xf fontId="10605" applyFont="true" borderId="8" applyBorder="true" applyNumberFormat="true" numFmtId="2" fillId="22" applyFill="true">
      <alignment horizontal="center" vertical="center"/>
    </xf>
    <xf fontId="10606" applyFont="true" borderId="8" applyBorder="true" applyNumberFormat="true" numFmtId="2" fillId="22" applyFill="true">
      <alignment horizontal="center" vertical="center"/>
    </xf>
    <xf fontId="10607" applyFont="true" borderId="8" applyBorder="true" applyNumberFormat="true" numFmtId="2" fillId="22" applyFill="true">
      <alignment horizontal="center" vertical="center"/>
    </xf>
    <xf fontId="10608" applyFont="true" borderId="8" applyBorder="true" applyNumberFormat="true" numFmtId="2" fillId="22" applyFill="true">
      <alignment horizontal="center" vertical="center"/>
    </xf>
    <xf fontId="10609" applyFont="true" borderId="8" applyBorder="true" applyNumberFormat="true" numFmtId="165" fillId="19" applyFill="true">
      <alignment horizontal="left" vertical="center"/>
    </xf>
    <xf fontId="10610" applyFont="true" borderId="8" applyBorder="true" applyNumberFormat="true" numFmtId="165" fillId="22" applyFill="true">
      <alignment horizontal="center" vertical="center"/>
    </xf>
    <xf fontId="10611" applyFont="true" borderId="8" applyBorder="true" applyNumberFormat="true" numFmtId="166" fillId="22" applyFill="true">
      <alignment horizontal="center" vertical="center"/>
    </xf>
    <xf fontId="10612" applyFont="true" borderId="8" applyBorder="true" applyNumberFormat="true" numFmtId="1" fillId="22" applyFill="true">
      <alignment horizontal="center" vertical="center"/>
    </xf>
    <xf fontId="10613" applyFont="true" borderId="8" applyBorder="true" applyNumberFormat="true" numFmtId="1" fillId="22" applyFill="true">
      <alignment horizontal="center" vertical="center"/>
    </xf>
    <xf fontId="10614" applyFont="true" borderId="8" applyBorder="true" applyNumberFormat="true" numFmtId="1" fillId="22" applyFill="true">
      <alignment horizontal="center" vertical="center"/>
    </xf>
    <xf fontId="10615" applyFont="true" borderId="8" applyBorder="true" applyNumberFormat="true" numFmtId="1" fillId="22" applyFill="true">
      <alignment horizontal="center" vertical="center"/>
    </xf>
    <xf fontId="10616" applyFont="true" borderId="8" applyBorder="true" applyNumberFormat="true" numFmtId="1" fillId="22" applyFill="true">
      <alignment horizontal="center" vertical="center"/>
    </xf>
    <xf fontId="10617" applyFont="true" borderId="8" applyBorder="true" applyNumberFormat="true" numFmtId="1" fillId="22" applyFill="true">
      <alignment horizontal="center" vertical="center"/>
    </xf>
    <xf fontId="10618" applyFont="true" borderId="8" applyBorder="true" applyNumberFormat="true" numFmtId="1" fillId="22" applyFill="true">
      <alignment horizontal="center" vertical="center"/>
    </xf>
    <xf fontId="10619" applyFont="true" borderId="8" applyBorder="true" applyNumberFormat="true" numFmtId="165" fillId="22" applyFill="true">
      <alignment horizontal="center" vertical="center"/>
    </xf>
    <xf fontId="10620" applyFont="true" borderId="8" applyBorder="true" applyNumberFormat="true" numFmtId="165" fillId="22" applyFill="true">
      <alignment horizontal="center" vertical="center"/>
    </xf>
    <xf fontId="10621" applyFont="true" borderId="8" applyBorder="true" applyNumberFormat="true" numFmtId="1" fillId="22" applyFill="true">
      <alignment horizontal="center" vertical="center"/>
    </xf>
    <xf fontId="10622" applyFont="true" borderId="8" applyBorder="true" applyNumberFormat="true" numFmtId="1" fillId="22" applyFill="true">
      <alignment horizontal="center" vertical="center"/>
    </xf>
    <xf fontId="10623" applyFont="true" borderId="8" applyBorder="true" applyNumberFormat="true" numFmtId="1" fillId="22" applyFill="true">
      <alignment horizontal="center" vertical="center"/>
    </xf>
    <xf fontId="10624" applyFont="true" borderId="8" applyBorder="true" applyNumberFormat="true" numFmtId="167" fillId="22" applyFill="true">
      <alignment horizontal="center" vertical="center"/>
    </xf>
    <xf fontId="10625" applyFont="true" borderId="8" applyBorder="true" applyNumberFormat="true" numFmtId="1" fillId="22" applyFill="true">
      <alignment horizontal="center" vertical="center"/>
    </xf>
    <xf fontId="10626" applyFont="true" borderId="8" applyBorder="true" applyNumberFormat="true" numFmtId="167" fillId="22" applyFill="true">
      <alignment horizontal="center" vertical="center"/>
    </xf>
    <xf fontId="10627" applyFont="true" borderId="8" applyBorder="true" applyNumberFormat="true" numFmtId="1" fillId="22" applyFill="true">
      <alignment horizontal="center" vertical="center"/>
    </xf>
    <xf fontId="10628" applyFont="true" borderId="8" applyBorder="true" applyNumberFormat="true" numFmtId="167" fillId="22" applyFill="true">
      <alignment horizontal="center" vertical="center"/>
    </xf>
    <xf fontId="10629" applyFont="true" borderId="8" applyBorder="true" applyNumberFormat="true" numFmtId="1" fillId="22" applyFill="true">
      <alignment horizontal="center" vertical="center"/>
    </xf>
    <xf fontId="10630" applyFont="true" borderId="8" applyBorder="true" applyNumberFormat="true" numFmtId="167" fillId="22" applyFill="true">
      <alignment horizontal="center" vertical="center"/>
    </xf>
    <xf fontId="10631" applyFont="true" borderId="8" applyBorder="true" applyNumberFormat="true" numFmtId="167" fillId="22" applyFill="true">
      <alignment horizontal="center" vertical="center"/>
    </xf>
    <xf fontId="10632" applyFont="true" borderId="8" applyBorder="true" applyNumberFormat="true" numFmtId="1" fillId="22" applyFill="true">
      <alignment horizontal="center" vertical="center"/>
    </xf>
    <xf fontId="10633" applyFont="true" borderId="8" applyBorder="true" applyNumberFormat="true" numFmtId="1" fillId="22" applyFill="true">
      <alignment horizontal="center" vertical="center"/>
    </xf>
    <xf fontId="10634" applyFont="true" borderId="8" applyBorder="true" applyNumberFormat="true" numFmtId="1" fillId="22" applyFill="true">
      <alignment horizontal="center" vertical="center"/>
    </xf>
    <xf fontId="10635" applyFont="true" borderId="8" applyBorder="true" applyNumberFormat="true" numFmtId="167" fillId="22" applyFill="true">
      <alignment horizontal="center" vertical="center"/>
    </xf>
    <xf fontId="10636" applyFont="true" borderId="8" applyBorder="true" applyNumberFormat="true" numFmtId="166" fillId="22" applyFill="true">
      <alignment horizontal="center" vertical="center"/>
    </xf>
    <xf fontId="10637" applyFont="true" borderId="8" applyBorder="true" applyNumberFormat="true" numFmtId="166" fillId="22" applyFill="true">
      <alignment horizontal="center" vertical="center"/>
    </xf>
    <xf fontId="10638" applyFont="true" borderId="8" applyBorder="true" applyNumberFormat="true" numFmtId="1" fillId="22" applyFill="true">
      <alignment horizontal="center" vertical="center"/>
    </xf>
    <xf fontId="10639" applyFont="true" borderId="8" applyBorder="true" applyNumberFormat="true" numFmtId="1" fillId="22" applyFill="true">
      <alignment horizontal="center" vertical="center"/>
    </xf>
    <xf fontId="10640" applyFont="true" borderId="8" applyBorder="true" applyNumberFormat="true" numFmtId="1" fillId="22" applyFill="true">
      <alignment horizontal="center" vertical="center"/>
    </xf>
    <xf fontId="10641" applyFont="true" borderId="8" applyBorder="true" applyNumberFormat="true" numFmtId="167" fillId="22" applyFill="true">
      <alignment horizontal="center" vertical="center"/>
    </xf>
    <xf fontId="10642" applyFont="true" borderId="8" applyBorder="true" applyNumberFormat="true" numFmtId="1" fillId="22" applyFill="true">
      <alignment horizontal="center" vertical="center"/>
    </xf>
    <xf fontId="10643" applyFont="true" borderId="8" applyBorder="true" applyNumberFormat="true" numFmtId="167" fillId="22" applyFill="true">
      <alignment horizontal="center" vertical="center"/>
    </xf>
    <xf fontId="10644" applyFont="true" borderId="8" applyBorder="true" applyNumberFormat="true" numFmtId="1" fillId="22" applyFill="true">
      <alignment horizontal="center" vertical="center"/>
    </xf>
    <xf fontId="10645" applyFont="true" borderId="8" applyBorder="true" applyNumberFormat="true" numFmtId="1" fillId="22" applyFill="true">
      <alignment horizontal="center" vertical="center"/>
    </xf>
    <xf fontId="10646" applyFont="true" borderId="8" applyBorder="true" applyNumberFormat="true" numFmtId="1" fillId="22" applyFill="true">
      <alignment horizontal="center" vertical="center"/>
    </xf>
    <xf fontId="10647" applyFont="true" borderId="8" applyBorder="true" applyNumberFormat="true" numFmtId="1" fillId="22" applyFill="true">
      <alignment horizontal="center" vertical="center"/>
    </xf>
    <xf fontId="10648" applyFont="true" borderId="8" applyBorder="true" applyNumberFormat="true" numFmtId="167" fillId="22" applyFill="true">
      <alignment horizontal="center" vertical="center"/>
    </xf>
    <xf fontId="10649" applyFont="true" borderId="8" applyBorder="true" applyNumberFormat="true" numFmtId="1" fillId="22" applyFill="true">
      <alignment horizontal="center" vertical="center"/>
    </xf>
    <xf fontId="10650" applyFont="true" borderId="8" applyBorder="true" applyNumberFormat="true" numFmtId="167" fillId="22" applyFill="true">
      <alignment horizontal="center" vertical="center"/>
    </xf>
    <xf fontId="10651" applyFont="true" borderId="8" applyBorder="true" applyNumberFormat="true" numFmtId="1" fillId="22" applyFill="true">
      <alignment horizontal="center" vertical="center"/>
    </xf>
    <xf fontId="10652" applyFont="true" borderId="8" applyBorder="true" applyNumberFormat="true" numFmtId="167" fillId="22" applyFill="true">
      <alignment horizontal="center" vertical="center"/>
    </xf>
    <xf fontId="10653" applyFont="true" borderId="8" applyBorder="true" applyNumberFormat="true" numFmtId="2" fillId="22" applyFill="true">
      <alignment horizontal="center" vertical="center"/>
    </xf>
    <xf fontId="10654" applyFont="true" borderId="8" applyBorder="true" applyNumberFormat="true" numFmtId="2" fillId="22" applyFill="true">
      <alignment horizontal="center" vertical="center"/>
    </xf>
    <xf fontId="10655" applyFont="true" borderId="8" applyBorder="true" applyNumberFormat="true" numFmtId="2" fillId="22" applyFill="true">
      <alignment horizontal="center" vertical="center"/>
    </xf>
    <xf fontId="10656" applyFont="true" borderId="8" applyBorder="true" applyNumberFormat="true" numFmtId="2" fillId="22" applyFill="true">
      <alignment horizontal="center" vertical="center"/>
    </xf>
    <xf fontId="10657" applyFont="true" borderId="8" applyBorder="true" applyNumberFormat="true" numFmtId="2" fillId="22" applyFill="true">
      <alignment horizontal="center" vertical="center"/>
    </xf>
    <xf fontId="10658" applyFont="true" borderId="8" applyBorder="true" applyNumberFormat="true" numFmtId="2" fillId="22" applyFill="true">
      <alignment horizontal="center" vertical="center"/>
    </xf>
    <xf fontId="10659" applyFont="true" borderId="8" applyBorder="true" applyNumberFormat="true" numFmtId="2" fillId="22" applyFill="true">
      <alignment horizontal="center" vertical="center"/>
    </xf>
    <xf fontId="10660" applyFont="true" borderId="8" applyBorder="true" applyNumberFormat="true" numFmtId="2" fillId="22" applyFill="true">
      <alignment horizontal="center" vertical="center"/>
    </xf>
    <xf fontId="10661" applyFont="true" borderId="8" applyBorder="true" applyNumberFormat="true" numFmtId="2" fillId="22" applyFill="true">
      <alignment horizontal="center" vertical="center"/>
    </xf>
    <xf fontId="10662" applyFont="true" borderId="8" applyBorder="true" applyNumberFormat="true" numFmtId="2" fillId="22" applyFill="true">
      <alignment horizontal="center" vertical="center"/>
    </xf>
    <xf fontId="10663" applyFont="true" borderId="8" applyBorder="true" applyNumberFormat="true" numFmtId="2" fillId="22" applyFill="true">
      <alignment horizontal="center" vertical="center"/>
    </xf>
    <xf fontId="10664" applyFont="true" borderId="8" applyBorder="true" applyNumberFormat="true" numFmtId="2" fillId="22" applyFill="true">
      <alignment horizontal="center" vertical="center"/>
    </xf>
    <xf fontId="10665" applyFont="true" borderId="8" applyBorder="true" applyNumberFormat="true" numFmtId="2" fillId="22" applyFill="true">
      <alignment horizontal="center" vertical="center"/>
    </xf>
    <xf fontId="10666" applyFont="true" borderId="8" applyBorder="true" applyNumberFormat="true" numFmtId="2" fillId="22" applyFill="true">
      <alignment horizontal="center" vertical="center"/>
    </xf>
    <xf fontId="10667" applyFont="true" borderId="8" applyBorder="true" applyNumberFormat="true" numFmtId="2" fillId="22" applyFill="true">
      <alignment horizontal="center" vertical="center"/>
    </xf>
    <xf fontId="10668" applyFont="true" borderId="8" applyBorder="true" applyNumberFormat="true" numFmtId="2" fillId="22" applyFill="true">
      <alignment horizontal="center" vertical="center"/>
    </xf>
    <xf fontId="10669" applyFont="true" borderId="8" applyBorder="true" applyNumberFormat="true" numFmtId="2" fillId="22" applyFill="true">
      <alignment horizontal="center" vertical="center"/>
    </xf>
    <xf fontId="10670" applyFont="true" borderId="8" applyBorder="true" applyNumberFormat="true" numFmtId="2" fillId="22" applyFill="true">
      <alignment horizontal="center" vertical="center"/>
    </xf>
    <xf fontId="10671" applyFont="true" borderId="8" applyBorder="true" applyNumberFormat="true" numFmtId="2" fillId="22" applyFill="true">
      <alignment horizontal="center" vertical="center"/>
    </xf>
    <xf fontId="10672" applyFont="true" borderId="8" applyBorder="true" applyNumberFormat="true" numFmtId="2" fillId="22" applyFill="true">
      <alignment horizontal="center" vertical="center"/>
    </xf>
    <xf fontId="10673" applyFont="true" borderId="8" applyBorder="true" applyNumberFormat="true" numFmtId="2" fillId="22" applyFill="true">
      <alignment horizontal="center" vertical="center"/>
    </xf>
    <xf fontId="10674" applyFont="true" borderId="8" applyBorder="true" applyNumberFormat="true" numFmtId="2" fillId="22" applyFill="true">
      <alignment horizontal="center" vertical="center"/>
    </xf>
    <xf fontId="10675" applyFont="true" borderId="8" applyBorder="true" applyNumberFormat="true" numFmtId="2" fillId="22" applyFill="true">
      <alignment horizontal="center" vertical="center"/>
    </xf>
    <xf fontId="10676" applyFont="true" borderId="8" applyBorder="true" applyNumberFormat="true" numFmtId="2" fillId="22" applyFill="true">
      <alignment horizontal="center" vertical="center"/>
    </xf>
    <xf fontId="10677" applyFont="true" borderId="8" applyBorder="true" applyNumberFormat="true" numFmtId="2" fillId="22" applyFill="true">
      <alignment horizontal="center" vertical="center"/>
    </xf>
    <xf fontId="10678" applyFont="true" borderId="8" applyBorder="true" applyNumberFormat="true" numFmtId="2" fillId="22" applyFill="true">
      <alignment horizontal="center" vertical="center"/>
    </xf>
    <xf fontId="10679" applyFont="true" borderId="8" applyBorder="true" applyNumberFormat="true" numFmtId="2" fillId="22" applyFill="true">
      <alignment horizontal="center" vertical="center"/>
    </xf>
    <xf fontId="10680" applyFont="true" borderId="8" applyBorder="true" applyNumberFormat="true" numFmtId="2" fillId="22" applyFill="true">
      <alignment horizontal="center" vertical="center"/>
    </xf>
    <xf fontId="10681" applyFont="true" borderId="8" applyBorder="true" applyNumberFormat="true" numFmtId="2" fillId="22" applyFill="true">
      <alignment horizontal="center" vertical="center"/>
    </xf>
    <xf fontId="10682" applyFont="true" borderId="8" applyBorder="true" applyNumberFormat="true" numFmtId="2" fillId="22" applyFill="true">
      <alignment horizontal="center" vertical="center"/>
    </xf>
    <xf fontId="10683" applyFont="true" borderId="8" applyBorder="true" applyNumberFormat="true" numFmtId="2" fillId="22" applyFill="true">
      <alignment horizontal="center" vertical="center"/>
    </xf>
    <xf fontId="10684" applyFont="true" borderId="8" applyBorder="true" applyNumberFormat="true" numFmtId="2" fillId="22" applyFill="true">
      <alignment horizontal="center" vertical="center"/>
    </xf>
    <xf fontId="10685" applyFont="true" borderId="8" applyBorder="true" applyNumberFormat="true" numFmtId="2" fillId="22" applyFill="true">
      <alignment horizontal="center" vertical="center"/>
    </xf>
    <xf fontId="10686" applyFont="true" borderId="8" applyBorder="true" applyNumberFormat="true" numFmtId="2" fillId="22" applyFill="true">
      <alignment horizontal="center" vertical="center"/>
    </xf>
    <xf fontId="10687" applyFont="true" borderId="8" applyBorder="true" applyNumberFormat="true" numFmtId="165" fillId="19" applyFill="true">
      <alignment horizontal="left" vertical="center"/>
    </xf>
    <xf fontId="10688" applyFont="true" borderId="8" applyBorder="true" applyNumberFormat="true" numFmtId="165" fillId="22" applyFill="true">
      <alignment horizontal="center" vertical="center"/>
    </xf>
    <xf fontId="10689" applyFont="true" borderId="8" applyBorder="true" applyNumberFormat="true" numFmtId="166" fillId="22" applyFill="true">
      <alignment horizontal="center" vertical="center"/>
    </xf>
    <xf fontId="10690" applyFont="true" borderId="8" applyBorder="true" applyNumberFormat="true" numFmtId="1" fillId="22" applyFill="true">
      <alignment horizontal="center" vertical="center"/>
    </xf>
    <xf fontId="10691" applyFont="true" borderId="8" applyBorder="true" applyNumberFormat="true" numFmtId="1" fillId="22" applyFill="true">
      <alignment horizontal="center" vertical="center"/>
    </xf>
    <xf fontId="10692" applyFont="true" borderId="8" applyBorder="true" applyNumberFormat="true" numFmtId="1" fillId="22" applyFill="true">
      <alignment horizontal="center" vertical="center"/>
    </xf>
    <xf fontId="10693" applyFont="true" borderId="8" applyBorder="true" applyNumberFormat="true" numFmtId="1" fillId="22" applyFill="true">
      <alignment horizontal="center" vertical="center"/>
    </xf>
    <xf fontId="10694" applyFont="true" borderId="8" applyBorder="true" applyNumberFormat="true" numFmtId="1" fillId="22" applyFill="true">
      <alignment horizontal="center" vertical="center"/>
    </xf>
    <xf fontId="10695" applyFont="true" borderId="8" applyBorder="true" applyNumberFormat="true" numFmtId="1" fillId="22" applyFill="true">
      <alignment horizontal="center" vertical="center"/>
    </xf>
    <xf fontId="10696" applyFont="true" borderId="8" applyBorder="true" applyNumberFormat="true" numFmtId="1" fillId="22" applyFill="true">
      <alignment horizontal="center" vertical="center"/>
    </xf>
    <xf fontId="10697" applyFont="true" borderId="8" applyBorder="true" applyNumberFormat="true" numFmtId="165" fillId="22" applyFill="true">
      <alignment horizontal="center" vertical="center"/>
    </xf>
    <xf fontId="10698" applyFont="true" borderId="8" applyBorder="true" applyNumberFormat="true" numFmtId="165" fillId="22" applyFill="true">
      <alignment horizontal="center" vertical="center"/>
    </xf>
    <xf fontId="10699" applyFont="true" borderId="8" applyBorder="true" applyNumberFormat="true" numFmtId="1" fillId="22" applyFill="true">
      <alignment horizontal="center" vertical="center"/>
    </xf>
    <xf fontId="10700" applyFont="true" borderId="8" applyBorder="true" applyNumberFormat="true" numFmtId="1" fillId="22" applyFill="true">
      <alignment horizontal="center" vertical="center"/>
    </xf>
    <xf fontId="10701" applyFont="true" borderId="8" applyBorder="true" applyNumberFormat="true" numFmtId="1" fillId="22" applyFill="true">
      <alignment horizontal="center" vertical="center"/>
    </xf>
    <xf fontId="10702" applyFont="true" borderId="8" applyBorder="true" applyNumberFormat="true" numFmtId="167" fillId="22" applyFill="true">
      <alignment horizontal="center" vertical="center"/>
    </xf>
    <xf fontId="10703" applyFont="true" borderId="8" applyBorder="true" applyNumberFormat="true" numFmtId="1" fillId="22" applyFill="true">
      <alignment horizontal="center" vertical="center"/>
    </xf>
    <xf fontId="10704" applyFont="true" borderId="8" applyBorder="true" applyNumberFormat="true" numFmtId="167" fillId="22" applyFill="true">
      <alignment horizontal="center" vertical="center"/>
    </xf>
    <xf fontId="10705" applyFont="true" borderId="8" applyBorder="true" applyNumberFormat="true" numFmtId="1" fillId="22" applyFill="true">
      <alignment horizontal="center" vertical="center"/>
    </xf>
    <xf fontId="10706" applyFont="true" borderId="8" applyBorder="true" applyNumberFormat="true" numFmtId="167" fillId="22" applyFill="true">
      <alignment horizontal="center" vertical="center"/>
    </xf>
    <xf fontId="10707" applyFont="true" borderId="8" applyBorder="true" applyNumberFormat="true" numFmtId="1" fillId="22" applyFill="true">
      <alignment horizontal="center" vertical="center"/>
    </xf>
    <xf fontId="10708" applyFont="true" borderId="8" applyBorder="true" applyNumberFormat="true" numFmtId="167" fillId="22" applyFill="true">
      <alignment horizontal="center" vertical="center"/>
    </xf>
    <xf fontId="10709" applyFont="true" borderId="8" applyBorder="true" applyNumberFormat="true" numFmtId="167" fillId="22" applyFill="true">
      <alignment horizontal="center" vertical="center"/>
    </xf>
    <xf fontId="10710" applyFont="true" borderId="8" applyBorder="true" applyNumberFormat="true" numFmtId="1" fillId="22" applyFill="true">
      <alignment horizontal="center" vertical="center"/>
    </xf>
    <xf fontId="10711" applyFont="true" borderId="8" applyBorder="true" applyNumberFormat="true" numFmtId="1" fillId="22" applyFill="true">
      <alignment horizontal="center" vertical="center"/>
    </xf>
    <xf fontId="10712" applyFont="true" borderId="8" applyBorder="true" applyNumberFormat="true" numFmtId="1" fillId="22" applyFill="true">
      <alignment horizontal="center" vertical="center"/>
    </xf>
    <xf fontId="10713" applyFont="true" borderId="8" applyBorder="true" applyNumberFormat="true" numFmtId="167" fillId="22" applyFill="true">
      <alignment horizontal="center" vertical="center"/>
    </xf>
    <xf fontId="10714" applyFont="true" borderId="8" applyBorder="true" applyNumberFormat="true" numFmtId="166" fillId="22" applyFill="true">
      <alignment horizontal="center" vertical="center"/>
    </xf>
    <xf fontId="10715" applyFont="true" borderId="8" applyBorder="true" applyNumberFormat="true" numFmtId="166" fillId="22" applyFill="true">
      <alignment horizontal="center" vertical="center"/>
    </xf>
    <xf fontId="10716" applyFont="true" borderId="8" applyBorder="true" applyNumberFormat="true" numFmtId="1" fillId="22" applyFill="true">
      <alignment horizontal="center" vertical="center"/>
    </xf>
    <xf fontId="10717" applyFont="true" borderId="8" applyBorder="true" applyNumberFormat="true" numFmtId="1" fillId="22" applyFill="true">
      <alignment horizontal="center" vertical="center"/>
    </xf>
    <xf fontId="10718" applyFont="true" borderId="8" applyBorder="true" applyNumberFormat="true" numFmtId="1" fillId="22" applyFill="true">
      <alignment horizontal="center" vertical="center"/>
    </xf>
    <xf fontId="10719" applyFont="true" borderId="8" applyBorder="true" applyNumberFormat="true" numFmtId="167" fillId="22" applyFill="true">
      <alignment horizontal="center" vertical="center"/>
    </xf>
    <xf fontId="10720" applyFont="true" borderId="8" applyBorder="true" applyNumberFormat="true" numFmtId="1" fillId="22" applyFill="true">
      <alignment horizontal="center" vertical="center"/>
    </xf>
    <xf fontId="10721" applyFont="true" borderId="8" applyBorder="true" applyNumberFormat="true" numFmtId="167" fillId="22" applyFill="true">
      <alignment horizontal="center" vertical="center"/>
    </xf>
    <xf fontId="10722" applyFont="true" borderId="8" applyBorder="true" applyNumberFormat="true" numFmtId="1" fillId="22" applyFill="true">
      <alignment horizontal="center" vertical="center"/>
    </xf>
    <xf fontId="10723" applyFont="true" borderId="8" applyBorder="true" applyNumberFormat="true" numFmtId="1" fillId="22" applyFill="true">
      <alignment horizontal="center" vertical="center"/>
    </xf>
    <xf fontId="10724" applyFont="true" borderId="8" applyBorder="true" applyNumberFormat="true" numFmtId="1" fillId="22" applyFill="true">
      <alignment horizontal="center" vertical="center"/>
    </xf>
    <xf fontId="10725" applyFont="true" borderId="8" applyBorder="true" applyNumberFormat="true" numFmtId="1" fillId="22" applyFill="true">
      <alignment horizontal="center" vertical="center"/>
    </xf>
    <xf fontId="10726" applyFont="true" borderId="8" applyBorder="true" applyNumberFormat="true" numFmtId="167" fillId="22" applyFill="true">
      <alignment horizontal="center" vertical="center"/>
    </xf>
    <xf fontId="10727" applyFont="true" borderId="8" applyBorder="true" applyNumberFormat="true" numFmtId="1" fillId="22" applyFill="true">
      <alignment horizontal="center" vertical="center"/>
    </xf>
    <xf fontId="10728" applyFont="true" borderId="8" applyBorder="true" applyNumberFormat="true" numFmtId="167" fillId="22" applyFill="true">
      <alignment horizontal="center" vertical="center"/>
    </xf>
    <xf fontId="10729" applyFont="true" borderId="8" applyBorder="true" applyNumberFormat="true" numFmtId="1" fillId="22" applyFill="true">
      <alignment horizontal="center" vertical="center"/>
    </xf>
    <xf fontId="10730" applyFont="true" borderId="8" applyBorder="true" applyNumberFormat="true" numFmtId="167" fillId="22" applyFill="true">
      <alignment horizontal="center" vertical="center"/>
    </xf>
    <xf fontId="10731" applyFont="true" borderId="8" applyBorder="true" applyNumberFormat="true" numFmtId="2" fillId="22" applyFill="true">
      <alignment horizontal="center" vertical="center"/>
    </xf>
    <xf fontId="10732" applyFont="true" borderId="8" applyBorder="true" applyNumberFormat="true" numFmtId="2" fillId="22" applyFill="true">
      <alignment horizontal="center" vertical="center"/>
    </xf>
    <xf fontId="10733" applyFont="true" borderId="8" applyBorder="true" applyNumberFormat="true" numFmtId="2" fillId="22" applyFill="true">
      <alignment horizontal="center" vertical="center"/>
    </xf>
    <xf fontId="10734" applyFont="true" borderId="8" applyBorder="true" applyNumberFormat="true" numFmtId="2" fillId="22" applyFill="true">
      <alignment horizontal="center" vertical="center"/>
    </xf>
    <xf fontId="10735" applyFont="true" borderId="8" applyBorder="true" applyNumberFormat="true" numFmtId="2" fillId="22" applyFill="true">
      <alignment horizontal="center" vertical="center"/>
    </xf>
    <xf fontId="10736" applyFont="true" borderId="8" applyBorder="true" applyNumberFormat="true" numFmtId="2" fillId="22" applyFill="true">
      <alignment horizontal="center" vertical="center"/>
    </xf>
    <xf fontId="10737" applyFont="true" borderId="8" applyBorder="true" applyNumberFormat="true" numFmtId="2" fillId="22" applyFill="true">
      <alignment horizontal="center" vertical="center"/>
    </xf>
    <xf fontId="10738" applyFont="true" borderId="8" applyBorder="true" applyNumberFormat="true" numFmtId="2" fillId="22" applyFill="true">
      <alignment horizontal="center" vertical="center"/>
    </xf>
    <xf fontId="10739" applyFont="true" borderId="8" applyBorder="true" applyNumberFormat="true" numFmtId="2" fillId="22" applyFill="true">
      <alignment horizontal="center" vertical="center"/>
    </xf>
    <xf fontId="10740" applyFont="true" borderId="8" applyBorder="true" applyNumberFormat="true" numFmtId="2" fillId="22" applyFill="true">
      <alignment horizontal="center" vertical="center"/>
    </xf>
    <xf fontId="10741" applyFont="true" borderId="8" applyBorder="true" applyNumberFormat="true" numFmtId="2" fillId="22" applyFill="true">
      <alignment horizontal="center" vertical="center"/>
    </xf>
    <xf fontId="10742" applyFont="true" borderId="8" applyBorder="true" applyNumberFormat="true" numFmtId="2" fillId="22" applyFill="true">
      <alignment horizontal="center" vertical="center"/>
    </xf>
    <xf fontId="10743" applyFont="true" borderId="8" applyBorder="true" applyNumberFormat="true" numFmtId="2" fillId="22" applyFill="true">
      <alignment horizontal="center" vertical="center"/>
    </xf>
    <xf fontId="10744" applyFont="true" borderId="8" applyBorder="true" applyNumberFormat="true" numFmtId="2" fillId="22" applyFill="true">
      <alignment horizontal="center" vertical="center"/>
    </xf>
    <xf fontId="10745" applyFont="true" borderId="8" applyBorder="true" applyNumberFormat="true" numFmtId="2" fillId="22" applyFill="true">
      <alignment horizontal="center" vertical="center"/>
    </xf>
    <xf fontId="10746" applyFont="true" borderId="8" applyBorder="true" applyNumberFormat="true" numFmtId="2" fillId="22" applyFill="true">
      <alignment horizontal="center" vertical="center"/>
    </xf>
    <xf fontId="10747" applyFont="true" borderId="8" applyBorder="true" applyNumberFormat="true" numFmtId="2" fillId="22" applyFill="true">
      <alignment horizontal="center" vertical="center"/>
    </xf>
    <xf fontId="10748" applyFont="true" borderId="8" applyBorder="true" applyNumberFormat="true" numFmtId="2" fillId="22" applyFill="true">
      <alignment horizontal="center" vertical="center"/>
    </xf>
    <xf fontId="10749" applyFont="true" borderId="8" applyBorder="true" applyNumberFormat="true" numFmtId="2" fillId="22" applyFill="true">
      <alignment horizontal="center" vertical="center"/>
    </xf>
    <xf fontId="10750" applyFont="true" borderId="8" applyBorder="true" applyNumberFormat="true" numFmtId="2" fillId="22" applyFill="true">
      <alignment horizontal="center" vertical="center"/>
    </xf>
    <xf fontId="10751" applyFont="true" borderId="8" applyBorder="true" applyNumberFormat="true" numFmtId="2" fillId="22" applyFill="true">
      <alignment horizontal="center" vertical="center"/>
    </xf>
    <xf fontId="10752" applyFont="true" borderId="8" applyBorder="true" applyNumberFormat="true" numFmtId="2" fillId="22" applyFill="true">
      <alignment horizontal="center" vertical="center"/>
    </xf>
    <xf fontId="10753" applyFont="true" borderId="8" applyBorder="true" applyNumberFormat="true" numFmtId="2" fillId="22" applyFill="true">
      <alignment horizontal="center" vertical="center"/>
    </xf>
    <xf fontId="10754" applyFont="true" borderId="8" applyBorder="true" applyNumberFormat="true" numFmtId="2" fillId="22" applyFill="true">
      <alignment horizontal="center" vertical="center"/>
    </xf>
    <xf fontId="10755" applyFont="true" borderId="8" applyBorder="true" applyNumberFormat="true" numFmtId="2" fillId="22" applyFill="true">
      <alignment horizontal="center" vertical="center"/>
    </xf>
    <xf fontId="10756" applyFont="true" borderId="8" applyBorder="true" applyNumberFormat="true" numFmtId="2" fillId="22" applyFill="true">
      <alignment horizontal="center" vertical="center"/>
    </xf>
    <xf fontId="10757" applyFont="true" borderId="8" applyBorder="true" applyNumberFormat="true" numFmtId="2" fillId="22" applyFill="true">
      <alignment horizontal="center" vertical="center"/>
    </xf>
    <xf fontId="10758" applyFont="true" borderId="8" applyBorder="true" applyNumberFormat="true" numFmtId="2" fillId="22" applyFill="true">
      <alignment horizontal="center" vertical="center"/>
    </xf>
    <xf fontId="10759" applyFont="true" borderId="8" applyBorder="true" applyNumberFormat="true" numFmtId="2" fillId="22" applyFill="true">
      <alignment horizontal="center" vertical="center"/>
    </xf>
    <xf fontId="10760" applyFont="true" borderId="8" applyBorder="true" applyNumberFormat="true" numFmtId="2" fillId="22" applyFill="true">
      <alignment horizontal="center" vertical="center"/>
    </xf>
    <xf fontId="10761" applyFont="true" borderId="8" applyBorder="true" applyNumberFormat="true" numFmtId="2" fillId="22" applyFill="true">
      <alignment horizontal="center" vertical="center"/>
    </xf>
    <xf fontId="10762" applyFont="true" borderId="8" applyBorder="true" applyNumberFormat="true" numFmtId="2" fillId="22" applyFill="true">
      <alignment horizontal="center" vertical="center"/>
    </xf>
    <xf fontId="10763" applyFont="true" borderId="8" applyBorder="true" applyNumberFormat="true" numFmtId="2" fillId="22" applyFill="true">
      <alignment horizontal="center" vertical="center"/>
    </xf>
    <xf fontId="10764" applyFont="true" borderId="8" applyBorder="true" applyNumberFormat="true" numFmtId="2" fillId="22" applyFill="true">
      <alignment horizontal="center" vertical="center"/>
    </xf>
    <xf fontId="10765" applyFont="true" borderId="8" applyBorder="true" applyNumberFormat="true" numFmtId="165" fillId="19" applyFill="true">
      <alignment horizontal="left" vertical="center"/>
    </xf>
    <xf fontId="10766" applyFont="true" borderId="8" applyBorder="true" applyNumberFormat="true" numFmtId="165" fillId="22" applyFill="true">
      <alignment horizontal="center" vertical="center"/>
    </xf>
    <xf fontId="10767" applyFont="true" borderId="8" applyBorder="true" applyNumberFormat="true" numFmtId="166" fillId="22" applyFill="true">
      <alignment horizontal="center" vertical="center"/>
    </xf>
    <xf fontId="10768" applyFont="true" borderId="8" applyBorder="true" applyNumberFormat="true" numFmtId="1" fillId="22" applyFill="true">
      <alignment horizontal="center" vertical="center"/>
    </xf>
    <xf fontId="10769" applyFont="true" borderId="8" applyBorder="true" applyNumberFormat="true" numFmtId="1" fillId="22" applyFill="true">
      <alignment horizontal="center" vertical="center"/>
    </xf>
    <xf fontId="10770" applyFont="true" borderId="8" applyBorder="true" applyNumberFormat="true" numFmtId="1" fillId="22" applyFill="true">
      <alignment horizontal="center" vertical="center"/>
    </xf>
    <xf fontId="10771" applyFont="true" borderId="8" applyBorder="true" applyNumberFormat="true" numFmtId="1" fillId="22" applyFill="true">
      <alignment horizontal="center" vertical="center"/>
    </xf>
    <xf fontId="10772" applyFont="true" borderId="8" applyBorder="true" applyNumberFormat="true" numFmtId="1" fillId="22" applyFill="true">
      <alignment horizontal="center" vertical="center"/>
    </xf>
    <xf fontId="10773" applyFont="true" borderId="8" applyBorder="true" applyNumberFormat="true" numFmtId="1" fillId="22" applyFill="true">
      <alignment horizontal="center" vertical="center"/>
    </xf>
    <xf fontId="10774" applyFont="true" borderId="8" applyBorder="true" applyNumberFormat="true" numFmtId="1" fillId="22" applyFill="true">
      <alignment horizontal="center" vertical="center"/>
    </xf>
    <xf fontId="10775" applyFont="true" borderId="8" applyBorder="true" applyNumberFormat="true" numFmtId="165" fillId="22" applyFill="true">
      <alignment horizontal="center" vertical="center"/>
    </xf>
    <xf fontId="10776" applyFont="true" borderId="8" applyBorder="true" applyNumberFormat="true" numFmtId="165" fillId="22" applyFill="true">
      <alignment horizontal="center" vertical="center"/>
    </xf>
    <xf fontId="10777" applyFont="true" borderId="8" applyBorder="true" applyNumberFormat="true" numFmtId="1" fillId="22" applyFill="true">
      <alignment horizontal="center" vertical="center"/>
    </xf>
    <xf fontId="10778" applyFont="true" borderId="8" applyBorder="true" applyNumberFormat="true" numFmtId="1" fillId="22" applyFill="true">
      <alignment horizontal="center" vertical="center"/>
    </xf>
    <xf fontId="10779" applyFont="true" borderId="8" applyBorder="true" applyNumberFormat="true" numFmtId="1" fillId="22" applyFill="true">
      <alignment horizontal="center" vertical="center"/>
    </xf>
    <xf fontId="10780" applyFont="true" borderId="8" applyBorder="true" applyNumberFormat="true" numFmtId="167" fillId="22" applyFill="true">
      <alignment horizontal="center" vertical="center"/>
    </xf>
    <xf fontId="10781" applyFont="true" borderId="8" applyBorder="true" applyNumberFormat="true" numFmtId="1" fillId="22" applyFill="true">
      <alignment horizontal="center" vertical="center"/>
    </xf>
    <xf fontId="10782" applyFont="true" borderId="8" applyBorder="true" applyNumberFormat="true" numFmtId="167" fillId="22" applyFill="true">
      <alignment horizontal="center" vertical="center"/>
    </xf>
    <xf fontId="10783" applyFont="true" borderId="8" applyBorder="true" applyNumberFormat="true" numFmtId="1" fillId="22" applyFill="true">
      <alignment horizontal="center" vertical="center"/>
    </xf>
    <xf fontId="10784" applyFont="true" borderId="8" applyBorder="true" applyNumberFormat="true" numFmtId="167" fillId="22" applyFill="true">
      <alignment horizontal="center" vertical="center"/>
    </xf>
    <xf fontId="10785" applyFont="true" borderId="8" applyBorder="true" applyNumberFormat="true" numFmtId="1" fillId="22" applyFill="true">
      <alignment horizontal="center" vertical="center"/>
    </xf>
    <xf fontId="10786" applyFont="true" borderId="8" applyBorder="true" applyNumberFormat="true" numFmtId="167" fillId="22" applyFill="true">
      <alignment horizontal="center" vertical="center"/>
    </xf>
    <xf fontId="10787" applyFont="true" borderId="8" applyBorder="true" applyNumberFormat="true" numFmtId="167" fillId="22" applyFill="true">
      <alignment horizontal="center" vertical="center"/>
    </xf>
    <xf fontId="10788" applyFont="true" borderId="8" applyBorder="true" applyNumberFormat="true" numFmtId="1" fillId="22" applyFill="true">
      <alignment horizontal="center" vertical="center"/>
    </xf>
    <xf fontId="10789" applyFont="true" borderId="8" applyBorder="true" applyNumberFormat="true" numFmtId="1" fillId="22" applyFill="true">
      <alignment horizontal="center" vertical="center"/>
    </xf>
    <xf fontId="10790" applyFont="true" borderId="8" applyBorder="true" applyNumberFormat="true" numFmtId="1" fillId="22" applyFill="true">
      <alignment horizontal="center" vertical="center"/>
    </xf>
    <xf fontId="10791" applyFont="true" borderId="8" applyBorder="true" applyNumberFormat="true" numFmtId="167" fillId="22" applyFill="true">
      <alignment horizontal="center" vertical="center"/>
    </xf>
    <xf fontId="10792" applyFont="true" borderId="8" applyBorder="true" applyNumberFormat="true" numFmtId="166" fillId="22" applyFill="true">
      <alignment horizontal="center" vertical="center"/>
    </xf>
    <xf fontId="10793" applyFont="true" borderId="8" applyBorder="true" applyNumberFormat="true" numFmtId="166" fillId="22" applyFill="true">
      <alignment horizontal="center" vertical="center"/>
    </xf>
    <xf fontId="10794" applyFont="true" borderId="8" applyBorder="true" applyNumberFormat="true" numFmtId="1" fillId="22" applyFill="true">
      <alignment horizontal="center" vertical="center"/>
    </xf>
    <xf fontId="10795" applyFont="true" borderId="8" applyBorder="true" applyNumberFormat="true" numFmtId="1" fillId="22" applyFill="true">
      <alignment horizontal="center" vertical="center"/>
    </xf>
    <xf fontId="10796" applyFont="true" borderId="8" applyBorder="true" applyNumberFormat="true" numFmtId="1" fillId="22" applyFill="true">
      <alignment horizontal="center" vertical="center"/>
    </xf>
    <xf fontId="10797" applyFont="true" borderId="8" applyBorder="true" applyNumberFormat="true" numFmtId="167" fillId="22" applyFill="true">
      <alignment horizontal="center" vertical="center"/>
    </xf>
    <xf fontId="10798" applyFont="true" borderId="8" applyBorder="true" applyNumberFormat="true" numFmtId="1" fillId="22" applyFill="true">
      <alignment horizontal="center" vertical="center"/>
    </xf>
    <xf fontId="10799" applyFont="true" borderId="8" applyBorder="true" applyNumberFormat="true" numFmtId="167" fillId="22" applyFill="true">
      <alignment horizontal="center" vertical="center"/>
    </xf>
    <xf fontId="10800" applyFont="true" borderId="8" applyBorder="true" applyNumberFormat="true" numFmtId="1" fillId="22" applyFill="true">
      <alignment horizontal="center" vertical="center"/>
    </xf>
    <xf fontId="10801" applyFont="true" borderId="8" applyBorder="true" applyNumberFormat="true" numFmtId="1" fillId="22" applyFill="true">
      <alignment horizontal="center" vertical="center"/>
    </xf>
    <xf fontId="10802" applyFont="true" borderId="8" applyBorder="true" applyNumberFormat="true" numFmtId="1" fillId="22" applyFill="true">
      <alignment horizontal="center" vertical="center"/>
    </xf>
    <xf fontId="10803" applyFont="true" borderId="8" applyBorder="true" applyNumberFormat="true" numFmtId="1" fillId="22" applyFill="true">
      <alignment horizontal="center" vertical="center"/>
    </xf>
    <xf fontId="10804" applyFont="true" borderId="8" applyBorder="true" applyNumberFormat="true" numFmtId="167" fillId="22" applyFill="true">
      <alignment horizontal="center" vertical="center"/>
    </xf>
    <xf fontId="10805" applyFont="true" borderId="8" applyBorder="true" applyNumberFormat="true" numFmtId="1" fillId="22" applyFill="true">
      <alignment horizontal="center" vertical="center"/>
    </xf>
    <xf fontId="10806" applyFont="true" borderId="8" applyBorder="true" applyNumberFormat="true" numFmtId="167" fillId="22" applyFill="true">
      <alignment horizontal="center" vertical="center"/>
    </xf>
    <xf fontId="10807" applyFont="true" borderId="8" applyBorder="true" applyNumberFormat="true" numFmtId="1" fillId="22" applyFill="true">
      <alignment horizontal="center" vertical="center"/>
    </xf>
    <xf fontId="10808" applyFont="true" borderId="8" applyBorder="true" applyNumberFormat="true" numFmtId="167" fillId="22" applyFill="true">
      <alignment horizontal="center" vertical="center"/>
    </xf>
    <xf fontId="10809" applyFont="true" borderId="8" applyBorder="true" applyNumberFormat="true" numFmtId="2" fillId="22" applyFill="true">
      <alignment horizontal="center" vertical="center"/>
    </xf>
    <xf fontId="10810" applyFont="true" borderId="8" applyBorder="true" applyNumberFormat="true" numFmtId="2" fillId="22" applyFill="true">
      <alignment horizontal="center" vertical="center"/>
    </xf>
    <xf fontId="10811" applyFont="true" borderId="8" applyBorder="true" applyNumberFormat="true" numFmtId="2" fillId="22" applyFill="true">
      <alignment horizontal="center" vertical="center"/>
    </xf>
    <xf fontId="10812" applyFont="true" borderId="8" applyBorder="true" applyNumberFormat="true" numFmtId="2" fillId="22" applyFill="true">
      <alignment horizontal="center" vertical="center"/>
    </xf>
    <xf fontId="10813" applyFont="true" borderId="8" applyBorder="true" applyNumberFormat="true" numFmtId="2" fillId="22" applyFill="true">
      <alignment horizontal="center" vertical="center"/>
    </xf>
    <xf fontId="10814" applyFont="true" borderId="8" applyBorder="true" applyNumberFormat="true" numFmtId="2" fillId="22" applyFill="true">
      <alignment horizontal="center" vertical="center"/>
    </xf>
    <xf fontId="10815" applyFont="true" borderId="8" applyBorder="true" applyNumberFormat="true" numFmtId="2" fillId="22" applyFill="true">
      <alignment horizontal="center" vertical="center"/>
    </xf>
    <xf fontId="10816" applyFont="true" borderId="8" applyBorder="true" applyNumberFormat="true" numFmtId="2" fillId="22" applyFill="true">
      <alignment horizontal="center" vertical="center"/>
    </xf>
    <xf fontId="10817" applyFont="true" borderId="8" applyBorder="true" applyNumberFormat="true" numFmtId="2" fillId="22" applyFill="true">
      <alignment horizontal="center" vertical="center"/>
    </xf>
    <xf fontId="10818" applyFont="true" borderId="8" applyBorder="true" applyNumberFormat="true" numFmtId="2" fillId="22" applyFill="true">
      <alignment horizontal="center" vertical="center"/>
    </xf>
    <xf fontId="10819" applyFont="true" borderId="8" applyBorder="true" applyNumberFormat="true" numFmtId="2" fillId="22" applyFill="true">
      <alignment horizontal="center" vertical="center"/>
    </xf>
    <xf fontId="10820" applyFont="true" borderId="8" applyBorder="true" applyNumberFormat="true" numFmtId="2" fillId="22" applyFill="true">
      <alignment horizontal="center" vertical="center"/>
    </xf>
    <xf fontId="10821" applyFont="true" borderId="8" applyBorder="true" applyNumberFormat="true" numFmtId="2" fillId="22" applyFill="true">
      <alignment horizontal="center" vertical="center"/>
    </xf>
    <xf fontId="10822" applyFont="true" borderId="8" applyBorder="true" applyNumberFormat="true" numFmtId="2" fillId="22" applyFill="true">
      <alignment horizontal="center" vertical="center"/>
    </xf>
    <xf fontId="10823" applyFont="true" borderId="8" applyBorder="true" applyNumberFormat="true" numFmtId="2" fillId="22" applyFill="true">
      <alignment horizontal="center" vertical="center"/>
    </xf>
    <xf fontId="10824" applyFont="true" borderId="8" applyBorder="true" applyNumberFormat="true" numFmtId="2" fillId="22" applyFill="true">
      <alignment horizontal="center" vertical="center"/>
    </xf>
    <xf fontId="10825" applyFont="true" borderId="8" applyBorder="true" applyNumberFormat="true" numFmtId="2" fillId="22" applyFill="true">
      <alignment horizontal="center" vertical="center"/>
    </xf>
    <xf fontId="10826" applyFont="true" borderId="8" applyBorder="true" applyNumberFormat="true" numFmtId="2" fillId="22" applyFill="true">
      <alignment horizontal="center" vertical="center"/>
    </xf>
    <xf fontId="10827" applyFont="true" borderId="8" applyBorder="true" applyNumberFormat="true" numFmtId="2" fillId="22" applyFill="true">
      <alignment horizontal="center" vertical="center"/>
    </xf>
    <xf fontId="10828" applyFont="true" borderId="8" applyBorder="true" applyNumberFormat="true" numFmtId="2" fillId="22" applyFill="true">
      <alignment horizontal="center" vertical="center"/>
    </xf>
    <xf fontId="10829" applyFont="true" borderId="8" applyBorder="true" applyNumberFormat="true" numFmtId="2" fillId="22" applyFill="true">
      <alignment horizontal="center" vertical="center"/>
    </xf>
    <xf fontId="10830" applyFont="true" borderId="8" applyBorder="true" applyNumberFormat="true" numFmtId="2" fillId="22" applyFill="true">
      <alignment horizontal="center" vertical="center"/>
    </xf>
    <xf fontId="10831" applyFont="true" borderId="8" applyBorder="true" applyNumberFormat="true" numFmtId="2" fillId="22" applyFill="true">
      <alignment horizontal="center" vertical="center"/>
    </xf>
    <xf fontId="10832" applyFont="true" borderId="8" applyBorder="true" applyNumberFormat="true" numFmtId="2" fillId="22" applyFill="true">
      <alignment horizontal="center" vertical="center"/>
    </xf>
    <xf fontId="10833" applyFont="true" borderId="8" applyBorder="true" applyNumberFormat="true" numFmtId="2" fillId="22" applyFill="true">
      <alignment horizontal="center" vertical="center"/>
    </xf>
    <xf fontId="10834" applyFont="true" borderId="8" applyBorder="true" applyNumberFormat="true" numFmtId="2" fillId="22" applyFill="true">
      <alignment horizontal="center" vertical="center"/>
    </xf>
    <xf fontId="10835" applyFont="true" borderId="8" applyBorder="true" applyNumberFormat="true" numFmtId="2" fillId="22" applyFill="true">
      <alignment horizontal="center" vertical="center"/>
    </xf>
    <xf fontId="10836" applyFont="true" borderId="8" applyBorder="true" applyNumberFormat="true" numFmtId="2" fillId="22" applyFill="true">
      <alignment horizontal="center" vertical="center"/>
    </xf>
    <xf fontId="10837" applyFont="true" borderId="8" applyBorder="true" applyNumberFormat="true" numFmtId="2" fillId="22" applyFill="true">
      <alignment horizontal="center" vertical="center"/>
    </xf>
    <xf fontId="10838" applyFont="true" borderId="8" applyBorder="true" applyNumberFormat="true" numFmtId="2" fillId="22" applyFill="true">
      <alignment horizontal="center" vertical="center"/>
    </xf>
    <xf fontId="10839" applyFont="true" borderId="8" applyBorder="true" applyNumberFormat="true" numFmtId="2" fillId="22" applyFill="true">
      <alignment horizontal="center" vertical="center"/>
    </xf>
    <xf fontId="10840" applyFont="true" borderId="8" applyBorder="true" applyNumberFormat="true" numFmtId="2" fillId="22" applyFill="true">
      <alignment horizontal="center" vertical="center"/>
    </xf>
    <xf fontId="10841" applyFont="true" borderId="8" applyBorder="true" applyNumberFormat="true" numFmtId="2" fillId="22" applyFill="true">
      <alignment horizontal="center" vertical="center"/>
    </xf>
    <xf fontId="10842" applyFont="true" borderId="8" applyBorder="true" applyNumberFormat="true" numFmtId="2" fillId="22" applyFill="true">
      <alignment horizontal="center" vertical="center"/>
    </xf>
    <xf fontId="10843" applyFont="true" borderId="8" applyBorder="true" applyNumberFormat="true" numFmtId="165" fillId="19" applyFill="true">
      <alignment horizontal="left" vertical="center"/>
    </xf>
    <xf fontId="10844" applyFont="true" borderId="8" applyBorder="true" applyNumberFormat="true" numFmtId="165" fillId="22" applyFill="true">
      <alignment horizontal="center" vertical="center"/>
    </xf>
    <xf fontId="10845" applyFont="true" borderId="8" applyBorder="true" applyNumberFormat="true" numFmtId="166" fillId="22" applyFill="true">
      <alignment horizontal="center" vertical="center"/>
    </xf>
    <xf fontId="10846" applyFont="true" borderId="8" applyBorder="true" applyNumberFormat="true" numFmtId="1" fillId="22" applyFill="true">
      <alignment horizontal="center" vertical="center"/>
    </xf>
    <xf fontId="10847" applyFont="true" borderId="8" applyBorder="true" applyNumberFormat="true" numFmtId="1" fillId="22" applyFill="true">
      <alignment horizontal="center" vertical="center"/>
    </xf>
    <xf fontId="10848" applyFont="true" borderId="8" applyBorder="true" applyNumberFormat="true" numFmtId="1" fillId="22" applyFill="true">
      <alignment horizontal="center" vertical="center"/>
    </xf>
    <xf fontId="10849" applyFont="true" borderId="8" applyBorder="true" applyNumberFormat="true" numFmtId="1" fillId="22" applyFill="true">
      <alignment horizontal="center" vertical="center"/>
    </xf>
    <xf fontId="10850" applyFont="true" borderId="8" applyBorder="true" applyNumberFormat="true" numFmtId="1" fillId="22" applyFill="true">
      <alignment horizontal="center" vertical="center"/>
    </xf>
    <xf fontId="10851" applyFont="true" borderId="8" applyBorder="true" applyNumberFormat="true" numFmtId="1" fillId="22" applyFill="true">
      <alignment horizontal="center" vertical="center"/>
    </xf>
    <xf fontId="10852" applyFont="true" borderId="8" applyBorder="true" applyNumberFormat="true" numFmtId="1" fillId="22" applyFill="true">
      <alignment horizontal="center" vertical="center"/>
    </xf>
    <xf fontId="10853" applyFont="true" borderId="8" applyBorder="true" applyNumberFormat="true" numFmtId="165" fillId="22" applyFill="true">
      <alignment horizontal="center" vertical="center"/>
    </xf>
    <xf fontId="10854" applyFont="true" borderId="8" applyBorder="true" applyNumberFormat="true" numFmtId="165" fillId="22" applyFill="true">
      <alignment horizontal="center" vertical="center"/>
    </xf>
    <xf fontId="10855" applyFont="true" borderId="8" applyBorder="true" applyNumberFormat="true" numFmtId="1" fillId="22" applyFill="true">
      <alignment horizontal="center" vertical="center"/>
    </xf>
    <xf fontId="10856" applyFont="true" borderId="8" applyBorder="true" applyNumberFormat="true" numFmtId="1" fillId="22" applyFill="true">
      <alignment horizontal="center" vertical="center"/>
    </xf>
    <xf fontId="10857" applyFont="true" borderId="8" applyBorder="true" applyNumberFormat="true" numFmtId="1" fillId="22" applyFill="true">
      <alignment horizontal="center" vertical="center"/>
    </xf>
    <xf fontId="10858" applyFont="true" borderId="8" applyBorder="true" applyNumberFormat="true" numFmtId="167" fillId="22" applyFill="true">
      <alignment horizontal="center" vertical="center"/>
    </xf>
    <xf fontId="10859" applyFont="true" borderId="8" applyBorder="true" applyNumberFormat="true" numFmtId="1" fillId="22" applyFill="true">
      <alignment horizontal="center" vertical="center"/>
    </xf>
    <xf fontId="10860" applyFont="true" borderId="8" applyBorder="true" applyNumberFormat="true" numFmtId="167" fillId="22" applyFill="true">
      <alignment horizontal="center" vertical="center"/>
    </xf>
    <xf fontId="10861" applyFont="true" borderId="8" applyBorder="true" applyNumberFormat="true" numFmtId="1" fillId="22" applyFill="true">
      <alignment horizontal="center" vertical="center"/>
    </xf>
    <xf fontId="10862" applyFont="true" borderId="8" applyBorder="true" applyNumberFormat="true" numFmtId="167" fillId="22" applyFill="true">
      <alignment horizontal="center" vertical="center"/>
    </xf>
    <xf fontId="10863" applyFont="true" borderId="8" applyBorder="true" applyNumberFormat="true" numFmtId="1" fillId="22" applyFill="true">
      <alignment horizontal="center" vertical="center"/>
    </xf>
    <xf fontId="10864" applyFont="true" borderId="8" applyBorder="true" applyNumberFormat="true" numFmtId="167" fillId="22" applyFill="true">
      <alignment horizontal="center" vertical="center"/>
    </xf>
    <xf fontId="10865" applyFont="true" borderId="8" applyBorder="true" applyNumberFormat="true" numFmtId="167" fillId="22" applyFill="true">
      <alignment horizontal="center" vertical="center"/>
    </xf>
    <xf fontId="10866" applyFont="true" borderId="8" applyBorder="true" applyNumberFormat="true" numFmtId="1" fillId="22" applyFill="true">
      <alignment horizontal="center" vertical="center"/>
    </xf>
    <xf fontId="10867" applyFont="true" borderId="8" applyBorder="true" applyNumberFormat="true" numFmtId="1" fillId="22" applyFill="true">
      <alignment horizontal="center" vertical="center"/>
    </xf>
    <xf fontId="10868" applyFont="true" borderId="8" applyBorder="true" applyNumberFormat="true" numFmtId="1" fillId="22" applyFill="true">
      <alignment horizontal="center" vertical="center"/>
    </xf>
    <xf fontId="10869" applyFont="true" borderId="8" applyBorder="true" applyNumberFormat="true" numFmtId="167" fillId="22" applyFill="true">
      <alignment horizontal="center" vertical="center"/>
    </xf>
    <xf fontId="10870" applyFont="true" borderId="8" applyBorder="true" applyNumberFormat="true" numFmtId="166" fillId="22" applyFill="true">
      <alignment horizontal="center" vertical="center"/>
    </xf>
    <xf fontId="10871" applyFont="true" borderId="8" applyBorder="true" applyNumberFormat="true" numFmtId="166" fillId="22" applyFill="true">
      <alignment horizontal="center" vertical="center"/>
    </xf>
    <xf fontId="10872" applyFont="true" borderId="8" applyBorder="true" applyNumberFormat="true" numFmtId="1" fillId="22" applyFill="true">
      <alignment horizontal="center" vertical="center"/>
    </xf>
    <xf fontId="10873" applyFont="true" borderId="8" applyBorder="true" applyNumberFormat="true" numFmtId="1" fillId="22" applyFill="true">
      <alignment horizontal="center" vertical="center"/>
    </xf>
    <xf fontId="10874" applyFont="true" borderId="8" applyBorder="true" applyNumberFormat="true" numFmtId="1" fillId="22" applyFill="true">
      <alignment horizontal="center" vertical="center"/>
    </xf>
    <xf fontId="10875" applyFont="true" borderId="8" applyBorder="true" applyNumberFormat="true" numFmtId="167" fillId="22" applyFill="true">
      <alignment horizontal="center" vertical="center"/>
    </xf>
    <xf fontId="10876" applyFont="true" borderId="8" applyBorder="true" applyNumberFormat="true" numFmtId="1" fillId="22" applyFill="true">
      <alignment horizontal="center" vertical="center"/>
    </xf>
    <xf fontId="10877" applyFont="true" borderId="8" applyBorder="true" applyNumberFormat="true" numFmtId="167" fillId="22" applyFill="true">
      <alignment horizontal="center" vertical="center"/>
    </xf>
    <xf fontId="10878" applyFont="true" borderId="8" applyBorder="true" applyNumberFormat="true" numFmtId="1" fillId="22" applyFill="true">
      <alignment horizontal="center" vertical="center"/>
    </xf>
    <xf fontId="10879" applyFont="true" borderId="8" applyBorder="true" applyNumberFormat="true" numFmtId="1" fillId="22" applyFill="true">
      <alignment horizontal="center" vertical="center"/>
    </xf>
    <xf fontId="10880" applyFont="true" borderId="8" applyBorder="true" applyNumberFormat="true" numFmtId="1" fillId="22" applyFill="true">
      <alignment horizontal="center" vertical="center"/>
    </xf>
    <xf fontId="10881" applyFont="true" borderId="8" applyBorder="true" applyNumberFormat="true" numFmtId="1" fillId="22" applyFill="true">
      <alignment horizontal="center" vertical="center"/>
    </xf>
    <xf fontId="10882" applyFont="true" borderId="8" applyBorder="true" applyNumberFormat="true" numFmtId="167" fillId="22" applyFill="true">
      <alignment horizontal="center" vertical="center"/>
    </xf>
    <xf fontId="10883" applyFont="true" borderId="8" applyBorder="true" applyNumberFormat="true" numFmtId="1" fillId="22" applyFill="true">
      <alignment horizontal="center" vertical="center"/>
    </xf>
    <xf fontId="10884" applyFont="true" borderId="8" applyBorder="true" applyNumberFormat="true" numFmtId="167" fillId="22" applyFill="true">
      <alignment horizontal="center" vertical="center"/>
    </xf>
    <xf fontId="10885" applyFont="true" borderId="8" applyBorder="true" applyNumberFormat="true" numFmtId="1" fillId="22" applyFill="true">
      <alignment horizontal="center" vertical="center"/>
    </xf>
    <xf fontId="10886" applyFont="true" borderId="8" applyBorder="true" applyNumberFormat="true" numFmtId="167" fillId="22" applyFill="true">
      <alignment horizontal="center" vertical="center"/>
    </xf>
    <xf fontId="10887" applyFont="true" borderId="8" applyBorder="true" applyNumberFormat="true" numFmtId="2" fillId="22" applyFill="true">
      <alignment horizontal="center" vertical="center"/>
    </xf>
    <xf fontId="10888" applyFont="true" borderId="8" applyBorder="true" applyNumberFormat="true" numFmtId="2" fillId="22" applyFill="true">
      <alignment horizontal="center" vertical="center"/>
    </xf>
    <xf fontId="10889" applyFont="true" borderId="8" applyBorder="true" applyNumberFormat="true" numFmtId="2" fillId="22" applyFill="true">
      <alignment horizontal="center" vertical="center"/>
    </xf>
    <xf fontId="10890" applyFont="true" borderId="8" applyBorder="true" applyNumberFormat="true" numFmtId="2" fillId="22" applyFill="true">
      <alignment horizontal="center" vertical="center"/>
    </xf>
    <xf fontId="10891" applyFont="true" borderId="8" applyBorder="true" applyNumberFormat="true" numFmtId="2" fillId="22" applyFill="true">
      <alignment horizontal="center" vertical="center"/>
    </xf>
    <xf fontId="10892" applyFont="true" borderId="8" applyBorder="true" applyNumberFormat="true" numFmtId="2" fillId="22" applyFill="true">
      <alignment horizontal="center" vertical="center"/>
    </xf>
    <xf fontId="10893" applyFont="true" borderId="8" applyBorder="true" applyNumberFormat="true" numFmtId="2" fillId="22" applyFill="true">
      <alignment horizontal="center" vertical="center"/>
    </xf>
    <xf fontId="10894" applyFont="true" borderId="8" applyBorder="true" applyNumberFormat="true" numFmtId="2" fillId="22" applyFill="true">
      <alignment horizontal="center" vertical="center"/>
    </xf>
    <xf fontId="10895" applyFont="true" borderId="8" applyBorder="true" applyNumberFormat="true" numFmtId="2" fillId="22" applyFill="true">
      <alignment horizontal="center" vertical="center"/>
    </xf>
    <xf fontId="10896" applyFont="true" borderId="8" applyBorder="true" applyNumberFormat="true" numFmtId="2" fillId="22" applyFill="true">
      <alignment horizontal="center" vertical="center"/>
    </xf>
    <xf fontId="10897" applyFont="true" borderId="8" applyBorder="true" applyNumberFormat="true" numFmtId="2" fillId="22" applyFill="true">
      <alignment horizontal="center" vertical="center"/>
    </xf>
    <xf fontId="10898" applyFont="true" borderId="8" applyBorder="true" applyNumberFormat="true" numFmtId="2" fillId="22" applyFill="true">
      <alignment horizontal="center" vertical="center"/>
    </xf>
    <xf fontId="10899" applyFont="true" borderId="8" applyBorder="true" applyNumberFormat="true" numFmtId="2" fillId="22" applyFill="true">
      <alignment horizontal="center" vertical="center"/>
    </xf>
    <xf fontId="10900" applyFont="true" borderId="8" applyBorder="true" applyNumberFormat="true" numFmtId="2" fillId="22" applyFill="true">
      <alignment horizontal="center" vertical="center"/>
    </xf>
    <xf fontId="10901" applyFont="true" borderId="8" applyBorder="true" applyNumberFormat="true" numFmtId="2" fillId="22" applyFill="true">
      <alignment horizontal="center" vertical="center"/>
    </xf>
    <xf fontId="10902" applyFont="true" borderId="8" applyBorder="true" applyNumberFormat="true" numFmtId="2" fillId="22" applyFill="true">
      <alignment horizontal="center" vertical="center"/>
    </xf>
    <xf fontId="10903" applyFont="true" borderId="8" applyBorder="true" applyNumberFormat="true" numFmtId="2" fillId="22" applyFill="true">
      <alignment horizontal="center" vertical="center"/>
    </xf>
    <xf fontId="10904" applyFont="true" borderId="8" applyBorder="true" applyNumberFormat="true" numFmtId="2" fillId="22" applyFill="true">
      <alignment horizontal="center" vertical="center"/>
    </xf>
    <xf fontId="10905" applyFont="true" borderId="8" applyBorder="true" applyNumberFormat="true" numFmtId="2" fillId="22" applyFill="true">
      <alignment horizontal="center" vertical="center"/>
    </xf>
    <xf fontId="10906" applyFont="true" borderId="8" applyBorder="true" applyNumberFormat="true" numFmtId="2" fillId="22" applyFill="true">
      <alignment horizontal="center" vertical="center"/>
    </xf>
    <xf fontId="10907" applyFont="true" borderId="8" applyBorder="true" applyNumberFormat="true" numFmtId="2" fillId="22" applyFill="true">
      <alignment horizontal="center" vertical="center"/>
    </xf>
    <xf fontId="10908" applyFont="true" borderId="8" applyBorder="true" applyNumberFormat="true" numFmtId="2" fillId="22" applyFill="true">
      <alignment horizontal="center" vertical="center"/>
    </xf>
    <xf fontId="10909" applyFont="true" borderId="8" applyBorder="true" applyNumberFormat="true" numFmtId="2" fillId="22" applyFill="true">
      <alignment horizontal="center" vertical="center"/>
    </xf>
    <xf fontId="10910" applyFont="true" borderId="8" applyBorder="true" applyNumberFormat="true" numFmtId="2" fillId="22" applyFill="true">
      <alignment horizontal="center" vertical="center"/>
    </xf>
    <xf fontId="10911" applyFont="true" borderId="8" applyBorder="true" applyNumberFormat="true" numFmtId="2" fillId="22" applyFill="true">
      <alignment horizontal="center" vertical="center"/>
    </xf>
    <xf fontId="10912" applyFont="true" borderId="8" applyBorder="true" applyNumberFormat="true" numFmtId="2" fillId="22" applyFill="true">
      <alignment horizontal="center" vertical="center"/>
    </xf>
    <xf fontId="10913" applyFont="true" borderId="8" applyBorder="true" applyNumberFormat="true" numFmtId="2" fillId="22" applyFill="true">
      <alignment horizontal="center" vertical="center"/>
    </xf>
    <xf fontId="10914" applyFont="true" borderId="8" applyBorder="true" applyNumberFormat="true" numFmtId="2" fillId="22" applyFill="true">
      <alignment horizontal="center" vertical="center"/>
    </xf>
    <xf fontId="10915" applyFont="true" borderId="8" applyBorder="true" applyNumberFormat="true" numFmtId="2" fillId="22" applyFill="true">
      <alignment horizontal="center" vertical="center"/>
    </xf>
    <xf fontId="10916" applyFont="true" borderId="8" applyBorder="true" applyNumberFormat="true" numFmtId="2" fillId="22" applyFill="true">
      <alignment horizontal="center" vertical="center"/>
    </xf>
    <xf fontId="10917" applyFont="true" borderId="8" applyBorder="true" applyNumberFormat="true" numFmtId="2" fillId="22" applyFill="true">
      <alignment horizontal="center" vertical="center"/>
    </xf>
    <xf fontId="10918" applyFont="true" borderId="8" applyBorder="true" applyNumberFormat="true" numFmtId="2" fillId="22" applyFill="true">
      <alignment horizontal="center" vertical="center"/>
    </xf>
    <xf fontId="10919" applyFont="true" borderId="8" applyBorder="true" applyNumberFormat="true" numFmtId="2" fillId="22" applyFill="true">
      <alignment horizontal="center" vertical="center"/>
    </xf>
    <xf fontId="10920" applyFont="true" borderId="8" applyBorder="true" applyNumberFormat="true" numFmtId="2" fillId="22" applyFill="true">
      <alignment horizontal="center" vertical="center"/>
    </xf>
    <xf fontId="10921" applyFont="true" borderId="8" applyBorder="true" applyNumberFormat="true" numFmtId="165" fillId="19" applyFill="true">
      <alignment horizontal="left" vertical="center"/>
    </xf>
    <xf fontId="10922" applyFont="true" borderId="8" applyBorder="true" applyNumberFormat="true" numFmtId="165" fillId="22" applyFill="true">
      <alignment horizontal="center" vertical="center"/>
    </xf>
    <xf fontId="10923" applyFont="true" borderId="8" applyBorder="true" applyNumberFormat="true" numFmtId="166" fillId="22" applyFill="true">
      <alignment horizontal="center" vertical="center"/>
    </xf>
    <xf fontId="10924" applyFont="true" borderId="8" applyBorder="true" applyNumberFormat="true" numFmtId="1" fillId="22" applyFill="true">
      <alignment horizontal="center" vertical="center"/>
    </xf>
    <xf fontId="10925" applyFont="true" borderId="8" applyBorder="true" applyNumberFormat="true" numFmtId="1" fillId="22" applyFill="true">
      <alignment horizontal="center" vertical="center"/>
    </xf>
    <xf fontId="10926" applyFont="true" borderId="8" applyBorder="true" applyNumberFormat="true" numFmtId="1" fillId="22" applyFill="true">
      <alignment horizontal="center" vertical="center"/>
    </xf>
    <xf fontId="10927" applyFont="true" borderId="8" applyBorder="true" applyNumberFormat="true" numFmtId="1" fillId="22" applyFill="true">
      <alignment horizontal="center" vertical="center"/>
    </xf>
    <xf fontId="10928" applyFont="true" borderId="8" applyBorder="true" applyNumberFormat="true" numFmtId="1" fillId="22" applyFill="true">
      <alignment horizontal="center" vertical="center"/>
    </xf>
    <xf fontId="10929" applyFont="true" borderId="8" applyBorder="true" applyNumberFormat="true" numFmtId="1" fillId="22" applyFill="true">
      <alignment horizontal="center" vertical="center"/>
    </xf>
    <xf fontId="10930" applyFont="true" borderId="8" applyBorder="true" applyNumberFormat="true" numFmtId="1" fillId="22" applyFill="true">
      <alignment horizontal="center" vertical="center"/>
    </xf>
    <xf fontId="10931" applyFont="true" borderId="8" applyBorder="true" applyNumberFormat="true" numFmtId="165" fillId="22" applyFill="true">
      <alignment horizontal="center" vertical="center"/>
    </xf>
    <xf fontId="10932" applyFont="true" borderId="8" applyBorder="true" applyNumberFormat="true" numFmtId="165" fillId="22" applyFill="true">
      <alignment horizontal="center" vertical="center"/>
    </xf>
    <xf fontId="10933" applyFont="true" borderId="8" applyBorder="true" applyNumberFormat="true" numFmtId="1" fillId="22" applyFill="true">
      <alignment horizontal="center" vertical="center"/>
    </xf>
    <xf fontId="10934" applyFont="true" borderId="8" applyBorder="true" applyNumberFormat="true" numFmtId="1" fillId="22" applyFill="true">
      <alignment horizontal="center" vertical="center"/>
    </xf>
    <xf fontId="10935" applyFont="true" borderId="8" applyBorder="true" applyNumberFormat="true" numFmtId="1" fillId="22" applyFill="true">
      <alignment horizontal="center" vertical="center"/>
    </xf>
    <xf fontId="10936" applyFont="true" borderId="8" applyBorder="true" applyNumberFormat="true" numFmtId="167" fillId="22" applyFill="true">
      <alignment horizontal="center" vertical="center"/>
    </xf>
    <xf fontId="10937" applyFont="true" borderId="8" applyBorder="true" applyNumberFormat="true" numFmtId="1" fillId="22" applyFill="true">
      <alignment horizontal="center" vertical="center"/>
    </xf>
    <xf fontId="10938" applyFont="true" borderId="8" applyBorder="true" applyNumberFormat="true" numFmtId="167" fillId="22" applyFill="true">
      <alignment horizontal="center" vertical="center"/>
    </xf>
    <xf fontId="10939" applyFont="true" borderId="8" applyBorder="true" applyNumberFormat="true" numFmtId="1" fillId="22" applyFill="true">
      <alignment horizontal="center" vertical="center"/>
    </xf>
    <xf fontId="10940" applyFont="true" borderId="8" applyBorder="true" applyNumberFormat="true" numFmtId="167" fillId="22" applyFill="true">
      <alignment horizontal="center" vertical="center"/>
    </xf>
    <xf fontId="10941" applyFont="true" borderId="8" applyBorder="true" applyNumberFormat="true" numFmtId="1" fillId="22" applyFill="true">
      <alignment horizontal="center" vertical="center"/>
    </xf>
    <xf fontId="10942" applyFont="true" borderId="8" applyBorder="true" applyNumberFormat="true" numFmtId="167" fillId="22" applyFill="true">
      <alignment horizontal="center" vertical="center"/>
    </xf>
    <xf fontId="10943" applyFont="true" borderId="8" applyBorder="true" applyNumberFormat="true" numFmtId="167" fillId="22" applyFill="true">
      <alignment horizontal="center" vertical="center"/>
    </xf>
    <xf fontId="10944" applyFont="true" borderId="8" applyBorder="true" applyNumberFormat="true" numFmtId="1" fillId="22" applyFill="true">
      <alignment horizontal="center" vertical="center"/>
    </xf>
    <xf fontId="10945" applyFont="true" borderId="8" applyBorder="true" applyNumberFormat="true" numFmtId="1" fillId="22" applyFill="true">
      <alignment horizontal="center" vertical="center"/>
    </xf>
    <xf fontId="10946" applyFont="true" borderId="8" applyBorder="true" applyNumberFormat="true" numFmtId="1" fillId="22" applyFill="true">
      <alignment horizontal="center" vertical="center"/>
    </xf>
    <xf fontId="10947" applyFont="true" borderId="8" applyBorder="true" applyNumberFormat="true" numFmtId="167" fillId="22" applyFill="true">
      <alignment horizontal="center" vertical="center"/>
    </xf>
    <xf fontId="10948" applyFont="true" borderId="8" applyBorder="true" applyNumberFormat="true" numFmtId="166" fillId="22" applyFill="true">
      <alignment horizontal="center" vertical="center"/>
    </xf>
    <xf fontId="10949" applyFont="true" borderId="8" applyBorder="true" applyNumberFormat="true" numFmtId="166" fillId="22" applyFill="true">
      <alignment horizontal="center" vertical="center"/>
    </xf>
    <xf fontId="10950" applyFont="true" borderId="8" applyBorder="true" applyNumberFormat="true" numFmtId="1" fillId="22" applyFill="true">
      <alignment horizontal="center" vertical="center"/>
    </xf>
    <xf fontId="10951" applyFont="true" borderId="8" applyBorder="true" applyNumberFormat="true" numFmtId="1" fillId="22" applyFill="true">
      <alignment horizontal="center" vertical="center"/>
    </xf>
    <xf fontId="10952" applyFont="true" borderId="8" applyBorder="true" applyNumberFormat="true" numFmtId="1" fillId="22" applyFill="true">
      <alignment horizontal="center" vertical="center"/>
    </xf>
    <xf fontId="10953" applyFont="true" borderId="8" applyBorder="true" applyNumberFormat="true" numFmtId="167" fillId="22" applyFill="true">
      <alignment horizontal="center" vertical="center"/>
    </xf>
    <xf fontId="10954" applyFont="true" borderId="8" applyBorder="true" applyNumberFormat="true" numFmtId="1" fillId="22" applyFill="true">
      <alignment horizontal="center" vertical="center"/>
    </xf>
    <xf fontId="10955" applyFont="true" borderId="8" applyBorder="true" applyNumberFormat="true" numFmtId="167" fillId="22" applyFill="true">
      <alignment horizontal="center" vertical="center"/>
    </xf>
    <xf fontId="10956" applyFont="true" borderId="8" applyBorder="true" applyNumberFormat="true" numFmtId="1" fillId="22" applyFill="true">
      <alignment horizontal="center" vertical="center"/>
    </xf>
    <xf fontId="10957" applyFont="true" borderId="8" applyBorder="true" applyNumberFormat="true" numFmtId="1" fillId="22" applyFill="true">
      <alignment horizontal="center" vertical="center"/>
    </xf>
    <xf fontId="10958" applyFont="true" borderId="8" applyBorder="true" applyNumberFormat="true" numFmtId="1" fillId="22" applyFill="true">
      <alignment horizontal="center" vertical="center"/>
    </xf>
    <xf fontId="10959" applyFont="true" borderId="8" applyBorder="true" applyNumberFormat="true" numFmtId="1" fillId="22" applyFill="true">
      <alignment horizontal="center" vertical="center"/>
    </xf>
    <xf fontId="10960" applyFont="true" borderId="8" applyBorder="true" applyNumberFormat="true" numFmtId="167" fillId="22" applyFill="true">
      <alignment horizontal="center" vertical="center"/>
    </xf>
    <xf fontId="10961" applyFont="true" borderId="8" applyBorder="true" applyNumberFormat="true" numFmtId="1" fillId="22" applyFill="true">
      <alignment horizontal="center" vertical="center"/>
    </xf>
    <xf fontId="10962" applyFont="true" borderId="8" applyBorder="true" applyNumberFormat="true" numFmtId="167" fillId="22" applyFill="true">
      <alignment horizontal="center" vertical="center"/>
    </xf>
    <xf fontId="10963" applyFont="true" borderId="8" applyBorder="true" applyNumberFormat="true" numFmtId="1" fillId="22" applyFill="true">
      <alignment horizontal="center" vertical="center"/>
    </xf>
    <xf fontId="10964" applyFont="true" borderId="8" applyBorder="true" applyNumberFormat="true" numFmtId="167" fillId="22" applyFill="true">
      <alignment horizontal="center" vertical="center"/>
    </xf>
    <xf fontId="10965" applyFont="true" borderId="8" applyBorder="true" applyNumberFormat="true" numFmtId="2" fillId="22" applyFill="true">
      <alignment horizontal="center" vertical="center"/>
    </xf>
    <xf fontId="10966" applyFont="true" borderId="8" applyBorder="true" applyNumberFormat="true" numFmtId="2" fillId="22" applyFill="true">
      <alignment horizontal="center" vertical="center"/>
    </xf>
    <xf fontId="10967" applyFont="true" borderId="8" applyBorder="true" applyNumberFormat="true" numFmtId="2" fillId="22" applyFill="true">
      <alignment horizontal="center" vertical="center"/>
    </xf>
    <xf fontId="10968" applyFont="true" borderId="8" applyBorder="true" applyNumberFormat="true" numFmtId="2" fillId="22" applyFill="true">
      <alignment horizontal="center" vertical="center"/>
    </xf>
    <xf fontId="10969" applyFont="true" borderId="8" applyBorder="true" applyNumberFormat="true" numFmtId="2" fillId="22" applyFill="true">
      <alignment horizontal="center" vertical="center"/>
    </xf>
    <xf fontId="10970" applyFont="true" borderId="8" applyBorder="true" applyNumberFormat="true" numFmtId="2" fillId="22" applyFill="true">
      <alignment horizontal="center" vertical="center"/>
    </xf>
    <xf fontId="10971" applyFont="true" borderId="8" applyBorder="true" applyNumberFormat="true" numFmtId="2" fillId="22" applyFill="true">
      <alignment horizontal="center" vertical="center"/>
    </xf>
    <xf fontId="10972" applyFont="true" borderId="8" applyBorder="true" applyNumberFormat="true" numFmtId="2" fillId="22" applyFill="true">
      <alignment horizontal="center" vertical="center"/>
    </xf>
    <xf fontId="10973" applyFont="true" borderId="8" applyBorder="true" applyNumberFormat="true" numFmtId="2" fillId="22" applyFill="true">
      <alignment horizontal="center" vertical="center"/>
    </xf>
    <xf fontId="10974" applyFont="true" borderId="8" applyBorder="true" applyNumberFormat="true" numFmtId="2" fillId="22" applyFill="true">
      <alignment horizontal="center" vertical="center"/>
    </xf>
    <xf fontId="10975" applyFont="true" borderId="8" applyBorder="true" applyNumberFormat="true" numFmtId="2" fillId="22" applyFill="true">
      <alignment horizontal="center" vertical="center"/>
    </xf>
    <xf fontId="10976" applyFont="true" borderId="8" applyBorder="true" applyNumberFormat="true" numFmtId="2" fillId="22" applyFill="true">
      <alignment horizontal="center" vertical="center"/>
    </xf>
    <xf fontId="10977" applyFont="true" borderId="8" applyBorder="true" applyNumberFormat="true" numFmtId="2" fillId="22" applyFill="true">
      <alignment horizontal="center" vertical="center"/>
    </xf>
    <xf fontId="10978" applyFont="true" borderId="8" applyBorder="true" applyNumberFormat="true" numFmtId="2" fillId="22" applyFill="true">
      <alignment horizontal="center" vertical="center"/>
    </xf>
    <xf fontId="10979" applyFont="true" borderId="8" applyBorder="true" applyNumberFormat="true" numFmtId="2" fillId="22" applyFill="true">
      <alignment horizontal="center" vertical="center"/>
    </xf>
    <xf fontId="10980" applyFont="true" borderId="8" applyBorder="true" applyNumberFormat="true" numFmtId="2" fillId="22" applyFill="true">
      <alignment horizontal="center" vertical="center"/>
    </xf>
    <xf fontId="10981" applyFont="true" borderId="8" applyBorder="true" applyNumberFormat="true" numFmtId="2" fillId="22" applyFill="true">
      <alignment horizontal="center" vertical="center"/>
    </xf>
    <xf fontId="10982" applyFont="true" borderId="8" applyBorder="true" applyNumberFormat="true" numFmtId="2" fillId="22" applyFill="true">
      <alignment horizontal="center" vertical="center"/>
    </xf>
    <xf fontId="10983" applyFont="true" borderId="8" applyBorder="true" applyNumberFormat="true" numFmtId="2" fillId="22" applyFill="true">
      <alignment horizontal="center" vertical="center"/>
    </xf>
    <xf fontId="10984" applyFont="true" borderId="8" applyBorder="true" applyNumberFormat="true" numFmtId="2" fillId="22" applyFill="true">
      <alignment horizontal="center" vertical="center"/>
    </xf>
    <xf fontId="10985" applyFont="true" borderId="8" applyBorder="true" applyNumberFormat="true" numFmtId="2" fillId="22" applyFill="true">
      <alignment horizontal="center" vertical="center"/>
    </xf>
    <xf fontId="10986" applyFont="true" borderId="8" applyBorder="true" applyNumberFormat="true" numFmtId="2" fillId="22" applyFill="true">
      <alignment horizontal="center" vertical="center"/>
    </xf>
    <xf fontId="10987" applyFont="true" borderId="8" applyBorder="true" applyNumberFormat="true" numFmtId="2" fillId="22" applyFill="true">
      <alignment horizontal="center" vertical="center"/>
    </xf>
    <xf fontId="10988" applyFont="true" borderId="8" applyBorder="true" applyNumberFormat="true" numFmtId="2" fillId="22" applyFill="true">
      <alignment horizontal="center" vertical="center"/>
    </xf>
    <xf fontId="10989" applyFont="true" borderId="8" applyBorder="true" applyNumberFormat="true" numFmtId="2" fillId="22" applyFill="true">
      <alignment horizontal="center" vertical="center"/>
    </xf>
    <xf fontId="10990" applyFont="true" borderId="8" applyBorder="true" applyNumberFormat="true" numFmtId="2" fillId="22" applyFill="true">
      <alignment horizontal="center" vertical="center"/>
    </xf>
    <xf fontId="10991" applyFont="true" borderId="8" applyBorder="true" applyNumberFormat="true" numFmtId="2" fillId="22" applyFill="true">
      <alignment horizontal="center" vertical="center"/>
    </xf>
    <xf fontId="10992" applyFont="true" borderId="8" applyBorder="true" applyNumberFormat="true" numFmtId="2" fillId="22" applyFill="true">
      <alignment horizontal="center" vertical="center"/>
    </xf>
    <xf fontId="10993" applyFont="true" borderId="8" applyBorder="true" applyNumberFormat="true" numFmtId="2" fillId="22" applyFill="true">
      <alignment horizontal="center" vertical="center"/>
    </xf>
    <xf fontId="10994" applyFont="true" borderId="8" applyBorder="true" applyNumberFormat="true" numFmtId="2" fillId="22" applyFill="true">
      <alignment horizontal="center" vertical="center"/>
    </xf>
    <xf fontId="10995" applyFont="true" borderId="8" applyBorder="true" applyNumberFormat="true" numFmtId="2" fillId="22" applyFill="true">
      <alignment horizontal="center" vertical="center"/>
    </xf>
    <xf fontId="10996" applyFont="true" borderId="8" applyBorder="true" applyNumberFormat="true" numFmtId="2" fillId="22" applyFill="true">
      <alignment horizontal="center" vertical="center"/>
    </xf>
    <xf fontId="10997" applyFont="true" borderId="8" applyBorder="true" applyNumberFormat="true" numFmtId="2" fillId="22" applyFill="true">
      <alignment horizontal="center" vertical="center"/>
    </xf>
    <xf fontId="10998" applyFont="true" borderId="8" applyBorder="true" applyNumberFormat="true" numFmtId="2" fillId="22" applyFill="true">
      <alignment horizontal="center" vertical="center"/>
    </xf>
    <xf fontId="10999" applyFont="true" borderId="8" applyBorder="true" applyNumberFormat="true" numFmtId="165" fillId="19" applyFill="true">
      <alignment horizontal="left" vertical="center"/>
    </xf>
    <xf fontId="11000" applyFont="true" borderId="8" applyBorder="true" applyNumberFormat="true" numFmtId="165" fillId="22" applyFill="true">
      <alignment horizontal="center" vertical="center"/>
    </xf>
    <xf fontId="11001" applyFont="true" borderId="8" applyBorder="true" applyNumberFormat="true" numFmtId="166" fillId="22" applyFill="true">
      <alignment horizontal="center" vertical="center"/>
    </xf>
    <xf fontId="11002" applyFont="true" borderId="8" applyBorder="true" applyNumberFormat="true" numFmtId="1" fillId="22" applyFill="true">
      <alignment horizontal="center" vertical="center"/>
    </xf>
    <xf fontId="11003" applyFont="true" borderId="8" applyBorder="true" applyNumberFormat="true" numFmtId="1" fillId="22" applyFill="true">
      <alignment horizontal="center" vertical="center"/>
    </xf>
    <xf fontId="11004" applyFont="true" borderId="8" applyBorder="true" applyNumberFormat="true" numFmtId="1" fillId="22" applyFill="true">
      <alignment horizontal="center" vertical="center"/>
    </xf>
    <xf fontId="11005" applyFont="true" borderId="8" applyBorder="true" applyNumberFormat="true" numFmtId="1" fillId="22" applyFill="true">
      <alignment horizontal="center" vertical="center"/>
    </xf>
    <xf fontId="11006" applyFont="true" borderId="8" applyBorder="true" applyNumberFormat="true" numFmtId="1" fillId="22" applyFill="true">
      <alignment horizontal="center" vertical="center"/>
    </xf>
    <xf fontId="11007" applyFont="true" borderId="8" applyBorder="true" applyNumberFormat="true" numFmtId="1" fillId="22" applyFill="true">
      <alignment horizontal="center" vertical="center"/>
    </xf>
    <xf fontId="11008" applyFont="true" borderId="8" applyBorder="true" applyNumberFormat="true" numFmtId="1" fillId="22" applyFill="true">
      <alignment horizontal="center" vertical="center"/>
    </xf>
    <xf fontId="11009" applyFont="true" borderId="8" applyBorder="true" applyNumberFormat="true" numFmtId="165" fillId="22" applyFill="true">
      <alignment horizontal="center" vertical="center"/>
    </xf>
    <xf fontId="11010" applyFont="true" borderId="8" applyBorder="true" applyNumberFormat="true" numFmtId="165" fillId="22" applyFill="true">
      <alignment horizontal="center" vertical="center"/>
    </xf>
    <xf fontId="11011" applyFont="true" borderId="8" applyBorder="true" applyNumberFormat="true" numFmtId="1" fillId="22" applyFill="true">
      <alignment horizontal="center" vertical="center"/>
    </xf>
    <xf fontId="11012" applyFont="true" borderId="8" applyBorder="true" applyNumberFormat="true" numFmtId="1" fillId="22" applyFill="true">
      <alignment horizontal="center" vertical="center"/>
    </xf>
    <xf fontId="11013" applyFont="true" borderId="8" applyBorder="true" applyNumberFormat="true" numFmtId="1" fillId="22" applyFill="true">
      <alignment horizontal="center" vertical="center"/>
    </xf>
    <xf fontId="11014" applyFont="true" borderId="8" applyBorder="true" applyNumberFormat="true" numFmtId="167" fillId="22" applyFill="true">
      <alignment horizontal="center" vertical="center"/>
    </xf>
    <xf fontId="11015" applyFont="true" borderId="8" applyBorder="true" applyNumberFormat="true" numFmtId="1" fillId="22" applyFill="true">
      <alignment horizontal="center" vertical="center"/>
    </xf>
    <xf fontId="11016" applyFont="true" borderId="8" applyBorder="true" applyNumberFormat="true" numFmtId="167" fillId="22" applyFill="true">
      <alignment horizontal="center" vertical="center"/>
    </xf>
    <xf fontId="11017" applyFont="true" borderId="8" applyBorder="true" applyNumberFormat="true" numFmtId="1" fillId="22" applyFill="true">
      <alignment horizontal="center" vertical="center"/>
    </xf>
    <xf fontId="11018" applyFont="true" borderId="8" applyBorder="true" applyNumberFormat="true" numFmtId="167" fillId="22" applyFill="true">
      <alignment horizontal="center" vertical="center"/>
    </xf>
    <xf fontId="11019" applyFont="true" borderId="8" applyBorder="true" applyNumberFormat="true" numFmtId="1" fillId="22" applyFill="true">
      <alignment horizontal="center" vertical="center"/>
    </xf>
    <xf fontId="11020" applyFont="true" borderId="8" applyBorder="true" applyNumberFormat="true" numFmtId="167" fillId="22" applyFill="true">
      <alignment horizontal="center" vertical="center"/>
    </xf>
    <xf fontId="11021" applyFont="true" borderId="8" applyBorder="true" applyNumberFormat="true" numFmtId="167" fillId="22" applyFill="true">
      <alignment horizontal="center" vertical="center"/>
    </xf>
    <xf fontId="11022" applyFont="true" borderId="8" applyBorder="true" applyNumberFormat="true" numFmtId="1" fillId="22" applyFill="true">
      <alignment horizontal="center" vertical="center"/>
    </xf>
    <xf fontId="11023" applyFont="true" borderId="8" applyBorder="true" applyNumberFormat="true" numFmtId="1" fillId="22" applyFill="true">
      <alignment horizontal="center" vertical="center"/>
    </xf>
    <xf fontId="11024" applyFont="true" borderId="8" applyBorder="true" applyNumberFormat="true" numFmtId="1" fillId="22" applyFill="true">
      <alignment horizontal="center" vertical="center"/>
    </xf>
    <xf fontId="11025" applyFont="true" borderId="8" applyBorder="true" applyNumberFormat="true" numFmtId="167" fillId="22" applyFill="true">
      <alignment horizontal="center" vertical="center"/>
    </xf>
    <xf fontId="11026" applyFont="true" borderId="8" applyBorder="true" applyNumberFormat="true" numFmtId="166" fillId="22" applyFill="true">
      <alignment horizontal="center" vertical="center"/>
    </xf>
    <xf fontId="11027" applyFont="true" borderId="8" applyBorder="true" applyNumberFormat="true" numFmtId="166" fillId="22" applyFill="true">
      <alignment horizontal="center" vertical="center"/>
    </xf>
    <xf fontId="11028" applyFont="true" borderId="8" applyBorder="true" applyNumberFormat="true" numFmtId="1" fillId="22" applyFill="true">
      <alignment horizontal="center" vertical="center"/>
    </xf>
    <xf fontId="11029" applyFont="true" borderId="8" applyBorder="true" applyNumberFormat="true" numFmtId="1" fillId="22" applyFill="true">
      <alignment horizontal="center" vertical="center"/>
    </xf>
    <xf fontId="11030" applyFont="true" borderId="8" applyBorder="true" applyNumberFormat="true" numFmtId="1" fillId="22" applyFill="true">
      <alignment horizontal="center" vertical="center"/>
    </xf>
    <xf fontId="11031" applyFont="true" borderId="8" applyBorder="true" applyNumberFormat="true" numFmtId="167" fillId="22" applyFill="true">
      <alignment horizontal="center" vertical="center"/>
    </xf>
    <xf fontId="11032" applyFont="true" borderId="8" applyBorder="true" applyNumberFormat="true" numFmtId="1" fillId="22" applyFill="true">
      <alignment horizontal="center" vertical="center"/>
    </xf>
    <xf fontId="11033" applyFont="true" borderId="8" applyBorder="true" applyNumberFormat="true" numFmtId="167" fillId="22" applyFill="true">
      <alignment horizontal="center" vertical="center"/>
    </xf>
    <xf fontId="11034" applyFont="true" borderId="8" applyBorder="true" applyNumberFormat="true" numFmtId="1" fillId="22" applyFill="true">
      <alignment horizontal="center" vertical="center"/>
    </xf>
    <xf fontId="11035" applyFont="true" borderId="8" applyBorder="true" applyNumberFormat="true" numFmtId="1" fillId="22" applyFill="true">
      <alignment horizontal="center" vertical="center"/>
    </xf>
    <xf fontId="11036" applyFont="true" borderId="8" applyBorder="true" applyNumberFormat="true" numFmtId="1" fillId="22" applyFill="true">
      <alignment horizontal="center" vertical="center"/>
    </xf>
    <xf fontId="11037" applyFont="true" borderId="8" applyBorder="true" applyNumberFormat="true" numFmtId="1" fillId="22" applyFill="true">
      <alignment horizontal="center" vertical="center"/>
    </xf>
    <xf fontId="11038" applyFont="true" borderId="8" applyBorder="true" applyNumberFormat="true" numFmtId="167" fillId="22" applyFill="true">
      <alignment horizontal="center" vertical="center"/>
    </xf>
    <xf fontId="11039" applyFont="true" borderId="8" applyBorder="true" applyNumberFormat="true" numFmtId="1" fillId="22" applyFill="true">
      <alignment horizontal="center" vertical="center"/>
    </xf>
    <xf fontId="11040" applyFont="true" borderId="8" applyBorder="true" applyNumberFormat="true" numFmtId="167" fillId="22" applyFill="true">
      <alignment horizontal="center" vertical="center"/>
    </xf>
    <xf fontId="11041" applyFont="true" borderId="8" applyBorder="true" applyNumberFormat="true" numFmtId="1" fillId="22" applyFill="true">
      <alignment horizontal="center" vertical="center"/>
    </xf>
    <xf fontId="11042" applyFont="true" borderId="8" applyBorder="true" applyNumberFormat="true" numFmtId="167" fillId="22" applyFill="true">
      <alignment horizontal="center" vertical="center"/>
    </xf>
    <xf fontId="11043" applyFont="true" borderId="8" applyBorder="true" applyNumberFormat="true" numFmtId="2" fillId="22" applyFill="true">
      <alignment horizontal="center" vertical="center"/>
    </xf>
    <xf fontId="11044" applyFont="true" borderId="8" applyBorder="true" applyNumberFormat="true" numFmtId="2" fillId="22" applyFill="true">
      <alignment horizontal="center" vertical="center"/>
    </xf>
    <xf fontId="11045" applyFont="true" borderId="8" applyBorder="true" applyNumberFormat="true" numFmtId="2" fillId="22" applyFill="true">
      <alignment horizontal="center" vertical="center"/>
    </xf>
    <xf fontId="11046" applyFont="true" borderId="8" applyBorder="true" applyNumberFormat="true" numFmtId="2" fillId="22" applyFill="true">
      <alignment horizontal="center" vertical="center"/>
    </xf>
    <xf fontId="11047" applyFont="true" borderId="8" applyBorder="true" applyNumberFormat="true" numFmtId="2" fillId="22" applyFill="true">
      <alignment horizontal="center" vertical="center"/>
    </xf>
    <xf fontId="11048" applyFont="true" borderId="8" applyBorder="true" applyNumberFormat="true" numFmtId="2" fillId="22" applyFill="true">
      <alignment horizontal="center" vertical="center"/>
    </xf>
    <xf fontId="11049" applyFont="true" borderId="8" applyBorder="true" applyNumberFormat="true" numFmtId="2" fillId="22" applyFill="true">
      <alignment horizontal="center" vertical="center"/>
    </xf>
    <xf fontId="11050" applyFont="true" borderId="8" applyBorder="true" applyNumberFormat="true" numFmtId="2" fillId="22" applyFill="true">
      <alignment horizontal="center" vertical="center"/>
    </xf>
    <xf fontId="11051" applyFont="true" borderId="8" applyBorder="true" applyNumberFormat="true" numFmtId="2" fillId="22" applyFill="true">
      <alignment horizontal="center" vertical="center"/>
    </xf>
    <xf fontId="11052" applyFont="true" borderId="8" applyBorder="true" applyNumberFormat="true" numFmtId="2" fillId="22" applyFill="true">
      <alignment horizontal="center" vertical="center"/>
    </xf>
    <xf fontId="11053" applyFont="true" borderId="8" applyBorder="true" applyNumberFormat="true" numFmtId="2" fillId="22" applyFill="true">
      <alignment horizontal="center" vertical="center"/>
    </xf>
    <xf fontId="11054" applyFont="true" borderId="8" applyBorder="true" applyNumberFormat="true" numFmtId="2" fillId="22" applyFill="true">
      <alignment horizontal="center" vertical="center"/>
    </xf>
    <xf fontId="11055" applyFont="true" borderId="8" applyBorder="true" applyNumberFormat="true" numFmtId="2" fillId="22" applyFill="true">
      <alignment horizontal="center" vertical="center"/>
    </xf>
    <xf fontId="11056" applyFont="true" borderId="8" applyBorder="true" applyNumberFormat="true" numFmtId="2" fillId="22" applyFill="true">
      <alignment horizontal="center" vertical="center"/>
    </xf>
    <xf fontId="11057" applyFont="true" borderId="8" applyBorder="true" applyNumberFormat="true" numFmtId="2" fillId="22" applyFill="true">
      <alignment horizontal="center" vertical="center"/>
    </xf>
    <xf fontId="11058" applyFont="true" borderId="8" applyBorder="true" applyNumberFormat="true" numFmtId="2" fillId="22" applyFill="true">
      <alignment horizontal="center" vertical="center"/>
    </xf>
    <xf fontId="11059" applyFont="true" borderId="8" applyBorder="true" applyNumberFormat="true" numFmtId="2" fillId="22" applyFill="true">
      <alignment horizontal="center" vertical="center"/>
    </xf>
    <xf fontId="11060" applyFont="true" borderId="8" applyBorder="true" applyNumberFormat="true" numFmtId="2" fillId="22" applyFill="true">
      <alignment horizontal="center" vertical="center"/>
    </xf>
    <xf fontId="11061" applyFont="true" borderId="8" applyBorder="true" applyNumberFormat="true" numFmtId="2" fillId="22" applyFill="true">
      <alignment horizontal="center" vertical="center"/>
    </xf>
    <xf fontId="11062" applyFont="true" borderId="8" applyBorder="true" applyNumberFormat="true" numFmtId="2" fillId="22" applyFill="true">
      <alignment horizontal="center" vertical="center"/>
    </xf>
    <xf fontId="11063" applyFont="true" borderId="8" applyBorder="true" applyNumberFormat="true" numFmtId="2" fillId="22" applyFill="true">
      <alignment horizontal="center" vertical="center"/>
    </xf>
    <xf fontId="11064" applyFont="true" borderId="8" applyBorder="true" applyNumberFormat="true" numFmtId="2" fillId="22" applyFill="true">
      <alignment horizontal="center" vertical="center"/>
    </xf>
    <xf fontId="11065" applyFont="true" borderId="8" applyBorder="true" applyNumberFormat="true" numFmtId="2" fillId="22" applyFill="true">
      <alignment horizontal="center" vertical="center"/>
    </xf>
    <xf fontId="11066" applyFont="true" borderId="8" applyBorder="true" applyNumberFormat="true" numFmtId="2" fillId="22" applyFill="true">
      <alignment horizontal="center" vertical="center"/>
    </xf>
    <xf fontId="11067" applyFont="true" borderId="8" applyBorder="true" applyNumberFormat="true" numFmtId="2" fillId="22" applyFill="true">
      <alignment horizontal="center" vertical="center"/>
    </xf>
    <xf fontId="11068" applyFont="true" borderId="8" applyBorder="true" applyNumberFormat="true" numFmtId="2" fillId="22" applyFill="true">
      <alignment horizontal="center" vertical="center"/>
    </xf>
    <xf fontId="11069" applyFont="true" borderId="8" applyBorder="true" applyNumberFormat="true" numFmtId="2" fillId="22" applyFill="true">
      <alignment horizontal="center" vertical="center"/>
    </xf>
    <xf fontId="11070" applyFont="true" borderId="8" applyBorder="true" applyNumberFormat="true" numFmtId="2" fillId="22" applyFill="true">
      <alignment horizontal="center" vertical="center"/>
    </xf>
    <xf fontId="11071" applyFont="true" borderId="8" applyBorder="true" applyNumberFormat="true" numFmtId="2" fillId="22" applyFill="true">
      <alignment horizontal="center" vertical="center"/>
    </xf>
    <xf fontId="11072" applyFont="true" borderId="8" applyBorder="true" applyNumberFormat="true" numFmtId="2" fillId="22" applyFill="true">
      <alignment horizontal="center" vertical="center"/>
    </xf>
    <xf fontId="11073" applyFont="true" borderId="8" applyBorder="true" applyNumberFormat="true" numFmtId="2" fillId="22" applyFill="true">
      <alignment horizontal="center" vertical="center"/>
    </xf>
    <xf fontId="11074" applyFont="true" borderId="8" applyBorder="true" applyNumberFormat="true" numFmtId="2" fillId="22" applyFill="true">
      <alignment horizontal="center" vertical="center"/>
    </xf>
    <xf fontId="11075" applyFont="true" borderId="8" applyBorder="true" applyNumberFormat="true" numFmtId="2" fillId="22" applyFill="true">
      <alignment horizontal="center" vertical="center"/>
    </xf>
    <xf fontId="11076" applyFont="true" borderId="8" applyBorder="true" applyNumberFormat="true" numFmtId="2" fillId="22" applyFill="true">
      <alignment horizontal="center" vertical="center"/>
    </xf>
    <xf fontId="11077" applyFont="true" borderId="8" applyBorder="true" applyNumberFormat="true" numFmtId="165" fillId="19" applyFill="true">
      <alignment horizontal="left" vertical="center"/>
    </xf>
    <xf fontId="11078" applyFont="true" borderId="8" applyBorder="true" applyNumberFormat="true" numFmtId="165" fillId="22" applyFill="true">
      <alignment horizontal="center" vertical="center"/>
    </xf>
    <xf fontId="11079" applyFont="true" borderId="8" applyBorder="true" applyNumberFormat="true" numFmtId="166" fillId="22" applyFill="true">
      <alignment horizontal="center" vertical="center"/>
    </xf>
    <xf fontId="11080" applyFont="true" borderId="8" applyBorder="true" applyNumberFormat="true" numFmtId="1" fillId="22" applyFill="true">
      <alignment horizontal="center" vertical="center"/>
    </xf>
    <xf fontId="11081" applyFont="true" borderId="8" applyBorder="true" applyNumberFormat="true" numFmtId="1" fillId="22" applyFill="true">
      <alignment horizontal="center" vertical="center"/>
    </xf>
    <xf fontId="11082" applyFont="true" borderId="8" applyBorder="true" applyNumberFormat="true" numFmtId="1" fillId="22" applyFill="true">
      <alignment horizontal="center" vertical="center"/>
    </xf>
    <xf fontId="11083" applyFont="true" borderId="8" applyBorder="true" applyNumberFormat="true" numFmtId="1" fillId="22" applyFill="true">
      <alignment horizontal="center" vertical="center"/>
    </xf>
    <xf fontId="11084" applyFont="true" borderId="8" applyBorder="true" applyNumberFormat="true" numFmtId="1" fillId="22" applyFill="true">
      <alignment horizontal="center" vertical="center"/>
    </xf>
    <xf fontId="11085" applyFont="true" borderId="8" applyBorder="true" applyNumberFormat="true" numFmtId="1" fillId="22" applyFill="true">
      <alignment horizontal="center" vertical="center"/>
    </xf>
    <xf fontId="11086" applyFont="true" borderId="8" applyBorder="true" applyNumberFormat="true" numFmtId="1" fillId="22" applyFill="true">
      <alignment horizontal="center" vertical="center"/>
    </xf>
    <xf fontId="11087" applyFont="true" borderId="8" applyBorder="true" applyNumberFormat="true" numFmtId="165" fillId="22" applyFill="true">
      <alignment horizontal="center" vertical="center"/>
    </xf>
    <xf fontId="11088" applyFont="true" borderId="8" applyBorder="true" applyNumberFormat="true" numFmtId="165" fillId="22" applyFill="true">
      <alignment horizontal="center" vertical="center"/>
    </xf>
    <xf fontId="11089" applyFont="true" borderId="8" applyBorder="true" applyNumberFormat="true" numFmtId="1" fillId="22" applyFill="true">
      <alignment horizontal="center" vertical="center"/>
    </xf>
    <xf fontId="11090" applyFont="true" borderId="8" applyBorder="true" applyNumberFormat="true" numFmtId="1" fillId="22" applyFill="true">
      <alignment horizontal="center" vertical="center"/>
    </xf>
    <xf fontId="11091" applyFont="true" borderId="8" applyBorder="true" applyNumberFormat="true" numFmtId="1" fillId="22" applyFill="true">
      <alignment horizontal="center" vertical="center"/>
    </xf>
    <xf fontId="11092" applyFont="true" borderId="8" applyBorder="true" applyNumberFormat="true" numFmtId="167" fillId="22" applyFill="true">
      <alignment horizontal="center" vertical="center"/>
    </xf>
    <xf fontId="11093" applyFont="true" borderId="8" applyBorder="true" applyNumberFormat="true" numFmtId="1" fillId="22" applyFill="true">
      <alignment horizontal="center" vertical="center"/>
    </xf>
    <xf fontId="11094" applyFont="true" borderId="8" applyBorder="true" applyNumberFormat="true" numFmtId="167" fillId="22" applyFill="true">
      <alignment horizontal="center" vertical="center"/>
    </xf>
    <xf fontId="11095" applyFont="true" borderId="8" applyBorder="true" applyNumberFormat="true" numFmtId="1" fillId="22" applyFill="true">
      <alignment horizontal="center" vertical="center"/>
    </xf>
    <xf fontId="11096" applyFont="true" borderId="8" applyBorder="true" applyNumberFormat="true" numFmtId="167" fillId="22" applyFill="true">
      <alignment horizontal="center" vertical="center"/>
    </xf>
    <xf fontId="11097" applyFont="true" borderId="8" applyBorder="true" applyNumberFormat="true" numFmtId="1" fillId="22" applyFill="true">
      <alignment horizontal="center" vertical="center"/>
    </xf>
    <xf fontId="11098" applyFont="true" borderId="8" applyBorder="true" applyNumberFormat="true" numFmtId="167" fillId="22" applyFill="true">
      <alignment horizontal="center" vertical="center"/>
    </xf>
    <xf fontId="11099" applyFont="true" borderId="8" applyBorder="true" applyNumberFormat="true" numFmtId="167" fillId="22" applyFill="true">
      <alignment horizontal="center" vertical="center"/>
    </xf>
    <xf fontId="11100" applyFont="true" borderId="8" applyBorder="true" applyNumberFormat="true" numFmtId="1" fillId="22" applyFill="true">
      <alignment horizontal="center" vertical="center"/>
    </xf>
    <xf fontId="11101" applyFont="true" borderId="8" applyBorder="true" applyNumberFormat="true" numFmtId="1" fillId="22" applyFill="true">
      <alignment horizontal="center" vertical="center"/>
    </xf>
    <xf fontId="11102" applyFont="true" borderId="8" applyBorder="true" applyNumberFormat="true" numFmtId="1" fillId="22" applyFill="true">
      <alignment horizontal="center" vertical="center"/>
    </xf>
    <xf fontId="11103" applyFont="true" borderId="8" applyBorder="true" applyNumberFormat="true" numFmtId="167" fillId="22" applyFill="true">
      <alignment horizontal="center" vertical="center"/>
    </xf>
    <xf fontId="11104" applyFont="true" borderId="8" applyBorder="true" applyNumberFormat="true" numFmtId="166" fillId="22" applyFill="true">
      <alignment horizontal="center" vertical="center"/>
    </xf>
    <xf fontId="11105" applyFont="true" borderId="8" applyBorder="true" applyNumberFormat="true" numFmtId="166" fillId="22" applyFill="true">
      <alignment horizontal="center" vertical="center"/>
    </xf>
    <xf fontId="11106" applyFont="true" borderId="8" applyBorder="true" applyNumberFormat="true" numFmtId="1" fillId="22" applyFill="true">
      <alignment horizontal="center" vertical="center"/>
    </xf>
    <xf fontId="11107" applyFont="true" borderId="8" applyBorder="true" applyNumberFormat="true" numFmtId="1" fillId="22" applyFill="true">
      <alignment horizontal="center" vertical="center"/>
    </xf>
    <xf fontId="11108" applyFont="true" borderId="8" applyBorder="true" applyNumberFormat="true" numFmtId="1" fillId="22" applyFill="true">
      <alignment horizontal="center" vertical="center"/>
    </xf>
    <xf fontId="11109" applyFont="true" borderId="8" applyBorder="true" applyNumberFormat="true" numFmtId="167" fillId="22" applyFill="true">
      <alignment horizontal="center" vertical="center"/>
    </xf>
    <xf fontId="11110" applyFont="true" borderId="8" applyBorder="true" applyNumberFormat="true" numFmtId="1" fillId="22" applyFill="true">
      <alignment horizontal="center" vertical="center"/>
    </xf>
    <xf fontId="11111" applyFont="true" borderId="8" applyBorder="true" applyNumberFormat="true" numFmtId="167" fillId="22" applyFill="true">
      <alignment horizontal="center" vertical="center"/>
    </xf>
    <xf fontId="11112" applyFont="true" borderId="8" applyBorder="true" applyNumberFormat="true" numFmtId="1" fillId="22" applyFill="true">
      <alignment horizontal="center" vertical="center"/>
    </xf>
    <xf fontId="11113" applyFont="true" borderId="8" applyBorder="true" applyNumberFormat="true" numFmtId="1" fillId="22" applyFill="true">
      <alignment horizontal="center" vertical="center"/>
    </xf>
    <xf fontId="11114" applyFont="true" borderId="8" applyBorder="true" applyNumberFormat="true" numFmtId="1" fillId="22" applyFill="true">
      <alignment horizontal="center" vertical="center"/>
    </xf>
    <xf fontId="11115" applyFont="true" borderId="8" applyBorder="true" applyNumberFormat="true" numFmtId="1" fillId="22" applyFill="true">
      <alignment horizontal="center" vertical="center"/>
    </xf>
    <xf fontId="11116" applyFont="true" borderId="8" applyBorder="true" applyNumberFormat="true" numFmtId="167" fillId="22" applyFill="true">
      <alignment horizontal="center" vertical="center"/>
    </xf>
    <xf fontId="11117" applyFont="true" borderId="8" applyBorder="true" applyNumberFormat="true" numFmtId="1" fillId="22" applyFill="true">
      <alignment horizontal="center" vertical="center"/>
    </xf>
    <xf fontId="11118" applyFont="true" borderId="8" applyBorder="true" applyNumberFormat="true" numFmtId="167" fillId="22" applyFill="true">
      <alignment horizontal="center" vertical="center"/>
    </xf>
    <xf fontId="11119" applyFont="true" borderId="8" applyBorder="true" applyNumberFormat="true" numFmtId="1" fillId="22" applyFill="true">
      <alignment horizontal="center" vertical="center"/>
    </xf>
    <xf fontId="11120" applyFont="true" borderId="8" applyBorder="true" applyNumberFormat="true" numFmtId="167" fillId="22" applyFill="true">
      <alignment horizontal="center" vertical="center"/>
    </xf>
    <xf fontId="11121" applyFont="true" borderId="8" applyBorder="true" applyNumberFormat="true" numFmtId="2" fillId="22" applyFill="true">
      <alignment horizontal="center" vertical="center"/>
    </xf>
    <xf fontId="11122" applyFont="true" borderId="8" applyBorder="true" applyNumberFormat="true" numFmtId="2" fillId="22" applyFill="true">
      <alignment horizontal="center" vertical="center"/>
    </xf>
    <xf fontId="11123" applyFont="true" borderId="8" applyBorder="true" applyNumberFormat="true" numFmtId="2" fillId="22" applyFill="true">
      <alignment horizontal="center" vertical="center"/>
    </xf>
    <xf fontId="11124" applyFont="true" borderId="8" applyBorder="true" applyNumberFormat="true" numFmtId="2" fillId="22" applyFill="true">
      <alignment horizontal="center" vertical="center"/>
    </xf>
    <xf fontId="11125" applyFont="true" borderId="8" applyBorder="true" applyNumberFormat="true" numFmtId="2" fillId="22" applyFill="true">
      <alignment horizontal="center" vertical="center"/>
    </xf>
    <xf fontId="11126" applyFont="true" borderId="8" applyBorder="true" applyNumberFormat="true" numFmtId="2" fillId="22" applyFill="true">
      <alignment horizontal="center" vertical="center"/>
    </xf>
    <xf fontId="11127" applyFont="true" borderId="8" applyBorder="true" applyNumberFormat="true" numFmtId="2" fillId="22" applyFill="true">
      <alignment horizontal="center" vertical="center"/>
    </xf>
    <xf fontId="11128" applyFont="true" borderId="8" applyBorder="true" applyNumberFormat="true" numFmtId="2" fillId="22" applyFill="true">
      <alignment horizontal="center" vertical="center"/>
    </xf>
    <xf fontId="11129" applyFont="true" borderId="8" applyBorder="true" applyNumberFormat="true" numFmtId="2" fillId="22" applyFill="true">
      <alignment horizontal="center" vertical="center"/>
    </xf>
    <xf fontId="11130" applyFont="true" borderId="8" applyBorder="true" applyNumberFormat="true" numFmtId="2" fillId="22" applyFill="true">
      <alignment horizontal="center" vertical="center"/>
    </xf>
    <xf fontId="11131" applyFont="true" borderId="8" applyBorder="true" applyNumberFormat="true" numFmtId="2" fillId="22" applyFill="true">
      <alignment horizontal="center" vertical="center"/>
    </xf>
    <xf fontId="11132" applyFont="true" borderId="8" applyBorder="true" applyNumberFormat="true" numFmtId="2" fillId="22" applyFill="true">
      <alignment horizontal="center" vertical="center"/>
    </xf>
    <xf fontId="11133" applyFont="true" borderId="8" applyBorder="true" applyNumberFormat="true" numFmtId="2" fillId="22" applyFill="true">
      <alignment horizontal="center" vertical="center"/>
    </xf>
    <xf fontId="11134" applyFont="true" borderId="8" applyBorder="true" applyNumberFormat="true" numFmtId="2" fillId="22" applyFill="true">
      <alignment horizontal="center" vertical="center"/>
    </xf>
    <xf fontId="11135" applyFont="true" borderId="8" applyBorder="true" applyNumberFormat="true" numFmtId="2" fillId="22" applyFill="true">
      <alignment horizontal="center" vertical="center"/>
    </xf>
    <xf fontId="11136" applyFont="true" borderId="8" applyBorder="true" applyNumberFormat="true" numFmtId="2" fillId="22" applyFill="true">
      <alignment horizontal="center" vertical="center"/>
    </xf>
    <xf fontId="11137" applyFont="true" borderId="8" applyBorder="true" applyNumberFormat="true" numFmtId="2" fillId="22" applyFill="true">
      <alignment horizontal="center" vertical="center"/>
    </xf>
    <xf fontId="11138" applyFont="true" borderId="8" applyBorder="true" applyNumberFormat="true" numFmtId="2" fillId="22" applyFill="true">
      <alignment horizontal="center" vertical="center"/>
    </xf>
    <xf fontId="11139" applyFont="true" borderId="8" applyBorder="true" applyNumberFormat="true" numFmtId="2" fillId="22" applyFill="true">
      <alignment horizontal="center" vertical="center"/>
    </xf>
    <xf fontId="11140" applyFont="true" borderId="8" applyBorder="true" applyNumberFormat="true" numFmtId="2" fillId="22" applyFill="true">
      <alignment horizontal="center" vertical="center"/>
    </xf>
    <xf fontId="11141" applyFont="true" borderId="8" applyBorder="true" applyNumberFormat="true" numFmtId="2" fillId="22" applyFill="true">
      <alignment horizontal="center" vertical="center"/>
    </xf>
    <xf fontId="11142" applyFont="true" borderId="8" applyBorder="true" applyNumberFormat="true" numFmtId="2" fillId="22" applyFill="true">
      <alignment horizontal="center" vertical="center"/>
    </xf>
    <xf fontId="11143" applyFont="true" borderId="8" applyBorder="true" applyNumberFormat="true" numFmtId="2" fillId="22" applyFill="true">
      <alignment horizontal="center" vertical="center"/>
    </xf>
    <xf fontId="11144" applyFont="true" borderId="8" applyBorder="true" applyNumberFormat="true" numFmtId="2" fillId="22" applyFill="true">
      <alignment horizontal="center" vertical="center"/>
    </xf>
    <xf fontId="11145" applyFont="true" borderId="8" applyBorder="true" applyNumberFormat="true" numFmtId="2" fillId="22" applyFill="true">
      <alignment horizontal="center" vertical="center"/>
    </xf>
    <xf fontId="11146" applyFont="true" borderId="8" applyBorder="true" applyNumberFormat="true" numFmtId="2" fillId="22" applyFill="true">
      <alignment horizontal="center" vertical="center"/>
    </xf>
    <xf fontId="11147" applyFont="true" borderId="8" applyBorder="true" applyNumberFormat="true" numFmtId="2" fillId="22" applyFill="true">
      <alignment horizontal="center" vertical="center"/>
    </xf>
    <xf fontId="11148" applyFont="true" borderId="8" applyBorder="true" applyNumberFormat="true" numFmtId="2" fillId="22" applyFill="true">
      <alignment horizontal="center" vertical="center"/>
    </xf>
    <xf fontId="11149" applyFont="true" borderId="8" applyBorder="true" applyNumberFormat="true" numFmtId="2" fillId="22" applyFill="true">
      <alignment horizontal="center" vertical="center"/>
    </xf>
    <xf fontId="11150" applyFont="true" borderId="8" applyBorder="true" applyNumberFormat="true" numFmtId="2" fillId="22" applyFill="true">
      <alignment horizontal="center" vertical="center"/>
    </xf>
    <xf fontId="11151" applyFont="true" borderId="8" applyBorder="true" applyNumberFormat="true" numFmtId="2" fillId="22" applyFill="true">
      <alignment horizontal="center" vertical="center"/>
    </xf>
    <xf fontId="11152" applyFont="true" borderId="8" applyBorder="true" applyNumberFormat="true" numFmtId="2" fillId="22" applyFill="true">
      <alignment horizontal="center" vertical="center"/>
    </xf>
    <xf fontId="11153" applyFont="true" borderId="8" applyBorder="true" applyNumberFormat="true" numFmtId="2" fillId="22" applyFill="true">
      <alignment horizontal="center" vertical="center"/>
    </xf>
    <xf fontId="11154" applyFont="true" borderId="8" applyBorder="true" applyNumberFormat="true" numFmtId="2" fillId="22" applyFill="true">
      <alignment horizontal="center" vertical="center"/>
    </xf>
    <xf fontId="11155" applyFont="true" borderId="8" applyBorder="true" applyNumberFormat="true" numFmtId="165" fillId="19" applyFill="true">
      <alignment horizontal="left" vertical="center"/>
    </xf>
    <xf fontId="11156" applyFont="true" borderId="8" applyBorder="true" applyNumberFormat="true" numFmtId="165" fillId="22" applyFill="true">
      <alignment horizontal="center" vertical="center"/>
    </xf>
    <xf fontId="11157" applyFont="true" borderId="8" applyBorder="true" applyNumberFormat="true" numFmtId="166" fillId="22" applyFill="true">
      <alignment horizontal="center" vertical="center"/>
    </xf>
    <xf fontId="11158" applyFont="true" borderId="8" applyBorder="true" applyNumberFormat="true" numFmtId="1" fillId="22" applyFill="true">
      <alignment horizontal="center" vertical="center"/>
    </xf>
    <xf fontId="11159" applyFont="true" borderId="8" applyBorder="true" applyNumberFormat="true" numFmtId="1" fillId="22" applyFill="true">
      <alignment horizontal="center" vertical="center"/>
    </xf>
    <xf fontId="11160" applyFont="true" borderId="8" applyBorder="true" applyNumberFormat="true" numFmtId="1" fillId="22" applyFill="true">
      <alignment horizontal="center" vertical="center"/>
    </xf>
    <xf fontId="11161" applyFont="true" borderId="8" applyBorder="true" applyNumberFormat="true" numFmtId="1" fillId="22" applyFill="true">
      <alignment horizontal="center" vertical="center"/>
    </xf>
    <xf fontId="11162" applyFont="true" borderId="8" applyBorder="true" applyNumberFormat="true" numFmtId="1" fillId="22" applyFill="true">
      <alignment horizontal="center" vertical="center"/>
    </xf>
    <xf fontId="11163" applyFont="true" borderId="8" applyBorder="true" applyNumberFormat="true" numFmtId="1" fillId="22" applyFill="true">
      <alignment horizontal="center" vertical="center"/>
    </xf>
    <xf fontId="11164" applyFont="true" borderId="8" applyBorder="true" applyNumberFormat="true" numFmtId="1" fillId="22" applyFill="true">
      <alignment horizontal="center" vertical="center"/>
    </xf>
    <xf fontId="11165" applyFont="true" borderId="8" applyBorder="true" applyNumberFormat="true" numFmtId="165" fillId="22" applyFill="true">
      <alignment horizontal="center" vertical="center"/>
    </xf>
    <xf fontId="11166" applyFont="true" borderId="8" applyBorder="true" applyNumberFormat="true" numFmtId="165" fillId="22" applyFill="true">
      <alignment horizontal="center" vertical="center"/>
    </xf>
    <xf fontId="11167" applyFont="true" borderId="8" applyBorder="true" applyNumberFormat="true" numFmtId="1" fillId="22" applyFill="true">
      <alignment horizontal="center" vertical="center"/>
    </xf>
    <xf fontId="11168" applyFont="true" borderId="8" applyBorder="true" applyNumberFormat="true" numFmtId="1" fillId="22" applyFill="true">
      <alignment horizontal="center" vertical="center"/>
    </xf>
    <xf fontId="11169" applyFont="true" borderId="8" applyBorder="true" applyNumberFormat="true" numFmtId="1" fillId="22" applyFill="true">
      <alignment horizontal="center" vertical="center"/>
    </xf>
    <xf fontId="11170" applyFont="true" borderId="8" applyBorder="true" applyNumberFormat="true" numFmtId="167" fillId="22" applyFill="true">
      <alignment horizontal="center" vertical="center"/>
    </xf>
    <xf fontId="11171" applyFont="true" borderId="8" applyBorder="true" applyNumberFormat="true" numFmtId="1" fillId="22" applyFill="true">
      <alignment horizontal="center" vertical="center"/>
    </xf>
    <xf fontId="11172" applyFont="true" borderId="8" applyBorder="true" applyNumberFormat="true" numFmtId="167" fillId="22" applyFill="true">
      <alignment horizontal="center" vertical="center"/>
    </xf>
    <xf fontId="11173" applyFont="true" borderId="8" applyBorder="true" applyNumberFormat="true" numFmtId="1" fillId="22" applyFill="true">
      <alignment horizontal="center" vertical="center"/>
    </xf>
    <xf fontId="11174" applyFont="true" borderId="8" applyBorder="true" applyNumberFormat="true" numFmtId="167" fillId="22" applyFill="true">
      <alignment horizontal="center" vertical="center"/>
    </xf>
    <xf fontId="11175" applyFont="true" borderId="8" applyBorder="true" applyNumberFormat="true" numFmtId="1" fillId="22" applyFill="true">
      <alignment horizontal="center" vertical="center"/>
    </xf>
    <xf fontId="11176" applyFont="true" borderId="8" applyBorder="true" applyNumberFormat="true" numFmtId="167" fillId="22" applyFill="true">
      <alignment horizontal="center" vertical="center"/>
    </xf>
    <xf fontId="11177" applyFont="true" borderId="8" applyBorder="true" applyNumberFormat="true" numFmtId="167" fillId="22" applyFill="true">
      <alignment horizontal="center" vertical="center"/>
    </xf>
    <xf fontId="11178" applyFont="true" borderId="8" applyBorder="true" applyNumberFormat="true" numFmtId="1" fillId="22" applyFill="true">
      <alignment horizontal="center" vertical="center"/>
    </xf>
    <xf fontId="11179" applyFont="true" borderId="8" applyBorder="true" applyNumberFormat="true" numFmtId="1" fillId="22" applyFill="true">
      <alignment horizontal="center" vertical="center"/>
    </xf>
    <xf fontId="11180" applyFont="true" borderId="8" applyBorder="true" applyNumberFormat="true" numFmtId="1" fillId="22" applyFill="true">
      <alignment horizontal="center" vertical="center"/>
    </xf>
    <xf fontId="11181" applyFont="true" borderId="8" applyBorder="true" applyNumberFormat="true" numFmtId="167" fillId="22" applyFill="true">
      <alignment horizontal="center" vertical="center"/>
    </xf>
    <xf fontId="11182" applyFont="true" borderId="8" applyBorder="true" applyNumberFormat="true" numFmtId="166" fillId="22" applyFill="true">
      <alignment horizontal="center" vertical="center"/>
    </xf>
    <xf fontId="11183" applyFont="true" borderId="8" applyBorder="true" applyNumberFormat="true" numFmtId="166" fillId="22" applyFill="true">
      <alignment horizontal="center" vertical="center"/>
    </xf>
    <xf fontId="11184" applyFont="true" borderId="8" applyBorder="true" applyNumberFormat="true" numFmtId="1" fillId="22" applyFill="true">
      <alignment horizontal="center" vertical="center"/>
    </xf>
    <xf fontId="11185" applyFont="true" borderId="8" applyBorder="true" applyNumberFormat="true" numFmtId="1" fillId="22" applyFill="true">
      <alignment horizontal="center" vertical="center"/>
    </xf>
    <xf fontId="11186" applyFont="true" borderId="8" applyBorder="true" applyNumberFormat="true" numFmtId="1" fillId="22" applyFill="true">
      <alignment horizontal="center" vertical="center"/>
    </xf>
    <xf fontId="11187" applyFont="true" borderId="8" applyBorder="true" applyNumberFormat="true" numFmtId="167" fillId="22" applyFill="true">
      <alignment horizontal="center" vertical="center"/>
    </xf>
    <xf fontId="11188" applyFont="true" borderId="8" applyBorder="true" applyNumberFormat="true" numFmtId="1" fillId="22" applyFill="true">
      <alignment horizontal="center" vertical="center"/>
    </xf>
    <xf fontId="11189" applyFont="true" borderId="8" applyBorder="true" applyNumberFormat="true" numFmtId="167" fillId="22" applyFill="true">
      <alignment horizontal="center" vertical="center"/>
    </xf>
    <xf fontId="11190" applyFont="true" borderId="8" applyBorder="true" applyNumberFormat="true" numFmtId="1" fillId="22" applyFill="true">
      <alignment horizontal="center" vertical="center"/>
    </xf>
    <xf fontId="11191" applyFont="true" borderId="8" applyBorder="true" applyNumberFormat="true" numFmtId="1" fillId="22" applyFill="true">
      <alignment horizontal="center" vertical="center"/>
    </xf>
    <xf fontId="11192" applyFont="true" borderId="8" applyBorder="true" applyNumberFormat="true" numFmtId="1" fillId="22" applyFill="true">
      <alignment horizontal="center" vertical="center"/>
    </xf>
    <xf fontId="11193" applyFont="true" borderId="8" applyBorder="true" applyNumberFormat="true" numFmtId="1" fillId="22" applyFill="true">
      <alignment horizontal="center" vertical="center"/>
    </xf>
    <xf fontId="11194" applyFont="true" borderId="8" applyBorder="true" applyNumberFormat="true" numFmtId="167" fillId="22" applyFill="true">
      <alignment horizontal="center" vertical="center"/>
    </xf>
    <xf fontId="11195" applyFont="true" borderId="8" applyBorder="true" applyNumberFormat="true" numFmtId="1" fillId="22" applyFill="true">
      <alignment horizontal="center" vertical="center"/>
    </xf>
    <xf fontId="11196" applyFont="true" borderId="8" applyBorder="true" applyNumberFormat="true" numFmtId="167" fillId="22" applyFill="true">
      <alignment horizontal="center" vertical="center"/>
    </xf>
    <xf fontId="11197" applyFont="true" borderId="8" applyBorder="true" applyNumberFormat="true" numFmtId="1" fillId="22" applyFill="true">
      <alignment horizontal="center" vertical="center"/>
    </xf>
    <xf fontId="11198" applyFont="true" borderId="8" applyBorder="true" applyNumberFormat="true" numFmtId="167" fillId="22" applyFill="true">
      <alignment horizontal="center" vertical="center"/>
    </xf>
    <xf fontId="11199" applyFont="true" borderId="8" applyBorder="true" applyNumberFormat="true" numFmtId="2" fillId="22" applyFill="true">
      <alignment horizontal="center" vertical="center"/>
    </xf>
    <xf fontId="11200" applyFont="true" borderId="8" applyBorder="true" applyNumberFormat="true" numFmtId="2" fillId="22" applyFill="true">
      <alignment horizontal="center" vertical="center"/>
    </xf>
    <xf fontId="11201" applyFont="true" borderId="8" applyBorder="true" applyNumberFormat="true" numFmtId="2" fillId="22" applyFill="true">
      <alignment horizontal="center" vertical="center"/>
    </xf>
    <xf fontId="11202" applyFont="true" borderId="8" applyBorder="true" applyNumberFormat="true" numFmtId="2" fillId="22" applyFill="true">
      <alignment horizontal="center" vertical="center"/>
    </xf>
    <xf fontId="11203" applyFont="true" borderId="8" applyBorder="true" applyNumberFormat="true" numFmtId="2" fillId="22" applyFill="true">
      <alignment horizontal="center" vertical="center"/>
    </xf>
    <xf fontId="11204" applyFont="true" borderId="8" applyBorder="true" applyNumberFormat="true" numFmtId="2" fillId="22" applyFill="true">
      <alignment horizontal="center" vertical="center"/>
    </xf>
    <xf fontId="11205" applyFont="true" borderId="8" applyBorder="true" applyNumberFormat="true" numFmtId="2" fillId="22" applyFill="true">
      <alignment horizontal="center" vertical="center"/>
    </xf>
    <xf fontId="11206" applyFont="true" borderId="8" applyBorder="true" applyNumberFormat="true" numFmtId="2" fillId="22" applyFill="true">
      <alignment horizontal="center" vertical="center"/>
    </xf>
    <xf fontId="11207" applyFont="true" borderId="8" applyBorder="true" applyNumberFormat="true" numFmtId="2" fillId="22" applyFill="true">
      <alignment horizontal="center" vertical="center"/>
    </xf>
    <xf fontId="11208" applyFont="true" borderId="8" applyBorder="true" applyNumberFormat="true" numFmtId="2" fillId="22" applyFill="true">
      <alignment horizontal="center" vertical="center"/>
    </xf>
    <xf fontId="11209" applyFont="true" borderId="8" applyBorder="true" applyNumberFormat="true" numFmtId="2" fillId="22" applyFill="true">
      <alignment horizontal="center" vertical="center"/>
    </xf>
    <xf fontId="11210" applyFont="true" borderId="8" applyBorder="true" applyNumberFormat="true" numFmtId="2" fillId="22" applyFill="true">
      <alignment horizontal="center" vertical="center"/>
    </xf>
    <xf fontId="11211" applyFont="true" borderId="8" applyBorder="true" applyNumberFormat="true" numFmtId="2" fillId="22" applyFill="true">
      <alignment horizontal="center" vertical="center"/>
    </xf>
    <xf fontId="11212" applyFont="true" borderId="8" applyBorder="true" applyNumberFormat="true" numFmtId="2" fillId="22" applyFill="true">
      <alignment horizontal="center" vertical="center"/>
    </xf>
    <xf fontId="11213" applyFont="true" borderId="8" applyBorder="true" applyNumberFormat="true" numFmtId="2" fillId="22" applyFill="true">
      <alignment horizontal="center" vertical="center"/>
    </xf>
    <xf fontId="11214" applyFont="true" borderId="8" applyBorder="true" applyNumberFormat="true" numFmtId="2" fillId="22" applyFill="true">
      <alignment horizontal="center" vertical="center"/>
    </xf>
    <xf fontId="11215" applyFont="true" borderId="8" applyBorder="true" applyNumberFormat="true" numFmtId="2" fillId="22" applyFill="true">
      <alignment horizontal="center" vertical="center"/>
    </xf>
    <xf fontId="11216" applyFont="true" borderId="8" applyBorder="true" applyNumberFormat="true" numFmtId="2" fillId="22" applyFill="true">
      <alignment horizontal="center" vertical="center"/>
    </xf>
    <xf fontId="11217" applyFont="true" borderId="8" applyBorder="true" applyNumberFormat="true" numFmtId="2" fillId="22" applyFill="true">
      <alignment horizontal="center" vertical="center"/>
    </xf>
    <xf fontId="11218" applyFont="true" borderId="8" applyBorder="true" applyNumberFormat="true" numFmtId="2" fillId="22" applyFill="true">
      <alignment horizontal="center" vertical="center"/>
    </xf>
    <xf fontId="11219" applyFont="true" borderId="8" applyBorder="true" applyNumberFormat="true" numFmtId="2" fillId="22" applyFill="true">
      <alignment horizontal="center" vertical="center"/>
    </xf>
    <xf fontId="11220" applyFont="true" borderId="8" applyBorder="true" applyNumberFormat="true" numFmtId="2" fillId="22" applyFill="true">
      <alignment horizontal="center" vertical="center"/>
    </xf>
    <xf fontId="11221" applyFont="true" borderId="8" applyBorder="true" applyNumberFormat="true" numFmtId="2" fillId="22" applyFill="true">
      <alignment horizontal="center" vertical="center"/>
    </xf>
    <xf fontId="11222" applyFont="true" borderId="8" applyBorder="true" applyNumberFormat="true" numFmtId="2" fillId="22" applyFill="true">
      <alignment horizontal="center" vertical="center"/>
    </xf>
    <xf fontId="11223" applyFont="true" borderId="8" applyBorder="true" applyNumberFormat="true" numFmtId="2" fillId="22" applyFill="true">
      <alignment horizontal="center" vertical="center"/>
    </xf>
    <xf fontId="11224" applyFont="true" borderId="8" applyBorder="true" applyNumberFormat="true" numFmtId="2" fillId="22" applyFill="true">
      <alignment horizontal="center" vertical="center"/>
    </xf>
    <xf fontId="11225" applyFont="true" borderId="8" applyBorder="true" applyNumberFormat="true" numFmtId="2" fillId="22" applyFill="true">
      <alignment horizontal="center" vertical="center"/>
    </xf>
    <xf fontId="11226" applyFont="true" borderId="8" applyBorder="true" applyNumberFormat="true" numFmtId="2" fillId="22" applyFill="true">
      <alignment horizontal="center" vertical="center"/>
    </xf>
    <xf fontId="11227" applyFont="true" borderId="8" applyBorder="true" applyNumberFormat="true" numFmtId="2" fillId="22" applyFill="true">
      <alignment horizontal="center" vertical="center"/>
    </xf>
    <xf fontId="11228" applyFont="true" borderId="8" applyBorder="true" applyNumberFormat="true" numFmtId="2" fillId="22" applyFill="true">
      <alignment horizontal="center" vertical="center"/>
    </xf>
    <xf fontId="11229" applyFont="true" borderId="8" applyBorder="true" applyNumberFormat="true" numFmtId="2" fillId="22" applyFill="true">
      <alignment horizontal="center" vertical="center"/>
    </xf>
    <xf fontId="11230" applyFont="true" borderId="8" applyBorder="true" applyNumberFormat="true" numFmtId="2" fillId="22" applyFill="true">
      <alignment horizontal="center" vertical="center"/>
    </xf>
    <xf fontId="11231" applyFont="true" borderId="8" applyBorder="true" applyNumberFormat="true" numFmtId="2" fillId="22" applyFill="true">
      <alignment horizontal="center" vertical="center"/>
    </xf>
    <xf fontId="11232" applyFont="true" borderId="8" applyBorder="true" applyNumberFormat="true" numFmtId="2" fillId="22" applyFill="true">
      <alignment horizontal="center" vertical="center"/>
    </xf>
    <xf fontId="11233" applyFont="true" borderId="8" applyBorder="true" applyNumberFormat="true" numFmtId="165" fillId="19" applyFill="true">
      <alignment horizontal="left" vertical="center"/>
    </xf>
    <xf fontId="11234" applyFont="true" borderId="8" applyBorder="true" applyNumberFormat="true" numFmtId="165" fillId="22" applyFill="true">
      <alignment horizontal="center" vertical="center"/>
    </xf>
    <xf fontId="11235" applyFont="true" borderId="8" applyBorder="true" applyNumberFormat="true" numFmtId="166" fillId="22" applyFill="true">
      <alignment horizontal="center" vertical="center"/>
    </xf>
    <xf fontId="11236" applyFont="true" borderId="8" applyBorder="true" applyNumberFormat="true" numFmtId="1" fillId="22" applyFill="true">
      <alignment horizontal="center" vertical="center"/>
    </xf>
    <xf fontId="11237" applyFont="true" borderId="8" applyBorder="true" applyNumberFormat="true" numFmtId="1" fillId="22" applyFill="true">
      <alignment horizontal="center" vertical="center"/>
    </xf>
    <xf fontId="11238" applyFont="true" borderId="8" applyBorder="true" applyNumberFormat="true" numFmtId="1" fillId="22" applyFill="true">
      <alignment horizontal="center" vertical="center"/>
    </xf>
    <xf fontId="11239" applyFont="true" borderId="8" applyBorder="true" applyNumberFormat="true" numFmtId="1" fillId="22" applyFill="true">
      <alignment horizontal="center" vertical="center"/>
    </xf>
    <xf fontId="11240" applyFont="true" borderId="8" applyBorder="true" applyNumberFormat="true" numFmtId="1" fillId="22" applyFill="true">
      <alignment horizontal="center" vertical="center"/>
    </xf>
    <xf fontId="11241" applyFont="true" borderId="8" applyBorder="true" applyNumberFormat="true" numFmtId="1" fillId="22" applyFill="true">
      <alignment horizontal="center" vertical="center"/>
    </xf>
    <xf fontId="11242" applyFont="true" borderId="8" applyBorder="true" applyNumberFormat="true" numFmtId="1" fillId="22" applyFill="true">
      <alignment horizontal="center" vertical="center"/>
    </xf>
    <xf fontId="11243" applyFont="true" borderId="8" applyBorder="true" applyNumberFormat="true" numFmtId="165" fillId="22" applyFill="true">
      <alignment horizontal="center" vertical="center"/>
    </xf>
    <xf fontId="11244" applyFont="true" borderId="8" applyBorder="true" applyNumberFormat="true" numFmtId="165" fillId="22" applyFill="true">
      <alignment horizontal="center" vertical="center"/>
    </xf>
    <xf fontId="11245" applyFont="true" borderId="8" applyBorder="true" applyNumberFormat="true" numFmtId="1" fillId="22" applyFill="true">
      <alignment horizontal="center" vertical="center"/>
    </xf>
    <xf fontId="11246" applyFont="true" borderId="8" applyBorder="true" applyNumberFormat="true" numFmtId="1" fillId="22" applyFill="true">
      <alignment horizontal="center" vertical="center"/>
    </xf>
    <xf fontId="11247" applyFont="true" borderId="8" applyBorder="true" applyNumberFormat="true" numFmtId="1" fillId="22" applyFill="true">
      <alignment horizontal="center" vertical="center"/>
    </xf>
    <xf fontId="11248" applyFont="true" borderId="8" applyBorder="true" applyNumberFormat="true" numFmtId="167" fillId="22" applyFill="true">
      <alignment horizontal="center" vertical="center"/>
    </xf>
    <xf fontId="11249" applyFont="true" borderId="8" applyBorder="true" applyNumberFormat="true" numFmtId="1" fillId="22" applyFill="true">
      <alignment horizontal="center" vertical="center"/>
    </xf>
    <xf fontId="11250" applyFont="true" borderId="8" applyBorder="true" applyNumberFormat="true" numFmtId="167" fillId="22" applyFill="true">
      <alignment horizontal="center" vertical="center"/>
    </xf>
    <xf fontId="11251" applyFont="true" borderId="8" applyBorder="true" applyNumberFormat="true" numFmtId="1" fillId="22" applyFill="true">
      <alignment horizontal="center" vertical="center"/>
    </xf>
    <xf fontId="11252" applyFont="true" borderId="8" applyBorder="true" applyNumberFormat="true" numFmtId="167" fillId="22" applyFill="true">
      <alignment horizontal="center" vertical="center"/>
    </xf>
    <xf fontId="11253" applyFont="true" borderId="8" applyBorder="true" applyNumberFormat="true" numFmtId="1" fillId="22" applyFill="true">
      <alignment horizontal="center" vertical="center"/>
    </xf>
    <xf fontId="11254" applyFont="true" borderId="8" applyBorder="true" applyNumberFormat="true" numFmtId="167" fillId="22" applyFill="true">
      <alignment horizontal="center" vertical="center"/>
    </xf>
    <xf fontId="11255" applyFont="true" borderId="8" applyBorder="true" applyNumberFormat="true" numFmtId="167" fillId="22" applyFill="true">
      <alignment horizontal="center" vertical="center"/>
    </xf>
    <xf fontId="11256" applyFont="true" borderId="8" applyBorder="true" applyNumberFormat="true" numFmtId="1" fillId="22" applyFill="true">
      <alignment horizontal="center" vertical="center"/>
    </xf>
    <xf fontId="11257" applyFont="true" borderId="8" applyBorder="true" applyNumberFormat="true" numFmtId="1" fillId="22" applyFill="true">
      <alignment horizontal="center" vertical="center"/>
    </xf>
    <xf fontId="11258" applyFont="true" borderId="8" applyBorder="true" applyNumberFormat="true" numFmtId="1" fillId="22" applyFill="true">
      <alignment horizontal="center" vertical="center"/>
    </xf>
    <xf fontId="11259" applyFont="true" borderId="8" applyBorder="true" applyNumberFormat="true" numFmtId="167" fillId="22" applyFill="true">
      <alignment horizontal="center" vertical="center"/>
    </xf>
    <xf fontId="11260" applyFont="true" borderId="8" applyBorder="true" applyNumberFormat="true" numFmtId="166" fillId="22" applyFill="true">
      <alignment horizontal="center" vertical="center"/>
    </xf>
    <xf fontId="11261" applyFont="true" borderId="8" applyBorder="true" applyNumberFormat="true" numFmtId="166" fillId="22" applyFill="true">
      <alignment horizontal="center" vertical="center"/>
    </xf>
    <xf fontId="11262" applyFont="true" borderId="8" applyBorder="true" applyNumberFormat="true" numFmtId="1" fillId="22" applyFill="true">
      <alignment horizontal="center" vertical="center"/>
    </xf>
    <xf fontId="11263" applyFont="true" borderId="8" applyBorder="true" applyNumberFormat="true" numFmtId="1" fillId="22" applyFill="true">
      <alignment horizontal="center" vertical="center"/>
    </xf>
    <xf fontId="11264" applyFont="true" borderId="8" applyBorder="true" applyNumberFormat="true" numFmtId="1" fillId="22" applyFill="true">
      <alignment horizontal="center" vertical="center"/>
    </xf>
    <xf fontId="11265" applyFont="true" borderId="8" applyBorder="true" applyNumberFormat="true" numFmtId="167" fillId="22" applyFill="true">
      <alignment horizontal="center" vertical="center"/>
    </xf>
    <xf fontId="11266" applyFont="true" borderId="8" applyBorder="true" applyNumberFormat="true" numFmtId="1" fillId="22" applyFill="true">
      <alignment horizontal="center" vertical="center"/>
    </xf>
    <xf fontId="11267" applyFont="true" borderId="8" applyBorder="true" applyNumberFormat="true" numFmtId="167" fillId="22" applyFill="true">
      <alignment horizontal="center" vertical="center"/>
    </xf>
    <xf fontId="11268" applyFont="true" borderId="8" applyBorder="true" applyNumberFormat="true" numFmtId="1" fillId="22" applyFill="true">
      <alignment horizontal="center" vertical="center"/>
    </xf>
    <xf fontId="11269" applyFont="true" borderId="8" applyBorder="true" applyNumberFormat="true" numFmtId="1" fillId="22" applyFill="true">
      <alignment horizontal="center" vertical="center"/>
    </xf>
    <xf fontId="11270" applyFont="true" borderId="8" applyBorder="true" applyNumberFormat="true" numFmtId="1" fillId="22" applyFill="true">
      <alignment horizontal="center" vertical="center"/>
    </xf>
    <xf fontId="11271" applyFont="true" borderId="8" applyBorder="true" applyNumberFormat="true" numFmtId="1" fillId="22" applyFill="true">
      <alignment horizontal="center" vertical="center"/>
    </xf>
    <xf fontId="11272" applyFont="true" borderId="8" applyBorder="true" applyNumberFormat="true" numFmtId="167" fillId="22" applyFill="true">
      <alignment horizontal="center" vertical="center"/>
    </xf>
    <xf fontId="11273" applyFont="true" borderId="8" applyBorder="true" applyNumberFormat="true" numFmtId="1" fillId="22" applyFill="true">
      <alignment horizontal="center" vertical="center"/>
    </xf>
    <xf fontId="11274" applyFont="true" borderId="8" applyBorder="true" applyNumberFormat="true" numFmtId="167" fillId="22" applyFill="true">
      <alignment horizontal="center" vertical="center"/>
    </xf>
    <xf fontId="11275" applyFont="true" borderId="8" applyBorder="true" applyNumberFormat="true" numFmtId="1" fillId="22" applyFill="true">
      <alignment horizontal="center" vertical="center"/>
    </xf>
    <xf fontId="11276" applyFont="true" borderId="8" applyBorder="true" applyNumberFormat="true" numFmtId="167" fillId="22" applyFill="true">
      <alignment horizontal="center" vertical="center"/>
    </xf>
    <xf fontId="11277" applyFont="true" borderId="8" applyBorder="true" applyNumberFormat="true" numFmtId="2" fillId="22" applyFill="true">
      <alignment horizontal="center" vertical="center"/>
    </xf>
    <xf fontId="11278" applyFont="true" borderId="8" applyBorder="true" applyNumberFormat="true" numFmtId="2" fillId="22" applyFill="true">
      <alignment horizontal="center" vertical="center"/>
    </xf>
    <xf fontId="11279" applyFont="true" borderId="8" applyBorder="true" applyNumberFormat="true" numFmtId="2" fillId="22" applyFill="true">
      <alignment horizontal="center" vertical="center"/>
    </xf>
    <xf fontId="11280" applyFont="true" borderId="8" applyBorder="true" applyNumberFormat="true" numFmtId="2" fillId="22" applyFill="true">
      <alignment horizontal="center" vertical="center"/>
    </xf>
    <xf fontId="11281" applyFont="true" borderId="8" applyBorder="true" applyNumberFormat="true" numFmtId="2" fillId="22" applyFill="true">
      <alignment horizontal="center" vertical="center"/>
    </xf>
    <xf fontId="11282" applyFont="true" borderId="8" applyBorder="true" applyNumberFormat="true" numFmtId="2" fillId="22" applyFill="true">
      <alignment horizontal="center" vertical="center"/>
    </xf>
    <xf fontId="11283" applyFont="true" borderId="8" applyBorder="true" applyNumberFormat="true" numFmtId="2" fillId="22" applyFill="true">
      <alignment horizontal="center" vertical="center"/>
    </xf>
    <xf fontId="11284" applyFont="true" borderId="8" applyBorder="true" applyNumberFormat="true" numFmtId="2" fillId="22" applyFill="true">
      <alignment horizontal="center" vertical="center"/>
    </xf>
    <xf fontId="11285" applyFont="true" borderId="8" applyBorder="true" applyNumberFormat="true" numFmtId="2" fillId="22" applyFill="true">
      <alignment horizontal="center" vertical="center"/>
    </xf>
    <xf fontId="11286" applyFont="true" borderId="8" applyBorder="true" applyNumberFormat="true" numFmtId="2" fillId="22" applyFill="true">
      <alignment horizontal="center" vertical="center"/>
    </xf>
    <xf fontId="11287" applyFont="true" borderId="8" applyBorder="true" applyNumberFormat="true" numFmtId="2" fillId="22" applyFill="true">
      <alignment horizontal="center" vertical="center"/>
    </xf>
    <xf fontId="11288" applyFont="true" borderId="8" applyBorder="true" applyNumberFormat="true" numFmtId="2" fillId="22" applyFill="true">
      <alignment horizontal="center" vertical="center"/>
    </xf>
    <xf fontId="11289" applyFont="true" borderId="8" applyBorder="true" applyNumberFormat="true" numFmtId="2" fillId="22" applyFill="true">
      <alignment horizontal="center" vertical="center"/>
    </xf>
    <xf fontId="11290" applyFont="true" borderId="8" applyBorder="true" applyNumberFormat="true" numFmtId="2" fillId="22" applyFill="true">
      <alignment horizontal="center" vertical="center"/>
    </xf>
    <xf fontId="11291" applyFont="true" borderId="8" applyBorder="true" applyNumberFormat="true" numFmtId="2" fillId="22" applyFill="true">
      <alignment horizontal="center" vertical="center"/>
    </xf>
    <xf fontId="11292" applyFont="true" borderId="8" applyBorder="true" applyNumberFormat="true" numFmtId="2" fillId="22" applyFill="true">
      <alignment horizontal="center" vertical="center"/>
    </xf>
    <xf fontId="11293" applyFont="true" borderId="8" applyBorder="true" applyNumberFormat="true" numFmtId="2" fillId="22" applyFill="true">
      <alignment horizontal="center" vertical="center"/>
    </xf>
    <xf fontId="11294" applyFont="true" borderId="8" applyBorder="true" applyNumberFormat="true" numFmtId="2" fillId="22" applyFill="true">
      <alignment horizontal="center" vertical="center"/>
    </xf>
    <xf fontId="11295" applyFont="true" borderId="8" applyBorder="true" applyNumberFormat="true" numFmtId="2" fillId="22" applyFill="true">
      <alignment horizontal="center" vertical="center"/>
    </xf>
    <xf fontId="11296" applyFont="true" borderId="8" applyBorder="true" applyNumberFormat="true" numFmtId="2" fillId="22" applyFill="true">
      <alignment horizontal="center" vertical="center"/>
    </xf>
    <xf fontId="11297" applyFont="true" borderId="8" applyBorder="true" applyNumberFormat="true" numFmtId="2" fillId="22" applyFill="true">
      <alignment horizontal="center" vertical="center"/>
    </xf>
    <xf fontId="11298" applyFont="true" borderId="8" applyBorder="true" applyNumberFormat="true" numFmtId="2" fillId="22" applyFill="true">
      <alignment horizontal="center" vertical="center"/>
    </xf>
    <xf fontId="11299" applyFont="true" borderId="8" applyBorder="true" applyNumberFormat="true" numFmtId="2" fillId="22" applyFill="true">
      <alignment horizontal="center" vertical="center"/>
    </xf>
    <xf fontId="11300" applyFont="true" borderId="8" applyBorder="true" applyNumberFormat="true" numFmtId="2" fillId="22" applyFill="true">
      <alignment horizontal="center" vertical="center"/>
    </xf>
    <xf fontId="11301" applyFont="true" borderId="8" applyBorder="true" applyNumberFormat="true" numFmtId="2" fillId="22" applyFill="true">
      <alignment horizontal="center" vertical="center"/>
    </xf>
    <xf fontId="11302" applyFont="true" borderId="8" applyBorder="true" applyNumberFormat="true" numFmtId="2" fillId="22" applyFill="true">
      <alignment horizontal="center" vertical="center"/>
    </xf>
    <xf fontId="11303" applyFont="true" borderId="8" applyBorder="true" applyNumberFormat="true" numFmtId="2" fillId="22" applyFill="true">
      <alignment horizontal="center" vertical="center"/>
    </xf>
    <xf fontId="11304" applyFont="true" borderId="8" applyBorder="true" applyNumberFormat="true" numFmtId="2" fillId="22" applyFill="true">
      <alignment horizontal="center" vertical="center"/>
    </xf>
    <xf fontId="11305" applyFont="true" borderId="8" applyBorder="true" applyNumberFormat="true" numFmtId="2" fillId="22" applyFill="true">
      <alignment horizontal="center" vertical="center"/>
    </xf>
    <xf fontId="11306" applyFont="true" borderId="8" applyBorder="true" applyNumberFormat="true" numFmtId="2" fillId="22" applyFill="true">
      <alignment horizontal="center" vertical="center"/>
    </xf>
    <xf fontId="11307" applyFont="true" borderId="8" applyBorder="true" applyNumberFormat="true" numFmtId="2" fillId="22" applyFill="true">
      <alignment horizontal="center" vertical="center"/>
    </xf>
    <xf fontId="11308" applyFont="true" borderId="8" applyBorder="true" applyNumberFormat="true" numFmtId="2" fillId="22" applyFill="true">
      <alignment horizontal="center" vertical="center"/>
    </xf>
    <xf fontId="11309" applyFont="true" borderId="8" applyBorder="true" applyNumberFormat="true" numFmtId="2" fillId="22" applyFill="true">
      <alignment horizontal="center" vertical="center"/>
    </xf>
    <xf fontId="11310" applyFont="true" borderId="8" applyBorder="true" applyNumberFormat="true" numFmtId="2" fillId="22" applyFill="true">
      <alignment horizontal="center" vertical="center"/>
    </xf>
    <xf fontId="11311" applyFont="true" borderId="8" applyBorder="true" applyNumberFormat="true" numFmtId="165" fillId="19" applyFill="true">
      <alignment horizontal="left" vertical="center"/>
    </xf>
    <xf fontId="11312" applyFont="true" borderId="8" applyBorder="true" applyNumberFormat="true" numFmtId="165" fillId="22" applyFill="true">
      <alignment horizontal="center" vertical="center"/>
    </xf>
    <xf fontId="11313" applyFont="true" borderId="8" applyBorder="true" applyNumberFormat="true" numFmtId="166" fillId="22" applyFill="true">
      <alignment horizontal="center" vertical="center"/>
    </xf>
    <xf fontId="11314" applyFont="true" borderId="8" applyBorder="true" applyNumberFormat="true" numFmtId="1" fillId="22" applyFill="true">
      <alignment horizontal="center" vertical="center"/>
    </xf>
    <xf fontId="11315" applyFont="true" borderId="8" applyBorder="true" applyNumberFormat="true" numFmtId="1" fillId="22" applyFill="true">
      <alignment horizontal="center" vertical="center"/>
    </xf>
    <xf fontId="11316" applyFont="true" borderId="8" applyBorder="true" applyNumberFormat="true" numFmtId="1" fillId="22" applyFill="true">
      <alignment horizontal="center" vertical="center"/>
    </xf>
    <xf fontId="11317" applyFont="true" borderId="8" applyBorder="true" applyNumberFormat="true" numFmtId="1" fillId="22" applyFill="true">
      <alignment horizontal="center" vertical="center"/>
    </xf>
    <xf fontId="11318" applyFont="true" borderId="8" applyBorder="true" applyNumberFormat="true" numFmtId="1" fillId="22" applyFill="true">
      <alignment horizontal="center" vertical="center"/>
    </xf>
    <xf fontId="11319" applyFont="true" borderId="8" applyBorder="true" applyNumberFormat="true" numFmtId="1" fillId="22" applyFill="true">
      <alignment horizontal="center" vertical="center"/>
    </xf>
    <xf fontId="11320" applyFont="true" borderId="8" applyBorder="true" applyNumberFormat="true" numFmtId="1" fillId="22" applyFill="true">
      <alignment horizontal="center" vertical="center"/>
    </xf>
    <xf fontId="11321" applyFont="true" borderId="8" applyBorder="true" applyNumberFormat="true" numFmtId="165" fillId="22" applyFill="true">
      <alignment horizontal="center" vertical="center"/>
    </xf>
    <xf fontId="11322" applyFont="true" borderId="8" applyBorder="true" applyNumberFormat="true" numFmtId="165" fillId="22" applyFill="true">
      <alignment horizontal="center" vertical="center"/>
    </xf>
    <xf fontId="11323" applyFont="true" borderId="8" applyBorder="true" applyNumberFormat="true" numFmtId="1" fillId="22" applyFill="true">
      <alignment horizontal="center" vertical="center"/>
    </xf>
    <xf fontId="11324" applyFont="true" borderId="8" applyBorder="true" applyNumberFormat="true" numFmtId="1" fillId="22" applyFill="true">
      <alignment horizontal="center" vertical="center"/>
    </xf>
    <xf fontId="11325" applyFont="true" borderId="8" applyBorder="true" applyNumberFormat="true" numFmtId="1" fillId="22" applyFill="true">
      <alignment horizontal="center" vertical="center"/>
    </xf>
    <xf fontId="11326" applyFont="true" borderId="8" applyBorder="true" applyNumberFormat="true" numFmtId="167" fillId="22" applyFill="true">
      <alignment horizontal="center" vertical="center"/>
    </xf>
    <xf fontId="11327" applyFont="true" borderId="8" applyBorder="true" applyNumberFormat="true" numFmtId="1" fillId="22" applyFill="true">
      <alignment horizontal="center" vertical="center"/>
    </xf>
    <xf fontId="11328" applyFont="true" borderId="8" applyBorder="true" applyNumberFormat="true" numFmtId="167" fillId="22" applyFill="true">
      <alignment horizontal="center" vertical="center"/>
    </xf>
    <xf fontId="11329" applyFont="true" borderId="8" applyBorder="true" applyNumberFormat="true" numFmtId="1" fillId="22" applyFill="true">
      <alignment horizontal="center" vertical="center"/>
    </xf>
    <xf fontId="11330" applyFont="true" borderId="8" applyBorder="true" applyNumberFormat="true" numFmtId="167" fillId="22" applyFill="true">
      <alignment horizontal="center" vertical="center"/>
    </xf>
    <xf fontId="11331" applyFont="true" borderId="8" applyBorder="true" applyNumberFormat="true" numFmtId="1" fillId="22" applyFill="true">
      <alignment horizontal="center" vertical="center"/>
    </xf>
    <xf fontId="11332" applyFont="true" borderId="8" applyBorder="true" applyNumberFormat="true" numFmtId="167" fillId="22" applyFill="true">
      <alignment horizontal="center" vertical="center"/>
    </xf>
    <xf fontId="11333" applyFont="true" borderId="8" applyBorder="true" applyNumberFormat="true" numFmtId="167" fillId="22" applyFill="true">
      <alignment horizontal="center" vertical="center"/>
    </xf>
    <xf fontId="11334" applyFont="true" borderId="8" applyBorder="true" applyNumberFormat="true" numFmtId="1" fillId="22" applyFill="true">
      <alignment horizontal="center" vertical="center"/>
    </xf>
    <xf fontId="11335" applyFont="true" borderId="8" applyBorder="true" applyNumberFormat="true" numFmtId="1" fillId="22" applyFill="true">
      <alignment horizontal="center" vertical="center"/>
    </xf>
    <xf fontId="11336" applyFont="true" borderId="8" applyBorder="true" applyNumberFormat="true" numFmtId="1" fillId="22" applyFill="true">
      <alignment horizontal="center" vertical="center"/>
    </xf>
    <xf fontId="11337" applyFont="true" borderId="8" applyBorder="true" applyNumberFormat="true" numFmtId="167" fillId="22" applyFill="true">
      <alignment horizontal="center" vertical="center"/>
    </xf>
    <xf fontId="11338" applyFont="true" borderId="8" applyBorder="true" applyNumberFormat="true" numFmtId="166" fillId="22" applyFill="true">
      <alignment horizontal="center" vertical="center"/>
    </xf>
    <xf fontId="11339" applyFont="true" borderId="8" applyBorder="true" applyNumberFormat="true" numFmtId="166" fillId="22" applyFill="true">
      <alignment horizontal="center" vertical="center"/>
    </xf>
    <xf fontId="11340" applyFont="true" borderId="8" applyBorder="true" applyNumberFormat="true" numFmtId="1" fillId="22" applyFill="true">
      <alignment horizontal="center" vertical="center"/>
    </xf>
    <xf fontId="11341" applyFont="true" borderId="8" applyBorder="true" applyNumberFormat="true" numFmtId="1" fillId="22" applyFill="true">
      <alignment horizontal="center" vertical="center"/>
    </xf>
    <xf fontId="11342" applyFont="true" borderId="8" applyBorder="true" applyNumberFormat="true" numFmtId="1" fillId="22" applyFill="true">
      <alignment horizontal="center" vertical="center"/>
    </xf>
    <xf fontId="11343" applyFont="true" borderId="8" applyBorder="true" applyNumberFormat="true" numFmtId="167" fillId="22" applyFill="true">
      <alignment horizontal="center" vertical="center"/>
    </xf>
    <xf fontId="11344" applyFont="true" borderId="8" applyBorder="true" applyNumberFormat="true" numFmtId="1" fillId="22" applyFill="true">
      <alignment horizontal="center" vertical="center"/>
    </xf>
    <xf fontId="11345" applyFont="true" borderId="8" applyBorder="true" applyNumberFormat="true" numFmtId="167" fillId="22" applyFill="true">
      <alignment horizontal="center" vertical="center"/>
    </xf>
    <xf fontId="11346" applyFont="true" borderId="8" applyBorder="true" applyNumberFormat="true" numFmtId="1" fillId="22" applyFill="true">
      <alignment horizontal="center" vertical="center"/>
    </xf>
    <xf fontId="11347" applyFont="true" borderId="8" applyBorder="true" applyNumberFormat="true" numFmtId="1" fillId="22" applyFill="true">
      <alignment horizontal="center" vertical="center"/>
    </xf>
    <xf fontId="11348" applyFont="true" borderId="8" applyBorder="true" applyNumberFormat="true" numFmtId="1" fillId="22" applyFill="true">
      <alignment horizontal="center" vertical="center"/>
    </xf>
    <xf fontId="11349" applyFont="true" borderId="8" applyBorder="true" applyNumberFormat="true" numFmtId="1" fillId="22" applyFill="true">
      <alignment horizontal="center" vertical="center"/>
    </xf>
    <xf fontId="11350" applyFont="true" borderId="8" applyBorder="true" applyNumberFormat="true" numFmtId="167" fillId="22" applyFill="true">
      <alignment horizontal="center" vertical="center"/>
    </xf>
    <xf fontId="11351" applyFont="true" borderId="8" applyBorder="true" applyNumberFormat="true" numFmtId="1" fillId="22" applyFill="true">
      <alignment horizontal="center" vertical="center"/>
    </xf>
    <xf fontId="11352" applyFont="true" borderId="8" applyBorder="true" applyNumberFormat="true" numFmtId="167" fillId="22" applyFill="true">
      <alignment horizontal="center" vertical="center"/>
    </xf>
    <xf fontId="11353" applyFont="true" borderId="8" applyBorder="true" applyNumberFormat="true" numFmtId="1" fillId="22" applyFill="true">
      <alignment horizontal="center" vertical="center"/>
    </xf>
    <xf fontId="11354" applyFont="true" borderId="8" applyBorder="true" applyNumberFormat="true" numFmtId="167" fillId="22" applyFill="true">
      <alignment horizontal="center" vertical="center"/>
    </xf>
    <xf fontId="11355" applyFont="true" borderId="8" applyBorder="true" applyNumberFormat="true" numFmtId="2" fillId="22" applyFill="true">
      <alignment horizontal="center" vertical="center"/>
    </xf>
    <xf fontId="11356" applyFont="true" borderId="8" applyBorder="true" applyNumberFormat="true" numFmtId="2" fillId="22" applyFill="true">
      <alignment horizontal="center" vertical="center"/>
    </xf>
    <xf fontId="11357" applyFont="true" borderId="8" applyBorder="true" applyNumberFormat="true" numFmtId="2" fillId="22" applyFill="true">
      <alignment horizontal="center" vertical="center"/>
    </xf>
    <xf fontId="11358" applyFont="true" borderId="8" applyBorder="true" applyNumberFormat="true" numFmtId="2" fillId="22" applyFill="true">
      <alignment horizontal="center" vertical="center"/>
    </xf>
    <xf fontId="11359" applyFont="true" borderId="8" applyBorder="true" applyNumberFormat="true" numFmtId="2" fillId="22" applyFill="true">
      <alignment horizontal="center" vertical="center"/>
    </xf>
    <xf fontId="11360" applyFont="true" borderId="8" applyBorder="true" applyNumberFormat="true" numFmtId="2" fillId="22" applyFill="true">
      <alignment horizontal="center" vertical="center"/>
    </xf>
    <xf fontId="11361" applyFont="true" borderId="8" applyBorder="true" applyNumberFormat="true" numFmtId="2" fillId="22" applyFill="true">
      <alignment horizontal="center" vertical="center"/>
    </xf>
    <xf fontId="11362" applyFont="true" borderId="8" applyBorder="true" applyNumberFormat="true" numFmtId="2" fillId="22" applyFill="true">
      <alignment horizontal="center" vertical="center"/>
    </xf>
    <xf fontId="11363" applyFont="true" borderId="8" applyBorder="true" applyNumberFormat="true" numFmtId="2" fillId="22" applyFill="true">
      <alignment horizontal="center" vertical="center"/>
    </xf>
    <xf fontId="11364" applyFont="true" borderId="8" applyBorder="true" applyNumberFormat="true" numFmtId="2" fillId="22" applyFill="true">
      <alignment horizontal="center" vertical="center"/>
    </xf>
    <xf fontId="11365" applyFont="true" borderId="8" applyBorder="true" applyNumberFormat="true" numFmtId="2" fillId="22" applyFill="true">
      <alignment horizontal="center" vertical="center"/>
    </xf>
    <xf fontId="11366" applyFont="true" borderId="8" applyBorder="true" applyNumberFormat="true" numFmtId="2" fillId="22" applyFill="true">
      <alignment horizontal="center" vertical="center"/>
    </xf>
    <xf fontId="11367" applyFont="true" borderId="8" applyBorder="true" applyNumberFormat="true" numFmtId="2" fillId="22" applyFill="true">
      <alignment horizontal="center" vertical="center"/>
    </xf>
    <xf fontId="11368" applyFont="true" borderId="8" applyBorder="true" applyNumberFormat="true" numFmtId="2" fillId="22" applyFill="true">
      <alignment horizontal="center" vertical="center"/>
    </xf>
    <xf fontId="11369" applyFont="true" borderId="8" applyBorder="true" applyNumberFormat="true" numFmtId="2" fillId="22" applyFill="true">
      <alignment horizontal="center" vertical="center"/>
    </xf>
    <xf fontId="11370" applyFont="true" borderId="8" applyBorder="true" applyNumberFormat="true" numFmtId="2" fillId="22" applyFill="true">
      <alignment horizontal="center" vertical="center"/>
    </xf>
    <xf fontId="11371" applyFont="true" borderId="8" applyBorder="true" applyNumberFormat="true" numFmtId="2" fillId="22" applyFill="true">
      <alignment horizontal="center" vertical="center"/>
    </xf>
    <xf fontId="11372" applyFont="true" borderId="8" applyBorder="true" applyNumberFormat="true" numFmtId="2" fillId="22" applyFill="true">
      <alignment horizontal="center" vertical="center"/>
    </xf>
    <xf fontId="11373" applyFont="true" borderId="8" applyBorder="true" applyNumberFormat="true" numFmtId="2" fillId="22" applyFill="true">
      <alignment horizontal="center" vertical="center"/>
    </xf>
    <xf fontId="11374" applyFont="true" borderId="8" applyBorder="true" applyNumberFormat="true" numFmtId="2" fillId="22" applyFill="true">
      <alignment horizontal="center" vertical="center"/>
    </xf>
    <xf fontId="11375" applyFont="true" borderId="8" applyBorder="true" applyNumberFormat="true" numFmtId="2" fillId="22" applyFill="true">
      <alignment horizontal="center" vertical="center"/>
    </xf>
    <xf fontId="11376" applyFont="true" borderId="8" applyBorder="true" applyNumberFormat="true" numFmtId="2" fillId="22" applyFill="true">
      <alignment horizontal="center" vertical="center"/>
    </xf>
    <xf fontId="11377" applyFont="true" borderId="8" applyBorder="true" applyNumberFormat="true" numFmtId="2" fillId="22" applyFill="true">
      <alignment horizontal="center" vertical="center"/>
    </xf>
    <xf fontId="11378" applyFont="true" borderId="8" applyBorder="true" applyNumberFormat="true" numFmtId="2" fillId="22" applyFill="true">
      <alignment horizontal="center" vertical="center"/>
    </xf>
    <xf fontId="11379" applyFont="true" borderId="8" applyBorder="true" applyNumberFormat="true" numFmtId="2" fillId="22" applyFill="true">
      <alignment horizontal="center" vertical="center"/>
    </xf>
    <xf fontId="11380" applyFont="true" borderId="8" applyBorder="true" applyNumberFormat="true" numFmtId="2" fillId="22" applyFill="true">
      <alignment horizontal="center" vertical="center"/>
    </xf>
    <xf fontId="11381" applyFont="true" borderId="8" applyBorder="true" applyNumberFormat="true" numFmtId="2" fillId="22" applyFill="true">
      <alignment horizontal="center" vertical="center"/>
    </xf>
    <xf fontId="11382" applyFont="true" borderId="8" applyBorder="true" applyNumberFormat="true" numFmtId="2" fillId="22" applyFill="true">
      <alignment horizontal="center" vertical="center"/>
    </xf>
    <xf fontId="11383" applyFont="true" borderId="8" applyBorder="true" applyNumberFormat="true" numFmtId="2" fillId="22" applyFill="true">
      <alignment horizontal="center" vertical="center"/>
    </xf>
    <xf fontId="11384" applyFont="true" borderId="8" applyBorder="true" applyNumberFormat="true" numFmtId="2" fillId="22" applyFill="true">
      <alignment horizontal="center" vertical="center"/>
    </xf>
    <xf fontId="11385" applyFont="true" borderId="8" applyBorder="true" applyNumberFormat="true" numFmtId="2" fillId="22" applyFill="true">
      <alignment horizontal="center" vertical="center"/>
    </xf>
    <xf fontId="11386" applyFont="true" borderId="8" applyBorder="true" applyNumberFormat="true" numFmtId="2" fillId="22" applyFill="true">
      <alignment horizontal="center" vertical="center"/>
    </xf>
    <xf fontId="11387" applyFont="true" borderId="8" applyBorder="true" applyNumberFormat="true" numFmtId="2" fillId="22" applyFill="true">
      <alignment horizontal="center" vertical="center"/>
    </xf>
    <xf fontId="11388" applyFont="true" borderId="8" applyBorder="true" applyNumberFormat="true" numFmtId="2" fillId="22" applyFill="true">
      <alignment horizontal="center" vertical="center"/>
    </xf>
    <xf fontId="11389" applyFont="true" borderId="8" applyBorder="true" applyNumberFormat="true" numFmtId="165" fillId="19" applyFill="true">
      <alignment horizontal="left" vertical="center"/>
    </xf>
    <xf fontId="11390" applyFont="true" borderId="8" applyBorder="true" applyNumberFormat="true" numFmtId="165" fillId="22" applyFill="true">
      <alignment horizontal="center" vertical="center"/>
    </xf>
    <xf fontId="11391" applyFont="true" borderId="8" applyBorder="true" applyNumberFormat="true" numFmtId="166" fillId="22" applyFill="true">
      <alignment horizontal="center" vertical="center"/>
    </xf>
    <xf fontId="11392" applyFont="true" borderId="8" applyBorder="true" applyNumberFormat="true" numFmtId="1" fillId="22" applyFill="true">
      <alignment horizontal="center" vertical="center"/>
    </xf>
    <xf fontId="11393" applyFont="true" borderId="8" applyBorder="true" applyNumberFormat="true" numFmtId="1" fillId="22" applyFill="true">
      <alignment horizontal="center" vertical="center"/>
    </xf>
    <xf fontId="11394" applyFont="true" borderId="8" applyBorder="true" applyNumberFormat="true" numFmtId="1" fillId="22" applyFill="true">
      <alignment horizontal="center" vertical="center"/>
    </xf>
    <xf fontId="11395" applyFont="true" borderId="8" applyBorder="true" applyNumberFormat="true" numFmtId="1" fillId="22" applyFill="true">
      <alignment horizontal="center" vertical="center"/>
    </xf>
    <xf fontId="11396" applyFont="true" borderId="8" applyBorder="true" applyNumberFormat="true" numFmtId="1" fillId="22" applyFill="true">
      <alignment horizontal="center" vertical="center"/>
    </xf>
    <xf fontId="11397" applyFont="true" borderId="8" applyBorder="true" applyNumberFormat="true" numFmtId="1" fillId="22" applyFill="true">
      <alignment horizontal="center" vertical="center"/>
    </xf>
    <xf fontId="11398" applyFont="true" borderId="8" applyBorder="true" applyNumberFormat="true" numFmtId="1" fillId="22" applyFill="true">
      <alignment horizontal="center" vertical="center"/>
    </xf>
    <xf fontId="11399" applyFont="true" borderId="8" applyBorder="true" applyNumberFormat="true" numFmtId="165" fillId="22" applyFill="true">
      <alignment horizontal="center" vertical="center"/>
    </xf>
    <xf fontId="11400" applyFont="true" borderId="8" applyBorder="true" applyNumberFormat="true" numFmtId="165" fillId="22" applyFill="true">
      <alignment horizontal="center" vertical="center"/>
    </xf>
    <xf fontId="11401" applyFont="true" borderId="8" applyBorder="true" applyNumberFormat="true" numFmtId="1" fillId="22" applyFill="true">
      <alignment horizontal="center" vertical="center"/>
    </xf>
    <xf fontId="11402" applyFont="true" borderId="8" applyBorder="true" applyNumberFormat="true" numFmtId="1" fillId="22" applyFill="true">
      <alignment horizontal="center" vertical="center"/>
    </xf>
    <xf fontId="11403" applyFont="true" borderId="8" applyBorder="true" applyNumberFormat="true" numFmtId="1" fillId="22" applyFill="true">
      <alignment horizontal="center" vertical="center"/>
    </xf>
    <xf fontId="11404" applyFont="true" borderId="8" applyBorder="true" applyNumberFormat="true" numFmtId="167" fillId="22" applyFill="true">
      <alignment horizontal="center" vertical="center"/>
    </xf>
    <xf fontId="11405" applyFont="true" borderId="8" applyBorder="true" applyNumberFormat="true" numFmtId="1" fillId="22" applyFill="true">
      <alignment horizontal="center" vertical="center"/>
    </xf>
    <xf fontId="11406" applyFont="true" borderId="8" applyBorder="true" applyNumberFormat="true" numFmtId="167" fillId="22" applyFill="true">
      <alignment horizontal="center" vertical="center"/>
    </xf>
    <xf fontId="11407" applyFont="true" borderId="8" applyBorder="true" applyNumberFormat="true" numFmtId="1" fillId="22" applyFill="true">
      <alignment horizontal="center" vertical="center"/>
    </xf>
    <xf fontId="11408" applyFont="true" borderId="8" applyBorder="true" applyNumberFormat="true" numFmtId="167" fillId="22" applyFill="true">
      <alignment horizontal="center" vertical="center"/>
    </xf>
    <xf fontId="11409" applyFont="true" borderId="8" applyBorder="true" applyNumberFormat="true" numFmtId="1" fillId="22" applyFill="true">
      <alignment horizontal="center" vertical="center"/>
    </xf>
    <xf fontId="11410" applyFont="true" borderId="8" applyBorder="true" applyNumberFormat="true" numFmtId="167" fillId="22" applyFill="true">
      <alignment horizontal="center" vertical="center"/>
    </xf>
    <xf fontId="11411" applyFont="true" borderId="8" applyBorder="true" applyNumberFormat="true" numFmtId="167" fillId="22" applyFill="true">
      <alignment horizontal="center" vertical="center"/>
    </xf>
    <xf fontId="11412" applyFont="true" borderId="8" applyBorder="true" applyNumberFormat="true" numFmtId="1" fillId="22" applyFill="true">
      <alignment horizontal="center" vertical="center"/>
    </xf>
    <xf fontId="11413" applyFont="true" borderId="8" applyBorder="true" applyNumberFormat="true" numFmtId="1" fillId="22" applyFill="true">
      <alignment horizontal="center" vertical="center"/>
    </xf>
    <xf fontId="11414" applyFont="true" borderId="8" applyBorder="true" applyNumberFormat="true" numFmtId="1" fillId="22" applyFill="true">
      <alignment horizontal="center" vertical="center"/>
    </xf>
    <xf fontId="11415" applyFont="true" borderId="8" applyBorder="true" applyNumberFormat="true" numFmtId="167" fillId="22" applyFill="true">
      <alignment horizontal="center" vertical="center"/>
    </xf>
    <xf fontId="11416" applyFont="true" borderId="8" applyBorder="true" applyNumberFormat="true" numFmtId="166" fillId="22" applyFill="true">
      <alignment horizontal="center" vertical="center"/>
    </xf>
    <xf fontId="11417" applyFont="true" borderId="8" applyBorder="true" applyNumberFormat="true" numFmtId="166" fillId="22" applyFill="true">
      <alignment horizontal="center" vertical="center"/>
    </xf>
    <xf fontId="11418" applyFont="true" borderId="8" applyBorder="true" applyNumberFormat="true" numFmtId="1" fillId="22" applyFill="true">
      <alignment horizontal="center" vertical="center"/>
    </xf>
    <xf fontId="11419" applyFont="true" borderId="8" applyBorder="true" applyNumberFormat="true" numFmtId="1" fillId="22" applyFill="true">
      <alignment horizontal="center" vertical="center"/>
    </xf>
    <xf fontId="11420" applyFont="true" borderId="8" applyBorder="true" applyNumberFormat="true" numFmtId="1" fillId="22" applyFill="true">
      <alignment horizontal="center" vertical="center"/>
    </xf>
    <xf fontId="11421" applyFont="true" borderId="8" applyBorder="true" applyNumberFormat="true" numFmtId="167" fillId="22" applyFill="true">
      <alignment horizontal="center" vertical="center"/>
    </xf>
    <xf fontId="11422" applyFont="true" borderId="8" applyBorder="true" applyNumberFormat="true" numFmtId="1" fillId="22" applyFill="true">
      <alignment horizontal="center" vertical="center"/>
    </xf>
    <xf fontId="11423" applyFont="true" borderId="8" applyBorder="true" applyNumberFormat="true" numFmtId="167" fillId="22" applyFill="true">
      <alignment horizontal="center" vertical="center"/>
    </xf>
    <xf fontId="11424" applyFont="true" borderId="8" applyBorder="true" applyNumberFormat="true" numFmtId="1" fillId="22" applyFill="true">
      <alignment horizontal="center" vertical="center"/>
    </xf>
    <xf fontId="11425" applyFont="true" borderId="8" applyBorder="true" applyNumberFormat="true" numFmtId="1" fillId="22" applyFill="true">
      <alignment horizontal="center" vertical="center"/>
    </xf>
    <xf fontId="11426" applyFont="true" borderId="8" applyBorder="true" applyNumberFormat="true" numFmtId="1" fillId="22" applyFill="true">
      <alignment horizontal="center" vertical="center"/>
    </xf>
    <xf fontId="11427" applyFont="true" borderId="8" applyBorder="true" applyNumberFormat="true" numFmtId="1" fillId="22" applyFill="true">
      <alignment horizontal="center" vertical="center"/>
    </xf>
    <xf fontId="11428" applyFont="true" borderId="8" applyBorder="true" applyNumberFormat="true" numFmtId="167" fillId="22" applyFill="true">
      <alignment horizontal="center" vertical="center"/>
    </xf>
    <xf fontId="11429" applyFont="true" borderId="8" applyBorder="true" applyNumberFormat="true" numFmtId="1" fillId="22" applyFill="true">
      <alignment horizontal="center" vertical="center"/>
    </xf>
    <xf fontId="11430" applyFont="true" borderId="8" applyBorder="true" applyNumberFormat="true" numFmtId="167" fillId="22" applyFill="true">
      <alignment horizontal="center" vertical="center"/>
    </xf>
    <xf fontId="11431" applyFont="true" borderId="8" applyBorder="true" applyNumberFormat="true" numFmtId="1" fillId="22" applyFill="true">
      <alignment horizontal="center" vertical="center"/>
    </xf>
    <xf fontId="11432" applyFont="true" borderId="8" applyBorder="true" applyNumberFormat="true" numFmtId="167" fillId="22" applyFill="true">
      <alignment horizontal="center" vertical="center"/>
    </xf>
    <xf fontId="11433" applyFont="true" borderId="8" applyBorder="true" applyNumberFormat="true" numFmtId="2" fillId="22" applyFill="true">
      <alignment horizontal="center" vertical="center"/>
    </xf>
    <xf fontId="11434" applyFont="true" borderId="8" applyBorder="true" applyNumberFormat="true" numFmtId="2" fillId="22" applyFill="true">
      <alignment horizontal="center" vertical="center"/>
    </xf>
    <xf fontId="11435" applyFont="true" borderId="8" applyBorder="true" applyNumberFormat="true" numFmtId="2" fillId="22" applyFill="true">
      <alignment horizontal="center" vertical="center"/>
    </xf>
    <xf fontId="11436" applyFont="true" borderId="8" applyBorder="true" applyNumberFormat="true" numFmtId="2" fillId="22" applyFill="true">
      <alignment horizontal="center" vertical="center"/>
    </xf>
    <xf fontId="11437" applyFont="true" borderId="8" applyBorder="true" applyNumberFormat="true" numFmtId="2" fillId="22" applyFill="true">
      <alignment horizontal="center" vertical="center"/>
    </xf>
    <xf fontId="11438" applyFont="true" borderId="8" applyBorder="true" applyNumberFormat="true" numFmtId="2" fillId="22" applyFill="true">
      <alignment horizontal="center" vertical="center"/>
    </xf>
    <xf fontId="11439" applyFont="true" borderId="8" applyBorder="true" applyNumberFormat="true" numFmtId="2" fillId="22" applyFill="true">
      <alignment horizontal="center" vertical="center"/>
    </xf>
    <xf fontId="11440" applyFont="true" borderId="8" applyBorder="true" applyNumberFormat="true" numFmtId="2" fillId="22" applyFill="true">
      <alignment horizontal="center" vertical="center"/>
    </xf>
    <xf fontId="11441" applyFont="true" borderId="8" applyBorder="true" applyNumberFormat="true" numFmtId="2" fillId="22" applyFill="true">
      <alignment horizontal="center" vertical="center"/>
    </xf>
    <xf fontId="11442" applyFont="true" borderId="8" applyBorder="true" applyNumberFormat="true" numFmtId="2" fillId="22" applyFill="true">
      <alignment horizontal="center" vertical="center"/>
    </xf>
    <xf fontId="11443" applyFont="true" borderId="8" applyBorder="true" applyNumberFormat="true" numFmtId="2" fillId="22" applyFill="true">
      <alignment horizontal="center" vertical="center"/>
    </xf>
    <xf fontId="11444" applyFont="true" borderId="8" applyBorder="true" applyNumberFormat="true" numFmtId="2" fillId="22" applyFill="true">
      <alignment horizontal="center" vertical="center"/>
    </xf>
    <xf fontId="11445" applyFont="true" borderId="8" applyBorder="true" applyNumberFormat="true" numFmtId="2" fillId="22" applyFill="true">
      <alignment horizontal="center" vertical="center"/>
    </xf>
    <xf fontId="11446" applyFont="true" borderId="8" applyBorder="true" applyNumberFormat="true" numFmtId="2" fillId="22" applyFill="true">
      <alignment horizontal="center" vertical="center"/>
    </xf>
    <xf fontId="11447" applyFont="true" borderId="8" applyBorder="true" applyNumberFormat="true" numFmtId="2" fillId="22" applyFill="true">
      <alignment horizontal="center" vertical="center"/>
    </xf>
    <xf fontId="11448" applyFont="true" borderId="8" applyBorder="true" applyNumberFormat="true" numFmtId="2" fillId="22" applyFill="true">
      <alignment horizontal="center" vertical="center"/>
    </xf>
    <xf fontId="11449" applyFont="true" borderId="8" applyBorder="true" applyNumberFormat="true" numFmtId="2" fillId="22" applyFill="true">
      <alignment horizontal="center" vertical="center"/>
    </xf>
    <xf fontId="11450" applyFont="true" borderId="8" applyBorder="true" applyNumberFormat="true" numFmtId="2" fillId="22" applyFill="true">
      <alignment horizontal="center" vertical="center"/>
    </xf>
    <xf fontId="11451" applyFont="true" borderId="8" applyBorder="true" applyNumberFormat="true" numFmtId="2" fillId="22" applyFill="true">
      <alignment horizontal="center" vertical="center"/>
    </xf>
    <xf fontId="11452" applyFont="true" borderId="8" applyBorder="true" applyNumberFormat="true" numFmtId="2" fillId="22" applyFill="true">
      <alignment horizontal="center" vertical="center"/>
    </xf>
    <xf fontId="11453" applyFont="true" borderId="8" applyBorder="true" applyNumberFormat="true" numFmtId="2" fillId="22" applyFill="true">
      <alignment horizontal="center" vertical="center"/>
    </xf>
    <xf fontId="11454" applyFont="true" borderId="8" applyBorder="true" applyNumberFormat="true" numFmtId="2" fillId="22" applyFill="true">
      <alignment horizontal="center" vertical="center"/>
    </xf>
    <xf fontId="11455" applyFont="true" borderId="8" applyBorder="true" applyNumberFormat="true" numFmtId="2" fillId="22" applyFill="true">
      <alignment horizontal="center" vertical="center"/>
    </xf>
    <xf fontId="11456" applyFont="true" borderId="8" applyBorder="true" applyNumberFormat="true" numFmtId="2" fillId="22" applyFill="true">
      <alignment horizontal="center" vertical="center"/>
    </xf>
    <xf fontId="11457" applyFont="true" borderId="8" applyBorder="true" applyNumberFormat="true" numFmtId="2" fillId="22" applyFill="true">
      <alignment horizontal="center" vertical="center"/>
    </xf>
    <xf fontId="11458" applyFont="true" borderId="8" applyBorder="true" applyNumberFormat="true" numFmtId="2" fillId="22" applyFill="true">
      <alignment horizontal="center" vertical="center"/>
    </xf>
    <xf fontId="11459" applyFont="true" borderId="8" applyBorder="true" applyNumberFormat="true" numFmtId="2" fillId="22" applyFill="true">
      <alignment horizontal="center" vertical="center"/>
    </xf>
    <xf fontId="11460" applyFont="true" borderId="8" applyBorder="true" applyNumberFormat="true" numFmtId="2" fillId="22" applyFill="true">
      <alignment horizontal="center" vertical="center"/>
    </xf>
    <xf fontId="11461" applyFont="true" borderId="8" applyBorder="true" applyNumberFormat="true" numFmtId="2" fillId="22" applyFill="true">
      <alignment horizontal="center" vertical="center"/>
    </xf>
    <xf fontId="11462" applyFont="true" borderId="8" applyBorder="true" applyNumberFormat="true" numFmtId="2" fillId="22" applyFill="true">
      <alignment horizontal="center" vertical="center"/>
    </xf>
    <xf fontId="11463" applyFont="true" borderId="8" applyBorder="true" applyNumberFormat="true" numFmtId="2" fillId="22" applyFill="true">
      <alignment horizontal="center" vertical="center"/>
    </xf>
    <xf fontId="11464" applyFont="true" borderId="8" applyBorder="true" applyNumberFormat="true" numFmtId="2" fillId="22" applyFill="true">
      <alignment horizontal="center" vertical="center"/>
    </xf>
    <xf fontId="11465" applyFont="true" borderId="8" applyBorder="true" applyNumberFormat="true" numFmtId="2" fillId="22" applyFill="true">
      <alignment horizontal="center" vertical="center"/>
    </xf>
    <xf fontId="11466" applyFont="true" borderId="8" applyBorder="true" applyNumberFormat="true" numFmtId="2" fillId="22" applyFill="true">
      <alignment horizontal="center" vertical="center"/>
    </xf>
    <xf fontId="11467" applyFont="true" borderId="8" applyBorder="true" applyNumberFormat="true" numFmtId="165" fillId="19" applyFill="true">
      <alignment horizontal="left" vertical="center"/>
    </xf>
    <xf fontId="11468" applyFont="true" borderId="8" applyBorder="true" applyNumberFormat="true" numFmtId="165" fillId="22" applyFill="true">
      <alignment horizontal="center" vertical="center"/>
    </xf>
    <xf fontId="11469" applyFont="true" borderId="8" applyBorder="true" applyNumberFormat="true" numFmtId="166" fillId="22" applyFill="true">
      <alignment horizontal="center" vertical="center"/>
    </xf>
    <xf fontId="11470" applyFont="true" borderId="8" applyBorder="true" applyNumberFormat="true" numFmtId="1" fillId="22" applyFill="true">
      <alignment horizontal="center" vertical="center"/>
    </xf>
    <xf fontId="11471" applyFont="true" borderId="8" applyBorder="true" applyNumberFormat="true" numFmtId="1" fillId="22" applyFill="true">
      <alignment horizontal="center" vertical="center"/>
    </xf>
    <xf fontId="11472" applyFont="true" borderId="8" applyBorder="true" applyNumberFormat="true" numFmtId="1" fillId="22" applyFill="true">
      <alignment horizontal="center" vertical="center"/>
    </xf>
    <xf fontId="11473" applyFont="true" borderId="8" applyBorder="true" applyNumberFormat="true" numFmtId="1" fillId="22" applyFill="true">
      <alignment horizontal="center" vertical="center"/>
    </xf>
    <xf fontId="11474" applyFont="true" borderId="8" applyBorder="true" applyNumberFormat="true" numFmtId="1" fillId="22" applyFill="true">
      <alignment horizontal="center" vertical="center"/>
    </xf>
    <xf fontId="11475" applyFont="true" borderId="8" applyBorder="true" applyNumberFormat="true" numFmtId="1" fillId="22" applyFill="true">
      <alignment horizontal="center" vertical="center"/>
    </xf>
    <xf fontId="11476" applyFont="true" borderId="8" applyBorder="true" applyNumberFormat="true" numFmtId="1" fillId="22" applyFill="true">
      <alignment horizontal="center" vertical="center"/>
    </xf>
    <xf fontId="11477" applyFont="true" borderId="8" applyBorder="true" applyNumberFormat="true" numFmtId="165" fillId="22" applyFill="true">
      <alignment horizontal="center" vertical="center"/>
    </xf>
    <xf fontId="11478" applyFont="true" borderId="8" applyBorder="true" applyNumberFormat="true" numFmtId="165" fillId="22" applyFill="true">
      <alignment horizontal="center" vertical="center"/>
    </xf>
    <xf fontId="11479" applyFont="true" borderId="8" applyBorder="true" applyNumberFormat="true" numFmtId="1" fillId="22" applyFill="true">
      <alignment horizontal="center" vertical="center"/>
    </xf>
    <xf fontId="11480" applyFont="true" borderId="8" applyBorder="true" applyNumberFormat="true" numFmtId="1" fillId="22" applyFill="true">
      <alignment horizontal="center" vertical="center"/>
    </xf>
    <xf fontId="11481" applyFont="true" borderId="8" applyBorder="true" applyNumberFormat="true" numFmtId="1" fillId="22" applyFill="true">
      <alignment horizontal="center" vertical="center"/>
    </xf>
    <xf fontId="11482" applyFont="true" borderId="8" applyBorder="true" applyNumberFormat="true" numFmtId="167" fillId="22" applyFill="true">
      <alignment horizontal="center" vertical="center"/>
    </xf>
    <xf fontId="11483" applyFont="true" borderId="8" applyBorder="true" applyNumberFormat="true" numFmtId="1" fillId="22" applyFill="true">
      <alignment horizontal="center" vertical="center"/>
    </xf>
    <xf fontId="11484" applyFont="true" borderId="8" applyBorder="true" applyNumberFormat="true" numFmtId="167" fillId="22" applyFill="true">
      <alignment horizontal="center" vertical="center"/>
    </xf>
    <xf fontId="11485" applyFont="true" borderId="8" applyBorder="true" applyNumberFormat="true" numFmtId="1" fillId="22" applyFill="true">
      <alignment horizontal="center" vertical="center"/>
    </xf>
    <xf fontId="11486" applyFont="true" borderId="8" applyBorder="true" applyNumberFormat="true" numFmtId="167" fillId="22" applyFill="true">
      <alignment horizontal="center" vertical="center"/>
    </xf>
    <xf fontId="11487" applyFont="true" borderId="8" applyBorder="true" applyNumberFormat="true" numFmtId="1" fillId="22" applyFill="true">
      <alignment horizontal="center" vertical="center"/>
    </xf>
    <xf fontId="11488" applyFont="true" borderId="8" applyBorder="true" applyNumberFormat="true" numFmtId="167" fillId="22" applyFill="true">
      <alignment horizontal="center" vertical="center"/>
    </xf>
    <xf fontId="11489" applyFont="true" borderId="8" applyBorder="true" applyNumberFormat="true" numFmtId="167" fillId="22" applyFill="true">
      <alignment horizontal="center" vertical="center"/>
    </xf>
    <xf fontId="11490" applyFont="true" borderId="8" applyBorder="true" applyNumberFormat="true" numFmtId="1" fillId="22" applyFill="true">
      <alignment horizontal="center" vertical="center"/>
    </xf>
    <xf fontId="11491" applyFont="true" borderId="8" applyBorder="true" applyNumberFormat="true" numFmtId="1" fillId="22" applyFill="true">
      <alignment horizontal="center" vertical="center"/>
    </xf>
    <xf fontId="11492" applyFont="true" borderId="8" applyBorder="true" applyNumberFormat="true" numFmtId="1" fillId="22" applyFill="true">
      <alignment horizontal="center" vertical="center"/>
    </xf>
    <xf fontId="11493" applyFont="true" borderId="8" applyBorder="true" applyNumberFormat="true" numFmtId="167" fillId="22" applyFill="true">
      <alignment horizontal="center" vertical="center"/>
    </xf>
    <xf fontId="11494" applyFont="true" borderId="8" applyBorder="true" applyNumberFormat="true" numFmtId="166" fillId="22" applyFill="true">
      <alignment horizontal="center" vertical="center"/>
    </xf>
    <xf fontId="11495" applyFont="true" borderId="8" applyBorder="true" applyNumberFormat="true" numFmtId="166" fillId="22" applyFill="true">
      <alignment horizontal="center" vertical="center"/>
    </xf>
    <xf fontId="11496" applyFont="true" borderId="8" applyBorder="true" applyNumberFormat="true" numFmtId="1" fillId="22" applyFill="true">
      <alignment horizontal="center" vertical="center"/>
    </xf>
    <xf fontId="11497" applyFont="true" borderId="8" applyBorder="true" applyNumberFormat="true" numFmtId="1" fillId="22" applyFill="true">
      <alignment horizontal="center" vertical="center"/>
    </xf>
    <xf fontId="11498" applyFont="true" borderId="8" applyBorder="true" applyNumberFormat="true" numFmtId="1" fillId="22" applyFill="true">
      <alignment horizontal="center" vertical="center"/>
    </xf>
    <xf fontId="11499" applyFont="true" borderId="8" applyBorder="true" applyNumberFormat="true" numFmtId="167" fillId="22" applyFill="true">
      <alignment horizontal="center" vertical="center"/>
    </xf>
    <xf fontId="11500" applyFont="true" borderId="8" applyBorder="true" applyNumberFormat="true" numFmtId="1" fillId="22" applyFill="true">
      <alignment horizontal="center" vertical="center"/>
    </xf>
    <xf fontId="11501" applyFont="true" borderId="8" applyBorder="true" applyNumberFormat="true" numFmtId="167" fillId="22" applyFill="true">
      <alignment horizontal="center" vertical="center"/>
    </xf>
    <xf fontId="11502" applyFont="true" borderId="8" applyBorder="true" applyNumberFormat="true" numFmtId="1" fillId="22" applyFill="true">
      <alignment horizontal="center" vertical="center"/>
    </xf>
    <xf fontId="11503" applyFont="true" borderId="8" applyBorder="true" applyNumberFormat="true" numFmtId="1" fillId="22" applyFill="true">
      <alignment horizontal="center" vertical="center"/>
    </xf>
    <xf fontId="11504" applyFont="true" borderId="8" applyBorder="true" applyNumberFormat="true" numFmtId="1" fillId="22" applyFill="true">
      <alignment horizontal="center" vertical="center"/>
    </xf>
    <xf fontId="11505" applyFont="true" borderId="8" applyBorder="true" applyNumberFormat="true" numFmtId="1" fillId="22" applyFill="true">
      <alignment horizontal="center" vertical="center"/>
    </xf>
    <xf fontId="11506" applyFont="true" borderId="8" applyBorder="true" applyNumberFormat="true" numFmtId="167" fillId="22" applyFill="true">
      <alignment horizontal="center" vertical="center"/>
    </xf>
    <xf fontId="11507" applyFont="true" borderId="8" applyBorder="true" applyNumberFormat="true" numFmtId="1" fillId="22" applyFill="true">
      <alignment horizontal="center" vertical="center"/>
    </xf>
    <xf fontId="11508" applyFont="true" borderId="8" applyBorder="true" applyNumberFormat="true" numFmtId="167" fillId="22" applyFill="true">
      <alignment horizontal="center" vertical="center"/>
    </xf>
    <xf fontId="11509" applyFont="true" borderId="8" applyBorder="true" applyNumberFormat="true" numFmtId="1" fillId="22" applyFill="true">
      <alignment horizontal="center" vertical="center"/>
    </xf>
    <xf fontId="11510" applyFont="true" borderId="8" applyBorder="true" applyNumberFormat="true" numFmtId="167" fillId="22" applyFill="true">
      <alignment horizontal="center" vertical="center"/>
    </xf>
    <xf fontId="11511" applyFont="true" borderId="8" applyBorder="true" applyNumberFormat="true" numFmtId="2" fillId="22" applyFill="true">
      <alignment horizontal="center" vertical="center"/>
    </xf>
    <xf fontId="11512" applyFont="true" borderId="8" applyBorder="true" applyNumberFormat="true" numFmtId="2" fillId="22" applyFill="true">
      <alignment horizontal="center" vertical="center"/>
    </xf>
    <xf fontId="11513" applyFont="true" borderId="8" applyBorder="true" applyNumberFormat="true" numFmtId="2" fillId="22" applyFill="true">
      <alignment horizontal="center" vertical="center"/>
    </xf>
    <xf fontId="11514" applyFont="true" borderId="8" applyBorder="true" applyNumberFormat="true" numFmtId="2" fillId="22" applyFill="true">
      <alignment horizontal="center" vertical="center"/>
    </xf>
    <xf fontId="11515" applyFont="true" borderId="8" applyBorder="true" applyNumberFormat="true" numFmtId="2" fillId="22" applyFill="true">
      <alignment horizontal="center" vertical="center"/>
    </xf>
    <xf fontId="11516" applyFont="true" borderId="8" applyBorder="true" applyNumberFormat="true" numFmtId="2" fillId="22" applyFill="true">
      <alignment horizontal="center" vertical="center"/>
    </xf>
    <xf fontId="11517" applyFont="true" borderId="8" applyBorder="true" applyNumberFormat="true" numFmtId="2" fillId="22" applyFill="true">
      <alignment horizontal="center" vertical="center"/>
    </xf>
    <xf fontId="11518" applyFont="true" borderId="8" applyBorder="true" applyNumberFormat="true" numFmtId="2" fillId="22" applyFill="true">
      <alignment horizontal="center" vertical="center"/>
    </xf>
    <xf fontId="11519" applyFont="true" borderId="8" applyBorder="true" applyNumberFormat="true" numFmtId="2" fillId="22" applyFill="true">
      <alignment horizontal="center" vertical="center"/>
    </xf>
    <xf fontId="11520" applyFont="true" borderId="8" applyBorder="true" applyNumberFormat="true" numFmtId="2" fillId="22" applyFill="true">
      <alignment horizontal="center" vertical="center"/>
    </xf>
    <xf fontId="11521" applyFont="true" borderId="8" applyBorder="true" applyNumberFormat="true" numFmtId="2" fillId="22" applyFill="true">
      <alignment horizontal="center" vertical="center"/>
    </xf>
    <xf fontId="11522" applyFont="true" borderId="8" applyBorder="true" applyNumberFormat="true" numFmtId="2" fillId="22" applyFill="true">
      <alignment horizontal="center" vertical="center"/>
    </xf>
    <xf fontId="11523" applyFont="true" borderId="8" applyBorder="true" applyNumberFormat="true" numFmtId="2" fillId="22" applyFill="true">
      <alignment horizontal="center" vertical="center"/>
    </xf>
    <xf fontId="11524" applyFont="true" borderId="8" applyBorder="true" applyNumberFormat="true" numFmtId="2" fillId="22" applyFill="true">
      <alignment horizontal="center" vertical="center"/>
    </xf>
    <xf fontId="11525" applyFont="true" borderId="8" applyBorder="true" applyNumberFormat="true" numFmtId="2" fillId="22" applyFill="true">
      <alignment horizontal="center" vertical="center"/>
    </xf>
    <xf fontId="11526" applyFont="true" borderId="8" applyBorder="true" applyNumberFormat="true" numFmtId="2" fillId="22" applyFill="true">
      <alignment horizontal="center" vertical="center"/>
    </xf>
    <xf fontId="11527" applyFont="true" borderId="8" applyBorder="true" applyNumberFormat="true" numFmtId="2" fillId="22" applyFill="true">
      <alignment horizontal="center" vertical="center"/>
    </xf>
    <xf fontId="11528" applyFont="true" borderId="8" applyBorder="true" applyNumberFormat="true" numFmtId="2" fillId="22" applyFill="true">
      <alignment horizontal="center" vertical="center"/>
    </xf>
    <xf fontId="11529" applyFont="true" borderId="8" applyBorder="true" applyNumberFormat="true" numFmtId="2" fillId="22" applyFill="true">
      <alignment horizontal="center" vertical="center"/>
    </xf>
    <xf fontId="11530" applyFont="true" borderId="8" applyBorder="true" applyNumberFormat="true" numFmtId="2" fillId="22" applyFill="true">
      <alignment horizontal="center" vertical="center"/>
    </xf>
    <xf fontId="11531" applyFont="true" borderId="8" applyBorder="true" applyNumberFormat="true" numFmtId="2" fillId="22" applyFill="true">
      <alignment horizontal="center" vertical="center"/>
    </xf>
    <xf fontId="11532" applyFont="true" borderId="8" applyBorder="true" applyNumberFormat="true" numFmtId="2" fillId="22" applyFill="true">
      <alignment horizontal="center" vertical="center"/>
    </xf>
    <xf fontId="11533" applyFont="true" borderId="8" applyBorder="true" applyNumberFormat="true" numFmtId="2" fillId="22" applyFill="true">
      <alignment horizontal="center" vertical="center"/>
    </xf>
    <xf fontId="11534" applyFont="true" borderId="8" applyBorder="true" applyNumberFormat="true" numFmtId="2" fillId="22" applyFill="true">
      <alignment horizontal="center" vertical="center"/>
    </xf>
    <xf fontId="11535" applyFont="true" borderId="8" applyBorder="true" applyNumberFormat="true" numFmtId="2" fillId="22" applyFill="true">
      <alignment horizontal="center" vertical="center"/>
    </xf>
    <xf fontId="11536" applyFont="true" borderId="8" applyBorder="true" applyNumberFormat="true" numFmtId="2" fillId="22" applyFill="true">
      <alignment horizontal="center" vertical="center"/>
    </xf>
    <xf fontId="11537" applyFont="true" borderId="8" applyBorder="true" applyNumberFormat="true" numFmtId="2" fillId="22" applyFill="true">
      <alignment horizontal="center" vertical="center"/>
    </xf>
    <xf fontId="11538" applyFont="true" borderId="8" applyBorder="true" applyNumberFormat="true" numFmtId="2" fillId="22" applyFill="true">
      <alignment horizontal="center" vertical="center"/>
    </xf>
    <xf fontId="11539" applyFont="true" borderId="8" applyBorder="true" applyNumberFormat="true" numFmtId="2" fillId="22" applyFill="true">
      <alignment horizontal="center" vertical="center"/>
    </xf>
    <xf fontId="11540" applyFont="true" borderId="8" applyBorder="true" applyNumberFormat="true" numFmtId="2" fillId="22" applyFill="true">
      <alignment horizontal="center" vertical="center"/>
    </xf>
    <xf fontId="11541" applyFont="true" borderId="8" applyBorder="true" applyNumberFormat="true" numFmtId="2" fillId="22" applyFill="true">
      <alignment horizontal="center" vertical="center"/>
    </xf>
    <xf fontId="11542" applyFont="true" borderId="8" applyBorder="true" applyNumberFormat="true" numFmtId="2" fillId="22" applyFill="true">
      <alignment horizontal="center" vertical="center"/>
    </xf>
    <xf fontId="11543" applyFont="true" borderId="8" applyBorder="true" applyNumberFormat="true" numFmtId="2" fillId="22" applyFill="true">
      <alignment horizontal="center" vertical="center"/>
    </xf>
    <xf fontId="11544" applyFont="true" borderId="8" applyBorder="true" applyNumberFormat="true" numFmtId="2" fillId="22" applyFill="true">
      <alignment horizontal="center" vertical="center"/>
    </xf>
    <xf fontId="11545" applyFont="true" borderId="8" applyBorder="true" applyNumberFormat="true" numFmtId="165" fillId="19" applyFill="true">
      <alignment horizontal="left" vertical="center"/>
    </xf>
    <xf fontId="11546" applyFont="true" borderId="8" applyBorder="true" applyNumberFormat="true" numFmtId="165" fillId="22" applyFill="true">
      <alignment horizontal="center" vertical="center"/>
    </xf>
    <xf fontId="11547" applyFont="true" borderId="8" applyBorder="true" applyNumberFormat="true" numFmtId="166" fillId="22" applyFill="true">
      <alignment horizontal="center" vertical="center"/>
    </xf>
    <xf fontId="11548" applyFont="true" borderId="8" applyBorder="true" applyNumberFormat="true" numFmtId="1" fillId="22" applyFill="true">
      <alignment horizontal="center" vertical="center"/>
    </xf>
    <xf fontId="11549" applyFont="true" borderId="8" applyBorder="true" applyNumberFormat="true" numFmtId="1" fillId="22" applyFill="true">
      <alignment horizontal="center" vertical="center"/>
    </xf>
    <xf fontId="11550" applyFont="true" borderId="8" applyBorder="true" applyNumberFormat="true" numFmtId="1" fillId="22" applyFill="true">
      <alignment horizontal="center" vertical="center"/>
    </xf>
    <xf fontId="11551" applyFont="true" borderId="8" applyBorder="true" applyNumberFormat="true" numFmtId="1" fillId="22" applyFill="true">
      <alignment horizontal="center" vertical="center"/>
    </xf>
    <xf fontId="11552" applyFont="true" borderId="8" applyBorder="true" applyNumberFormat="true" numFmtId="1" fillId="22" applyFill="true">
      <alignment horizontal="center" vertical="center"/>
    </xf>
    <xf fontId="11553" applyFont="true" borderId="8" applyBorder="true" applyNumberFormat="true" numFmtId="1" fillId="22" applyFill="true">
      <alignment horizontal="center" vertical="center"/>
    </xf>
    <xf fontId="11554" applyFont="true" borderId="8" applyBorder="true" applyNumberFormat="true" numFmtId="1" fillId="22" applyFill="true">
      <alignment horizontal="center" vertical="center"/>
    </xf>
    <xf fontId="11555" applyFont="true" borderId="8" applyBorder="true" applyNumberFormat="true" numFmtId="165" fillId="22" applyFill="true">
      <alignment horizontal="center" vertical="center"/>
    </xf>
    <xf fontId="11556" applyFont="true" borderId="8" applyBorder="true" applyNumberFormat="true" numFmtId="165" fillId="22" applyFill="true">
      <alignment horizontal="center" vertical="center"/>
    </xf>
    <xf fontId="11557" applyFont="true" borderId="8" applyBorder="true" applyNumberFormat="true" numFmtId="1" fillId="22" applyFill="true">
      <alignment horizontal="center" vertical="center"/>
    </xf>
    <xf fontId="11558" applyFont="true" borderId="8" applyBorder="true" applyNumberFormat="true" numFmtId="1" fillId="22" applyFill="true">
      <alignment horizontal="center" vertical="center"/>
    </xf>
    <xf fontId="11559" applyFont="true" borderId="8" applyBorder="true" applyNumberFormat="true" numFmtId="1" fillId="22" applyFill="true">
      <alignment horizontal="center" vertical="center"/>
    </xf>
    <xf fontId="11560" applyFont="true" borderId="8" applyBorder="true" applyNumberFormat="true" numFmtId="167" fillId="22" applyFill="true">
      <alignment horizontal="center" vertical="center"/>
    </xf>
    <xf fontId="11561" applyFont="true" borderId="8" applyBorder="true" applyNumberFormat="true" numFmtId="1" fillId="22" applyFill="true">
      <alignment horizontal="center" vertical="center"/>
    </xf>
    <xf fontId="11562" applyFont="true" borderId="8" applyBorder="true" applyNumberFormat="true" numFmtId="167" fillId="22" applyFill="true">
      <alignment horizontal="center" vertical="center"/>
    </xf>
    <xf fontId="11563" applyFont="true" borderId="8" applyBorder="true" applyNumberFormat="true" numFmtId="1" fillId="22" applyFill="true">
      <alignment horizontal="center" vertical="center"/>
    </xf>
    <xf fontId="11564" applyFont="true" borderId="8" applyBorder="true" applyNumberFormat="true" numFmtId="167" fillId="22" applyFill="true">
      <alignment horizontal="center" vertical="center"/>
    </xf>
    <xf fontId="11565" applyFont="true" borderId="8" applyBorder="true" applyNumberFormat="true" numFmtId="1" fillId="22" applyFill="true">
      <alignment horizontal="center" vertical="center"/>
    </xf>
    <xf fontId="11566" applyFont="true" borderId="8" applyBorder="true" applyNumberFormat="true" numFmtId="167" fillId="22" applyFill="true">
      <alignment horizontal="center" vertical="center"/>
    </xf>
    <xf fontId="11567" applyFont="true" borderId="8" applyBorder="true" applyNumberFormat="true" numFmtId="167" fillId="22" applyFill="true">
      <alignment horizontal="center" vertical="center"/>
    </xf>
    <xf fontId="11568" applyFont="true" borderId="8" applyBorder="true" applyNumberFormat="true" numFmtId="1" fillId="22" applyFill="true">
      <alignment horizontal="center" vertical="center"/>
    </xf>
    <xf fontId="11569" applyFont="true" borderId="8" applyBorder="true" applyNumberFormat="true" numFmtId="1" fillId="22" applyFill="true">
      <alignment horizontal="center" vertical="center"/>
    </xf>
    <xf fontId="11570" applyFont="true" borderId="8" applyBorder="true" applyNumberFormat="true" numFmtId="1" fillId="22" applyFill="true">
      <alignment horizontal="center" vertical="center"/>
    </xf>
    <xf fontId="11571" applyFont="true" borderId="8" applyBorder="true" applyNumberFormat="true" numFmtId="167" fillId="22" applyFill="true">
      <alignment horizontal="center" vertical="center"/>
    </xf>
    <xf fontId="11572" applyFont="true" borderId="8" applyBorder="true" applyNumberFormat="true" numFmtId="166" fillId="22" applyFill="true">
      <alignment horizontal="center" vertical="center"/>
    </xf>
    <xf fontId="11573" applyFont="true" borderId="8" applyBorder="true" applyNumberFormat="true" numFmtId="166" fillId="22" applyFill="true">
      <alignment horizontal="center" vertical="center"/>
    </xf>
    <xf fontId="11574" applyFont="true" borderId="8" applyBorder="true" applyNumberFormat="true" numFmtId="1" fillId="22" applyFill="true">
      <alignment horizontal="center" vertical="center"/>
    </xf>
    <xf fontId="11575" applyFont="true" borderId="8" applyBorder="true" applyNumberFormat="true" numFmtId="1" fillId="22" applyFill="true">
      <alignment horizontal="center" vertical="center"/>
    </xf>
    <xf fontId="11576" applyFont="true" borderId="8" applyBorder="true" applyNumberFormat="true" numFmtId="1" fillId="22" applyFill="true">
      <alignment horizontal="center" vertical="center"/>
    </xf>
    <xf fontId="11577" applyFont="true" borderId="8" applyBorder="true" applyNumberFormat="true" numFmtId="167" fillId="22" applyFill="true">
      <alignment horizontal="center" vertical="center"/>
    </xf>
    <xf fontId="11578" applyFont="true" borderId="8" applyBorder="true" applyNumberFormat="true" numFmtId="1" fillId="22" applyFill="true">
      <alignment horizontal="center" vertical="center"/>
    </xf>
    <xf fontId="11579" applyFont="true" borderId="8" applyBorder="true" applyNumberFormat="true" numFmtId="167" fillId="22" applyFill="true">
      <alignment horizontal="center" vertical="center"/>
    </xf>
    <xf fontId="11580" applyFont="true" borderId="8" applyBorder="true" applyNumberFormat="true" numFmtId="1" fillId="22" applyFill="true">
      <alignment horizontal="center" vertical="center"/>
    </xf>
    <xf fontId="11581" applyFont="true" borderId="8" applyBorder="true" applyNumberFormat="true" numFmtId="1" fillId="22" applyFill="true">
      <alignment horizontal="center" vertical="center"/>
    </xf>
    <xf fontId="11582" applyFont="true" borderId="8" applyBorder="true" applyNumberFormat="true" numFmtId="1" fillId="22" applyFill="true">
      <alignment horizontal="center" vertical="center"/>
    </xf>
    <xf fontId="11583" applyFont="true" borderId="8" applyBorder="true" applyNumberFormat="true" numFmtId="1" fillId="22" applyFill="true">
      <alignment horizontal="center" vertical="center"/>
    </xf>
    <xf fontId="11584" applyFont="true" borderId="8" applyBorder="true" applyNumberFormat="true" numFmtId="167" fillId="22" applyFill="true">
      <alignment horizontal="center" vertical="center"/>
    </xf>
    <xf fontId="11585" applyFont="true" borderId="8" applyBorder="true" applyNumberFormat="true" numFmtId="1" fillId="22" applyFill="true">
      <alignment horizontal="center" vertical="center"/>
    </xf>
    <xf fontId="11586" applyFont="true" borderId="8" applyBorder="true" applyNumberFormat="true" numFmtId="167" fillId="22" applyFill="true">
      <alignment horizontal="center" vertical="center"/>
    </xf>
    <xf fontId="11587" applyFont="true" borderId="8" applyBorder="true" applyNumberFormat="true" numFmtId="1" fillId="22" applyFill="true">
      <alignment horizontal="center" vertical="center"/>
    </xf>
    <xf fontId="11588" applyFont="true" borderId="8" applyBorder="true" applyNumberFormat="true" numFmtId="167" fillId="22" applyFill="true">
      <alignment horizontal="center" vertical="center"/>
    </xf>
    <xf fontId="11589" applyFont="true" borderId="8" applyBorder="true" applyNumberFormat="true" numFmtId="2" fillId="22" applyFill="true">
      <alignment horizontal="center" vertical="center"/>
    </xf>
    <xf fontId="11590" applyFont="true" borderId="8" applyBorder="true" applyNumberFormat="true" numFmtId="2" fillId="22" applyFill="true">
      <alignment horizontal="center" vertical="center"/>
    </xf>
    <xf fontId="11591" applyFont="true" borderId="8" applyBorder="true" applyNumberFormat="true" numFmtId="2" fillId="22" applyFill="true">
      <alignment horizontal="center" vertical="center"/>
    </xf>
    <xf fontId="11592" applyFont="true" borderId="8" applyBorder="true" applyNumberFormat="true" numFmtId="2" fillId="22" applyFill="true">
      <alignment horizontal="center" vertical="center"/>
    </xf>
    <xf fontId="11593" applyFont="true" borderId="8" applyBorder="true" applyNumberFormat="true" numFmtId="2" fillId="22" applyFill="true">
      <alignment horizontal="center" vertical="center"/>
    </xf>
    <xf fontId="11594" applyFont="true" borderId="8" applyBorder="true" applyNumberFormat="true" numFmtId="2" fillId="22" applyFill="true">
      <alignment horizontal="center" vertical="center"/>
    </xf>
    <xf fontId="11595" applyFont="true" borderId="8" applyBorder="true" applyNumberFormat="true" numFmtId="2" fillId="22" applyFill="true">
      <alignment horizontal="center" vertical="center"/>
    </xf>
    <xf fontId="11596" applyFont="true" borderId="8" applyBorder="true" applyNumberFormat="true" numFmtId="2" fillId="22" applyFill="true">
      <alignment horizontal="center" vertical="center"/>
    </xf>
    <xf fontId="11597" applyFont="true" borderId="8" applyBorder="true" applyNumberFormat="true" numFmtId="2" fillId="22" applyFill="true">
      <alignment horizontal="center" vertical="center"/>
    </xf>
    <xf fontId="11598" applyFont="true" borderId="8" applyBorder="true" applyNumberFormat="true" numFmtId="2" fillId="22" applyFill="true">
      <alignment horizontal="center" vertical="center"/>
    </xf>
    <xf fontId="11599" applyFont="true" borderId="8" applyBorder="true" applyNumberFormat="true" numFmtId="2" fillId="22" applyFill="true">
      <alignment horizontal="center" vertical="center"/>
    </xf>
    <xf fontId="11600" applyFont="true" borderId="8" applyBorder="true" applyNumberFormat="true" numFmtId="2" fillId="22" applyFill="true">
      <alignment horizontal="center" vertical="center"/>
    </xf>
    <xf fontId="11601" applyFont="true" borderId="8" applyBorder="true" applyNumberFormat="true" numFmtId="2" fillId="22" applyFill="true">
      <alignment horizontal="center" vertical="center"/>
    </xf>
    <xf fontId="11602" applyFont="true" borderId="8" applyBorder="true" applyNumberFormat="true" numFmtId="2" fillId="22" applyFill="true">
      <alignment horizontal="center" vertical="center"/>
    </xf>
    <xf fontId="11603" applyFont="true" borderId="8" applyBorder="true" applyNumberFormat="true" numFmtId="2" fillId="22" applyFill="true">
      <alignment horizontal="center" vertical="center"/>
    </xf>
    <xf fontId="11604" applyFont="true" borderId="8" applyBorder="true" applyNumberFormat="true" numFmtId="2" fillId="22" applyFill="true">
      <alignment horizontal="center" vertical="center"/>
    </xf>
    <xf fontId="11605" applyFont="true" borderId="8" applyBorder="true" applyNumberFormat="true" numFmtId="2" fillId="22" applyFill="true">
      <alignment horizontal="center" vertical="center"/>
    </xf>
    <xf fontId="11606" applyFont="true" borderId="8" applyBorder="true" applyNumberFormat="true" numFmtId="2" fillId="22" applyFill="true">
      <alignment horizontal="center" vertical="center"/>
    </xf>
    <xf fontId="11607" applyFont="true" borderId="8" applyBorder="true" applyNumberFormat="true" numFmtId="2" fillId="22" applyFill="true">
      <alignment horizontal="center" vertical="center"/>
    </xf>
    <xf fontId="11608" applyFont="true" borderId="8" applyBorder="true" applyNumberFormat="true" numFmtId="2" fillId="22" applyFill="true">
      <alignment horizontal="center" vertical="center"/>
    </xf>
    <xf fontId="11609" applyFont="true" borderId="8" applyBorder="true" applyNumberFormat="true" numFmtId="2" fillId="22" applyFill="true">
      <alignment horizontal="center" vertical="center"/>
    </xf>
    <xf fontId="11610" applyFont="true" borderId="8" applyBorder="true" applyNumberFormat="true" numFmtId="2" fillId="22" applyFill="true">
      <alignment horizontal="center" vertical="center"/>
    </xf>
    <xf fontId="11611" applyFont="true" borderId="8" applyBorder="true" applyNumberFormat="true" numFmtId="2" fillId="22" applyFill="true">
      <alignment horizontal="center" vertical="center"/>
    </xf>
    <xf fontId="11612" applyFont="true" borderId="8" applyBorder="true" applyNumberFormat="true" numFmtId="2" fillId="22" applyFill="true">
      <alignment horizontal="center" vertical="center"/>
    </xf>
    <xf fontId="11613" applyFont="true" borderId="8" applyBorder="true" applyNumberFormat="true" numFmtId="2" fillId="22" applyFill="true">
      <alignment horizontal="center" vertical="center"/>
    </xf>
    <xf fontId="11614" applyFont="true" borderId="8" applyBorder="true" applyNumberFormat="true" numFmtId="2" fillId="22" applyFill="true">
      <alignment horizontal="center" vertical="center"/>
    </xf>
    <xf fontId="11615" applyFont="true" borderId="8" applyBorder="true" applyNumberFormat="true" numFmtId="2" fillId="22" applyFill="true">
      <alignment horizontal="center" vertical="center"/>
    </xf>
    <xf fontId="11616" applyFont="true" borderId="8" applyBorder="true" applyNumberFormat="true" numFmtId="2" fillId="22" applyFill="true">
      <alignment horizontal="center" vertical="center"/>
    </xf>
    <xf fontId="11617" applyFont="true" borderId="8" applyBorder="true" applyNumberFormat="true" numFmtId="2" fillId="22" applyFill="true">
      <alignment horizontal="center" vertical="center"/>
    </xf>
    <xf fontId="11618" applyFont="true" borderId="8" applyBorder="true" applyNumberFormat="true" numFmtId="2" fillId="22" applyFill="true">
      <alignment horizontal="center" vertical="center"/>
    </xf>
    <xf fontId="11619" applyFont="true" borderId="8" applyBorder="true" applyNumberFormat="true" numFmtId="2" fillId="22" applyFill="true">
      <alignment horizontal="center" vertical="center"/>
    </xf>
    <xf fontId="11620" applyFont="true" borderId="8" applyBorder="true" applyNumberFormat="true" numFmtId="2" fillId="22" applyFill="true">
      <alignment horizontal="center" vertical="center"/>
    </xf>
    <xf fontId="11621" applyFont="true" borderId="8" applyBorder="true" applyNumberFormat="true" numFmtId="2" fillId="22" applyFill="true">
      <alignment horizontal="center" vertical="center"/>
    </xf>
    <xf fontId="11622" applyFont="true" borderId="8" applyBorder="true" applyNumberFormat="true" numFmtId="2" fillId="22" applyFill="true">
      <alignment horizontal="center" vertical="center"/>
    </xf>
    <xf fontId="11623" applyFont="true" borderId="8" applyBorder="true" applyNumberFormat="true" numFmtId="165" fillId="19" applyFill="true">
      <alignment horizontal="left" vertical="center"/>
    </xf>
    <xf fontId="11624" applyFont="true" borderId="8" applyBorder="true" applyNumberFormat="true" numFmtId="165" fillId="22" applyFill="true">
      <alignment horizontal="center" vertical="center"/>
    </xf>
    <xf fontId="11625" applyFont="true" borderId="8" applyBorder="true" applyNumberFormat="true" numFmtId="166" fillId="22" applyFill="true">
      <alignment horizontal="center" vertical="center"/>
    </xf>
    <xf fontId="11626" applyFont="true" borderId="8" applyBorder="true" applyNumberFormat="true" numFmtId="1" fillId="22" applyFill="true">
      <alignment horizontal="center" vertical="center"/>
    </xf>
    <xf fontId="11627" applyFont="true" borderId="8" applyBorder="true" applyNumberFormat="true" numFmtId="1" fillId="22" applyFill="true">
      <alignment horizontal="center" vertical="center"/>
    </xf>
    <xf fontId="11628" applyFont="true" borderId="8" applyBorder="true" applyNumberFormat="true" numFmtId="1" fillId="22" applyFill="true">
      <alignment horizontal="center" vertical="center"/>
    </xf>
    <xf fontId="11629" applyFont="true" borderId="8" applyBorder="true" applyNumberFormat="true" numFmtId="1" fillId="22" applyFill="true">
      <alignment horizontal="center" vertical="center"/>
    </xf>
    <xf fontId="11630" applyFont="true" borderId="8" applyBorder="true" applyNumberFormat="true" numFmtId="1" fillId="22" applyFill="true">
      <alignment horizontal="center" vertical="center"/>
    </xf>
    <xf fontId="11631" applyFont="true" borderId="8" applyBorder="true" applyNumberFormat="true" numFmtId="1" fillId="22" applyFill="true">
      <alignment horizontal="center" vertical="center"/>
    </xf>
    <xf fontId="11632" applyFont="true" borderId="8" applyBorder="true" applyNumberFormat="true" numFmtId="1" fillId="22" applyFill="true">
      <alignment horizontal="center" vertical="center"/>
    </xf>
    <xf fontId="11633" applyFont="true" borderId="8" applyBorder="true" applyNumberFormat="true" numFmtId="165" fillId="22" applyFill="true">
      <alignment horizontal="center" vertical="center"/>
    </xf>
    <xf fontId="11634" applyFont="true" borderId="8" applyBorder="true" applyNumberFormat="true" numFmtId="165" fillId="22" applyFill="true">
      <alignment horizontal="center" vertical="center"/>
    </xf>
    <xf fontId="11635" applyFont="true" borderId="8" applyBorder="true" applyNumberFormat="true" numFmtId="1" fillId="22" applyFill="true">
      <alignment horizontal="center" vertical="center"/>
    </xf>
    <xf fontId="11636" applyFont="true" borderId="8" applyBorder="true" applyNumberFormat="true" numFmtId="1" fillId="22" applyFill="true">
      <alignment horizontal="center" vertical="center"/>
    </xf>
    <xf fontId="11637" applyFont="true" borderId="8" applyBorder="true" applyNumberFormat="true" numFmtId="1" fillId="22" applyFill="true">
      <alignment horizontal="center" vertical="center"/>
    </xf>
    <xf fontId="11638" applyFont="true" borderId="8" applyBorder="true" applyNumberFormat="true" numFmtId="167" fillId="22" applyFill="true">
      <alignment horizontal="center" vertical="center"/>
    </xf>
    <xf fontId="11639" applyFont="true" borderId="8" applyBorder="true" applyNumberFormat="true" numFmtId="1" fillId="22" applyFill="true">
      <alignment horizontal="center" vertical="center"/>
    </xf>
    <xf fontId="11640" applyFont="true" borderId="8" applyBorder="true" applyNumberFormat="true" numFmtId="167" fillId="22" applyFill="true">
      <alignment horizontal="center" vertical="center"/>
    </xf>
    <xf fontId="11641" applyFont="true" borderId="8" applyBorder="true" applyNumberFormat="true" numFmtId="1" fillId="22" applyFill="true">
      <alignment horizontal="center" vertical="center"/>
    </xf>
    <xf fontId="11642" applyFont="true" borderId="8" applyBorder="true" applyNumberFormat="true" numFmtId="167" fillId="22" applyFill="true">
      <alignment horizontal="center" vertical="center"/>
    </xf>
    <xf fontId="11643" applyFont="true" borderId="8" applyBorder="true" applyNumberFormat="true" numFmtId="1" fillId="22" applyFill="true">
      <alignment horizontal="center" vertical="center"/>
    </xf>
    <xf fontId="11644" applyFont="true" borderId="8" applyBorder="true" applyNumberFormat="true" numFmtId="167" fillId="22" applyFill="true">
      <alignment horizontal="center" vertical="center"/>
    </xf>
    <xf fontId="11645" applyFont="true" borderId="8" applyBorder="true" applyNumberFormat="true" numFmtId="167" fillId="22" applyFill="true">
      <alignment horizontal="center" vertical="center"/>
    </xf>
    <xf fontId="11646" applyFont="true" borderId="8" applyBorder="true" applyNumberFormat="true" numFmtId="1" fillId="22" applyFill="true">
      <alignment horizontal="center" vertical="center"/>
    </xf>
    <xf fontId="11647" applyFont="true" borderId="8" applyBorder="true" applyNumberFormat="true" numFmtId="1" fillId="22" applyFill="true">
      <alignment horizontal="center" vertical="center"/>
    </xf>
    <xf fontId="11648" applyFont="true" borderId="8" applyBorder="true" applyNumberFormat="true" numFmtId="1" fillId="22" applyFill="true">
      <alignment horizontal="center" vertical="center"/>
    </xf>
    <xf fontId="11649" applyFont="true" borderId="8" applyBorder="true" applyNumberFormat="true" numFmtId="167" fillId="22" applyFill="true">
      <alignment horizontal="center" vertical="center"/>
    </xf>
    <xf fontId="11650" applyFont="true" borderId="8" applyBorder="true" applyNumberFormat="true" numFmtId="166" fillId="22" applyFill="true">
      <alignment horizontal="center" vertical="center"/>
    </xf>
    <xf fontId="11651" applyFont="true" borderId="8" applyBorder="true" applyNumberFormat="true" numFmtId="166" fillId="22" applyFill="true">
      <alignment horizontal="center" vertical="center"/>
    </xf>
    <xf fontId="11652" applyFont="true" borderId="8" applyBorder="true" applyNumberFormat="true" numFmtId="1" fillId="22" applyFill="true">
      <alignment horizontal="center" vertical="center"/>
    </xf>
    <xf fontId="11653" applyFont="true" borderId="8" applyBorder="true" applyNumberFormat="true" numFmtId="1" fillId="22" applyFill="true">
      <alignment horizontal="center" vertical="center"/>
    </xf>
    <xf fontId="11654" applyFont="true" borderId="8" applyBorder="true" applyNumberFormat="true" numFmtId="1" fillId="22" applyFill="true">
      <alignment horizontal="center" vertical="center"/>
    </xf>
    <xf fontId="11655" applyFont="true" borderId="8" applyBorder="true" applyNumberFormat="true" numFmtId="167" fillId="22" applyFill="true">
      <alignment horizontal="center" vertical="center"/>
    </xf>
    <xf fontId="11656" applyFont="true" borderId="8" applyBorder="true" applyNumberFormat="true" numFmtId="1" fillId="22" applyFill="true">
      <alignment horizontal="center" vertical="center"/>
    </xf>
    <xf fontId="11657" applyFont="true" borderId="8" applyBorder="true" applyNumberFormat="true" numFmtId="167" fillId="22" applyFill="true">
      <alignment horizontal="center" vertical="center"/>
    </xf>
    <xf fontId="11658" applyFont="true" borderId="8" applyBorder="true" applyNumberFormat="true" numFmtId="1" fillId="22" applyFill="true">
      <alignment horizontal="center" vertical="center"/>
    </xf>
    <xf fontId="11659" applyFont="true" borderId="8" applyBorder="true" applyNumberFormat="true" numFmtId="1" fillId="22" applyFill="true">
      <alignment horizontal="center" vertical="center"/>
    </xf>
    <xf fontId="11660" applyFont="true" borderId="8" applyBorder="true" applyNumberFormat="true" numFmtId="1" fillId="22" applyFill="true">
      <alignment horizontal="center" vertical="center"/>
    </xf>
    <xf fontId="11661" applyFont="true" borderId="8" applyBorder="true" applyNumberFormat="true" numFmtId="1" fillId="22" applyFill="true">
      <alignment horizontal="center" vertical="center"/>
    </xf>
    <xf fontId="11662" applyFont="true" borderId="8" applyBorder="true" applyNumberFormat="true" numFmtId="167" fillId="22" applyFill="true">
      <alignment horizontal="center" vertical="center"/>
    </xf>
    <xf fontId="11663" applyFont="true" borderId="8" applyBorder="true" applyNumberFormat="true" numFmtId="1" fillId="22" applyFill="true">
      <alignment horizontal="center" vertical="center"/>
    </xf>
    <xf fontId="11664" applyFont="true" borderId="8" applyBorder="true" applyNumberFormat="true" numFmtId="167" fillId="22" applyFill="true">
      <alignment horizontal="center" vertical="center"/>
    </xf>
    <xf fontId="11665" applyFont="true" borderId="8" applyBorder="true" applyNumberFormat="true" numFmtId="1" fillId="22" applyFill="true">
      <alignment horizontal="center" vertical="center"/>
    </xf>
    <xf fontId="11666" applyFont="true" borderId="8" applyBorder="true" applyNumberFormat="true" numFmtId="167" fillId="22" applyFill="true">
      <alignment horizontal="center" vertical="center"/>
    </xf>
    <xf fontId="11667" applyFont="true" borderId="8" applyBorder="true" applyNumberFormat="true" numFmtId="2" fillId="22" applyFill="true">
      <alignment horizontal="center" vertical="center"/>
    </xf>
    <xf fontId="11668" applyFont="true" borderId="8" applyBorder="true" applyNumberFormat="true" numFmtId="2" fillId="22" applyFill="true">
      <alignment horizontal="center" vertical="center"/>
    </xf>
    <xf fontId="11669" applyFont="true" borderId="8" applyBorder="true" applyNumberFormat="true" numFmtId="2" fillId="22" applyFill="true">
      <alignment horizontal="center" vertical="center"/>
    </xf>
    <xf fontId="11670" applyFont="true" borderId="8" applyBorder="true" applyNumberFormat="true" numFmtId="2" fillId="22" applyFill="true">
      <alignment horizontal="center" vertical="center"/>
    </xf>
    <xf fontId="11671" applyFont="true" borderId="8" applyBorder="true" applyNumberFormat="true" numFmtId="2" fillId="22" applyFill="true">
      <alignment horizontal="center" vertical="center"/>
    </xf>
    <xf fontId="11672" applyFont="true" borderId="8" applyBorder="true" applyNumberFormat="true" numFmtId="2" fillId="22" applyFill="true">
      <alignment horizontal="center" vertical="center"/>
    </xf>
    <xf fontId="11673" applyFont="true" borderId="8" applyBorder="true" applyNumberFormat="true" numFmtId="2" fillId="22" applyFill="true">
      <alignment horizontal="center" vertical="center"/>
    </xf>
    <xf fontId="11674" applyFont="true" borderId="8" applyBorder="true" applyNumberFormat="true" numFmtId="2" fillId="22" applyFill="true">
      <alignment horizontal="center" vertical="center"/>
    </xf>
    <xf fontId="11675" applyFont="true" borderId="8" applyBorder="true" applyNumberFormat="true" numFmtId="2" fillId="22" applyFill="true">
      <alignment horizontal="center" vertical="center"/>
    </xf>
    <xf fontId="11676" applyFont="true" borderId="8" applyBorder="true" applyNumberFormat="true" numFmtId="2" fillId="22" applyFill="true">
      <alignment horizontal="center" vertical="center"/>
    </xf>
    <xf fontId="11677" applyFont="true" borderId="8" applyBorder="true" applyNumberFormat="true" numFmtId="2" fillId="22" applyFill="true">
      <alignment horizontal="center" vertical="center"/>
    </xf>
    <xf fontId="11678" applyFont="true" borderId="8" applyBorder="true" applyNumberFormat="true" numFmtId="2" fillId="22" applyFill="true">
      <alignment horizontal="center" vertical="center"/>
    </xf>
    <xf fontId="11679" applyFont="true" borderId="8" applyBorder="true" applyNumberFormat="true" numFmtId="2" fillId="22" applyFill="true">
      <alignment horizontal="center" vertical="center"/>
    </xf>
    <xf fontId="11680" applyFont="true" borderId="8" applyBorder="true" applyNumberFormat="true" numFmtId="2" fillId="22" applyFill="true">
      <alignment horizontal="center" vertical="center"/>
    </xf>
    <xf fontId="11681" applyFont="true" borderId="8" applyBorder="true" applyNumberFormat="true" numFmtId="2" fillId="22" applyFill="true">
      <alignment horizontal="center" vertical="center"/>
    </xf>
    <xf fontId="11682" applyFont="true" borderId="8" applyBorder="true" applyNumberFormat="true" numFmtId="2" fillId="22" applyFill="true">
      <alignment horizontal="center" vertical="center"/>
    </xf>
    <xf fontId="11683" applyFont="true" borderId="8" applyBorder="true" applyNumberFormat="true" numFmtId="2" fillId="22" applyFill="true">
      <alignment horizontal="center" vertical="center"/>
    </xf>
    <xf fontId="11684" applyFont="true" borderId="8" applyBorder="true" applyNumberFormat="true" numFmtId="2" fillId="22" applyFill="true">
      <alignment horizontal="center" vertical="center"/>
    </xf>
    <xf fontId="11685" applyFont="true" borderId="8" applyBorder="true" applyNumberFormat="true" numFmtId="2" fillId="22" applyFill="true">
      <alignment horizontal="center" vertical="center"/>
    </xf>
    <xf fontId="11686" applyFont="true" borderId="8" applyBorder="true" applyNumberFormat="true" numFmtId="2" fillId="22" applyFill="true">
      <alignment horizontal="center" vertical="center"/>
    </xf>
    <xf fontId="11687" applyFont="true" borderId="8" applyBorder="true" applyNumberFormat="true" numFmtId="2" fillId="22" applyFill="true">
      <alignment horizontal="center" vertical="center"/>
    </xf>
    <xf fontId="11688" applyFont="true" borderId="8" applyBorder="true" applyNumberFormat="true" numFmtId="2" fillId="22" applyFill="true">
      <alignment horizontal="center" vertical="center"/>
    </xf>
    <xf fontId="11689" applyFont="true" borderId="8" applyBorder="true" applyNumberFormat="true" numFmtId="2" fillId="22" applyFill="true">
      <alignment horizontal="center" vertical="center"/>
    </xf>
    <xf fontId="11690" applyFont="true" borderId="8" applyBorder="true" applyNumberFormat="true" numFmtId="2" fillId="22" applyFill="true">
      <alignment horizontal="center" vertical="center"/>
    </xf>
    <xf fontId="11691" applyFont="true" borderId="8" applyBorder="true" applyNumberFormat="true" numFmtId="2" fillId="22" applyFill="true">
      <alignment horizontal="center" vertical="center"/>
    </xf>
    <xf fontId="11692" applyFont="true" borderId="8" applyBorder="true" applyNumberFormat="true" numFmtId="2" fillId="22" applyFill="true">
      <alignment horizontal="center" vertical="center"/>
    </xf>
    <xf fontId="11693" applyFont="true" borderId="8" applyBorder="true" applyNumberFormat="true" numFmtId="2" fillId="22" applyFill="true">
      <alignment horizontal="center" vertical="center"/>
    </xf>
    <xf fontId="11694" applyFont="true" borderId="8" applyBorder="true" applyNumberFormat="true" numFmtId="2" fillId="22" applyFill="true">
      <alignment horizontal="center" vertical="center"/>
    </xf>
    <xf fontId="11695" applyFont="true" borderId="8" applyBorder="true" applyNumberFormat="true" numFmtId="2" fillId="22" applyFill="true">
      <alignment horizontal="center" vertical="center"/>
    </xf>
    <xf fontId="11696" applyFont="true" borderId="8" applyBorder="true" applyNumberFormat="true" numFmtId="2" fillId="22" applyFill="true">
      <alignment horizontal="center" vertical="center"/>
    </xf>
    <xf fontId="11697" applyFont="true" borderId="8" applyBorder="true" applyNumberFormat="true" numFmtId="2" fillId="22" applyFill="true">
      <alignment horizontal="center" vertical="center"/>
    </xf>
    <xf fontId="11698" applyFont="true" borderId="8" applyBorder="true" applyNumberFormat="true" numFmtId="2" fillId="22" applyFill="true">
      <alignment horizontal="center" vertical="center"/>
    </xf>
    <xf fontId="11699" applyFont="true" borderId="8" applyBorder="true" applyNumberFormat="true" numFmtId="2" fillId="22" applyFill="true">
      <alignment horizontal="center" vertical="center"/>
    </xf>
    <xf fontId="11700" applyFont="true" borderId="8" applyBorder="true" applyNumberFormat="true" numFmtId="2" fillId="22" applyFill="true">
      <alignment horizontal="center" vertical="center"/>
    </xf>
    <xf fontId="11701" applyFont="true" borderId="8" applyBorder="true" applyNumberFormat="true" numFmtId="165" fillId="19" applyFill="true">
      <alignment horizontal="left" vertical="center"/>
    </xf>
    <xf fontId="11702" applyFont="true" borderId="8" applyBorder="true" applyNumberFormat="true" numFmtId="165" fillId="22" applyFill="true">
      <alignment horizontal="center" vertical="center"/>
    </xf>
    <xf fontId="11703" applyFont="true" borderId="8" applyBorder="true" applyNumberFormat="true" numFmtId="166" fillId="22" applyFill="true">
      <alignment horizontal="center" vertical="center"/>
    </xf>
    <xf fontId="11704" applyFont="true" borderId="8" applyBorder="true" applyNumberFormat="true" numFmtId="1" fillId="22" applyFill="true">
      <alignment horizontal="center" vertical="center"/>
    </xf>
    <xf fontId="11705" applyFont="true" borderId="8" applyBorder="true" applyNumberFormat="true" numFmtId="1" fillId="22" applyFill="true">
      <alignment horizontal="center" vertical="center"/>
    </xf>
    <xf fontId="11706" applyFont="true" borderId="8" applyBorder="true" applyNumberFormat="true" numFmtId="1" fillId="22" applyFill="true">
      <alignment horizontal="center" vertical="center"/>
    </xf>
    <xf fontId="11707" applyFont="true" borderId="8" applyBorder="true" applyNumberFormat="true" numFmtId="1" fillId="22" applyFill="true">
      <alignment horizontal="center" vertical="center"/>
    </xf>
    <xf fontId="11708" applyFont="true" borderId="8" applyBorder="true" applyNumberFormat="true" numFmtId="1" fillId="22" applyFill="true">
      <alignment horizontal="center" vertical="center"/>
    </xf>
    <xf fontId="11709" applyFont="true" borderId="8" applyBorder="true" applyNumberFormat="true" numFmtId="1" fillId="22" applyFill="true">
      <alignment horizontal="center" vertical="center"/>
    </xf>
    <xf fontId="11710" applyFont="true" borderId="8" applyBorder="true" applyNumberFormat="true" numFmtId="1" fillId="22" applyFill="true">
      <alignment horizontal="center" vertical="center"/>
    </xf>
    <xf fontId="11711" applyFont="true" borderId="8" applyBorder="true" applyNumberFormat="true" numFmtId="165" fillId="22" applyFill="true">
      <alignment horizontal="center" vertical="center"/>
    </xf>
    <xf fontId="11712" applyFont="true" borderId="8" applyBorder="true" applyNumberFormat="true" numFmtId="165" fillId="22" applyFill="true">
      <alignment horizontal="center" vertical="center"/>
    </xf>
    <xf fontId="11713" applyFont="true" borderId="8" applyBorder="true" applyNumberFormat="true" numFmtId="1" fillId="22" applyFill="true">
      <alignment horizontal="center" vertical="center"/>
    </xf>
    <xf fontId="11714" applyFont="true" borderId="8" applyBorder="true" applyNumberFormat="true" numFmtId="1" fillId="22" applyFill="true">
      <alignment horizontal="center" vertical="center"/>
    </xf>
    <xf fontId="11715" applyFont="true" borderId="8" applyBorder="true" applyNumberFormat="true" numFmtId="1" fillId="22" applyFill="true">
      <alignment horizontal="center" vertical="center"/>
    </xf>
    <xf fontId="11716" applyFont="true" borderId="8" applyBorder="true" applyNumberFormat="true" numFmtId="167" fillId="22" applyFill="true">
      <alignment horizontal="center" vertical="center"/>
    </xf>
    <xf fontId="11717" applyFont="true" borderId="8" applyBorder="true" applyNumberFormat="true" numFmtId="1" fillId="22" applyFill="true">
      <alignment horizontal="center" vertical="center"/>
    </xf>
    <xf fontId="11718" applyFont="true" borderId="8" applyBorder="true" applyNumberFormat="true" numFmtId="167" fillId="22" applyFill="true">
      <alignment horizontal="center" vertical="center"/>
    </xf>
    <xf fontId="11719" applyFont="true" borderId="8" applyBorder="true" applyNumberFormat="true" numFmtId="1" fillId="22" applyFill="true">
      <alignment horizontal="center" vertical="center"/>
    </xf>
    <xf fontId="11720" applyFont="true" borderId="8" applyBorder="true" applyNumberFormat="true" numFmtId="167" fillId="22" applyFill="true">
      <alignment horizontal="center" vertical="center"/>
    </xf>
    <xf fontId="11721" applyFont="true" borderId="8" applyBorder="true" applyNumberFormat="true" numFmtId="1" fillId="22" applyFill="true">
      <alignment horizontal="center" vertical="center"/>
    </xf>
    <xf fontId="11722" applyFont="true" borderId="8" applyBorder="true" applyNumberFormat="true" numFmtId="167" fillId="22" applyFill="true">
      <alignment horizontal="center" vertical="center"/>
    </xf>
    <xf fontId="11723" applyFont="true" borderId="8" applyBorder="true" applyNumberFormat="true" numFmtId="167" fillId="22" applyFill="true">
      <alignment horizontal="center" vertical="center"/>
    </xf>
    <xf fontId="11724" applyFont="true" borderId="8" applyBorder="true" applyNumberFormat="true" numFmtId="1" fillId="22" applyFill="true">
      <alignment horizontal="center" vertical="center"/>
    </xf>
    <xf fontId="11725" applyFont="true" borderId="8" applyBorder="true" applyNumberFormat="true" numFmtId="1" fillId="22" applyFill="true">
      <alignment horizontal="center" vertical="center"/>
    </xf>
    <xf fontId="11726" applyFont="true" borderId="8" applyBorder="true" applyNumberFormat="true" numFmtId="1" fillId="22" applyFill="true">
      <alignment horizontal="center" vertical="center"/>
    </xf>
    <xf fontId="11727" applyFont="true" borderId="8" applyBorder="true" applyNumberFormat="true" numFmtId="167" fillId="22" applyFill="true">
      <alignment horizontal="center" vertical="center"/>
    </xf>
    <xf fontId="11728" applyFont="true" borderId="8" applyBorder="true" applyNumberFormat="true" numFmtId="166" fillId="22" applyFill="true">
      <alignment horizontal="center" vertical="center"/>
    </xf>
    <xf fontId="11729" applyFont="true" borderId="8" applyBorder="true" applyNumberFormat="true" numFmtId="166" fillId="22" applyFill="true">
      <alignment horizontal="center" vertical="center"/>
    </xf>
    <xf fontId="11730" applyFont="true" borderId="8" applyBorder="true" applyNumberFormat="true" numFmtId="1" fillId="22" applyFill="true">
      <alignment horizontal="center" vertical="center"/>
    </xf>
    <xf fontId="11731" applyFont="true" borderId="8" applyBorder="true" applyNumberFormat="true" numFmtId="1" fillId="22" applyFill="true">
      <alignment horizontal="center" vertical="center"/>
    </xf>
    <xf fontId="11732" applyFont="true" borderId="8" applyBorder="true" applyNumberFormat="true" numFmtId="1" fillId="22" applyFill="true">
      <alignment horizontal="center" vertical="center"/>
    </xf>
    <xf fontId="11733" applyFont="true" borderId="8" applyBorder="true" applyNumberFormat="true" numFmtId="167" fillId="22" applyFill="true">
      <alignment horizontal="center" vertical="center"/>
    </xf>
    <xf fontId="11734" applyFont="true" borderId="8" applyBorder="true" applyNumberFormat="true" numFmtId="1" fillId="22" applyFill="true">
      <alignment horizontal="center" vertical="center"/>
    </xf>
    <xf fontId="11735" applyFont="true" borderId="8" applyBorder="true" applyNumberFormat="true" numFmtId="167" fillId="22" applyFill="true">
      <alignment horizontal="center" vertical="center"/>
    </xf>
    <xf fontId="11736" applyFont="true" borderId="8" applyBorder="true" applyNumberFormat="true" numFmtId="1" fillId="22" applyFill="true">
      <alignment horizontal="center" vertical="center"/>
    </xf>
    <xf fontId="11737" applyFont="true" borderId="8" applyBorder="true" applyNumberFormat="true" numFmtId="1" fillId="22" applyFill="true">
      <alignment horizontal="center" vertical="center"/>
    </xf>
    <xf fontId="11738" applyFont="true" borderId="8" applyBorder="true" applyNumberFormat="true" numFmtId="1" fillId="22" applyFill="true">
      <alignment horizontal="center" vertical="center"/>
    </xf>
    <xf fontId="11739" applyFont="true" borderId="8" applyBorder="true" applyNumberFormat="true" numFmtId="1" fillId="22" applyFill="true">
      <alignment horizontal="center" vertical="center"/>
    </xf>
    <xf fontId="11740" applyFont="true" borderId="8" applyBorder="true" applyNumberFormat="true" numFmtId="167" fillId="22" applyFill="true">
      <alignment horizontal="center" vertical="center"/>
    </xf>
    <xf fontId="11741" applyFont="true" borderId="8" applyBorder="true" applyNumberFormat="true" numFmtId="1" fillId="22" applyFill="true">
      <alignment horizontal="center" vertical="center"/>
    </xf>
    <xf fontId="11742" applyFont="true" borderId="8" applyBorder="true" applyNumberFormat="true" numFmtId="167" fillId="22" applyFill="true">
      <alignment horizontal="center" vertical="center"/>
    </xf>
    <xf fontId="11743" applyFont="true" borderId="8" applyBorder="true" applyNumberFormat="true" numFmtId="1" fillId="22" applyFill="true">
      <alignment horizontal="center" vertical="center"/>
    </xf>
    <xf fontId="11744" applyFont="true" borderId="8" applyBorder="true" applyNumberFormat="true" numFmtId="167" fillId="22" applyFill="true">
      <alignment horizontal="center" vertical="center"/>
    </xf>
    <xf fontId="11745" applyFont="true" borderId="8" applyBorder="true" applyNumberFormat="true" numFmtId="2" fillId="22" applyFill="true">
      <alignment horizontal="center" vertical="center"/>
    </xf>
    <xf fontId="11746" applyFont="true" borderId="8" applyBorder="true" applyNumberFormat="true" numFmtId="2" fillId="22" applyFill="true">
      <alignment horizontal="center" vertical="center"/>
    </xf>
    <xf fontId="11747" applyFont="true" borderId="8" applyBorder="true" applyNumberFormat="true" numFmtId="2" fillId="22" applyFill="true">
      <alignment horizontal="center" vertical="center"/>
    </xf>
    <xf fontId="11748" applyFont="true" borderId="8" applyBorder="true" applyNumberFormat="true" numFmtId="2" fillId="22" applyFill="true">
      <alignment horizontal="center" vertical="center"/>
    </xf>
    <xf fontId="11749" applyFont="true" borderId="8" applyBorder="true" applyNumberFormat="true" numFmtId="2" fillId="22" applyFill="true">
      <alignment horizontal="center" vertical="center"/>
    </xf>
    <xf fontId="11750" applyFont="true" borderId="8" applyBorder="true" applyNumberFormat="true" numFmtId="2" fillId="22" applyFill="true">
      <alignment horizontal="center" vertical="center"/>
    </xf>
    <xf fontId="11751" applyFont="true" borderId="8" applyBorder="true" applyNumberFormat="true" numFmtId="2" fillId="22" applyFill="true">
      <alignment horizontal="center" vertical="center"/>
    </xf>
    <xf fontId="11752" applyFont="true" borderId="8" applyBorder="true" applyNumberFormat="true" numFmtId="2" fillId="22" applyFill="true">
      <alignment horizontal="center" vertical="center"/>
    </xf>
    <xf fontId="11753" applyFont="true" borderId="8" applyBorder="true" applyNumberFormat="true" numFmtId="2" fillId="22" applyFill="true">
      <alignment horizontal="center" vertical="center"/>
    </xf>
    <xf fontId="11754" applyFont="true" borderId="8" applyBorder="true" applyNumberFormat="true" numFmtId="2" fillId="22" applyFill="true">
      <alignment horizontal="center" vertical="center"/>
    </xf>
    <xf fontId="11755" applyFont="true" borderId="8" applyBorder="true" applyNumberFormat="true" numFmtId="2" fillId="22" applyFill="true">
      <alignment horizontal="center" vertical="center"/>
    </xf>
    <xf fontId="11756" applyFont="true" borderId="8" applyBorder="true" applyNumberFormat="true" numFmtId="2" fillId="22" applyFill="true">
      <alignment horizontal="center" vertical="center"/>
    </xf>
    <xf fontId="11757" applyFont="true" borderId="8" applyBorder="true" applyNumberFormat="true" numFmtId="2" fillId="22" applyFill="true">
      <alignment horizontal="center" vertical="center"/>
    </xf>
    <xf fontId="11758" applyFont="true" borderId="8" applyBorder="true" applyNumberFormat="true" numFmtId="2" fillId="22" applyFill="true">
      <alignment horizontal="center" vertical="center"/>
    </xf>
    <xf fontId="11759" applyFont="true" borderId="8" applyBorder="true" applyNumberFormat="true" numFmtId="2" fillId="22" applyFill="true">
      <alignment horizontal="center" vertical="center"/>
    </xf>
    <xf fontId="11760" applyFont="true" borderId="8" applyBorder="true" applyNumberFormat="true" numFmtId="2" fillId="22" applyFill="true">
      <alignment horizontal="center" vertical="center"/>
    </xf>
    <xf fontId="11761" applyFont="true" borderId="8" applyBorder="true" applyNumberFormat="true" numFmtId="2" fillId="22" applyFill="true">
      <alignment horizontal="center" vertical="center"/>
    </xf>
    <xf fontId="11762" applyFont="true" borderId="8" applyBorder="true" applyNumberFormat="true" numFmtId="2" fillId="22" applyFill="true">
      <alignment horizontal="center" vertical="center"/>
    </xf>
    <xf fontId="11763" applyFont="true" borderId="8" applyBorder="true" applyNumberFormat="true" numFmtId="2" fillId="22" applyFill="true">
      <alignment horizontal="center" vertical="center"/>
    </xf>
    <xf fontId="11764" applyFont="true" borderId="8" applyBorder="true" applyNumberFormat="true" numFmtId="2" fillId="22" applyFill="true">
      <alignment horizontal="center" vertical="center"/>
    </xf>
    <xf fontId="11765" applyFont="true" borderId="8" applyBorder="true" applyNumberFormat="true" numFmtId="2" fillId="22" applyFill="true">
      <alignment horizontal="center" vertical="center"/>
    </xf>
    <xf fontId="11766" applyFont="true" borderId="8" applyBorder="true" applyNumberFormat="true" numFmtId="2" fillId="22" applyFill="true">
      <alignment horizontal="center" vertical="center"/>
    </xf>
    <xf fontId="11767" applyFont="true" borderId="8" applyBorder="true" applyNumberFormat="true" numFmtId="2" fillId="22" applyFill="true">
      <alignment horizontal="center" vertical="center"/>
    </xf>
    <xf fontId="11768" applyFont="true" borderId="8" applyBorder="true" applyNumberFormat="true" numFmtId="2" fillId="22" applyFill="true">
      <alignment horizontal="center" vertical="center"/>
    </xf>
    <xf fontId="11769" applyFont="true" borderId="8" applyBorder="true" applyNumberFormat="true" numFmtId="2" fillId="22" applyFill="true">
      <alignment horizontal="center" vertical="center"/>
    </xf>
    <xf fontId="11770" applyFont="true" borderId="8" applyBorder="true" applyNumberFormat="true" numFmtId="2" fillId="22" applyFill="true">
      <alignment horizontal="center" vertical="center"/>
    </xf>
    <xf fontId="11771" applyFont="true" borderId="8" applyBorder="true" applyNumberFormat="true" numFmtId="2" fillId="22" applyFill="true">
      <alignment horizontal="center" vertical="center"/>
    </xf>
    <xf fontId="11772" applyFont="true" borderId="8" applyBorder="true" applyNumberFormat="true" numFmtId="2" fillId="22" applyFill="true">
      <alignment horizontal="center" vertical="center"/>
    </xf>
    <xf fontId="11773" applyFont="true" borderId="8" applyBorder="true" applyNumberFormat="true" numFmtId="2" fillId="22" applyFill="true">
      <alignment horizontal="center" vertical="center"/>
    </xf>
    <xf fontId="11774" applyFont="true" borderId="8" applyBorder="true" applyNumberFormat="true" numFmtId="2" fillId="22" applyFill="true">
      <alignment horizontal="center" vertical="center"/>
    </xf>
    <xf fontId="11775" applyFont="true" borderId="8" applyBorder="true" applyNumberFormat="true" numFmtId="2" fillId="22" applyFill="true">
      <alignment horizontal="center" vertical="center"/>
    </xf>
    <xf fontId="11776" applyFont="true" borderId="8" applyBorder="true" applyNumberFormat="true" numFmtId="2" fillId="22" applyFill="true">
      <alignment horizontal="center" vertical="center"/>
    </xf>
    <xf fontId="11777" applyFont="true" borderId="8" applyBorder="true" applyNumberFormat="true" numFmtId="2" fillId="22" applyFill="true">
      <alignment horizontal="center" vertical="center"/>
    </xf>
    <xf fontId="11778" applyFont="true" borderId="8" applyBorder="true" applyNumberFormat="true" numFmtId="2" fillId="22" applyFill="true">
      <alignment horizontal="center" vertical="center"/>
    </xf>
    <xf fontId="11779" applyFont="true" borderId="8" applyBorder="true" applyNumberFormat="true" numFmtId="165" fillId="19" applyFill="true">
      <alignment horizontal="left" vertical="center"/>
    </xf>
    <xf fontId="11780" applyFont="true" borderId="8" applyBorder="true" applyNumberFormat="true" numFmtId="165" fillId="22" applyFill="true">
      <alignment horizontal="center" vertical="center"/>
    </xf>
    <xf fontId="11781" applyFont="true" borderId="8" applyBorder="true" applyNumberFormat="true" numFmtId="166" fillId="22" applyFill="true">
      <alignment horizontal="center" vertical="center"/>
    </xf>
    <xf fontId="11782" applyFont="true" borderId="8" applyBorder="true" applyNumberFormat="true" numFmtId="1" fillId="22" applyFill="true">
      <alignment horizontal="center" vertical="center"/>
    </xf>
    <xf fontId="11783" applyFont="true" borderId="8" applyBorder="true" applyNumberFormat="true" numFmtId="1" fillId="22" applyFill="true">
      <alignment horizontal="center" vertical="center"/>
    </xf>
    <xf fontId="11784" applyFont="true" borderId="8" applyBorder="true" applyNumberFormat="true" numFmtId="1" fillId="22" applyFill="true">
      <alignment horizontal="center" vertical="center"/>
    </xf>
    <xf fontId="11785" applyFont="true" borderId="8" applyBorder="true" applyNumberFormat="true" numFmtId="1" fillId="22" applyFill="true">
      <alignment horizontal="center" vertical="center"/>
    </xf>
    <xf fontId="11786" applyFont="true" borderId="8" applyBorder="true" applyNumberFormat="true" numFmtId="1" fillId="22" applyFill="true">
      <alignment horizontal="center" vertical="center"/>
    </xf>
    <xf fontId="11787" applyFont="true" borderId="8" applyBorder="true" applyNumberFormat="true" numFmtId="1" fillId="22" applyFill="true">
      <alignment horizontal="center" vertical="center"/>
    </xf>
    <xf fontId="11788" applyFont="true" borderId="8" applyBorder="true" applyNumberFormat="true" numFmtId="1" fillId="22" applyFill="true">
      <alignment horizontal="center" vertical="center"/>
    </xf>
    <xf fontId="11789" applyFont="true" borderId="8" applyBorder="true" applyNumberFormat="true" numFmtId="165" fillId="22" applyFill="true">
      <alignment horizontal="center" vertical="center"/>
    </xf>
    <xf fontId="11790" applyFont="true" borderId="8" applyBorder="true" applyNumberFormat="true" numFmtId="165" fillId="22" applyFill="true">
      <alignment horizontal="center" vertical="center"/>
    </xf>
    <xf fontId="11791" applyFont="true" borderId="8" applyBorder="true" applyNumberFormat="true" numFmtId="1" fillId="22" applyFill="true">
      <alignment horizontal="center" vertical="center"/>
    </xf>
    <xf fontId="11792" applyFont="true" borderId="8" applyBorder="true" applyNumberFormat="true" numFmtId="1" fillId="22" applyFill="true">
      <alignment horizontal="center" vertical="center"/>
    </xf>
    <xf fontId="11793" applyFont="true" borderId="8" applyBorder="true" applyNumberFormat="true" numFmtId="1" fillId="22" applyFill="true">
      <alignment horizontal="center" vertical="center"/>
    </xf>
    <xf fontId="11794" applyFont="true" borderId="8" applyBorder="true" applyNumberFormat="true" numFmtId="167" fillId="22" applyFill="true">
      <alignment horizontal="center" vertical="center"/>
    </xf>
    <xf fontId="11795" applyFont="true" borderId="8" applyBorder="true" applyNumberFormat="true" numFmtId="1" fillId="22" applyFill="true">
      <alignment horizontal="center" vertical="center"/>
    </xf>
    <xf fontId="11796" applyFont="true" borderId="8" applyBorder="true" applyNumberFormat="true" numFmtId="167" fillId="22" applyFill="true">
      <alignment horizontal="center" vertical="center"/>
    </xf>
    <xf fontId="11797" applyFont="true" borderId="8" applyBorder="true" applyNumberFormat="true" numFmtId="1" fillId="22" applyFill="true">
      <alignment horizontal="center" vertical="center"/>
    </xf>
    <xf fontId="11798" applyFont="true" borderId="8" applyBorder="true" applyNumberFormat="true" numFmtId="167" fillId="22" applyFill="true">
      <alignment horizontal="center" vertical="center"/>
    </xf>
    <xf fontId="11799" applyFont="true" borderId="8" applyBorder="true" applyNumberFormat="true" numFmtId="1" fillId="22" applyFill="true">
      <alignment horizontal="center" vertical="center"/>
    </xf>
    <xf fontId="11800" applyFont="true" borderId="8" applyBorder="true" applyNumberFormat="true" numFmtId="167" fillId="22" applyFill="true">
      <alignment horizontal="center" vertical="center"/>
    </xf>
    <xf fontId="11801" applyFont="true" borderId="8" applyBorder="true" applyNumberFormat="true" numFmtId="167" fillId="22" applyFill="true">
      <alignment horizontal="center" vertical="center"/>
    </xf>
    <xf fontId="11802" applyFont="true" borderId="8" applyBorder="true" applyNumberFormat="true" numFmtId="1" fillId="22" applyFill="true">
      <alignment horizontal="center" vertical="center"/>
    </xf>
    <xf fontId="11803" applyFont="true" borderId="8" applyBorder="true" applyNumberFormat="true" numFmtId="1" fillId="22" applyFill="true">
      <alignment horizontal="center" vertical="center"/>
    </xf>
    <xf fontId="11804" applyFont="true" borderId="8" applyBorder="true" applyNumberFormat="true" numFmtId="1" fillId="22" applyFill="true">
      <alignment horizontal="center" vertical="center"/>
    </xf>
    <xf fontId="11805" applyFont="true" borderId="8" applyBorder="true" applyNumberFormat="true" numFmtId="167" fillId="22" applyFill="true">
      <alignment horizontal="center" vertical="center"/>
    </xf>
    <xf fontId="11806" applyFont="true" borderId="8" applyBorder="true" applyNumberFormat="true" numFmtId="166" fillId="22" applyFill="true">
      <alignment horizontal="center" vertical="center"/>
    </xf>
    <xf fontId="11807" applyFont="true" borderId="8" applyBorder="true" applyNumberFormat="true" numFmtId="166" fillId="22" applyFill="true">
      <alignment horizontal="center" vertical="center"/>
    </xf>
    <xf fontId="11808" applyFont="true" borderId="8" applyBorder="true" applyNumberFormat="true" numFmtId="1" fillId="22" applyFill="true">
      <alignment horizontal="center" vertical="center"/>
    </xf>
    <xf fontId="11809" applyFont="true" borderId="8" applyBorder="true" applyNumberFormat="true" numFmtId="1" fillId="22" applyFill="true">
      <alignment horizontal="center" vertical="center"/>
    </xf>
    <xf fontId="11810" applyFont="true" borderId="8" applyBorder="true" applyNumberFormat="true" numFmtId="1" fillId="22" applyFill="true">
      <alignment horizontal="center" vertical="center"/>
    </xf>
    <xf fontId="11811" applyFont="true" borderId="8" applyBorder="true" applyNumberFormat="true" numFmtId="167" fillId="22" applyFill="true">
      <alignment horizontal="center" vertical="center"/>
    </xf>
    <xf fontId="11812" applyFont="true" borderId="8" applyBorder="true" applyNumberFormat="true" numFmtId="1" fillId="22" applyFill="true">
      <alignment horizontal="center" vertical="center"/>
    </xf>
    <xf fontId="11813" applyFont="true" borderId="8" applyBorder="true" applyNumberFormat="true" numFmtId="167" fillId="22" applyFill="true">
      <alignment horizontal="center" vertical="center"/>
    </xf>
    <xf fontId="11814" applyFont="true" borderId="8" applyBorder="true" applyNumberFormat="true" numFmtId="1" fillId="22" applyFill="true">
      <alignment horizontal="center" vertical="center"/>
    </xf>
    <xf fontId="11815" applyFont="true" borderId="8" applyBorder="true" applyNumberFormat="true" numFmtId="1" fillId="22" applyFill="true">
      <alignment horizontal="center" vertical="center"/>
    </xf>
    <xf fontId="11816" applyFont="true" borderId="8" applyBorder="true" applyNumberFormat="true" numFmtId="1" fillId="22" applyFill="true">
      <alignment horizontal="center" vertical="center"/>
    </xf>
    <xf fontId="11817" applyFont="true" borderId="8" applyBorder="true" applyNumberFormat="true" numFmtId="1" fillId="22" applyFill="true">
      <alignment horizontal="center" vertical="center"/>
    </xf>
    <xf fontId="11818" applyFont="true" borderId="8" applyBorder="true" applyNumberFormat="true" numFmtId="167" fillId="22" applyFill="true">
      <alignment horizontal="center" vertical="center"/>
    </xf>
    <xf fontId="11819" applyFont="true" borderId="8" applyBorder="true" applyNumberFormat="true" numFmtId="1" fillId="22" applyFill="true">
      <alignment horizontal="center" vertical="center"/>
    </xf>
    <xf fontId="11820" applyFont="true" borderId="8" applyBorder="true" applyNumberFormat="true" numFmtId="167" fillId="22" applyFill="true">
      <alignment horizontal="center" vertical="center"/>
    </xf>
    <xf fontId="11821" applyFont="true" borderId="8" applyBorder="true" applyNumberFormat="true" numFmtId="1" fillId="22" applyFill="true">
      <alignment horizontal="center" vertical="center"/>
    </xf>
    <xf fontId="11822" applyFont="true" borderId="8" applyBorder="true" applyNumberFormat="true" numFmtId="167" fillId="22" applyFill="true">
      <alignment horizontal="center" vertical="center"/>
    </xf>
    <xf fontId="11823" applyFont="true" borderId="8" applyBorder="true" applyNumberFormat="true" numFmtId="2" fillId="22" applyFill="true">
      <alignment horizontal="center" vertical="center"/>
    </xf>
    <xf fontId="11824" applyFont="true" borderId="8" applyBorder="true" applyNumberFormat="true" numFmtId="2" fillId="22" applyFill="true">
      <alignment horizontal="center" vertical="center"/>
    </xf>
    <xf fontId="11825" applyFont="true" borderId="8" applyBorder="true" applyNumberFormat="true" numFmtId="2" fillId="22" applyFill="true">
      <alignment horizontal="center" vertical="center"/>
    </xf>
    <xf fontId="11826" applyFont="true" borderId="8" applyBorder="true" applyNumberFormat="true" numFmtId="2" fillId="22" applyFill="true">
      <alignment horizontal="center" vertical="center"/>
    </xf>
    <xf fontId="11827" applyFont="true" borderId="8" applyBorder="true" applyNumberFormat="true" numFmtId="2" fillId="22" applyFill="true">
      <alignment horizontal="center" vertical="center"/>
    </xf>
    <xf fontId="11828" applyFont="true" borderId="8" applyBorder="true" applyNumberFormat="true" numFmtId="2" fillId="22" applyFill="true">
      <alignment horizontal="center" vertical="center"/>
    </xf>
    <xf fontId="11829" applyFont="true" borderId="8" applyBorder="true" applyNumberFormat="true" numFmtId="2" fillId="22" applyFill="true">
      <alignment horizontal="center" vertical="center"/>
    </xf>
    <xf fontId="11830" applyFont="true" borderId="8" applyBorder="true" applyNumberFormat="true" numFmtId="2" fillId="22" applyFill="true">
      <alignment horizontal="center" vertical="center"/>
    </xf>
    <xf fontId="11831" applyFont="true" borderId="8" applyBorder="true" applyNumberFormat="true" numFmtId="2" fillId="22" applyFill="true">
      <alignment horizontal="center" vertical="center"/>
    </xf>
    <xf fontId="11832" applyFont="true" borderId="8" applyBorder="true" applyNumberFormat="true" numFmtId="2" fillId="22" applyFill="true">
      <alignment horizontal="center" vertical="center"/>
    </xf>
    <xf fontId="11833" applyFont="true" borderId="8" applyBorder="true" applyNumberFormat="true" numFmtId="2" fillId="22" applyFill="true">
      <alignment horizontal="center" vertical="center"/>
    </xf>
    <xf fontId="11834" applyFont="true" borderId="8" applyBorder="true" applyNumberFormat="true" numFmtId="2" fillId="22" applyFill="true">
      <alignment horizontal="center" vertical="center"/>
    </xf>
    <xf fontId="11835" applyFont="true" borderId="8" applyBorder="true" applyNumberFormat="true" numFmtId="2" fillId="22" applyFill="true">
      <alignment horizontal="center" vertical="center"/>
    </xf>
    <xf fontId="11836" applyFont="true" borderId="8" applyBorder="true" applyNumberFormat="true" numFmtId="2" fillId="22" applyFill="true">
      <alignment horizontal="center" vertical="center"/>
    </xf>
    <xf fontId="11837" applyFont="true" borderId="8" applyBorder="true" applyNumberFormat="true" numFmtId="2" fillId="22" applyFill="true">
      <alignment horizontal="center" vertical="center"/>
    </xf>
    <xf fontId="11838" applyFont="true" borderId="8" applyBorder="true" applyNumberFormat="true" numFmtId="2" fillId="22" applyFill="true">
      <alignment horizontal="center" vertical="center"/>
    </xf>
    <xf fontId="11839" applyFont="true" borderId="8" applyBorder="true" applyNumberFormat="true" numFmtId="2" fillId="22" applyFill="true">
      <alignment horizontal="center" vertical="center"/>
    </xf>
    <xf fontId="11840" applyFont="true" borderId="8" applyBorder="true" applyNumberFormat="true" numFmtId="2" fillId="22" applyFill="true">
      <alignment horizontal="center" vertical="center"/>
    </xf>
    <xf fontId="11841" applyFont="true" borderId="8" applyBorder="true" applyNumberFormat="true" numFmtId="2" fillId="22" applyFill="true">
      <alignment horizontal="center" vertical="center"/>
    </xf>
    <xf fontId="11842" applyFont="true" borderId="8" applyBorder="true" applyNumberFormat="true" numFmtId="2" fillId="22" applyFill="true">
      <alignment horizontal="center" vertical="center"/>
    </xf>
    <xf fontId="11843" applyFont="true" borderId="8" applyBorder="true" applyNumberFormat="true" numFmtId="2" fillId="22" applyFill="true">
      <alignment horizontal="center" vertical="center"/>
    </xf>
    <xf fontId="11844" applyFont="true" borderId="8" applyBorder="true" applyNumberFormat="true" numFmtId="2" fillId="22" applyFill="true">
      <alignment horizontal="center" vertical="center"/>
    </xf>
    <xf fontId="11845" applyFont="true" borderId="8" applyBorder="true" applyNumberFormat="true" numFmtId="2" fillId="22" applyFill="true">
      <alignment horizontal="center" vertical="center"/>
    </xf>
    <xf fontId="11846" applyFont="true" borderId="8" applyBorder="true" applyNumberFormat="true" numFmtId="2" fillId="22" applyFill="true">
      <alignment horizontal="center" vertical="center"/>
    </xf>
    <xf fontId="11847" applyFont="true" borderId="8" applyBorder="true" applyNumberFormat="true" numFmtId="2" fillId="22" applyFill="true">
      <alignment horizontal="center" vertical="center"/>
    </xf>
    <xf fontId="11848" applyFont="true" borderId="8" applyBorder="true" applyNumberFormat="true" numFmtId="2" fillId="22" applyFill="true">
      <alignment horizontal="center" vertical="center"/>
    </xf>
    <xf fontId="11849" applyFont="true" borderId="8" applyBorder="true" applyNumberFormat="true" numFmtId="2" fillId="22" applyFill="true">
      <alignment horizontal="center" vertical="center"/>
    </xf>
    <xf fontId="11850" applyFont="true" borderId="8" applyBorder="true" applyNumberFormat="true" numFmtId="2" fillId="22" applyFill="true">
      <alignment horizontal="center" vertical="center"/>
    </xf>
    <xf fontId="11851" applyFont="true" borderId="8" applyBorder="true" applyNumberFormat="true" numFmtId="2" fillId="22" applyFill="true">
      <alignment horizontal="center" vertical="center"/>
    </xf>
    <xf fontId="11852" applyFont="true" borderId="8" applyBorder="true" applyNumberFormat="true" numFmtId="2" fillId="22" applyFill="true">
      <alignment horizontal="center" vertical="center"/>
    </xf>
    <xf fontId="11853" applyFont="true" borderId="8" applyBorder="true" applyNumberFormat="true" numFmtId="2" fillId="22" applyFill="true">
      <alignment horizontal="center" vertical="center"/>
    </xf>
    <xf fontId="11854" applyFont="true" borderId="8" applyBorder="true" applyNumberFormat="true" numFmtId="2" fillId="22" applyFill="true">
      <alignment horizontal="center" vertical="center"/>
    </xf>
    <xf fontId="11855" applyFont="true" borderId="8" applyBorder="true" applyNumberFormat="true" numFmtId="2" fillId="22" applyFill="true">
      <alignment horizontal="center" vertical="center"/>
    </xf>
    <xf fontId="11856" applyFont="true" borderId="8" applyBorder="true" applyNumberFormat="true" numFmtId="2" fillId="22" applyFill="true">
      <alignment horizontal="center" vertical="center"/>
    </xf>
    <xf fontId="11857" applyFont="true" borderId="8" applyBorder="true" applyNumberFormat="true" numFmtId="165" fillId="19" applyFill="true">
      <alignment horizontal="left" vertical="center"/>
    </xf>
    <xf fontId="11858" applyFont="true" borderId="8" applyBorder="true" applyNumberFormat="true" numFmtId="165" fillId="22" applyFill="true">
      <alignment horizontal="center" vertical="center"/>
    </xf>
    <xf fontId="11859" applyFont="true" borderId="8" applyBorder="true" applyNumberFormat="true" numFmtId="166" fillId="22" applyFill="true">
      <alignment horizontal="center" vertical="center"/>
    </xf>
    <xf fontId="11860" applyFont="true" borderId="8" applyBorder="true" applyNumberFormat="true" numFmtId="1" fillId="22" applyFill="true">
      <alignment horizontal="center" vertical="center"/>
    </xf>
    <xf fontId="11861" applyFont="true" borderId="8" applyBorder="true" applyNumberFormat="true" numFmtId="1" fillId="22" applyFill="true">
      <alignment horizontal="center" vertical="center"/>
    </xf>
    <xf fontId="11862" applyFont="true" borderId="8" applyBorder="true" applyNumberFormat="true" numFmtId="1" fillId="22" applyFill="true">
      <alignment horizontal="center" vertical="center"/>
    </xf>
    <xf fontId="11863" applyFont="true" borderId="8" applyBorder="true" applyNumberFormat="true" numFmtId="1" fillId="22" applyFill="true">
      <alignment horizontal="center" vertical="center"/>
    </xf>
    <xf fontId="11864" applyFont="true" borderId="8" applyBorder="true" applyNumberFormat="true" numFmtId="1" fillId="22" applyFill="true">
      <alignment horizontal="center" vertical="center"/>
    </xf>
    <xf fontId="11865" applyFont="true" borderId="8" applyBorder="true" applyNumberFormat="true" numFmtId="1" fillId="22" applyFill="true">
      <alignment horizontal="center" vertical="center"/>
    </xf>
    <xf fontId="11866" applyFont="true" borderId="8" applyBorder="true" applyNumberFormat="true" numFmtId="1" fillId="22" applyFill="true">
      <alignment horizontal="center" vertical="center"/>
    </xf>
    <xf fontId="11867" applyFont="true" borderId="8" applyBorder="true" applyNumberFormat="true" numFmtId="165" fillId="22" applyFill="true">
      <alignment horizontal="center" vertical="center"/>
    </xf>
    <xf fontId="11868" applyFont="true" borderId="8" applyBorder="true" applyNumberFormat="true" numFmtId="165" fillId="22" applyFill="true">
      <alignment horizontal="center" vertical="center"/>
    </xf>
    <xf fontId="11869" applyFont="true" borderId="8" applyBorder="true" applyNumberFormat="true" numFmtId="1" fillId="22" applyFill="true">
      <alignment horizontal="center" vertical="center"/>
    </xf>
    <xf fontId="11870" applyFont="true" borderId="8" applyBorder="true" applyNumberFormat="true" numFmtId="1" fillId="22" applyFill="true">
      <alignment horizontal="center" vertical="center"/>
    </xf>
    <xf fontId="11871" applyFont="true" borderId="8" applyBorder="true" applyNumberFormat="true" numFmtId="1" fillId="22" applyFill="true">
      <alignment horizontal="center" vertical="center"/>
    </xf>
    <xf fontId="11872" applyFont="true" borderId="8" applyBorder="true" applyNumberFormat="true" numFmtId="167" fillId="22" applyFill="true">
      <alignment horizontal="center" vertical="center"/>
    </xf>
    <xf fontId="11873" applyFont="true" borderId="8" applyBorder="true" applyNumberFormat="true" numFmtId="1" fillId="22" applyFill="true">
      <alignment horizontal="center" vertical="center"/>
    </xf>
    <xf fontId="11874" applyFont="true" borderId="8" applyBorder="true" applyNumberFormat="true" numFmtId="167" fillId="22" applyFill="true">
      <alignment horizontal="center" vertical="center"/>
    </xf>
    <xf fontId="11875" applyFont="true" borderId="8" applyBorder="true" applyNumberFormat="true" numFmtId="1" fillId="22" applyFill="true">
      <alignment horizontal="center" vertical="center"/>
    </xf>
    <xf fontId="11876" applyFont="true" borderId="8" applyBorder="true" applyNumberFormat="true" numFmtId="167" fillId="22" applyFill="true">
      <alignment horizontal="center" vertical="center"/>
    </xf>
    <xf fontId="11877" applyFont="true" borderId="8" applyBorder="true" applyNumberFormat="true" numFmtId="1" fillId="22" applyFill="true">
      <alignment horizontal="center" vertical="center"/>
    </xf>
    <xf fontId="11878" applyFont="true" borderId="8" applyBorder="true" applyNumberFormat="true" numFmtId="167" fillId="22" applyFill="true">
      <alignment horizontal="center" vertical="center"/>
    </xf>
    <xf fontId="11879" applyFont="true" borderId="8" applyBorder="true" applyNumberFormat="true" numFmtId="167" fillId="22" applyFill="true">
      <alignment horizontal="center" vertical="center"/>
    </xf>
    <xf fontId="11880" applyFont="true" borderId="8" applyBorder="true" applyNumberFormat="true" numFmtId="1" fillId="22" applyFill="true">
      <alignment horizontal="center" vertical="center"/>
    </xf>
    <xf fontId="11881" applyFont="true" borderId="8" applyBorder="true" applyNumberFormat="true" numFmtId="1" fillId="22" applyFill="true">
      <alignment horizontal="center" vertical="center"/>
    </xf>
    <xf fontId="11882" applyFont="true" borderId="8" applyBorder="true" applyNumberFormat="true" numFmtId="1" fillId="22" applyFill="true">
      <alignment horizontal="center" vertical="center"/>
    </xf>
    <xf fontId="11883" applyFont="true" borderId="8" applyBorder="true" applyNumberFormat="true" numFmtId="167" fillId="22" applyFill="true">
      <alignment horizontal="center" vertical="center"/>
    </xf>
    <xf fontId="11884" applyFont="true" borderId="8" applyBorder="true" applyNumberFormat="true" numFmtId="166" fillId="22" applyFill="true">
      <alignment horizontal="center" vertical="center"/>
    </xf>
    <xf fontId="11885" applyFont="true" borderId="8" applyBorder="true" applyNumberFormat="true" numFmtId="166" fillId="22" applyFill="true">
      <alignment horizontal="center" vertical="center"/>
    </xf>
    <xf fontId="11886" applyFont="true" borderId="8" applyBorder="true" applyNumberFormat="true" numFmtId="1" fillId="22" applyFill="true">
      <alignment horizontal="center" vertical="center"/>
    </xf>
    <xf fontId="11887" applyFont="true" borderId="8" applyBorder="true" applyNumberFormat="true" numFmtId="1" fillId="22" applyFill="true">
      <alignment horizontal="center" vertical="center"/>
    </xf>
    <xf fontId="11888" applyFont="true" borderId="8" applyBorder="true" applyNumberFormat="true" numFmtId="1" fillId="22" applyFill="true">
      <alignment horizontal="center" vertical="center"/>
    </xf>
    <xf fontId="11889" applyFont="true" borderId="8" applyBorder="true" applyNumberFormat="true" numFmtId="167" fillId="22" applyFill="true">
      <alignment horizontal="center" vertical="center"/>
    </xf>
    <xf fontId="11890" applyFont="true" borderId="8" applyBorder="true" applyNumberFormat="true" numFmtId="1" fillId="22" applyFill="true">
      <alignment horizontal="center" vertical="center"/>
    </xf>
    <xf fontId="11891" applyFont="true" borderId="8" applyBorder="true" applyNumberFormat="true" numFmtId="167" fillId="22" applyFill="true">
      <alignment horizontal="center" vertical="center"/>
    </xf>
    <xf fontId="11892" applyFont="true" borderId="8" applyBorder="true" applyNumberFormat="true" numFmtId="1" fillId="22" applyFill="true">
      <alignment horizontal="center" vertical="center"/>
    </xf>
    <xf fontId="11893" applyFont="true" borderId="8" applyBorder="true" applyNumberFormat="true" numFmtId="1" fillId="22" applyFill="true">
      <alignment horizontal="center" vertical="center"/>
    </xf>
    <xf fontId="11894" applyFont="true" borderId="8" applyBorder="true" applyNumberFormat="true" numFmtId="1" fillId="22" applyFill="true">
      <alignment horizontal="center" vertical="center"/>
    </xf>
    <xf fontId="11895" applyFont="true" borderId="8" applyBorder="true" applyNumberFormat="true" numFmtId="1" fillId="22" applyFill="true">
      <alignment horizontal="center" vertical="center"/>
    </xf>
    <xf fontId="11896" applyFont="true" borderId="8" applyBorder="true" applyNumberFormat="true" numFmtId="167" fillId="22" applyFill="true">
      <alignment horizontal="center" vertical="center"/>
    </xf>
    <xf fontId="11897" applyFont="true" borderId="8" applyBorder="true" applyNumberFormat="true" numFmtId="1" fillId="22" applyFill="true">
      <alignment horizontal="center" vertical="center"/>
    </xf>
    <xf fontId="11898" applyFont="true" borderId="8" applyBorder="true" applyNumberFormat="true" numFmtId="167" fillId="22" applyFill="true">
      <alignment horizontal="center" vertical="center"/>
    </xf>
    <xf fontId="11899" applyFont="true" borderId="8" applyBorder="true" applyNumberFormat="true" numFmtId="1" fillId="22" applyFill="true">
      <alignment horizontal="center" vertical="center"/>
    </xf>
    <xf fontId="11900" applyFont="true" borderId="8" applyBorder="true" applyNumberFormat="true" numFmtId="167" fillId="22" applyFill="true">
      <alignment horizontal="center" vertical="center"/>
    </xf>
    <xf fontId="11901" applyFont="true" borderId="8" applyBorder="true" applyNumberFormat="true" numFmtId="2" fillId="22" applyFill="true">
      <alignment horizontal="center" vertical="center"/>
    </xf>
    <xf fontId="11902" applyFont="true" borderId="8" applyBorder="true" applyNumberFormat="true" numFmtId="2" fillId="22" applyFill="true">
      <alignment horizontal="center" vertical="center"/>
    </xf>
    <xf fontId="11903" applyFont="true" borderId="8" applyBorder="true" applyNumberFormat="true" numFmtId="2" fillId="22" applyFill="true">
      <alignment horizontal="center" vertical="center"/>
    </xf>
    <xf fontId="11904" applyFont="true" borderId="8" applyBorder="true" applyNumberFormat="true" numFmtId="2" fillId="22" applyFill="true">
      <alignment horizontal="center" vertical="center"/>
    </xf>
    <xf fontId="11905" applyFont="true" borderId="8" applyBorder="true" applyNumberFormat="true" numFmtId="2" fillId="22" applyFill="true">
      <alignment horizontal="center" vertical="center"/>
    </xf>
    <xf fontId="11906" applyFont="true" borderId="8" applyBorder="true" applyNumberFormat="true" numFmtId="2" fillId="22" applyFill="true">
      <alignment horizontal="center" vertical="center"/>
    </xf>
    <xf fontId="11907" applyFont="true" borderId="8" applyBorder="true" applyNumberFormat="true" numFmtId="2" fillId="22" applyFill="true">
      <alignment horizontal="center" vertical="center"/>
    </xf>
    <xf fontId="11908" applyFont="true" borderId="8" applyBorder="true" applyNumberFormat="true" numFmtId="2" fillId="22" applyFill="true">
      <alignment horizontal="center" vertical="center"/>
    </xf>
    <xf fontId="11909" applyFont="true" borderId="8" applyBorder="true" applyNumberFormat="true" numFmtId="2" fillId="22" applyFill="true">
      <alignment horizontal="center" vertical="center"/>
    </xf>
    <xf fontId="11910" applyFont="true" borderId="8" applyBorder="true" applyNumberFormat="true" numFmtId="2" fillId="22" applyFill="true">
      <alignment horizontal="center" vertical="center"/>
    </xf>
    <xf fontId="11911" applyFont="true" borderId="8" applyBorder="true" applyNumberFormat="true" numFmtId="2" fillId="22" applyFill="true">
      <alignment horizontal="center" vertical="center"/>
    </xf>
    <xf fontId="11912" applyFont="true" borderId="8" applyBorder="true" applyNumberFormat="true" numFmtId="2" fillId="22" applyFill="true">
      <alignment horizontal="center" vertical="center"/>
    </xf>
    <xf fontId="11913" applyFont="true" borderId="8" applyBorder="true" applyNumberFormat="true" numFmtId="2" fillId="22" applyFill="true">
      <alignment horizontal="center" vertical="center"/>
    </xf>
    <xf fontId="11914" applyFont="true" borderId="8" applyBorder="true" applyNumberFormat="true" numFmtId="2" fillId="22" applyFill="true">
      <alignment horizontal="center" vertical="center"/>
    </xf>
    <xf fontId="11915" applyFont="true" borderId="8" applyBorder="true" applyNumberFormat="true" numFmtId="2" fillId="22" applyFill="true">
      <alignment horizontal="center" vertical="center"/>
    </xf>
    <xf fontId="11916" applyFont="true" borderId="8" applyBorder="true" applyNumberFormat="true" numFmtId="2" fillId="22" applyFill="true">
      <alignment horizontal="center" vertical="center"/>
    </xf>
    <xf fontId="11917" applyFont="true" borderId="8" applyBorder="true" applyNumberFormat="true" numFmtId="2" fillId="22" applyFill="true">
      <alignment horizontal="center" vertical="center"/>
    </xf>
    <xf fontId="11918" applyFont="true" borderId="8" applyBorder="true" applyNumberFormat="true" numFmtId="2" fillId="22" applyFill="true">
      <alignment horizontal="center" vertical="center"/>
    </xf>
    <xf fontId="11919" applyFont="true" borderId="8" applyBorder="true" applyNumberFormat="true" numFmtId="2" fillId="22" applyFill="true">
      <alignment horizontal="center" vertical="center"/>
    </xf>
    <xf fontId="11920" applyFont="true" borderId="8" applyBorder="true" applyNumberFormat="true" numFmtId="2" fillId="22" applyFill="true">
      <alignment horizontal="center" vertical="center"/>
    </xf>
    <xf fontId="11921" applyFont="true" borderId="8" applyBorder="true" applyNumberFormat="true" numFmtId="2" fillId="22" applyFill="true">
      <alignment horizontal="center" vertical="center"/>
    </xf>
    <xf fontId="11922" applyFont="true" borderId="8" applyBorder="true" applyNumberFormat="true" numFmtId="2" fillId="22" applyFill="true">
      <alignment horizontal="center" vertical="center"/>
    </xf>
    <xf fontId="11923" applyFont="true" borderId="8" applyBorder="true" applyNumberFormat="true" numFmtId="2" fillId="22" applyFill="true">
      <alignment horizontal="center" vertical="center"/>
    </xf>
    <xf fontId="11924" applyFont="true" borderId="8" applyBorder="true" applyNumberFormat="true" numFmtId="2" fillId="22" applyFill="true">
      <alignment horizontal="center" vertical="center"/>
    </xf>
    <xf fontId="11925" applyFont="true" borderId="8" applyBorder="true" applyNumberFormat="true" numFmtId="2" fillId="22" applyFill="true">
      <alignment horizontal="center" vertical="center"/>
    </xf>
    <xf fontId="11926" applyFont="true" borderId="8" applyBorder="true" applyNumberFormat="true" numFmtId="2" fillId="22" applyFill="true">
      <alignment horizontal="center" vertical="center"/>
    </xf>
    <xf fontId="11927" applyFont="true" borderId="8" applyBorder="true" applyNumberFormat="true" numFmtId="2" fillId="22" applyFill="true">
      <alignment horizontal="center" vertical="center"/>
    </xf>
    <xf fontId="11928" applyFont="true" borderId="8" applyBorder="true" applyNumberFormat="true" numFmtId="2" fillId="22" applyFill="true">
      <alignment horizontal="center" vertical="center"/>
    </xf>
    <xf fontId="11929" applyFont="true" borderId="8" applyBorder="true" applyNumberFormat="true" numFmtId="2" fillId="22" applyFill="true">
      <alignment horizontal="center" vertical="center"/>
    </xf>
    <xf fontId="11930" applyFont="true" borderId="8" applyBorder="true" applyNumberFormat="true" numFmtId="2" fillId="22" applyFill="true">
      <alignment horizontal="center" vertical="center"/>
    </xf>
    <xf fontId="11931" applyFont="true" borderId="8" applyBorder="true" applyNumberFormat="true" numFmtId="2" fillId="22" applyFill="true">
      <alignment horizontal="center" vertical="center"/>
    </xf>
    <xf fontId="11932" applyFont="true" borderId="8" applyBorder="true" applyNumberFormat="true" numFmtId="2" fillId="22" applyFill="true">
      <alignment horizontal="center" vertical="center"/>
    </xf>
    <xf fontId="11933" applyFont="true" borderId="8" applyBorder="true" applyNumberFormat="true" numFmtId="2" fillId="22" applyFill="true">
      <alignment horizontal="center" vertical="center"/>
    </xf>
    <xf fontId="11934" applyFont="true" borderId="8" applyBorder="true" applyNumberFormat="true" numFmtId="2" fillId="22" applyFill="true">
      <alignment horizontal="center" vertical="center"/>
    </xf>
    <xf fontId="11935" applyFont="true" borderId="8" applyBorder="true" applyNumberFormat="true" numFmtId="165" fillId="19" applyFill="true">
      <alignment horizontal="left" vertical="center"/>
    </xf>
    <xf fontId="11936" applyFont="true" borderId="8" applyBorder="true" applyNumberFormat="true" numFmtId="165" fillId="22" applyFill="true">
      <alignment horizontal="center" vertical="center"/>
    </xf>
    <xf fontId="11937" applyFont="true" borderId="8" applyBorder="true" applyNumberFormat="true" numFmtId="166" fillId="22" applyFill="true">
      <alignment horizontal="center" vertical="center"/>
    </xf>
    <xf fontId="11938" applyFont="true" borderId="8" applyBorder="true" applyNumberFormat="true" numFmtId="1" fillId="22" applyFill="true">
      <alignment horizontal="center" vertical="center"/>
    </xf>
    <xf fontId="11939" applyFont="true" borderId="8" applyBorder="true" applyNumberFormat="true" numFmtId="1" fillId="22" applyFill="true">
      <alignment horizontal="center" vertical="center"/>
    </xf>
    <xf fontId="11940" applyFont="true" borderId="8" applyBorder="true" applyNumberFormat="true" numFmtId="1" fillId="22" applyFill="true">
      <alignment horizontal="center" vertical="center"/>
    </xf>
    <xf fontId="11941" applyFont="true" borderId="8" applyBorder="true" applyNumberFormat="true" numFmtId="1" fillId="22" applyFill="true">
      <alignment horizontal="center" vertical="center"/>
    </xf>
    <xf fontId="11942" applyFont="true" borderId="8" applyBorder="true" applyNumberFormat="true" numFmtId="1" fillId="22" applyFill="true">
      <alignment horizontal="center" vertical="center"/>
    </xf>
    <xf fontId="11943" applyFont="true" borderId="8" applyBorder="true" applyNumberFormat="true" numFmtId="1" fillId="22" applyFill="true">
      <alignment horizontal="center" vertical="center"/>
    </xf>
    <xf fontId="11944" applyFont="true" borderId="8" applyBorder="true" applyNumberFormat="true" numFmtId="1" fillId="22" applyFill="true">
      <alignment horizontal="center" vertical="center"/>
    </xf>
    <xf fontId="11945" applyFont="true" borderId="8" applyBorder="true" applyNumberFormat="true" numFmtId="165" fillId="22" applyFill="true">
      <alignment horizontal="center" vertical="center"/>
    </xf>
    <xf fontId="11946" applyFont="true" borderId="8" applyBorder="true" applyNumberFormat="true" numFmtId="165" fillId="22" applyFill="true">
      <alignment horizontal="center" vertical="center"/>
    </xf>
    <xf fontId="11947" applyFont="true" borderId="8" applyBorder="true" applyNumberFormat="true" numFmtId="1" fillId="22" applyFill="true">
      <alignment horizontal="center" vertical="center"/>
    </xf>
    <xf fontId="11948" applyFont="true" borderId="8" applyBorder="true" applyNumberFormat="true" numFmtId="1" fillId="22" applyFill="true">
      <alignment horizontal="center" vertical="center"/>
    </xf>
    <xf fontId="11949" applyFont="true" borderId="8" applyBorder="true" applyNumberFormat="true" numFmtId="1" fillId="22" applyFill="true">
      <alignment horizontal="center" vertical="center"/>
    </xf>
    <xf fontId="11950" applyFont="true" borderId="8" applyBorder="true" applyNumberFormat="true" numFmtId="167" fillId="22" applyFill="true">
      <alignment horizontal="center" vertical="center"/>
    </xf>
    <xf fontId="11951" applyFont="true" borderId="8" applyBorder="true" applyNumberFormat="true" numFmtId="1" fillId="22" applyFill="true">
      <alignment horizontal="center" vertical="center"/>
    </xf>
    <xf fontId="11952" applyFont="true" borderId="8" applyBorder="true" applyNumberFormat="true" numFmtId="167" fillId="22" applyFill="true">
      <alignment horizontal="center" vertical="center"/>
    </xf>
    <xf fontId="11953" applyFont="true" borderId="8" applyBorder="true" applyNumberFormat="true" numFmtId="1" fillId="22" applyFill="true">
      <alignment horizontal="center" vertical="center"/>
    </xf>
    <xf fontId="11954" applyFont="true" borderId="8" applyBorder="true" applyNumberFormat="true" numFmtId="167" fillId="22" applyFill="true">
      <alignment horizontal="center" vertical="center"/>
    </xf>
    <xf fontId="11955" applyFont="true" borderId="8" applyBorder="true" applyNumberFormat="true" numFmtId="1" fillId="22" applyFill="true">
      <alignment horizontal="center" vertical="center"/>
    </xf>
    <xf fontId="11956" applyFont="true" borderId="8" applyBorder="true" applyNumberFormat="true" numFmtId="167" fillId="22" applyFill="true">
      <alignment horizontal="center" vertical="center"/>
    </xf>
    <xf fontId="11957" applyFont="true" borderId="8" applyBorder="true" applyNumberFormat="true" numFmtId="167" fillId="22" applyFill="true">
      <alignment horizontal="center" vertical="center"/>
    </xf>
    <xf fontId="11958" applyFont="true" borderId="8" applyBorder="true" applyNumberFormat="true" numFmtId="1" fillId="22" applyFill="true">
      <alignment horizontal="center" vertical="center"/>
    </xf>
    <xf fontId="11959" applyFont="true" borderId="8" applyBorder="true" applyNumberFormat="true" numFmtId="1" fillId="22" applyFill="true">
      <alignment horizontal="center" vertical="center"/>
    </xf>
    <xf fontId="11960" applyFont="true" borderId="8" applyBorder="true" applyNumberFormat="true" numFmtId="1" fillId="22" applyFill="true">
      <alignment horizontal="center" vertical="center"/>
    </xf>
    <xf fontId="11961" applyFont="true" borderId="8" applyBorder="true" applyNumberFormat="true" numFmtId="167" fillId="22" applyFill="true">
      <alignment horizontal="center" vertical="center"/>
    </xf>
    <xf fontId="11962" applyFont="true" borderId="8" applyBorder="true" applyNumberFormat="true" numFmtId="166" fillId="22" applyFill="true">
      <alignment horizontal="center" vertical="center"/>
    </xf>
    <xf fontId="11963" applyFont="true" borderId="8" applyBorder="true" applyNumberFormat="true" numFmtId="166" fillId="22" applyFill="true">
      <alignment horizontal="center" vertical="center"/>
    </xf>
    <xf fontId="11964" applyFont="true" borderId="8" applyBorder="true" applyNumberFormat="true" numFmtId="1" fillId="22" applyFill="true">
      <alignment horizontal="center" vertical="center"/>
    </xf>
    <xf fontId="11965" applyFont="true" borderId="8" applyBorder="true" applyNumberFormat="true" numFmtId="1" fillId="22" applyFill="true">
      <alignment horizontal="center" vertical="center"/>
    </xf>
    <xf fontId="11966" applyFont="true" borderId="8" applyBorder="true" applyNumberFormat="true" numFmtId="1" fillId="22" applyFill="true">
      <alignment horizontal="center" vertical="center"/>
    </xf>
    <xf fontId="11967" applyFont="true" borderId="8" applyBorder="true" applyNumberFormat="true" numFmtId="167" fillId="22" applyFill="true">
      <alignment horizontal="center" vertical="center"/>
    </xf>
    <xf fontId="11968" applyFont="true" borderId="8" applyBorder="true" applyNumberFormat="true" numFmtId="1" fillId="22" applyFill="true">
      <alignment horizontal="center" vertical="center"/>
    </xf>
    <xf fontId="11969" applyFont="true" borderId="8" applyBorder="true" applyNumberFormat="true" numFmtId="167" fillId="22" applyFill="true">
      <alignment horizontal="center" vertical="center"/>
    </xf>
    <xf fontId="11970" applyFont="true" borderId="8" applyBorder="true" applyNumberFormat="true" numFmtId="1" fillId="22" applyFill="true">
      <alignment horizontal="center" vertical="center"/>
    </xf>
    <xf fontId="11971" applyFont="true" borderId="8" applyBorder="true" applyNumberFormat="true" numFmtId="1" fillId="22" applyFill="true">
      <alignment horizontal="center" vertical="center"/>
    </xf>
    <xf fontId="11972" applyFont="true" borderId="8" applyBorder="true" applyNumberFormat="true" numFmtId="1" fillId="22" applyFill="true">
      <alignment horizontal="center" vertical="center"/>
    </xf>
    <xf fontId="11973" applyFont="true" borderId="8" applyBorder="true" applyNumberFormat="true" numFmtId="1" fillId="22" applyFill="true">
      <alignment horizontal="center" vertical="center"/>
    </xf>
    <xf fontId="11974" applyFont="true" borderId="8" applyBorder="true" applyNumberFormat="true" numFmtId="167" fillId="22" applyFill="true">
      <alignment horizontal="center" vertical="center"/>
    </xf>
    <xf fontId="11975" applyFont="true" borderId="8" applyBorder="true" applyNumberFormat="true" numFmtId="1" fillId="22" applyFill="true">
      <alignment horizontal="center" vertical="center"/>
    </xf>
    <xf fontId="11976" applyFont="true" borderId="8" applyBorder="true" applyNumberFormat="true" numFmtId="167" fillId="22" applyFill="true">
      <alignment horizontal="center" vertical="center"/>
    </xf>
    <xf fontId="11977" applyFont="true" borderId="8" applyBorder="true" applyNumberFormat="true" numFmtId="1" fillId="22" applyFill="true">
      <alignment horizontal="center" vertical="center"/>
    </xf>
    <xf fontId="11978" applyFont="true" borderId="8" applyBorder="true" applyNumberFormat="true" numFmtId="167" fillId="22" applyFill="true">
      <alignment horizontal="center" vertical="center"/>
    </xf>
    <xf fontId="11979" applyFont="true" borderId="8" applyBorder="true" applyNumberFormat="true" numFmtId="2" fillId="22" applyFill="true">
      <alignment horizontal="center" vertical="center"/>
    </xf>
    <xf fontId="11980" applyFont="true" borderId="8" applyBorder="true" applyNumberFormat="true" numFmtId="2" fillId="22" applyFill="true">
      <alignment horizontal="center" vertical="center"/>
    </xf>
    <xf fontId="11981" applyFont="true" borderId="8" applyBorder="true" applyNumberFormat="true" numFmtId="2" fillId="22" applyFill="true">
      <alignment horizontal="center" vertical="center"/>
    </xf>
    <xf fontId="11982" applyFont="true" borderId="8" applyBorder="true" applyNumberFormat="true" numFmtId="2" fillId="22" applyFill="true">
      <alignment horizontal="center" vertical="center"/>
    </xf>
    <xf fontId="11983" applyFont="true" borderId="8" applyBorder="true" applyNumberFormat="true" numFmtId="2" fillId="22" applyFill="true">
      <alignment horizontal="center" vertical="center"/>
    </xf>
    <xf fontId="11984" applyFont="true" borderId="8" applyBorder="true" applyNumberFormat="true" numFmtId="2" fillId="22" applyFill="true">
      <alignment horizontal="center" vertical="center"/>
    </xf>
    <xf fontId="11985" applyFont="true" borderId="8" applyBorder="true" applyNumberFormat="true" numFmtId="2" fillId="22" applyFill="true">
      <alignment horizontal="center" vertical="center"/>
    </xf>
    <xf fontId="11986" applyFont="true" borderId="8" applyBorder="true" applyNumberFormat="true" numFmtId="2" fillId="22" applyFill="true">
      <alignment horizontal="center" vertical="center"/>
    </xf>
    <xf fontId="11987" applyFont="true" borderId="8" applyBorder="true" applyNumberFormat="true" numFmtId="2" fillId="22" applyFill="true">
      <alignment horizontal="center" vertical="center"/>
    </xf>
    <xf fontId="11988" applyFont="true" borderId="8" applyBorder="true" applyNumberFormat="true" numFmtId="2" fillId="22" applyFill="true">
      <alignment horizontal="center" vertical="center"/>
    </xf>
    <xf fontId="11989" applyFont="true" borderId="8" applyBorder="true" applyNumberFormat="true" numFmtId="2" fillId="22" applyFill="true">
      <alignment horizontal="center" vertical="center"/>
    </xf>
    <xf fontId="11990" applyFont="true" borderId="8" applyBorder="true" applyNumberFormat="true" numFmtId="2" fillId="22" applyFill="true">
      <alignment horizontal="center" vertical="center"/>
    </xf>
    <xf fontId="11991" applyFont="true" borderId="8" applyBorder="true" applyNumberFormat="true" numFmtId="2" fillId="22" applyFill="true">
      <alignment horizontal="center" vertical="center"/>
    </xf>
    <xf fontId="11992" applyFont="true" borderId="8" applyBorder="true" applyNumberFormat="true" numFmtId="2" fillId="22" applyFill="true">
      <alignment horizontal="center" vertical="center"/>
    </xf>
    <xf fontId="11993" applyFont="true" borderId="8" applyBorder="true" applyNumberFormat="true" numFmtId="2" fillId="22" applyFill="true">
      <alignment horizontal="center" vertical="center"/>
    </xf>
    <xf fontId="11994" applyFont="true" borderId="8" applyBorder="true" applyNumberFormat="true" numFmtId="2" fillId="22" applyFill="true">
      <alignment horizontal="center" vertical="center"/>
    </xf>
    <xf fontId="11995" applyFont="true" borderId="8" applyBorder="true" applyNumberFormat="true" numFmtId="2" fillId="22" applyFill="true">
      <alignment horizontal="center" vertical="center"/>
    </xf>
    <xf fontId="11996" applyFont="true" borderId="8" applyBorder="true" applyNumberFormat="true" numFmtId="2" fillId="22" applyFill="true">
      <alignment horizontal="center" vertical="center"/>
    </xf>
    <xf fontId="11997" applyFont="true" borderId="8" applyBorder="true" applyNumberFormat="true" numFmtId="2" fillId="22" applyFill="true">
      <alignment horizontal="center" vertical="center"/>
    </xf>
    <xf fontId="11998" applyFont="true" borderId="8" applyBorder="true" applyNumberFormat="true" numFmtId="2" fillId="22" applyFill="true">
      <alignment horizontal="center" vertical="center"/>
    </xf>
    <xf fontId="11999" applyFont="true" borderId="8" applyBorder="true" applyNumberFormat="true" numFmtId="2" fillId="22" applyFill="true">
      <alignment horizontal="center" vertical="center"/>
    </xf>
    <xf fontId="12000" applyFont="true" borderId="8" applyBorder="true" applyNumberFormat="true" numFmtId="2" fillId="22" applyFill="true">
      <alignment horizontal="center" vertical="center"/>
    </xf>
    <xf fontId="12001" applyFont="true" borderId="8" applyBorder="true" applyNumberFormat="true" numFmtId="2" fillId="22" applyFill="true">
      <alignment horizontal="center" vertical="center"/>
    </xf>
    <xf fontId="12002" applyFont="true" borderId="8" applyBorder="true" applyNumberFormat="true" numFmtId="2" fillId="22" applyFill="true">
      <alignment horizontal="center" vertical="center"/>
    </xf>
    <xf fontId="12003" applyFont="true" borderId="8" applyBorder="true" applyNumberFormat="true" numFmtId="2" fillId="22" applyFill="true">
      <alignment horizontal="center" vertical="center"/>
    </xf>
    <xf fontId="12004" applyFont="true" borderId="8" applyBorder="true" applyNumberFormat="true" numFmtId="2" fillId="22" applyFill="true">
      <alignment horizontal="center" vertical="center"/>
    </xf>
    <xf fontId="12005" applyFont="true" borderId="8" applyBorder="true" applyNumberFormat="true" numFmtId="2" fillId="22" applyFill="true">
      <alignment horizontal="center" vertical="center"/>
    </xf>
    <xf fontId="12006" applyFont="true" borderId="8" applyBorder="true" applyNumberFormat="true" numFmtId="2" fillId="22" applyFill="true">
      <alignment horizontal="center" vertical="center"/>
    </xf>
    <xf fontId="12007" applyFont="true" borderId="8" applyBorder="true" applyNumberFormat="true" numFmtId="2" fillId="22" applyFill="true">
      <alignment horizontal="center" vertical="center"/>
    </xf>
    <xf fontId="12008" applyFont="true" borderId="8" applyBorder="true" applyNumberFormat="true" numFmtId="2" fillId="22" applyFill="true">
      <alignment horizontal="center" vertical="center"/>
    </xf>
    <xf fontId="12009" applyFont="true" borderId="8" applyBorder="true" applyNumberFormat="true" numFmtId="2" fillId="22" applyFill="true">
      <alignment horizontal="center" vertical="center"/>
    </xf>
    <xf fontId="12010" applyFont="true" borderId="8" applyBorder="true" applyNumberFormat="true" numFmtId="2" fillId="22" applyFill="true">
      <alignment horizontal="center" vertical="center"/>
    </xf>
    <xf fontId="12011" applyFont="true" borderId="8" applyBorder="true" applyNumberFormat="true" numFmtId="2" fillId="22" applyFill="true">
      <alignment horizontal="center" vertical="center"/>
    </xf>
    <xf fontId="12012" applyFont="true" borderId="8" applyBorder="true" applyNumberFormat="true" numFmtId="2" fillId="22" applyFill="true">
      <alignment horizontal="center" vertical="center"/>
    </xf>
    <xf fontId="12013" applyFont="true" borderId="8" applyBorder="true" applyNumberFormat="true" numFmtId="165" fillId="19" applyFill="true">
      <alignment horizontal="left" vertical="center"/>
    </xf>
    <xf fontId="12014" applyFont="true" borderId="8" applyBorder="true" applyNumberFormat="true" numFmtId="165" fillId="22" applyFill="true">
      <alignment horizontal="center" vertical="center"/>
    </xf>
    <xf fontId="12015" applyFont="true" borderId="8" applyBorder="true" applyNumberFormat="true" numFmtId="166" fillId="22" applyFill="true">
      <alignment horizontal="center" vertical="center"/>
    </xf>
    <xf fontId="12016" applyFont="true" borderId="8" applyBorder="true" applyNumberFormat="true" numFmtId="1" fillId="22" applyFill="true">
      <alignment horizontal="center" vertical="center"/>
    </xf>
    <xf fontId="12017" applyFont="true" borderId="8" applyBorder="true" applyNumberFormat="true" numFmtId="1" fillId="22" applyFill="true">
      <alignment horizontal="center" vertical="center"/>
    </xf>
    <xf fontId="12018" applyFont="true" borderId="8" applyBorder="true" applyNumberFormat="true" numFmtId="1" fillId="22" applyFill="true">
      <alignment horizontal="center" vertical="center"/>
    </xf>
    <xf fontId="12019" applyFont="true" borderId="8" applyBorder="true" applyNumberFormat="true" numFmtId="1" fillId="22" applyFill="true">
      <alignment horizontal="center" vertical="center"/>
    </xf>
    <xf fontId="12020" applyFont="true" borderId="8" applyBorder="true" applyNumberFormat="true" numFmtId="1" fillId="22" applyFill="true">
      <alignment horizontal="center" vertical="center"/>
    </xf>
    <xf fontId="12021" applyFont="true" borderId="8" applyBorder="true" applyNumberFormat="true" numFmtId="1" fillId="22" applyFill="true">
      <alignment horizontal="center" vertical="center"/>
    </xf>
    <xf fontId="12022" applyFont="true" borderId="8" applyBorder="true" applyNumberFormat="true" numFmtId="1" fillId="22" applyFill="true">
      <alignment horizontal="center" vertical="center"/>
    </xf>
    <xf fontId="12023" applyFont="true" borderId="8" applyBorder="true" applyNumberFormat="true" numFmtId="165" fillId="22" applyFill="true">
      <alignment horizontal="center" vertical="center"/>
    </xf>
    <xf fontId="12024" applyFont="true" borderId="8" applyBorder="true" applyNumberFormat="true" numFmtId="165" fillId="22" applyFill="true">
      <alignment horizontal="center" vertical="center"/>
    </xf>
    <xf fontId="12025" applyFont="true" borderId="8" applyBorder="true" applyNumberFormat="true" numFmtId="1" fillId="22" applyFill="true">
      <alignment horizontal="center" vertical="center"/>
    </xf>
    <xf fontId="12026" applyFont="true" borderId="8" applyBorder="true" applyNumberFormat="true" numFmtId="1" fillId="22" applyFill="true">
      <alignment horizontal="center" vertical="center"/>
    </xf>
    <xf fontId="12027" applyFont="true" borderId="8" applyBorder="true" applyNumberFormat="true" numFmtId="1" fillId="22" applyFill="true">
      <alignment horizontal="center" vertical="center"/>
    </xf>
    <xf fontId="12028" applyFont="true" borderId="8" applyBorder="true" applyNumberFormat="true" numFmtId="167" fillId="22" applyFill="true">
      <alignment horizontal="center" vertical="center"/>
    </xf>
    <xf fontId="12029" applyFont="true" borderId="8" applyBorder="true" applyNumberFormat="true" numFmtId="1" fillId="22" applyFill="true">
      <alignment horizontal="center" vertical="center"/>
    </xf>
    <xf fontId="12030" applyFont="true" borderId="8" applyBorder="true" applyNumberFormat="true" numFmtId="167" fillId="22" applyFill="true">
      <alignment horizontal="center" vertical="center"/>
    </xf>
    <xf fontId="12031" applyFont="true" borderId="8" applyBorder="true" applyNumberFormat="true" numFmtId="1" fillId="22" applyFill="true">
      <alignment horizontal="center" vertical="center"/>
    </xf>
    <xf fontId="12032" applyFont="true" borderId="8" applyBorder="true" applyNumberFormat="true" numFmtId="167" fillId="22" applyFill="true">
      <alignment horizontal="center" vertical="center"/>
    </xf>
    <xf fontId="12033" applyFont="true" borderId="8" applyBorder="true" applyNumberFormat="true" numFmtId="1" fillId="22" applyFill="true">
      <alignment horizontal="center" vertical="center"/>
    </xf>
    <xf fontId="12034" applyFont="true" borderId="8" applyBorder="true" applyNumberFormat="true" numFmtId="167" fillId="22" applyFill="true">
      <alignment horizontal="center" vertical="center"/>
    </xf>
    <xf fontId="12035" applyFont="true" borderId="8" applyBorder="true" applyNumberFormat="true" numFmtId="167" fillId="22" applyFill="true">
      <alignment horizontal="center" vertical="center"/>
    </xf>
    <xf fontId="12036" applyFont="true" borderId="8" applyBorder="true" applyNumberFormat="true" numFmtId="1" fillId="22" applyFill="true">
      <alignment horizontal="center" vertical="center"/>
    </xf>
    <xf fontId="12037" applyFont="true" borderId="8" applyBorder="true" applyNumberFormat="true" numFmtId="1" fillId="22" applyFill="true">
      <alignment horizontal="center" vertical="center"/>
    </xf>
    <xf fontId="12038" applyFont="true" borderId="8" applyBorder="true" applyNumberFormat="true" numFmtId="1" fillId="22" applyFill="true">
      <alignment horizontal="center" vertical="center"/>
    </xf>
    <xf fontId="12039" applyFont="true" borderId="8" applyBorder="true" applyNumberFormat="true" numFmtId="167" fillId="22" applyFill="true">
      <alignment horizontal="center" vertical="center"/>
    </xf>
    <xf fontId="12040" applyFont="true" borderId="8" applyBorder="true" applyNumberFormat="true" numFmtId="166" fillId="22" applyFill="true">
      <alignment horizontal="center" vertical="center"/>
    </xf>
    <xf fontId="12041" applyFont="true" borderId="8" applyBorder="true" applyNumberFormat="true" numFmtId="166" fillId="22" applyFill="true">
      <alignment horizontal="center" vertical="center"/>
    </xf>
    <xf fontId="12042" applyFont="true" borderId="8" applyBorder="true" applyNumberFormat="true" numFmtId="1" fillId="22" applyFill="true">
      <alignment horizontal="center" vertical="center"/>
    </xf>
    <xf fontId="12043" applyFont="true" borderId="8" applyBorder="true" applyNumberFormat="true" numFmtId="1" fillId="22" applyFill="true">
      <alignment horizontal="center" vertical="center"/>
    </xf>
    <xf fontId="12044" applyFont="true" borderId="8" applyBorder="true" applyNumberFormat="true" numFmtId="1" fillId="22" applyFill="true">
      <alignment horizontal="center" vertical="center"/>
    </xf>
    <xf fontId="12045" applyFont="true" borderId="8" applyBorder="true" applyNumberFormat="true" numFmtId="167" fillId="22" applyFill="true">
      <alignment horizontal="center" vertical="center"/>
    </xf>
    <xf fontId="12046" applyFont="true" borderId="8" applyBorder="true" applyNumberFormat="true" numFmtId="1" fillId="22" applyFill="true">
      <alignment horizontal="center" vertical="center"/>
    </xf>
    <xf fontId="12047" applyFont="true" borderId="8" applyBorder="true" applyNumberFormat="true" numFmtId="167" fillId="22" applyFill="true">
      <alignment horizontal="center" vertical="center"/>
    </xf>
    <xf fontId="12048" applyFont="true" borderId="8" applyBorder="true" applyNumberFormat="true" numFmtId="1" fillId="22" applyFill="true">
      <alignment horizontal="center" vertical="center"/>
    </xf>
    <xf fontId="12049" applyFont="true" borderId="8" applyBorder="true" applyNumberFormat="true" numFmtId="1" fillId="22" applyFill="true">
      <alignment horizontal="center" vertical="center"/>
    </xf>
    <xf fontId="12050" applyFont="true" borderId="8" applyBorder="true" applyNumberFormat="true" numFmtId="1" fillId="22" applyFill="true">
      <alignment horizontal="center" vertical="center"/>
    </xf>
    <xf fontId="12051" applyFont="true" borderId="8" applyBorder="true" applyNumberFormat="true" numFmtId="1" fillId="22" applyFill="true">
      <alignment horizontal="center" vertical="center"/>
    </xf>
    <xf fontId="12052" applyFont="true" borderId="8" applyBorder="true" applyNumberFormat="true" numFmtId="167" fillId="22" applyFill="true">
      <alignment horizontal="center" vertical="center"/>
    </xf>
    <xf fontId="12053" applyFont="true" borderId="8" applyBorder="true" applyNumberFormat="true" numFmtId="1" fillId="22" applyFill="true">
      <alignment horizontal="center" vertical="center"/>
    </xf>
    <xf fontId="12054" applyFont="true" borderId="8" applyBorder="true" applyNumberFormat="true" numFmtId="167" fillId="22" applyFill="true">
      <alignment horizontal="center" vertical="center"/>
    </xf>
    <xf fontId="12055" applyFont="true" borderId="8" applyBorder="true" applyNumberFormat="true" numFmtId="1" fillId="22" applyFill="true">
      <alignment horizontal="center" vertical="center"/>
    </xf>
    <xf fontId="12056" applyFont="true" borderId="8" applyBorder="true" applyNumberFormat="true" numFmtId="167" fillId="22" applyFill="true">
      <alignment horizontal="center" vertical="center"/>
    </xf>
    <xf fontId="12057" applyFont="true" borderId="8" applyBorder="true" applyNumberFormat="true" numFmtId="2" fillId="22" applyFill="true">
      <alignment horizontal="center" vertical="center"/>
    </xf>
    <xf fontId="12058" applyFont="true" borderId="8" applyBorder="true" applyNumberFormat="true" numFmtId="2" fillId="22" applyFill="true">
      <alignment horizontal="center" vertical="center"/>
    </xf>
    <xf fontId="12059" applyFont="true" borderId="8" applyBorder="true" applyNumberFormat="true" numFmtId="2" fillId="22" applyFill="true">
      <alignment horizontal="center" vertical="center"/>
    </xf>
    <xf fontId="12060" applyFont="true" borderId="8" applyBorder="true" applyNumberFormat="true" numFmtId="2" fillId="22" applyFill="true">
      <alignment horizontal="center" vertical="center"/>
    </xf>
    <xf fontId="12061" applyFont="true" borderId="8" applyBorder="true" applyNumberFormat="true" numFmtId="2" fillId="22" applyFill="true">
      <alignment horizontal="center" vertical="center"/>
    </xf>
    <xf fontId="12062" applyFont="true" borderId="8" applyBorder="true" applyNumberFormat="true" numFmtId="2" fillId="22" applyFill="true">
      <alignment horizontal="center" vertical="center"/>
    </xf>
    <xf fontId="12063" applyFont="true" borderId="8" applyBorder="true" applyNumberFormat="true" numFmtId="2" fillId="22" applyFill="true">
      <alignment horizontal="center" vertical="center"/>
    </xf>
    <xf fontId="12064" applyFont="true" borderId="8" applyBorder="true" applyNumberFormat="true" numFmtId="2" fillId="22" applyFill="true">
      <alignment horizontal="center" vertical="center"/>
    </xf>
    <xf fontId="12065" applyFont="true" borderId="8" applyBorder="true" applyNumberFormat="true" numFmtId="2" fillId="22" applyFill="true">
      <alignment horizontal="center" vertical="center"/>
    </xf>
    <xf fontId="12066" applyFont="true" borderId="8" applyBorder="true" applyNumberFormat="true" numFmtId="2" fillId="22" applyFill="true">
      <alignment horizontal="center" vertical="center"/>
    </xf>
    <xf fontId="12067" applyFont="true" borderId="8" applyBorder="true" applyNumberFormat="true" numFmtId="2" fillId="22" applyFill="true">
      <alignment horizontal="center" vertical="center"/>
    </xf>
    <xf fontId="12068" applyFont="true" borderId="8" applyBorder="true" applyNumberFormat="true" numFmtId="2" fillId="22" applyFill="true">
      <alignment horizontal="center" vertical="center"/>
    </xf>
    <xf fontId="12069" applyFont="true" borderId="8" applyBorder="true" applyNumberFormat="true" numFmtId="2" fillId="22" applyFill="true">
      <alignment horizontal="center" vertical="center"/>
    </xf>
    <xf fontId="12070" applyFont="true" borderId="8" applyBorder="true" applyNumberFormat="true" numFmtId="2" fillId="22" applyFill="true">
      <alignment horizontal="center" vertical="center"/>
    </xf>
    <xf fontId="12071" applyFont="true" borderId="8" applyBorder="true" applyNumberFormat="true" numFmtId="2" fillId="22" applyFill="true">
      <alignment horizontal="center" vertical="center"/>
    </xf>
    <xf fontId="12072" applyFont="true" borderId="8" applyBorder="true" applyNumberFormat="true" numFmtId="2" fillId="22" applyFill="true">
      <alignment horizontal="center" vertical="center"/>
    </xf>
    <xf fontId="12073" applyFont="true" borderId="8" applyBorder="true" applyNumberFormat="true" numFmtId="2" fillId="22" applyFill="true">
      <alignment horizontal="center" vertical="center"/>
    </xf>
    <xf fontId="12074" applyFont="true" borderId="8" applyBorder="true" applyNumberFormat="true" numFmtId="2" fillId="22" applyFill="true">
      <alignment horizontal="center" vertical="center"/>
    </xf>
    <xf fontId="12075" applyFont="true" borderId="8" applyBorder="true" applyNumberFormat="true" numFmtId="2" fillId="22" applyFill="true">
      <alignment horizontal="center" vertical="center"/>
    </xf>
    <xf fontId="12076" applyFont="true" borderId="8" applyBorder="true" applyNumberFormat="true" numFmtId="2" fillId="22" applyFill="true">
      <alignment horizontal="center" vertical="center"/>
    </xf>
    <xf fontId="12077" applyFont="true" borderId="8" applyBorder="true" applyNumberFormat="true" numFmtId="2" fillId="22" applyFill="true">
      <alignment horizontal="center" vertical="center"/>
    </xf>
    <xf fontId="12078" applyFont="true" borderId="8" applyBorder="true" applyNumberFormat="true" numFmtId="2" fillId="22" applyFill="true">
      <alignment horizontal="center" vertical="center"/>
    </xf>
    <xf fontId="12079" applyFont="true" borderId="8" applyBorder="true" applyNumberFormat="true" numFmtId="2" fillId="22" applyFill="true">
      <alignment horizontal="center" vertical="center"/>
    </xf>
    <xf fontId="12080" applyFont="true" borderId="8" applyBorder="true" applyNumberFormat="true" numFmtId="2" fillId="22" applyFill="true">
      <alignment horizontal="center" vertical="center"/>
    </xf>
    <xf fontId="12081" applyFont="true" borderId="8" applyBorder="true" applyNumberFormat="true" numFmtId="2" fillId="22" applyFill="true">
      <alignment horizontal="center" vertical="center"/>
    </xf>
    <xf fontId="12082" applyFont="true" borderId="8" applyBorder="true" applyNumberFormat="true" numFmtId="2" fillId="22" applyFill="true">
      <alignment horizontal="center" vertical="center"/>
    </xf>
    <xf fontId="12083" applyFont="true" borderId="8" applyBorder="true" applyNumberFormat="true" numFmtId="2" fillId="22" applyFill="true">
      <alignment horizontal="center" vertical="center"/>
    </xf>
    <xf fontId="12084" applyFont="true" borderId="8" applyBorder="true" applyNumberFormat="true" numFmtId="2" fillId="22" applyFill="true">
      <alignment horizontal="center" vertical="center"/>
    </xf>
    <xf fontId="12085" applyFont="true" borderId="8" applyBorder="true" applyNumberFormat="true" numFmtId="2" fillId="22" applyFill="true">
      <alignment horizontal="center" vertical="center"/>
    </xf>
    <xf fontId="12086" applyFont="true" borderId="8" applyBorder="true" applyNumberFormat="true" numFmtId="2" fillId="22" applyFill="true">
      <alignment horizontal="center" vertical="center"/>
    </xf>
    <xf fontId="12087" applyFont="true" borderId="8" applyBorder="true" applyNumberFormat="true" numFmtId="2" fillId="22" applyFill="true">
      <alignment horizontal="center" vertical="center"/>
    </xf>
    <xf fontId="12088" applyFont="true" borderId="8" applyBorder="true" applyNumberFormat="true" numFmtId="2" fillId="22" applyFill="true">
      <alignment horizontal="center" vertical="center"/>
    </xf>
    <xf fontId="12089" applyFont="true" borderId="8" applyBorder="true" applyNumberFormat="true" numFmtId="2" fillId="22" applyFill="true">
      <alignment horizontal="center" vertical="center"/>
    </xf>
    <xf fontId="12090" applyFont="true" borderId="8" applyBorder="true" applyNumberFormat="true" numFmtId="2" fillId="22" applyFill="true">
      <alignment horizontal="center" vertical="center"/>
    </xf>
    <xf fontId="12091" applyFont="true" borderId="8" applyBorder="true" applyNumberFormat="true" numFmtId="165" fillId="19" applyFill="true">
      <alignment horizontal="left" vertical="center"/>
    </xf>
    <xf fontId="12092" applyFont="true" borderId="8" applyBorder="true" applyNumberFormat="true" numFmtId="165" fillId="22" applyFill="true">
      <alignment horizontal="center" vertical="center"/>
    </xf>
    <xf fontId="12093" applyFont="true" borderId="8" applyBorder="true" applyNumberFormat="true" numFmtId="166" fillId="22" applyFill="true">
      <alignment horizontal="center" vertical="center"/>
    </xf>
    <xf fontId="12094" applyFont="true" borderId="8" applyBorder="true" applyNumberFormat="true" numFmtId="1" fillId="22" applyFill="true">
      <alignment horizontal="center" vertical="center"/>
    </xf>
    <xf fontId="12095" applyFont="true" borderId="8" applyBorder="true" applyNumberFormat="true" numFmtId="1" fillId="22" applyFill="true">
      <alignment horizontal="center" vertical="center"/>
    </xf>
    <xf fontId="12096" applyFont="true" borderId="8" applyBorder="true" applyNumberFormat="true" numFmtId="1" fillId="22" applyFill="true">
      <alignment horizontal="center" vertical="center"/>
    </xf>
    <xf fontId="12097" applyFont="true" borderId="8" applyBorder="true" applyNumberFormat="true" numFmtId="1" fillId="22" applyFill="true">
      <alignment horizontal="center" vertical="center"/>
    </xf>
    <xf fontId="12098" applyFont="true" borderId="8" applyBorder="true" applyNumberFormat="true" numFmtId="1" fillId="22" applyFill="true">
      <alignment horizontal="center" vertical="center"/>
    </xf>
    <xf fontId="12099" applyFont="true" borderId="8" applyBorder="true" applyNumberFormat="true" numFmtId="1" fillId="22" applyFill="true">
      <alignment horizontal="center" vertical="center"/>
    </xf>
    <xf fontId="12100" applyFont="true" borderId="8" applyBorder="true" applyNumberFormat="true" numFmtId="1" fillId="22" applyFill="true">
      <alignment horizontal="center" vertical="center"/>
    </xf>
    <xf fontId="12101" applyFont="true" borderId="8" applyBorder="true" applyNumberFormat="true" numFmtId="165" fillId="22" applyFill="true">
      <alignment horizontal="center" vertical="center"/>
    </xf>
    <xf fontId="12102" applyFont="true" borderId="8" applyBorder="true" applyNumberFormat="true" numFmtId="165" fillId="22" applyFill="true">
      <alignment horizontal="center" vertical="center"/>
    </xf>
    <xf fontId="12103" applyFont="true" borderId="8" applyBorder="true" applyNumberFormat="true" numFmtId="1" fillId="22" applyFill="true">
      <alignment horizontal="center" vertical="center"/>
    </xf>
    <xf fontId="12104" applyFont="true" borderId="8" applyBorder="true" applyNumberFormat="true" numFmtId="1" fillId="22" applyFill="true">
      <alignment horizontal="center" vertical="center"/>
    </xf>
    <xf fontId="12105" applyFont="true" borderId="8" applyBorder="true" applyNumberFormat="true" numFmtId="1" fillId="22" applyFill="true">
      <alignment horizontal="center" vertical="center"/>
    </xf>
    <xf fontId="12106" applyFont="true" borderId="8" applyBorder="true" applyNumberFormat="true" numFmtId="167" fillId="22" applyFill="true">
      <alignment horizontal="center" vertical="center"/>
    </xf>
    <xf fontId="12107" applyFont="true" borderId="8" applyBorder="true" applyNumberFormat="true" numFmtId="1" fillId="22" applyFill="true">
      <alignment horizontal="center" vertical="center"/>
    </xf>
    <xf fontId="12108" applyFont="true" borderId="8" applyBorder="true" applyNumberFormat="true" numFmtId="167" fillId="22" applyFill="true">
      <alignment horizontal="center" vertical="center"/>
    </xf>
    <xf fontId="12109" applyFont="true" borderId="8" applyBorder="true" applyNumberFormat="true" numFmtId="1" fillId="22" applyFill="true">
      <alignment horizontal="center" vertical="center"/>
    </xf>
    <xf fontId="12110" applyFont="true" borderId="8" applyBorder="true" applyNumberFormat="true" numFmtId="167" fillId="22" applyFill="true">
      <alignment horizontal="center" vertical="center"/>
    </xf>
    <xf fontId="12111" applyFont="true" borderId="8" applyBorder="true" applyNumberFormat="true" numFmtId="1" fillId="22" applyFill="true">
      <alignment horizontal="center" vertical="center"/>
    </xf>
    <xf fontId="12112" applyFont="true" borderId="8" applyBorder="true" applyNumberFormat="true" numFmtId="167" fillId="22" applyFill="true">
      <alignment horizontal="center" vertical="center"/>
    </xf>
    <xf fontId="12113" applyFont="true" borderId="8" applyBorder="true" applyNumberFormat="true" numFmtId="167" fillId="22" applyFill="true">
      <alignment horizontal="center" vertical="center"/>
    </xf>
    <xf fontId="12114" applyFont="true" borderId="8" applyBorder="true" applyNumberFormat="true" numFmtId="1" fillId="22" applyFill="true">
      <alignment horizontal="center" vertical="center"/>
    </xf>
    <xf fontId="12115" applyFont="true" borderId="8" applyBorder="true" applyNumberFormat="true" numFmtId="1" fillId="22" applyFill="true">
      <alignment horizontal="center" vertical="center"/>
    </xf>
    <xf fontId="12116" applyFont="true" borderId="8" applyBorder="true" applyNumberFormat="true" numFmtId="1" fillId="22" applyFill="true">
      <alignment horizontal="center" vertical="center"/>
    </xf>
    <xf fontId="12117" applyFont="true" borderId="8" applyBorder="true" applyNumberFormat="true" numFmtId="167" fillId="22" applyFill="true">
      <alignment horizontal="center" vertical="center"/>
    </xf>
    <xf fontId="12118" applyFont="true" borderId="8" applyBorder="true" applyNumberFormat="true" numFmtId="166" fillId="22" applyFill="true">
      <alignment horizontal="center" vertical="center"/>
    </xf>
    <xf fontId="12119" applyFont="true" borderId="8" applyBorder="true" applyNumberFormat="true" numFmtId="166" fillId="22" applyFill="true">
      <alignment horizontal="center" vertical="center"/>
    </xf>
    <xf fontId="12120" applyFont="true" borderId="8" applyBorder="true" applyNumberFormat="true" numFmtId="1" fillId="22" applyFill="true">
      <alignment horizontal="center" vertical="center"/>
    </xf>
    <xf fontId="12121" applyFont="true" borderId="8" applyBorder="true" applyNumberFormat="true" numFmtId="1" fillId="22" applyFill="true">
      <alignment horizontal="center" vertical="center"/>
    </xf>
    <xf fontId="12122" applyFont="true" borderId="8" applyBorder="true" applyNumberFormat="true" numFmtId="1" fillId="22" applyFill="true">
      <alignment horizontal="center" vertical="center"/>
    </xf>
    <xf fontId="12123" applyFont="true" borderId="8" applyBorder="true" applyNumberFormat="true" numFmtId="167" fillId="22" applyFill="true">
      <alignment horizontal="center" vertical="center"/>
    </xf>
    <xf fontId="12124" applyFont="true" borderId="8" applyBorder="true" applyNumberFormat="true" numFmtId="1" fillId="22" applyFill="true">
      <alignment horizontal="center" vertical="center"/>
    </xf>
    <xf fontId="12125" applyFont="true" borderId="8" applyBorder="true" applyNumberFormat="true" numFmtId="167" fillId="22" applyFill="true">
      <alignment horizontal="center" vertical="center"/>
    </xf>
    <xf fontId="12126" applyFont="true" borderId="8" applyBorder="true" applyNumberFormat="true" numFmtId="1" fillId="22" applyFill="true">
      <alignment horizontal="center" vertical="center"/>
    </xf>
    <xf fontId="12127" applyFont="true" borderId="8" applyBorder="true" applyNumberFormat="true" numFmtId="1" fillId="22" applyFill="true">
      <alignment horizontal="center" vertical="center"/>
    </xf>
    <xf fontId="12128" applyFont="true" borderId="8" applyBorder="true" applyNumberFormat="true" numFmtId="1" fillId="22" applyFill="true">
      <alignment horizontal="center" vertical="center"/>
    </xf>
    <xf fontId="12129" applyFont="true" borderId="8" applyBorder="true" applyNumberFormat="true" numFmtId="1" fillId="22" applyFill="true">
      <alignment horizontal="center" vertical="center"/>
    </xf>
    <xf fontId="12130" applyFont="true" borderId="8" applyBorder="true" applyNumberFormat="true" numFmtId="167" fillId="22" applyFill="true">
      <alignment horizontal="center" vertical="center"/>
    </xf>
    <xf fontId="12131" applyFont="true" borderId="8" applyBorder="true" applyNumberFormat="true" numFmtId="1" fillId="22" applyFill="true">
      <alignment horizontal="center" vertical="center"/>
    </xf>
    <xf fontId="12132" applyFont="true" borderId="8" applyBorder="true" applyNumberFormat="true" numFmtId="167" fillId="22" applyFill="true">
      <alignment horizontal="center" vertical="center"/>
    </xf>
    <xf fontId="12133" applyFont="true" borderId="8" applyBorder="true" applyNumberFormat="true" numFmtId="1" fillId="22" applyFill="true">
      <alignment horizontal="center" vertical="center"/>
    </xf>
    <xf fontId="12134" applyFont="true" borderId="8" applyBorder="true" applyNumberFormat="true" numFmtId="167" fillId="22" applyFill="true">
      <alignment horizontal="center" vertical="center"/>
    </xf>
    <xf fontId="12135" applyFont="true" borderId="8" applyBorder="true" applyNumberFormat="true" numFmtId="2" fillId="22" applyFill="true">
      <alignment horizontal="center" vertical="center"/>
    </xf>
    <xf fontId="12136" applyFont="true" borderId="8" applyBorder="true" applyNumberFormat="true" numFmtId="2" fillId="22" applyFill="true">
      <alignment horizontal="center" vertical="center"/>
    </xf>
    <xf fontId="12137" applyFont="true" borderId="8" applyBorder="true" applyNumberFormat="true" numFmtId="2" fillId="22" applyFill="true">
      <alignment horizontal="center" vertical="center"/>
    </xf>
    <xf fontId="12138" applyFont="true" borderId="8" applyBorder="true" applyNumberFormat="true" numFmtId="2" fillId="22" applyFill="true">
      <alignment horizontal="center" vertical="center"/>
    </xf>
    <xf fontId="12139" applyFont="true" borderId="8" applyBorder="true" applyNumberFormat="true" numFmtId="2" fillId="22" applyFill="true">
      <alignment horizontal="center" vertical="center"/>
    </xf>
    <xf fontId="12140" applyFont="true" borderId="8" applyBorder="true" applyNumberFormat="true" numFmtId="2" fillId="22" applyFill="true">
      <alignment horizontal="center" vertical="center"/>
    </xf>
    <xf fontId="12141" applyFont="true" borderId="8" applyBorder="true" applyNumberFormat="true" numFmtId="2" fillId="22" applyFill="true">
      <alignment horizontal="center" vertical="center"/>
    </xf>
    <xf fontId="12142" applyFont="true" borderId="8" applyBorder="true" applyNumberFormat="true" numFmtId="2" fillId="22" applyFill="true">
      <alignment horizontal="center" vertical="center"/>
    </xf>
    <xf fontId="12143" applyFont="true" borderId="8" applyBorder="true" applyNumberFormat="true" numFmtId="2" fillId="22" applyFill="true">
      <alignment horizontal="center" vertical="center"/>
    </xf>
    <xf fontId="12144" applyFont="true" borderId="8" applyBorder="true" applyNumberFormat="true" numFmtId="2" fillId="22" applyFill="true">
      <alignment horizontal="center" vertical="center"/>
    </xf>
    <xf fontId="12145" applyFont="true" borderId="8" applyBorder="true" applyNumberFormat="true" numFmtId="2" fillId="22" applyFill="true">
      <alignment horizontal="center" vertical="center"/>
    </xf>
    <xf fontId="12146" applyFont="true" borderId="8" applyBorder="true" applyNumberFormat="true" numFmtId="2" fillId="22" applyFill="true">
      <alignment horizontal="center" vertical="center"/>
    </xf>
    <xf fontId="12147" applyFont="true" borderId="8" applyBorder="true" applyNumberFormat="true" numFmtId="2" fillId="22" applyFill="true">
      <alignment horizontal="center" vertical="center"/>
    </xf>
    <xf fontId="12148" applyFont="true" borderId="8" applyBorder="true" applyNumberFormat="true" numFmtId="2" fillId="22" applyFill="true">
      <alignment horizontal="center" vertical="center"/>
    </xf>
    <xf fontId="12149" applyFont="true" borderId="8" applyBorder="true" applyNumberFormat="true" numFmtId="2" fillId="22" applyFill="true">
      <alignment horizontal="center" vertical="center"/>
    </xf>
    <xf fontId="12150" applyFont="true" borderId="8" applyBorder="true" applyNumberFormat="true" numFmtId="2" fillId="22" applyFill="true">
      <alignment horizontal="center" vertical="center"/>
    </xf>
    <xf fontId="12151" applyFont="true" borderId="8" applyBorder="true" applyNumberFormat="true" numFmtId="2" fillId="22" applyFill="true">
      <alignment horizontal="center" vertical="center"/>
    </xf>
    <xf fontId="12152" applyFont="true" borderId="8" applyBorder="true" applyNumberFormat="true" numFmtId="2" fillId="22" applyFill="true">
      <alignment horizontal="center" vertical="center"/>
    </xf>
    <xf fontId="12153" applyFont="true" borderId="8" applyBorder="true" applyNumberFormat="true" numFmtId="2" fillId="22" applyFill="true">
      <alignment horizontal="center" vertical="center"/>
    </xf>
    <xf fontId="12154" applyFont="true" borderId="8" applyBorder="true" applyNumberFormat="true" numFmtId="2" fillId="22" applyFill="true">
      <alignment horizontal="center" vertical="center"/>
    </xf>
    <xf fontId="12155" applyFont="true" borderId="8" applyBorder="true" applyNumberFormat="true" numFmtId="2" fillId="22" applyFill="true">
      <alignment horizontal="center" vertical="center"/>
    </xf>
    <xf fontId="12156" applyFont="true" borderId="8" applyBorder="true" applyNumberFormat="true" numFmtId="2" fillId="22" applyFill="true">
      <alignment horizontal="center" vertical="center"/>
    </xf>
    <xf fontId="12157" applyFont="true" borderId="8" applyBorder="true" applyNumberFormat="true" numFmtId="2" fillId="22" applyFill="true">
      <alignment horizontal="center" vertical="center"/>
    </xf>
    <xf fontId="12158" applyFont="true" borderId="8" applyBorder="true" applyNumberFormat="true" numFmtId="2" fillId="22" applyFill="true">
      <alignment horizontal="center" vertical="center"/>
    </xf>
    <xf fontId="12159" applyFont="true" borderId="8" applyBorder="true" applyNumberFormat="true" numFmtId="2" fillId="22" applyFill="true">
      <alignment horizontal="center" vertical="center"/>
    </xf>
    <xf fontId="12160" applyFont="true" borderId="8" applyBorder="true" applyNumberFormat="true" numFmtId="2" fillId="22" applyFill="true">
      <alignment horizontal="center" vertical="center"/>
    </xf>
    <xf fontId="12161" applyFont="true" borderId="8" applyBorder="true" applyNumberFormat="true" numFmtId="2" fillId="22" applyFill="true">
      <alignment horizontal="center" vertical="center"/>
    </xf>
    <xf fontId="12162" applyFont="true" borderId="8" applyBorder="true" applyNumberFormat="true" numFmtId="2" fillId="22" applyFill="true">
      <alignment horizontal="center" vertical="center"/>
    </xf>
    <xf fontId="12163" applyFont="true" borderId="8" applyBorder="true" applyNumberFormat="true" numFmtId="2" fillId="22" applyFill="true">
      <alignment horizontal="center" vertical="center"/>
    </xf>
    <xf fontId="12164" applyFont="true" borderId="8" applyBorder="true" applyNumberFormat="true" numFmtId="2" fillId="22" applyFill="true">
      <alignment horizontal="center" vertical="center"/>
    </xf>
    <xf fontId="12165" applyFont="true" borderId="8" applyBorder="true" applyNumberFormat="true" numFmtId="2" fillId="22" applyFill="true">
      <alignment horizontal="center" vertical="center"/>
    </xf>
    <xf fontId="12166" applyFont="true" borderId="8" applyBorder="true" applyNumberFormat="true" numFmtId="2" fillId="22" applyFill="true">
      <alignment horizontal="center" vertical="center"/>
    </xf>
    <xf fontId="12167" applyFont="true" borderId="8" applyBorder="true" applyNumberFormat="true" numFmtId="2" fillId="22" applyFill="true">
      <alignment horizontal="center" vertical="center"/>
    </xf>
    <xf fontId="12168" applyFont="true" borderId="8" applyBorder="true" applyNumberFormat="true" numFmtId="2" fillId="22" applyFill="true">
      <alignment horizontal="center" vertical="center"/>
    </xf>
    <xf fontId="12169" applyFont="true" borderId="8" applyBorder="true" applyNumberFormat="true" numFmtId="165" fillId="19" applyFill="true">
      <alignment horizontal="left" vertical="center"/>
    </xf>
    <xf fontId="12170" applyFont="true" borderId="8" applyBorder="true" applyNumberFormat="true" numFmtId="165" fillId="22" applyFill="true">
      <alignment horizontal="center" vertical="center"/>
    </xf>
    <xf fontId="12171" applyFont="true" borderId="8" applyBorder="true" applyNumberFormat="true" numFmtId="166" fillId="22" applyFill="true">
      <alignment horizontal="center" vertical="center"/>
    </xf>
    <xf fontId="12172" applyFont="true" borderId="8" applyBorder="true" applyNumberFormat="true" numFmtId="1" fillId="22" applyFill="true">
      <alignment horizontal="center" vertical="center"/>
    </xf>
    <xf fontId="12173" applyFont="true" borderId="8" applyBorder="true" applyNumberFormat="true" numFmtId="1" fillId="22" applyFill="true">
      <alignment horizontal="center" vertical="center"/>
    </xf>
    <xf fontId="12174" applyFont="true" borderId="8" applyBorder="true" applyNumberFormat="true" numFmtId="1" fillId="22" applyFill="true">
      <alignment horizontal="center" vertical="center"/>
    </xf>
    <xf fontId="12175" applyFont="true" borderId="8" applyBorder="true" applyNumberFormat="true" numFmtId="1" fillId="22" applyFill="true">
      <alignment horizontal="center" vertical="center"/>
    </xf>
    <xf fontId="12176" applyFont="true" borderId="8" applyBorder="true" applyNumberFormat="true" numFmtId="1" fillId="22" applyFill="true">
      <alignment horizontal="center" vertical="center"/>
    </xf>
    <xf fontId="12177" applyFont="true" borderId="8" applyBorder="true" applyNumberFormat="true" numFmtId="1" fillId="22" applyFill="true">
      <alignment horizontal="center" vertical="center"/>
    </xf>
    <xf fontId="12178" applyFont="true" borderId="8" applyBorder="true" applyNumberFormat="true" numFmtId="1" fillId="22" applyFill="true">
      <alignment horizontal="center" vertical="center"/>
    </xf>
    <xf fontId="12179" applyFont="true" borderId="8" applyBorder="true" applyNumberFormat="true" numFmtId="165" fillId="22" applyFill="true">
      <alignment horizontal="center" vertical="center"/>
    </xf>
    <xf fontId="12180" applyFont="true" borderId="8" applyBorder="true" applyNumberFormat="true" numFmtId="165" fillId="22" applyFill="true">
      <alignment horizontal="center" vertical="center"/>
    </xf>
    <xf fontId="12181" applyFont="true" borderId="8" applyBorder="true" applyNumberFormat="true" numFmtId="1" fillId="22" applyFill="true">
      <alignment horizontal="center" vertical="center"/>
    </xf>
    <xf fontId="12182" applyFont="true" borderId="8" applyBorder="true" applyNumberFormat="true" numFmtId="1" fillId="22" applyFill="true">
      <alignment horizontal="center" vertical="center"/>
    </xf>
    <xf fontId="12183" applyFont="true" borderId="8" applyBorder="true" applyNumberFormat="true" numFmtId="1" fillId="22" applyFill="true">
      <alignment horizontal="center" vertical="center"/>
    </xf>
    <xf fontId="12184" applyFont="true" borderId="8" applyBorder="true" applyNumberFormat="true" numFmtId="167" fillId="22" applyFill="true">
      <alignment horizontal="center" vertical="center"/>
    </xf>
    <xf fontId="12185" applyFont="true" borderId="8" applyBorder="true" applyNumberFormat="true" numFmtId="1" fillId="22" applyFill="true">
      <alignment horizontal="center" vertical="center"/>
    </xf>
    <xf fontId="12186" applyFont="true" borderId="8" applyBorder="true" applyNumberFormat="true" numFmtId="167" fillId="22" applyFill="true">
      <alignment horizontal="center" vertical="center"/>
    </xf>
    <xf fontId="12187" applyFont="true" borderId="8" applyBorder="true" applyNumberFormat="true" numFmtId="1" fillId="22" applyFill="true">
      <alignment horizontal="center" vertical="center"/>
    </xf>
    <xf fontId="12188" applyFont="true" borderId="8" applyBorder="true" applyNumberFormat="true" numFmtId="167" fillId="22" applyFill="true">
      <alignment horizontal="center" vertical="center"/>
    </xf>
    <xf fontId="12189" applyFont="true" borderId="8" applyBorder="true" applyNumberFormat="true" numFmtId="1" fillId="22" applyFill="true">
      <alignment horizontal="center" vertical="center"/>
    </xf>
    <xf fontId="12190" applyFont="true" borderId="8" applyBorder="true" applyNumberFormat="true" numFmtId="167" fillId="22" applyFill="true">
      <alignment horizontal="center" vertical="center"/>
    </xf>
    <xf fontId="12191" applyFont="true" borderId="8" applyBorder="true" applyNumberFormat="true" numFmtId="167" fillId="22" applyFill="true">
      <alignment horizontal="center" vertical="center"/>
    </xf>
    <xf fontId="12192" applyFont="true" borderId="8" applyBorder="true" applyNumberFormat="true" numFmtId="1" fillId="22" applyFill="true">
      <alignment horizontal="center" vertical="center"/>
    </xf>
    <xf fontId="12193" applyFont="true" borderId="8" applyBorder="true" applyNumberFormat="true" numFmtId="1" fillId="22" applyFill="true">
      <alignment horizontal="center" vertical="center"/>
    </xf>
    <xf fontId="12194" applyFont="true" borderId="8" applyBorder="true" applyNumberFormat="true" numFmtId="1" fillId="22" applyFill="true">
      <alignment horizontal="center" vertical="center"/>
    </xf>
    <xf fontId="12195" applyFont="true" borderId="8" applyBorder="true" applyNumberFormat="true" numFmtId="167" fillId="22" applyFill="true">
      <alignment horizontal="center" vertical="center"/>
    </xf>
    <xf fontId="12196" applyFont="true" borderId="8" applyBorder="true" applyNumberFormat="true" numFmtId="166" fillId="22" applyFill="true">
      <alignment horizontal="center" vertical="center"/>
    </xf>
    <xf fontId="12197" applyFont="true" borderId="8" applyBorder="true" applyNumberFormat="true" numFmtId="166" fillId="22" applyFill="true">
      <alignment horizontal="center" vertical="center"/>
    </xf>
    <xf fontId="12198" applyFont="true" borderId="8" applyBorder="true" applyNumberFormat="true" numFmtId="1" fillId="22" applyFill="true">
      <alignment horizontal="center" vertical="center"/>
    </xf>
    <xf fontId="12199" applyFont="true" borderId="8" applyBorder="true" applyNumberFormat="true" numFmtId="1" fillId="22" applyFill="true">
      <alignment horizontal="center" vertical="center"/>
    </xf>
    <xf fontId="12200" applyFont="true" borderId="8" applyBorder="true" applyNumberFormat="true" numFmtId="1" fillId="22" applyFill="true">
      <alignment horizontal="center" vertical="center"/>
    </xf>
    <xf fontId="12201" applyFont="true" borderId="8" applyBorder="true" applyNumberFormat="true" numFmtId="167" fillId="22" applyFill="true">
      <alignment horizontal="center" vertical="center"/>
    </xf>
    <xf fontId="12202" applyFont="true" borderId="8" applyBorder="true" applyNumberFormat="true" numFmtId="1" fillId="22" applyFill="true">
      <alignment horizontal="center" vertical="center"/>
    </xf>
    <xf fontId="12203" applyFont="true" borderId="8" applyBorder="true" applyNumberFormat="true" numFmtId="167" fillId="22" applyFill="true">
      <alignment horizontal="center" vertical="center"/>
    </xf>
    <xf fontId="12204" applyFont="true" borderId="8" applyBorder="true" applyNumberFormat="true" numFmtId="1" fillId="22" applyFill="true">
      <alignment horizontal="center" vertical="center"/>
    </xf>
    <xf fontId="12205" applyFont="true" borderId="8" applyBorder="true" applyNumberFormat="true" numFmtId="1" fillId="22" applyFill="true">
      <alignment horizontal="center" vertical="center"/>
    </xf>
    <xf fontId="12206" applyFont="true" borderId="8" applyBorder="true" applyNumberFormat="true" numFmtId="1" fillId="22" applyFill="true">
      <alignment horizontal="center" vertical="center"/>
    </xf>
    <xf fontId="12207" applyFont="true" borderId="8" applyBorder="true" applyNumberFormat="true" numFmtId="1" fillId="22" applyFill="true">
      <alignment horizontal="center" vertical="center"/>
    </xf>
    <xf fontId="12208" applyFont="true" borderId="8" applyBorder="true" applyNumberFormat="true" numFmtId="167" fillId="22" applyFill="true">
      <alignment horizontal="center" vertical="center"/>
    </xf>
    <xf fontId="12209" applyFont="true" borderId="8" applyBorder="true" applyNumberFormat="true" numFmtId="1" fillId="22" applyFill="true">
      <alignment horizontal="center" vertical="center"/>
    </xf>
    <xf fontId="12210" applyFont="true" borderId="8" applyBorder="true" applyNumberFormat="true" numFmtId="167" fillId="22" applyFill="true">
      <alignment horizontal="center" vertical="center"/>
    </xf>
    <xf fontId="12211" applyFont="true" borderId="8" applyBorder="true" applyNumberFormat="true" numFmtId="1" fillId="22" applyFill="true">
      <alignment horizontal="center" vertical="center"/>
    </xf>
    <xf fontId="12212" applyFont="true" borderId="8" applyBorder="true" applyNumberFormat="true" numFmtId="167" fillId="22" applyFill="true">
      <alignment horizontal="center" vertical="center"/>
    </xf>
    <xf fontId="12213" applyFont="true" borderId="8" applyBorder="true" applyNumberFormat="true" numFmtId="2" fillId="22" applyFill="true">
      <alignment horizontal="center" vertical="center"/>
    </xf>
    <xf fontId="12214" applyFont="true" borderId="8" applyBorder="true" applyNumberFormat="true" numFmtId="2" fillId="22" applyFill="true">
      <alignment horizontal="center" vertical="center"/>
    </xf>
    <xf fontId="12215" applyFont="true" borderId="8" applyBorder="true" applyNumberFormat="true" numFmtId="2" fillId="22" applyFill="true">
      <alignment horizontal="center" vertical="center"/>
    </xf>
    <xf fontId="12216" applyFont="true" borderId="8" applyBorder="true" applyNumberFormat="true" numFmtId="2" fillId="22" applyFill="true">
      <alignment horizontal="center" vertical="center"/>
    </xf>
    <xf fontId="12217" applyFont="true" borderId="8" applyBorder="true" applyNumberFormat="true" numFmtId="2" fillId="22" applyFill="true">
      <alignment horizontal="center" vertical="center"/>
    </xf>
    <xf fontId="12218" applyFont="true" borderId="8" applyBorder="true" applyNumberFormat="true" numFmtId="2" fillId="22" applyFill="true">
      <alignment horizontal="center" vertical="center"/>
    </xf>
    <xf fontId="12219" applyFont="true" borderId="8" applyBorder="true" applyNumberFormat="true" numFmtId="2" fillId="22" applyFill="true">
      <alignment horizontal="center" vertical="center"/>
    </xf>
    <xf fontId="12220" applyFont="true" borderId="8" applyBorder="true" applyNumberFormat="true" numFmtId="2" fillId="22" applyFill="true">
      <alignment horizontal="center" vertical="center"/>
    </xf>
    <xf fontId="12221" applyFont="true" borderId="8" applyBorder="true" applyNumberFormat="true" numFmtId="2" fillId="22" applyFill="true">
      <alignment horizontal="center" vertical="center"/>
    </xf>
    <xf fontId="12222" applyFont="true" borderId="8" applyBorder="true" applyNumberFormat="true" numFmtId="2" fillId="22" applyFill="true">
      <alignment horizontal="center" vertical="center"/>
    </xf>
    <xf fontId="12223" applyFont="true" borderId="8" applyBorder="true" applyNumberFormat="true" numFmtId="2" fillId="22" applyFill="true">
      <alignment horizontal="center" vertical="center"/>
    </xf>
    <xf fontId="12224" applyFont="true" borderId="8" applyBorder="true" applyNumberFormat="true" numFmtId="2" fillId="22" applyFill="true">
      <alignment horizontal="center" vertical="center"/>
    </xf>
    <xf fontId="12225" applyFont="true" borderId="8" applyBorder="true" applyNumberFormat="true" numFmtId="2" fillId="22" applyFill="true">
      <alignment horizontal="center" vertical="center"/>
    </xf>
    <xf fontId="12226" applyFont="true" borderId="8" applyBorder="true" applyNumberFormat="true" numFmtId="2" fillId="22" applyFill="true">
      <alignment horizontal="center" vertical="center"/>
    </xf>
    <xf fontId="12227" applyFont="true" borderId="8" applyBorder="true" applyNumberFormat="true" numFmtId="2" fillId="22" applyFill="true">
      <alignment horizontal="center" vertical="center"/>
    </xf>
    <xf fontId="12228" applyFont="true" borderId="8" applyBorder="true" applyNumberFormat="true" numFmtId="2" fillId="22" applyFill="true">
      <alignment horizontal="center" vertical="center"/>
    </xf>
    <xf fontId="12229" applyFont="true" borderId="8" applyBorder="true" applyNumberFormat="true" numFmtId="2" fillId="22" applyFill="true">
      <alignment horizontal="center" vertical="center"/>
    </xf>
    <xf fontId="12230" applyFont="true" borderId="8" applyBorder="true" applyNumberFormat="true" numFmtId="2" fillId="22" applyFill="true">
      <alignment horizontal="center" vertical="center"/>
    </xf>
    <xf fontId="12231" applyFont="true" borderId="8" applyBorder="true" applyNumberFormat="true" numFmtId="2" fillId="22" applyFill="true">
      <alignment horizontal="center" vertical="center"/>
    </xf>
    <xf fontId="12232" applyFont="true" borderId="8" applyBorder="true" applyNumberFormat="true" numFmtId="2" fillId="22" applyFill="true">
      <alignment horizontal="center" vertical="center"/>
    </xf>
    <xf fontId="12233" applyFont="true" borderId="8" applyBorder="true" applyNumberFormat="true" numFmtId="2" fillId="22" applyFill="true">
      <alignment horizontal="center" vertical="center"/>
    </xf>
    <xf fontId="12234" applyFont="true" borderId="8" applyBorder="true" applyNumberFormat="true" numFmtId="2" fillId="22" applyFill="true">
      <alignment horizontal="center" vertical="center"/>
    </xf>
    <xf fontId="12235" applyFont="true" borderId="8" applyBorder="true" applyNumberFormat="true" numFmtId="2" fillId="22" applyFill="true">
      <alignment horizontal="center" vertical="center"/>
    </xf>
    <xf fontId="12236" applyFont="true" borderId="8" applyBorder="true" applyNumberFormat="true" numFmtId="2" fillId="22" applyFill="true">
      <alignment horizontal="center" vertical="center"/>
    </xf>
    <xf fontId="12237" applyFont="true" borderId="8" applyBorder="true" applyNumberFormat="true" numFmtId="2" fillId="22" applyFill="true">
      <alignment horizontal="center" vertical="center"/>
    </xf>
    <xf fontId="12238" applyFont="true" borderId="8" applyBorder="true" applyNumberFormat="true" numFmtId="2" fillId="22" applyFill="true">
      <alignment horizontal="center" vertical="center"/>
    </xf>
    <xf fontId="12239" applyFont="true" borderId="8" applyBorder="true" applyNumberFormat="true" numFmtId="2" fillId="22" applyFill="true">
      <alignment horizontal="center" vertical="center"/>
    </xf>
    <xf fontId="12240" applyFont="true" borderId="8" applyBorder="true" applyNumberFormat="true" numFmtId="2" fillId="22" applyFill="true">
      <alignment horizontal="center" vertical="center"/>
    </xf>
    <xf fontId="12241" applyFont="true" borderId="8" applyBorder="true" applyNumberFormat="true" numFmtId="2" fillId="22" applyFill="true">
      <alignment horizontal="center" vertical="center"/>
    </xf>
    <xf fontId="12242" applyFont="true" borderId="8" applyBorder="true" applyNumberFormat="true" numFmtId="2" fillId="22" applyFill="true">
      <alignment horizontal="center" vertical="center"/>
    </xf>
    <xf fontId="12243" applyFont="true" borderId="8" applyBorder="true" applyNumberFormat="true" numFmtId="2" fillId="22" applyFill="true">
      <alignment horizontal="center" vertical="center"/>
    </xf>
    <xf fontId="12244" applyFont="true" borderId="8" applyBorder="true" applyNumberFormat="true" numFmtId="2" fillId="22" applyFill="true">
      <alignment horizontal="center" vertical="center"/>
    </xf>
    <xf fontId="12245" applyFont="true" borderId="8" applyBorder="true" applyNumberFormat="true" numFmtId="2" fillId="22" applyFill="true">
      <alignment horizontal="center" vertical="center"/>
    </xf>
    <xf fontId="12246" applyFont="true" borderId="8" applyBorder="true" applyNumberFormat="true" numFmtId="2" fillId="22" applyFill="true">
      <alignment horizontal="center" vertical="center"/>
    </xf>
    <xf fontId="12247" applyFont="true" borderId="8" applyBorder="true" applyNumberFormat="true" numFmtId="165" fillId="19" applyFill="true">
      <alignment horizontal="left" vertical="center"/>
    </xf>
    <xf fontId="12248" applyFont="true" borderId="8" applyBorder="true" applyNumberFormat="true" numFmtId="165" fillId="22" applyFill="true">
      <alignment horizontal="center" vertical="center"/>
    </xf>
    <xf fontId="12249" applyFont="true" borderId="8" applyBorder="true" applyNumberFormat="true" numFmtId="166" fillId="22" applyFill="true">
      <alignment horizontal="center" vertical="center"/>
    </xf>
    <xf fontId="12250" applyFont="true" borderId="8" applyBorder="true" applyNumberFormat="true" numFmtId="1" fillId="22" applyFill="true">
      <alignment horizontal="center" vertical="center"/>
    </xf>
    <xf fontId="12251" applyFont="true" borderId="8" applyBorder="true" applyNumberFormat="true" numFmtId="1" fillId="22" applyFill="true">
      <alignment horizontal="center" vertical="center"/>
    </xf>
    <xf fontId="12252" applyFont="true" borderId="8" applyBorder="true" applyNumberFormat="true" numFmtId="1" fillId="22" applyFill="true">
      <alignment horizontal="center" vertical="center"/>
    </xf>
    <xf fontId="12253" applyFont="true" borderId="8" applyBorder="true" applyNumberFormat="true" numFmtId="1" fillId="22" applyFill="true">
      <alignment horizontal="center" vertical="center"/>
    </xf>
    <xf fontId="12254" applyFont="true" borderId="8" applyBorder="true" applyNumberFormat="true" numFmtId="1" fillId="22" applyFill="true">
      <alignment horizontal="center" vertical="center"/>
    </xf>
    <xf fontId="12255" applyFont="true" borderId="8" applyBorder="true" applyNumberFormat="true" numFmtId="1" fillId="22" applyFill="true">
      <alignment horizontal="center" vertical="center"/>
    </xf>
    <xf fontId="12256" applyFont="true" borderId="8" applyBorder="true" applyNumberFormat="true" numFmtId="1" fillId="22" applyFill="true">
      <alignment horizontal="center" vertical="center"/>
    </xf>
    <xf fontId="12257" applyFont="true" borderId="8" applyBorder="true" applyNumberFormat="true" numFmtId="165" fillId="22" applyFill="true">
      <alignment horizontal="center" vertical="center"/>
    </xf>
    <xf fontId="12258" applyFont="true" borderId="8" applyBorder="true" applyNumberFormat="true" numFmtId="165" fillId="22" applyFill="true">
      <alignment horizontal="center" vertical="center"/>
    </xf>
    <xf fontId="12259" applyFont="true" borderId="8" applyBorder="true" applyNumberFormat="true" numFmtId="1" fillId="22" applyFill="true">
      <alignment horizontal="center" vertical="center"/>
    </xf>
    <xf fontId="12260" applyFont="true" borderId="8" applyBorder="true" applyNumberFormat="true" numFmtId="1" fillId="22" applyFill="true">
      <alignment horizontal="center" vertical="center"/>
    </xf>
    <xf fontId="12261" applyFont="true" borderId="8" applyBorder="true" applyNumberFormat="true" numFmtId="1" fillId="22" applyFill="true">
      <alignment horizontal="center" vertical="center"/>
    </xf>
    <xf fontId="12262" applyFont="true" borderId="8" applyBorder="true" applyNumberFormat="true" numFmtId="167" fillId="22" applyFill="true">
      <alignment horizontal="center" vertical="center"/>
    </xf>
    <xf fontId="12263" applyFont="true" borderId="8" applyBorder="true" applyNumberFormat="true" numFmtId="1" fillId="22" applyFill="true">
      <alignment horizontal="center" vertical="center"/>
    </xf>
    <xf fontId="12264" applyFont="true" borderId="8" applyBorder="true" applyNumberFormat="true" numFmtId="167" fillId="22" applyFill="true">
      <alignment horizontal="center" vertical="center"/>
    </xf>
    <xf fontId="12265" applyFont="true" borderId="8" applyBorder="true" applyNumberFormat="true" numFmtId="1" fillId="22" applyFill="true">
      <alignment horizontal="center" vertical="center"/>
    </xf>
    <xf fontId="12266" applyFont="true" borderId="8" applyBorder="true" applyNumberFormat="true" numFmtId="167" fillId="22" applyFill="true">
      <alignment horizontal="center" vertical="center"/>
    </xf>
    <xf fontId="12267" applyFont="true" borderId="8" applyBorder="true" applyNumberFormat="true" numFmtId="1" fillId="22" applyFill="true">
      <alignment horizontal="center" vertical="center"/>
    </xf>
    <xf fontId="12268" applyFont="true" borderId="8" applyBorder="true" applyNumberFormat="true" numFmtId="167" fillId="22" applyFill="true">
      <alignment horizontal="center" vertical="center"/>
    </xf>
    <xf fontId="12269" applyFont="true" borderId="8" applyBorder="true" applyNumberFormat="true" numFmtId="167" fillId="22" applyFill="true">
      <alignment horizontal="center" vertical="center"/>
    </xf>
    <xf fontId="12270" applyFont="true" borderId="8" applyBorder="true" applyNumberFormat="true" numFmtId="1" fillId="22" applyFill="true">
      <alignment horizontal="center" vertical="center"/>
    </xf>
    <xf fontId="12271" applyFont="true" borderId="8" applyBorder="true" applyNumberFormat="true" numFmtId="1" fillId="22" applyFill="true">
      <alignment horizontal="center" vertical="center"/>
    </xf>
    <xf fontId="12272" applyFont="true" borderId="8" applyBorder="true" applyNumberFormat="true" numFmtId="1" fillId="22" applyFill="true">
      <alignment horizontal="center" vertical="center"/>
    </xf>
    <xf fontId="12273" applyFont="true" borderId="8" applyBorder="true" applyNumberFormat="true" numFmtId="167" fillId="22" applyFill="true">
      <alignment horizontal="center" vertical="center"/>
    </xf>
    <xf fontId="12274" applyFont="true" borderId="8" applyBorder="true" applyNumberFormat="true" numFmtId="166" fillId="22" applyFill="true">
      <alignment horizontal="center" vertical="center"/>
    </xf>
    <xf fontId="12275" applyFont="true" borderId="8" applyBorder="true" applyNumberFormat="true" numFmtId="166" fillId="22" applyFill="true">
      <alignment horizontal="center" vertical="center"/>
    </xf>
    <xf fontId="12276" applyFont="true" borderId="8" applyBorder="true" applyNumberFormat="true" numFmtId="1" fillId="22" applyFill="true">
      <alignment horizontal="center" vertical="center"/>
    </xf>
    <xf fontId="12277" applyFont="true" borderId="8" applyBorder="true" applyNumberFormat="true" numFmtId="1" fillId="22" applyFill="true">
      <alignment horizontal="center" vertical="center"/>
    </xf>
    <xf fontId="12278" applyFont="true" borderId="8" applyBorder="true" applyNumberFormat="true" numFmtId="1" fillId="22" applyFill="true">
      <alignment horizontal="center" vertical="center"/>
    </xf>
    <xf fontId="12279" applyFont="true" borderId="8" applyBorder="true" applyNumberFormat="true" numFmtId="167" fillId="22" applyFill="true">
      <alignment horizontal="center" vertical="center"/>
    </xf>
    <xf fontId="12280" applyFont="true" borderId="8" applyBorder="true" applyNumberFormat="true" numFmtId="1" fillId="22" applyFill="true">
      <alignment horizontal="center" vertical="center"/>
    </xf>
    <xf fontId="12281" applyFont="true" borderId="8" applyBorder="true" applyNumberFormat="true" numFmtId="167" fillId="22" applyFill="true">
      <alignment horizontal="center" vertical="center"/>
    </xf>
    <xf fontId="12282" applyFont="true" borderId="8" applyBorder="true" applyNumberFormat="true" numFmtId="1" fillId="22" applyFill="true">
      <alignment horizontal="center" vertical="center"/>
    </xf>
    <xf fontId="12283" applyFont="true" borderId="8" applyBorder="true" applyNumberFormat="true" numFmtId="1" fillId="22" applyFill="true">
      <alignment horizontal="center" vertical="center"/>
    </xf>
    <xf fontId="12284" applyFont="true" borderId="8" applyBorder="true" applyNumberFormat="true" numFmtId="1" fillId="22" applyFill="true">
      <alignment horizontal="center" vertical="center"/>
    </xf>
    <xf fontId="12285" applyFont="true" borderId="8" applyBorder="true" applyNumberFormat="true" numFmtId="1" fillId="22" applyFill="true">
      <alignment horizontal="center" vertical="center"/>
    </xf>
    <xf fontId="12286" applyFont="true" borderId="8" applyBorder="true" applyNumberFormat="true" numFmtId="167" fillId="22" applyFill="true">
      <alignment horizontal="center" vertical="center"/>
    </xf>
    <xf fontId="12287" applyFont="true" borderId="8" applyBorder="true" applyNumberFormat="true" numFmtId="1" fillId="22" applyFill="true">
      <alignment horizontal="center" vertical="center"/>
    </xf>
    <xf fontId="12288" applyFont="true" borderId="8" applyBorder="true" applyNumberFormat="true" numFmtId="167" fillId="22" applyFill="true">
      <alignment horizontal="center" vertical="center"/>
    </xf>
    <xf fontId="12289" applyFont="true" borderId="8" applyBorder="true" applyNumberFormat="true" numFmtId="1" fillId="22" applyFill="true">
      <alignment horizontal="center" vertical="center"/>
    </xf>
    <xf fontId="12290" applyFont="true" borderId="8" applyBorder="true" applyNumberFormat="true" numFmtId="167" fillId="22" applyFill="true">
      <alignment horizontal="center" vertical="center"/>
    </xf>
    <xf fontId="12291" applyFont="true" borderId="8" applyBorder="true" applyNumberFormat="true" numFmtId="2" fillId="22" applyFill="true">
      <alignment horizontal="center" vertical="center"/>
    </xf>
    <xf fontId="12292" applyFont="true" borderId="8" applyBorder="true" applyNumberFormat="true" numFmtId="2" fillId="22" applyFill="true">
      <alignment horizontal="center" vertical="center"/>
    </xf>
    <xf fontId="12293" applyFont="true" borderId="8" applyBorder="true" applyNumberFormat="true" numFmtId="2" fillId="22" applyFill="true">
      <alignment horizontal="center" vertical="center"/>
    </xf>
    <xf fontId="12294" applyFont="true" borderId="8" applyBorder="true" applyNumberFormat="true" numFmtId="2" fillId="22" applyFill="true">
      <alignment horizontal="center" vertical="center"/>
    </xf>
    <xf fontId="12295" applyFont="true" borderId="8" applyBorder="true" applyNumberFormat="true" numFmtId="2" fillId="22" applyFill="true">
      <alignment horizontal="center" vertical="center"/>
    </xf>
    <xf fontId="12296" applyFont="true" borderId="8" applyBorder="true" applyNumberFormat="true" numFmtId="2" fillId="22" applyFill="true">
      <alignment horizontal="center" vertical="center"/>
    </xf>
    <xf fontId="12297" applyFont="true" borderId="8" applyBorder="true" applyNumberFormat="true" numFmtId="2" fillId="22" applyFill="true">
      <alignment horizontal="center" vertical="center"/>
    </xf>
    <xf fontId="12298" applyFont="true" borderId="8" applyBorder="true" applyNumberFormat="true" numFmtId="2" fillId="22" applyFill="true">
      <alignment horizontal="center" vertical="center"/>
    </xf>
    <xf fontId="12299" applyFont="true" borderId="8" applyBorder="true" applyNumberFormat="true" numFmtId="2" fillId="22" applyFill="true">
      <alignment horizontal="center" vertical="center"/>
    </xf>
    <xf fontId="12300" applyFont="true" borderId="8" applyBorder="true" applyNumberFormat="true" numFmtId="2" fillId="22" applyFill="true">
      <alignment horizontal="center" vertical="center"/>
    </xf>
    <xf fontId="12301" applyFont="true" borderId="8" applyBorder="true" applyNumberFormat="true" numFmtId="2" fillId="22" applyFill="true">
      <alignment horizontal="center" vertical="center"/>
    </xf>
    <xf fontId="12302" applyFont="true" borderId="8" applyBorder="true" applyNumberFormat="true" numFmtId="2" fillId="22" applyFill="true">
      <alignment horizontal="center" vertical="center"/>
    </xf>
    <xf fontId="12303" applyFont="true" borderId="8" applyBorder="true" applyNumberFormat="true" numFmtId="2" fillId="22" applyFill="true">
      <alignment horizontal="center" vertical="center"/>
    </xf>
    <xf fontId="12304" applyFont="true" borderId="8" applyBorder="true" applyNumberFormat="true" numFmtId="2" fillId="22" applyFill="true">
      <alignment horizontal="center" vertical="center"/>
    </xf>
    <xf fontId="12305" applyFont="true" borderId="8" applyBorder="true" applyNumberFormat="true" numFmtId="2" fillId="22" applyFill="true">
      <alignment horizontal="center" vertical="center"/>
    </xf>
    <xf fontId="12306" applyFont="true" borderId="8" applyBorder="true" applyNumberFormat="true" numFmtId="2" fillId="22" applyFill="true">
      <alignment horizontal="center" vertical="center"/>
    </xf>
    <xf fontId="12307" applyFont="true" borderId="8" applyBorder="true" applyNumberFormat="true" numFmtId="2" fillId="22" applyFill="true">
      <alignment horizontal="center" vertical="center"/>
    </xf>
    <xf fontId="12308" applyFont="true" borderId="8" applyBorder="true" applyNumberFormat="true" numFmtId="2" fillId="22" applyFill="true">
      <alignment horizontal="center" vertical="center"/>
    </xf>
    <xf fontId="12309" applyFont="true" borderId="8" applyBorder="true" applyNumberFormat="true" numFmtId="2" fillId="22" applyFill="true">
      <alignment horizontal="center" vertical="center"/>
    </xf>
    <xf fontId="12310" applyFont="true" borderId="8" applyBorder="true" applyNumberFormat="true" numFmtId="2" fillId="22" applyFill="true">
      <alignment horizontal="center" vertical="center"/>
    </xf>
    <xf fontId="12311" applyFont="true" borderId="8" applyBorder="true" applyNumberFormat="true" numFmtId="2" fillId="22" applyFill="true">
      <alignment horizontal="center" vertical="center"/>
    </xf>
    <xf fontId="12312" applyFont="true" borderId="8" applyBorder="true" applyNumberFormat="true" numFmtId="2" fillId="22" applyFill="true">
      <alignment horizontal="center" vertical="center"/>
    </xf>
    <xf fontId="12313" applyFont="true" borderId="8" applyBorder="true" applyNumberFormat="true" numFmtId="2" fillId="22" applyFill="true">
      <alignment horizontal="center" vertical="center"/>
    </xf>
    <xf fontId="12314" applyFont="true" borderId="8" applyBorder="true" applyNumberFormat="true" numFmtId="2" fillId="22" applyFill="true">
      <alignment horizontal="center" vertical="center"/>
    </xf>
    <xf fontId="12315" applyFont="true" borderId="8" applyBorder="true" applyNumberFormat="true" numFmtId="2" fillId="22" applyFill="true">
      <alignment horizontal="center" vertical="center"/>
    </xf>
    <xf fontId="12316" applyFont="true" borderId="8" applyBorder="true" applyNumberFormat="true" numFmtId="2" fillId="22" applyFill="true">
      <alignment horizontal="center" vertical="center"/>
    </xf>
    <xf fontId="12317" applyFont="true" borderId="8" applyBorder="true" applyNumberFormat="true" numFmtId="2" fillId="22" applyFill="true">
      <alignment horizontal="center" vertical="center"/>
    </xf>
    <xf fontId="12318" applyFont="true" borderId="8" applyBorder="true" applyNumberFormat="true" numFmtId="2" fillId="22" applyFill="true">
      <alignment horizontal="center" vertical="center"/>
    </xf>
    <xf fontId="12319" applyFont="true" borderId="8" applyBorder="true" applyNumberFormat="true" numFmtId="2" fillId="22" applyFill="true">
      <alignment horizontal="center" vertical="center"/>
    </xf>
    <xf fontId="12320" applyFont="true" borderId="8" applyBorder="true" applyNumberFormat="true" numFmtId="2" fillId="22" applyFill="true">
      <alignment horizontal="center" vertical="center"/>
    </xf>
    <xf fontId="12321" applyFont="true" borderId="8" applyBorder="true" applyNumberFormat="true" numFmtId="2" fillId="22" applyFill="true">
      <alignment horizontal="center" vertical="center"/>
    </xf>
    <xf fontId="12322" applyFont="true" borderId="8" applyBorder="true" applyNumberFormat="true" numFmtId="2" fillId="22" applyFill="true">
      <alignment horizontal="center" vertical="center"/>
    </xf>
    <xf fontId="12323" applyFont="true" borderId="8" applyBorder="true" applyNumberFormat="true" numFmtId="2" fillId="22" applyFill="true">
      <alignment horizontal="center" vertical="center"/>
    </xf>
    <xf fontId="12324" applyFont="true" borderId="8" applyBorder="true" applyNumberFormat="true" numFmtId="2" fillId="22" applyFill="true">
      <alignment horizontal="center" vertical="center"/>
    </xf>
    <xf fontId="12325" applyFont="true" borderId="8" applyBorder="true" applyNumberFormat="true" numFmtId="165" fillId="19" applyFill="true">
      <alignment horizontal="left" vertical="center"/>
    </xf>
    <xf fontId="12326" applyFont="true" borderId="8" applyBorder="true" applyNumberFormat="true" numFmtId="165" fillId="22" applyFill="true">
      <alignment horizontal="center" vertical="center"/>
    </xf>
    <xf fontId="12327" applyFont="true" borderId="8" applyBorder="true" applyNumberFormat="true" numFmtId="166" fillId="22" applyFill="true">
      <alignment horizontal="center" vertical="center"/>
    </xf>
    <xf fontId="12328" applyFont="true" borderId="8" applyBorder="true" applyNumberFormat="true" numFmtId="1" fillId="22" applyFill="true">
      <alignment horizontal="center" vertical="center"/>
    </xf>
    <xf fontId="12329" applyFont="true" borderId="8" applyBorder="true" applyNumberFormat="true" numFmtId="1" fillId="22" applyFill="true">
      <alignment horizontal="center" vertical="center"/>
    </xf>
    <xf fontId="12330" applyFont="true" borderId="8" applyBorder="true" applyNumberFormat="true" numFmtId="1" fillId="22" applyFill="true">
      <alignment horizontal="center" vertical="center"/>
    </xf>
    <xf fontId="12331" applyFont="true" borderId="8" applyBorder="true" applyNumberFormat="true" numFmtId="1" fillId="22" applyFill="true">
      <alignment horizontal="center" vertical="center"/>
    </xf>
    <xf fontId="12332" applyFont="true" borderId="8" applyBorder="true" applyNumberFormat="true" numFmtId="1" fillId="22" applyFill="true">
      <alignment horizontal="center" vertical="center"/>
    </xf>
    <xf fontId="12333" applyFont="true" borderId="8" applyBorder="true" applyNumberFormat="true" numFmtId="1" fillId="22" applyFill="true">
      <alignment horizontal="center" vertical="center"/>
    </xf>
    <xf fontId="12334" applyFont="true" borderId="8" applyBorder="true" applyNumberFormat="true" numFmtId="1" fillId="22" applyFill="true">
      <alignment horizontal="center" vertical="center"/>
    </xf>
    <xf fontId="12335" applyFont="true" borderId="8" applyBorder="true" applyNumberFormat="true" numFmtId="165" fillId="22" applyFill="true">
      <alignment horizontal="center" vertical="center"/>
    </xf>
    <xf fontId="12336" applyFont="true" borderId="8" applyBorder="true" applyNumberFormat="true" numFmtId="165" fillId="22" applyFill="true">
      <alignment horizontal="center" vertical="center"/>
    </xf>
    <xf fontId="12337" applyFont="true" borderId="8" applyBorder="true" applyNumberFormat="true" numFmtId="1" fillId="22" applyFill="true">
      <alignment horizontal="center" vertical="center"/>
    </xf>
    <xf fontId="12338" applyFont="true" borderId="8" applyBorder="true" applyNumberFormat="true" numFmtId="1" fillId="22" applyFill="true">
      <alignment horizontal="center" vertical="center"/>
    </xf>
    <xf fontId="12339" applyFont="true" borderId="8" applyBorder="true" applyNumberFormat="true" numFmtId="1" fillId="22" applyFill="true">
      <alignment horizontal="center" vertical="center"/>
    </xf>
    <xf fontId="12340" applyFont="true" borderId="8" applyBorder="true" applyNumberFormat="true" numFmtId="167" fillId="22" applyFill="true">
      <alignment horizontal="center" vertical="center"/>
    </xf>
    <xf fontId="12341" applyFont="true" borderId="8" applyBorder="true" applyNumberFormat="true" numFmtId="1" fillId="22" applyFill="true">
      <alignment horizontal="center" vertical="center"/>
    </xf>
    <xf fontId="12342" applyFont="true" borderId="8" applyBorder="true" applyNumberFormat="true" numFmtId="167" fillId="22" applyFill="true">
      <alignment horizontal="center" vertical="center"/>
    </xf>
    <xf fontId="12343" applyFont="true" borderId="8" applyBorder="true" applyNumberFormat="true" numFmtId="1" fillId="22" applyFill="true">
      <alignment horizontal="center" vertical="center"/>
    </xf>
    <xf fontId="12344" applyFont="true" borderId="8" applyBorder="true" applyNumberFormat="true" numFmtId="167" fillId="22" applyFill="true">
      <alignment horizontal="center" vertical="center"/>
    </xf>
    <xf fontId="12345" applyFont="true" borderId="8" applyBorder="true" applyNumberFormat="true" numFmtId="1" fillId="22" applyFill="true">
      <alignment horizontal="center" vertical="center"/>
    </xf>
    <xf fontId="12346" applyFont="true" borderId="8" applyBorder="true" applyNumberFormat="true" numFmtId="167" fillId="22" applyFill="true">
      <alignment horizontal="center" vertical="center"/>
    </xf>
    <xf fontId="12347" applyFont="true" borderId="8" applyBorder="true" applyNumberFormat="true" numFmtId="167" fillId="22" applyFill="true">
      <alignment horizontal="center" vertical="center"/>
    </xf>
    <xf fontId="12348" applyFont="true" borderId="8" applyBorder="true" applyNumberFormat="true" numFmtId="1" fillId="22" applyFill="true">
      <alignment horizontal="center" vertical="center"/>
    </xf>
    <xf fontId="12349" applyFont="true" borderId="8" applyBorder="true" applyNumberFormat="true" numFmtId="1" fillId="22" applyFill="true">
      <alignment horizontal="center" vertical="center"/>
    </xf>
    <xf fontId="12350" applyFont="true" borderId="8" applyBorder="true" applyNumberFormat="true" numFmtId="1" fillId="22" applyFill="true">
      <alignment horizontal="center" vertical="center"/>
    </xf>
    <xf fontId="12351" applyFont="true" borderId="8" applyBorder="true" applyNumberFormat="true" numFmtId="167" fillId="22" applyFill="true">
      <alignment horizontal="center" vertical="center"/>
    </xf>
    <xf fontId="12352" applyFont="true" borderId="8" applyBorder="true" applyNumberFormat="true" numFmtId="166" fillId="22" applyFill="true">
      <alignment horizontal="center" vertical="center"/>
    </xf>
    <xf fontId="12353" applyFont="true" borderId="8" applyBorder="true" applyNumberFormat="true" numFmtId="166" fillId="22" applyFill="true">
      <alignment horizontal="center" vertical="center"/>
    </xf>
    <xf fontId="12354" applyFont="true" borderId="8" applyBorder="true" applyNumberFormat="true" numFmtId="1" fillId="22" applyFill="true">
      <alignment horizontal="center" vertical="center"/>
    </xf>
    <xf fontId="12355" applyFont="true" borderId="8" applyBorder="true" applyNumberFormat="true" numFmtId="1" fillId="22" applyFill="true">
      <alignment horizontal="center" vertical="center"/>
    </xf>
    <xf fontId="12356" applyFont="true" borderId="8" applyBorder="true" applyNumberFormat="true" numFmtId="1" fillId="22" applyFill="true">
      <alignment horizontal="center" vertical="center"/>
    </xf>
    <xf fontId="12357" applyFont="true" borderId="8" applyBorder="true" applyNumberFormat="true" numFmtId="167" fillId="22" applyFill="true">
      <alignment horizontal="center" vertical="center"/>
    </xf>
    <xf fontId="12358" applyFont="true" borderId="8" applyBorder="true" applyNumberFormat="true" numFmtId="1" fillId="22" applyFill="true">
      <alignment horizontal="center" vertical="center"/>
    </xf>
    <xf fontId="12359" applyFont="true" borderId="8" applyBorder="true" applyNumberFormat="true" numFmtId="167" fillId="22" applyFill="true">
      <alignment horizontal="center" vertical="center"/>
    </xf>
    <xf fontId="12360" applyFont="true" borderId="8" applyBorder="true" applyNumberFormat="true" numFmtId="1" fillId="22" applyFill="true">
      <alignment horizontal="center" vertical="center"/>
    </xf>
    <xf fontId="12361" applyFont="true" borderId="8" applyBorder="true" applyNumberFormat="true" numFmtId="1" fillId="22" applyFill="true">
      <alignment horizontal="center" vertical="center"/>
    </xf>
    <xf fontId="12362" applyFont="true" borderId="8" applyBorder="true" applyNumberFormat="true" numFmtId="1" fillId="22" applyFill="true">
      <alignment horizontal="center" vertical="center"/>
    </xf>
    <xf fontId="12363" applyFont="true" borderId="8" applyBorder="true" applyNumberFormat="true" numFmtId="1" fillId="22" applyFill="true">
      <alignment horizontal="center" vertical="center"/>
    </xf>
    <xf fontId="12364" applyFont="true" borderId="8" applyBorder="true" applyNumberFormat="true" numFmtId="167" fillId="22" applyFill="true">
      <alignment horizontal="center" vertical="center"/>
    </xf>
    <xf fontId="12365" applyFont="true" borderId="8" applyBorder="true" applyNumberFormat="true" numFmtId="1" fillId="22" applyFill="true">
      <alignment horizontal="center" vertical="center"/>
    </xf>
    <xf fontId="12366" applyFont="true" borderId="8" applyBorder="true" applyNumberFormat="true" numFmtId="167" fillId="22" applyFill="true">
      <alignment horizontal="center" vertical="center"/>
    </xf>
    <xf fontId="12367" applyFont="true" borderId="8" applyBorder="true" applyNumberFormat="true" numFmtId="1" fillId="22" applyFill="true">
      <alignment horizontal="center" vertical="center"/>
    </xf>
    <xf fontId="12368" applyFont="true" borderId="8" applyBorder="true" applyNumberFormat="true" numFmtId="167" fillId="22" applyFill="true">
      <alignment horizontal="center" vertical="center"/>
    </xf>
    <xf fontId="12369" applyFont="true" borderId="8" applyBorder="true" applyNumberFormat="true" numFmtId="2" fillId="22" applyFill="true">
      <alignment horizontal="center" vertical="center"/>
    </xf>
    <xf fontId="12370" applyFont="true" borderId="8" applyBorder="true" applyNumberFormat="true" numFmtId="2" fillId="22" applyFill="true">
      <alignment horizontal="center" vertical="center"/>
    </xf>
    <xf fontId="12371" applyFont="true" borderId="8" applyBorder="true" applyNumberFormat="true" numFmtId="2" fillId="22" applyFill="true">
      <alignment horizontal="center" vertical="center"/>
    </xf>
    <xf fontId="12372" applyFont="true" borderId="8" applyBorder="true" applyNumberFormat="true" numFmtId="2" fillId="22" applyFill="true">
      <alignment horizontal="center" vertical="center"/>
    </xf>
    <xf fontId="12373" applyFont="true" borderId="8" applyBorder="true" applyNumberFormat="true" numFmtId="2" fillId="22" applyFill="true">
      <alignment horizontal="center" vertical="center"/>
    </xf>
    <xf fontId="12374" applyFont="true" borderId="8" applyBorder="true" applyNumberFormat="true" numFmtId="2" fillId="22" applyFill="true">
      <alignment horizontal="center" vertical="center"/>
    </xf>
    <xf fontId="12375" applyFont="true" borderId="8" applyBorder="true" applyNumberFormat="true" numFmtId="2" fillId="22" applyFill="true">
      <alignment horizontal="center" vertical="center"/>
    </xf>
    <xf fontId="12376" applyFont="true" borderId="8" applyBorder="true" applyNumberFormat="true" numFmtId="2" fillId="22" applyFill="true">
      <alignment horizontal="center" vertical="center"/>
    </xf>
    <xf fontId="12377" applyFont="true" borderId="8" applyBorder="true" applyNumberFormat="true" numFmtId="2" fillId="22" applyFill="true">
      <alignment horizontal="center" vertical="center"/>
    </xf>
    <xf fontId="12378" applyFont="true" borderId="8" applyBorder="true" applyNumberFormat="true" numFmtId="2" fillId="22" applyFill="true">
      <alignment horizontal="center" vertical="center"/>
    </xf>
    <xf fontId="12379" applyFont="true" borderId="8" applyBorder="true" applyNumberFormat="true" numFmtId="2" fillId="22" applyFill="true">
      <alignment horizontal="center" vertical="center"/>
    </xf>
    <xf fontId="12380" applyFont="true" borderId="8" applyBorder="true" applyNumberFormat="true" numFmtId="2" fillId="22" applyFill="true">
      <alignment horizontal="center" vertical="center"/>
    </xf>
    <xf fontId="12381" applyFont="true" borderId="8" applyBorder="true" applyNumberFormat="true" numFmtId="2" fillId="22" applyFill="true">
      <alignment horizontal="center" vertical="center"/>
    </xf>
    <xf fontId="12382" applyFont="true" borderId="8" applyBorder="true" applyNumberFormat="true" numFmtId="2" fillId="22" applyFill="true">
      <alignment horizontal="center" vertical="center"/>
    </xf>
    <xf fontId="12383" applyFont="true" borderId="8" applyBorder="true" applyNumberFormat="true" numFmtId="2" fillId="22" applyFill="true">
      <alignment horizontal="center" vertical="center"/>
    </xf>
    <xf fontId="12384" applyFont="true" borderId="8" applyBorder="true" applyNumberFormat="true" numFmtId="2" fillId="22" applyFill="true">
      <alignment horizontal="center" vertical="center"/>
    </xf>
    <xf fontId="12385" applyFont="true" borderId="8" applyBorder="true" applyNumberFormat="true" numFmtId="2" fillId="22" applyFill="true">
      <alignment horizontal="center" vertical="center"/>
    </xf>
    <xf fontId="12386" applyFont="true" borderId="8" applyBorder="true" applyNumberFormat="true" numFmtId="2" fillId="22" applyFill="true">
      <alignment horizontal="center" vertical="center"/>
    </xf>
    <xf fontId="12387" applyFont="true" borderId="8" applyBorder="true" applyNumberFormat="true" numFmtId="2" fillId="22" applyFill="true">
      <alignment horizontal="center" vertical="center"/>
    </xf>
    <xf fontId="12388" applyFont="true" borderId="8" applyBorder="true" applyNumberFormat="true" numFmtId="2" fillId="22" applyFill="true">
      <alignment horizontal="center" vertical="center"/>
    </xf>
    <xf fontId="12389" applyFont="true" borderId="8" applyBorder="true" applyNumberFormat="true" numFmtId="2" fillId="22" applyFill="true">
      <alignment horizontal="center" vertical="center"/>
    </xf>
    <xf fontId="12390" applyFont="true" borderId="8" applyBorder="true" applyNumberFormat="true" numFmtId="2" fillId="22" applyFill="true">
      <alignment horizontal="center" vertical="center"/>
    </xf>
    <xf fontId="12391" applyFont="true" borderId="8" applyBorder="true" applyNumberFormat="true" numFmtId="2" fillId="22" applyFill="true">
      <alignment horizontal="center" vertical="center"/>
    </xf>
    <xf fontId="12392" applyFont="true" borderId="8" applyBorder="true" applyNumberFormat="true" numFmtId="2" fillId="22" applyFill="true">
      <alignment horizontal="center" vertical="center"/>
    </xf>
    <xf fontId="12393" applyFont="true" borderId="8" applyBorder="true" applyNumberFormat="true" numFmtId="2" fillId="22" applyFill="true">
      <alignment horizontal="center" vertical="center"/>
    </xf>
    <xf fontId="12394" applyFont="true" borderId="8" applyBorder="true" applyNumberFormat="true" numFmtId="2" fillId="22" applyFill="true">
      <alignment horizontal="center" vertical="center"/>
    </xf>
    <xf fontId="12395" applyFont="true" borderId="8" applyBorder="true" applyNumberFormat="true" numFmtId="2" fillId="22" applyFill="true">
      <alignment horizontal="center" vertical="center"/>
    </xf>
    <xf fontId="12396" applyFont="true" borderId="8" applyBorder="true" applyNumberFormat="true" numFmtId="2" fillId="22" applyFill="true">
      <alignment horizontal="center" vertical="center"/>
    </xf>
    <xf fontId="12397" applyFont="true" borderId="8" applyBorder="true" applyNumberFormat="true" numFmtId="2" fillId="22" applyFill="true">
      <alignment horizontal="center" vertical="center"/>
    </xf>
    <xf fontId="12398" applyFont="true" borderId="8" applyBorder="true" applyNumberFormat="true" numFmtId="2" fillId="22" applyFill="true">
      <alignment horizontal="center" vertical="center"/>
    </xf>
    <xf fontId="12399" applyFont="true" borderId="8" applyBorder="true" applyNumberFormat="true" numFmtId="2" fillId="22" applyFill="true">
      <alignment horizontal="center" vertical="center"/>
    </xf>
    <xf fontId="12400" applyFont="true" borderId="8" applyBorder="true" applyNumberFormat="true" numFmtId="2" fillId="22" applyFill="true">
      <alignment horizontal="center" vertical="center"/>
    </xf>
    <xf fontId="12401" applyFont="true" borderId="8" applyBorder="true" applyNumberFormat="true" numFmtId="2" fillId="22" applyFill="true">
      <alignment horizontal="center" vertical="center"/>
    </xf>
    <xf fontId="12402" applyFont="true" borderId="8" applyBorder="true" applyNumberFormat="true" numFmtId="2" fillId="22" applyFill="true">
      <alignment horizontal="center" vertical="center"/>
    </xf>
    <xf fontId="12403" applyFont="true" borderId="8" applyBorder="true" applyNumberFormat="true" numFmtId="165" fillId="19" applyFill="true">
      <alignment horizontal="left" vertical="center"/>
    </xf>
    <xf fontId="12404" applyFont="true" borderId="8" applyBorder="true" applyNumberFormat="true" numFmtId="165" fillId="22" applyFill="true">
      <alignment horizontal="center" vertical="center"/>
    </xf>
    <xf fontId="12405" applyFont="true" borderId="8" applyBorder="true" applyNumberFormat="true" numFmtId="166" fillId="22" applyFill="true">
      <alignment horizontal="center" vertical="center"/>
    </xf>
    <xf fontId="12406" applyFont="true" borderId="8" applyBorder="true" applyNumberFormat="true" numFmtId="1" fillId="22" applyFill="true">
      <alignment horizontal="center" vertical="center"/>
    </xf>
    <xf fontId="12407" applyFont="true" borderId="8" applyBorder="true" applyNumberFormat="true" numFmtId="1" fillId="22" applyFill="true">
      <alignment horizontal="center" vertical="center"/>
    </xf>
    <xf fontId="12408" applyFont="true" borderId="8" applyBorder="true" applyNumberFormat="true" numFmtId="1" fillId="22" applyFill="true">
      <alignment horizontal="center" vertical="center"/>
    </xf>
    <xf fontId="12409" applyFont="true" borderId="8" applyBorder="true" applyNumberFormat="true" numFmtId="1" fillId="22" applyFill="true">
      <alignment horizontal="center" vertical="center"/>
    </xf>
    <xf fontId="12410" applyFont="true" borderId="8" applyBorder="true" applyNumberFormat="true" numFmtId="1" fillId="22" applyFill="true">
      <alignment horizontal="center" vertical="center"/>
    </xf>
    <xf fontId="12411" applyFont="true" borderId="8" applyBorder="true" applyNumberFormat="true" numFmtId="1" fillId="22" applyFill="true">
      <alignment horizontal="center" vertical="center"/>
    </xf>
    <xf fontId="12412" applyFont="true" borderId="8" applyBorder="true" applyNumberFormat="true" numFmtId="1" fillId="22" applyFill="true">
      <alignment horizontal="center" vertical="center"/>
    </xf>
    <xf fontId="12413" applyFont="true" borderId="8" applyBorder="true" applyNumberFormat="true" numFmtId="165" fillId="22" applyFill="true">
      <alignment horizontal="center" vertical="center"/>
    </xf>
    <xf fontId="12414" applyFont="true" borderId="8" applyBorder="true" applyNumberFormat="true" numFmtId="165" fillId="22" applyFill="true">
      <alignment horizontal="center" vertical="center"/>
    </xf>
    <xf fontId="12415" applyFont="true" borderId="8" applyBorder="true" applyNumberFormat="true" numFmtId="1" fillId="22" applyFill="true">
      <alignment horizontal="center" vertical="center"/>
    </xf>
    <xf fontId="12416" applyFont="true" borderId="8" applyBorder="true" applyNumberFormat="true" numFmtId="1" fillId="22" applyFill="true">
      <alignment horizontal="center" vertical="center"/>
    </xf>
    <xf fontId="12417" applyFont="true" borderId="8" applyBorder="true" applyNumberFormat="true" numFmtId="1" fillId="22" applyFill="true">
      <alignment horizontal="center" vertical="center"/>
    </xf>
    <xf fontId="12418" applyFont="true" borderId="8" applyBorder="true" applyNumberFormat="true" numFmtId="167" fillId="22" applyFill="true">
      <alignment horizontal="center" vertical="center"/>
    </xf>
    <xf fontId="12419" applyFont="true" borderId="8" applyBorder="true" applyNumberFormat="true" numFmtId="1" fillId="22" applyFill="true">
      <alignment horizontal="center" vertical="center"/>
    </xf>
    <xf fontId="12420" applyFont="true" borderId="8" applyBorder="true" applyNumberFormat="true" numFmtId="167" fillId="22" applyFill="true">
      <alignment horizontal="center" vertical="center"/>
    </xf>
    <xf fontId="12421" applyFont="true" borderId="8" applyBorder="true" applyNumberFormat="true" numFmtId="1" fillId="22" applyFill="true">
      <alignment horizontal="center" vertical="center"/>
    </xf>
    <xf fontId="12422" applyFont="true" borderId="8" applyBorder="true" applyNumberFormat="true" numFmtId="167" fillId="22" applyFill="true">
      <alignment horizontal="center" vertical="center"/>
    </xf>
    <xf fontId="12423" applyFont="true" borderId="8" applyBorder="true" applyNumberFormat="true" numFmtId="1" fillId="22" applyFill="true">
      <alignment horizontal="center" vertical="center"/>
    </xf>
    <xf fontId="12424" applyFont="true" borderId="8" applyBorder="true" applyNumberFormat="true" numFmtId="167" fillId="22" applyFill="true">
      <alignment horizontal="center" vertical="center"/>
    </xf>
    <xf fontId="12425" applyFont="true" borderId="8" applyBorder="true" applyNumberFormat="true" numFmtId="167" fillId="22" applyFill="true">
      <alignment horizontal="center" vertical="center"/>
    </xf>
    <xf fontId="12426" applyFont="true" borderId="8" applyBorder="true" applyNumberFormat="true" numFmtId="1" fillId="22" applyFill="true">
      <alignment horizontal="center" vertical="center"/>
    </xf>
    <xf fontId="12427" applyFont="true" borderId="8" applyBorder="true" applyNumberFormat="true" numFmtId="1" fillId="22" applyFill="true">
      <alignment horizontal="center" vertical="center"/>
    </xf>
    <xf fontId="12428" applyFont="true" borderId="8" applyBorder="true" applyNumberFormat="true" numFmtId="1" fillId="22" applyFill="true">
      <alignment horizontal="center" vertical="center"/>
    </xf>
    <xf fontId="12429" applyFont="true" borderId="8" applyBorder="true" applyNumberFormat="true" numFmtId="167" fillId="22" applyFill="true">
      <alignment horizontal="center" vertical="center"/>
    </xf>
    <xf fontId="12430" applyFont="true" borderId="8" applyBorder="true" applyNumberFormat="true" numFmtId="166" fillId="22" applyFill="true">
      <alignment horizontal="center" vertical="center"/>
    </xf>
    <xf fontId="12431" applyFont="true" borderId="8" applyBorder="true" applyNumberFormat="true" numFmtId="166" fillId="22" applyFill="true">
      <alignment horizontal="center" vertical="center"/>
    </xf>
    <xf fontId="12432" applyFont="true" borderId="8" applyBorder="true" applyNumberFormat="true" numFmtId="1" fillId="22" applyFill="true">
      <alignment horizontal="center" vertical="center"/>
    </xf>
    <xf fontId="12433" applyFont="true" borderId="8" applyBorder="true" applyNumberFormat="true" numFmtId="1" fillId="22" applyFill="true">
      <alignment horizontal="center" vertical="center"/>
    </xf>
    <xf fontId="12434" applyFont="true" borderId="8" applyBorder="true" applyNumberFormat="true" numFmtId="1" fillId="22" applyFill="true">
      <alignment horizontal="center" vertical="center"/>
    </xf>
    <xf fontId="12435" applyFont="true" borderId="8" applyBorder="true" applyNumberFormat="true" numFmtId="167" fillId="22" applyFill="true">
      <alignment horizontal="center" vertical="center"/>
    </xf>
    <xf fontId="12436" applyFont="true" borderId="8" applyBorder="true" applyNumberFormat="true" numFmtId="1" fillId="22" applyFill="true">
      <alignment horizontal="center" vertical="center"/>
    </xf>
    <xf fontId="12437" applyFont="true" borderId="8" applyBorder="true" applyNumberFormat="true" numFmtId="167" fillId="22" applyFill="true">
      <alignment horizontal="center" vertical="center"/>
    </xf>
    <xf fontId="12438" applyFont="true" borderId="8" applyBorder="true" applyNumberFormat="true" numFmtId="1" fillId="22" applyFill="true">
      <alignment horizontal="center" vertical="center"/>
    </xf>
    <xf fontId="12439" applyFont="true" borderId="8" applyBorder="true" applyNumberFormat="true" numFmtId="1" fillId="22" applyFill="true">
      <alignment horizontal="center" vertical="center"/>
    </xf>
    <xf fontId="12440" applyFont="true" borderId="8" applyBorder="true" applyNumberFormat="true" numFmtId="1" fillId="22" applyFill="true">
      <alignment horizontal="center" vertical="center"/>
    </xf>
    <xf fontId="12441" applyFont="true" borderId="8" applyBorder="true" applyNumberFormat="true" numFmtId="1" fillId="22" applyFill="true">
      <alignment horizontal="center" vertical="center"/>
    </xf>
    <xf fontId="12442" applyFont="true" borderId="8" applyBorder="true" applyNumberFormat="true" numFmtId="167" fillId="22" applyFill="true">
      <alignment horizontal="center" vertical="center"/>
    </xf>
    <xf fontId="12443" applyFont="true" borderId="8" applyBorder="true" applyNumberFormat="true" numFmtId="1" fillId="22" applyFill="true">
      <alignment horizontal="center" vertical="center"/>
    </xf>
    <xf fontId="12444" applyFont="true" borderId="8" applyBorder="true" applyNumberFormat="true" numFmtId="167" fillId="22" applyFill="true">
      <alignment horizontal="center" vertical="center"/>
    </xf>
    <xf fontId="12445" applyFont="true" borderId="8" applyBorder="true" applyNumberFormat="true" numFmtId="1" fillId="22" applyFill="true">
      <alignment horizontal="center" vertical="center"/>
    </xf>
    <xf fontId="12446" applyFont="true" borderId="8" applyBorder="true" applyNumberFormat="true" numFmtId="167" fillId="22" applyFill="true">
      <alignment horizontal="center" vertical="center"/>
    </xf>
    <xf fontId="12447" applyFont="true" borderId="8" applyBorder="true" applyNumberFormat="true" numFmtId="2" fillId="22" applyFill="true">
      <alignment horizontal="center" vertical="center"/>
    </xf>
    <xf fontId="12448" applyFont="true" borderId="8" applyBorder="true" applyNumberFormat="true" numFmtId="2" fillId="22" applyFill="true">
      <alignment horizontal="center" vertical="center"/>
    </xf>
    <xf fontId="12449" applyFont="true" borderId="8" applyBorder="true" applyNumberFormat="true" numFmtId="2" fillId="22" applyFill="true">
      <alignment horizontal="center" vertical="center"/>
    </xf>
    <xf fontId="12450" applyFont="true" borderId="8" applyBorder="true" applyNumberFormat="true" numFmtId="2" fillId="22" applyFill="true">
      <alignment horizontal="center" vertical="center"/>
    </xf>
    <xf fontId="12451" applyFont="true" borderId="8" applyBorder="true" applyNumberFormat="true" numFmtId="2" fillId="22" applyFill="true">
      <alignment horizontal="center" vertical="center"/>
    </xf>
    <xf fontId="12452" applyFont="true" borderId="8" applyBorder="true" applyNumberFormat="true" numFmtId="2" fillId="22" applyFill="true">
      <alignment horizontal="center" vertical="center"/>
    </xf>
    <xf fontId="12453" applyFont="true" borderId="8" applyBorder="true" applyNumberFormat="true" numFmtId="2" fillId="22" applyFill="true">
      <alignment horizontal="center" vertical="center"/>
    </xf>
    <xf fontId="12454" applyFont="true" borderId="8" applyBorder="true" applyNumberFormat="true" numFmtId="2" fillId="22" applyFill="true">
      <alignment horizontal="center" vertical="center"/>
    </xf>
    <xf fontId="12455" applyFont="true" borderId="8" applyBorder="true" applyNumberFormat="true" numFmtId="2" fillId="22" applyFill="true">
      <alignment horizontal="center" vertical="center"/>
    </xf>
    <xf fontId="12456" applyFont="true" borderId="8" applyBorder="true" applyNumberFormat="true" numFmtId="2" fillId="22" applyFill="true">
      <alignment horizontal="center" vertical="center"/>
    </xf>
    <xf fontId="12457" applyFont="true" borderId="8" applyBorder="true" applyNumberFormat="true" numFmtId="2" fillId="22" applyFill="true">
      <alignment horizontal="center" vertical="center"/>
    </xf>
    <xf fontId="12458" applyFont="true" borderId="8" applyBorder="true" applyNumberFormat="true" numFmtId="2" fillId="22" applyFill="true">
      <alignment horizontal="center" vertical="center"/>
    </xf>
    <xf fontId="12459" applyFont="true" borderId="8" applyBorder="true" applyNumberFormat="true" numFmtId="2" fillId="22" applyFill="true">
      <alignment horizontal="center" vertical="center"/>
    </xf>
    <xf fontId="12460" applyFont="true" borderId="8" applyBorder="true" applyNumberFormat="true" numFmtId="2" fillId="22" applyFill="true">
      <alignment horizontal="center" vertical="center"/>
    </xf>
    <xf fontId="12461" applyFont="true" borderId="8" applyBorder="true" applyNumberFormat="true" numFmtId="2" fillId="22" applyFill="true">
      <alignment horizontal="center" vertical="center"/>
    </xf>
    <xf fontId="12462" applyFont="true" borderId="8" applyBorder="true" applyNumberFormat="true" numFmtId="2" fillId="22" applyFill="true">
      <alignment horizontal="center" vertical="center"/>
    </xf>
    <xf fontId="12463" applyFont="true" borderId="8" applyBorder="true" applyNumberFormat="true" numFmtId="2" fillId="22" applyFill="true">
      <alignment horizontal="center" vertical="center"/>
    </xf>
    <xf fontId="12464" applyFont="true" borderId="8" applyBorder="true" applyNumberFormat="true" numFmtId="2" fillId="22" applyFill="true">
      <alignment horizontal="center" vertical="center"/>
    </xf>
    <xf fontId="12465" applyFont="true" borderId="8" applyBorder="true" applyNumberFormat="true" numFmtId="2" fillId="22" applyFill="true">
      <alignment horizontal="center" vertical="center"/>
    </xf>
    <xf fontId="12466" applyFont="true" borderId="8" applyBorder="true" applyNumberFormat="true" numFmtId="2" fillId="22" applyFill="true">
      <alignment horizontal="center" vertical="center"/>
    </xf>
    <xf fontId="12467" applyFont="true" borderId="8" applyBorder="true" applyNumberFormat="true" numFmtId="2" fillId="22" applyFill="true">
      <alignment horizontal="center" vertical="center"/>
    </xf>
    <xf fontId="12468" applyFont="true" borderId="8" applyBorder="true" applyNumberFormat="true" numFmtId="2" fillId="22" applyFill="true">
      <alignment horizontal="center" vertical="center"/>
    </xf>
    <xf fontId="12469" applyFont="true" borderId="8" applyBorder="true" applyNumberFormat="true" numFmtId="2" fillId="22" applyFill="true">
      <alignment horizontal="center" vertical="center"/>
    </xf>
    <xf fontId="12470" applyFont="true" borderId="8" applyBorder="true" applyNumberFormat="true" numFmtId="2" fillId="22" applyFill="true">
      <alignment horizontal="center" vertical="center"/>
    </xf>
    <xf fontId="12471" applyFont="true" borderId="8" applyBorder="true" applyNumberFormat="true" numFmtId="2" fillId="22" applyFill="true">
      <alignment horizontal="center" vertical="center"/>
    </xf>
    <xf fontId="12472" applyFont="true" borderId="8" applyBorder="true" applyNumberFormat="true" numFmtId="2" fillId="22" applyFill="true">
      <alignment horizontal="center" vertical="center"/>
    </xf>
    <xf fontId="12473" applyFont="true" borderId="8" applyBorder="true" applyNumberFormat="true" numFmtId="2" fillId="22" applyFill="true">
      <alignment horizontal="center" vertical="center"/>
    </xf>
    <xf fontId="12474" applyFont="true" borderId="8" applyBorder="true" applyNumberFormat="true" numFmtId="2" fillId="22" applyFill="true">
      <alignment horizontal="center" vertical="center"/>
    </xf>
    <xf fontId="12475" applyFont="true" borderId="8" applyBorder="true" applyNumberFormat="true" numFmtId="2" fillId="22" applyFill="true">
      <alignment horizontal="center" vertical="center"/>
    </xf>
    <xf fontId="12476" applyFont="true" borderId="8" applyBorder="true" applyNumberFormat="true" numFmtId="2" fillId="22" applyFill="true">
      <alignment horizontal="center" vertical="center"/>
    </xf>
    <xf fontId="12477" applyFont="true" borderId="8" applyBorder="true" applyNumberFormat="true" numFmtId="2" fillId="22" applyFill="true">
      <alignment horizontal="center" vertical="center"/>
    </xf>
    <xf fontId="12478" applyFont="true" borderId="8" applyBorder="true" applyNumberFormat="true" numFmtId="2" fillId="22" applyFill="true">
      <alignment horizontal="center" vertical="center"/>
    </xf>
    <xf fontId="12479" applyFont="true" borderId="8" applyBorder="true" applyNumberFormat="true" numFmtId="2" fillId="22" applyFill="true">
      <alignment horizontal="center" vertical="center"/>
    </xf>
    <xf fontId="12480" applyFont="true" borderId="8" applyBorder="true" applyNumberFormat="true" numFmtId="2" fillId="22" applyFill="true">
      <alignment horizontal="center" vertical="center"/>
    </xf>
    <xf fontId="12481" applyFont="true" borderId="8" applyBorder="true" applyNumberFormat="true" numFmtId="165" fillId="19" applyFill="true">
      <alignment horizontal="left" vertical="center"/>
    </xf>
    <xf fontId="12482" applyFont="true" borderId="8" applyBorder="true" applyNumberFormat="true" numFmtId="165" fillId="22" applyFill="true">
      <alignment horizontal="center" vertical="center"/>
    </xf>
    <xf fontId="12483" applyFont="true" borderId="8" applyBorder="true" applyNumberFormat="true" numFmtId="166" fillId="22" applyFill="true">
      <alignment horizontal="center" vertical="center"/>
    </xf>
    <xf fontId="12484" applyFont="true" borderId="8" applyBorder="true" applyNumberFormat="true" numFmtId="1" fillId="22" applyFill="true">
      <alignment horizontal="center" vertical="center"/>
    </xf>
    <xf fontId="12485" applyFont="true" borderId="8" applyBorder="true" applyNumberFormat="true" numFmtId="1" fillId="22" applyFill="true">
      <alignment horizontal="center" vertical="center"/>
    </xf>
    <xf fontId="12486" applyFont="true" borderId="8" applyBorder="true" applyNumberFormat="true" numFmtId="1" fillId="22" applyFill="true">
      <alignment horizontal="center" vertical="center"/>
    </xf>
    <xf fontId="12487" applyFont="true" borderId="8" applyBorder="true" applyNumberFormat="true" numFmtId="1" fillId="22" applyFill="true">
      <alignment horizontal="center" vertical="center"/>
    </xf>
    <xf fontId="12488" applyFont="true" borderId="8" applyBorder="true" applyNumberFormat="true" numFmtId="1" fillId="22" applyFill="true">
      <alignment horizontal="center" vertical="center"/>
    </xf>
    <xf fontId="12489" applyFont="true" borderId="8" applyBorder="true" applyNumberFormat="true" numFmtId="1" fillId="22" applyFill="true">
      <alignment horizontal="center" vertical="center"/>
    </xf>
    <xf fontId="12490" applyFont="true" borderId="8" applyBorder="true" applyNumberFormat="true" numFmtId="1" fillId="22" applyFill="true">
      <alignment horizontal="center" vertical="center"/>
    </xf>
    <xf fontId="12491" applyFont="true" borderId="8" applyBorder="true" applyNumberFormat="true" numFmtId="165" fillId="22" applyFill="true">
      <alignment horizontal="center" vertical="center"/>
    </xf>
    <xf fontId="12492" applyFont="true" borderId="8" applyBorder="true" applyNumberFormat="true" numFmtId="165" fillId="22" applyFill="true">
      <alignment horizontal="center" vertical="center"/>
    </xf>
    <xf fontId="12493" applyFont="true" borderId="8" applyBorder="true" applyNumberFormat="true" numFmtId="1" fillId="22" applyFill="true">
      <alignment horizontal="center" vertical="center"/>
    </xf>
    <xf fontId="12494" applyFont="true" borderId="8" applyBorder="true" applyNumberFormat="true" numFmtId="1" fillId="22" applyFill="true">
      <alignment horizontal="center" vertical="center"/>
    </xf>
    <xf fontId="12495" applyFont="true" borderId="8" applyBorder="true" applyNumberFormat="true" numFmtId="1" fillId="22" applyFill="true">
      <alignment horizontal="center" vertical="center"/>
    </xf>
    <xf fontId="12496" applyFont="true" borderId="8" applyBorder="true" applyNumberFormat="true" numFmtId="167" fillId="22" applyFill="true">
      <alignment horizontal="center" vertical="center"/>
    </xf>
    <xf fontId="12497" applyFont="true" borderId="8" applyBorder="true" applyNumberFormat="true" numFmtId="1" fillId="22" applyFill="true">
      <alignment horizontal="center" vertical="center"/>
    </xf>
    <xf fontId="12498" applyFont="true" borderId="8" applyBorder="true" applyNumberFormat="true" numFmtId="167" fillId="22" applyFill="true">
      <alignment horizontal="center" vertical="center"/>
    </xf>
    <xf fontId="12499" applyFont="true" borderId="8" applyBorder="true" applyNumberFormat="true" numFmtId="1" fillId="22" applyFill="true">
      <alignment horizontal="center" vertical="center"/>
    </xf>
    <xf fontId="12500" applyFont="true" borderId="8" applyBorder="true" applyNumberFormat="true" numFmtId="167" fillId="22" applyFill="true">
      <alignment horizontal="center" vertical="center"/>
    </xf>
    <xf fontId="12501" applyFont="true" borderId="8" applyBorder="true" applyNumberFormat="true" numFmtId="1" fillId="22" applyFill="true">
      <alignment horizontal="center" vertical="center"/>
    </xf>
    <xf fontId="12502" applyFont="true" borderId="8" applyBorder="true" applyNumberFormat="true" numFmtId="167" fillId="22" applyFill="true">
      <alignment horizontal="center" vertical="center"/>
    </xf>
    <xf fontId="12503" applyFont="true" borderId="8" applyBorder="true" applyNumberFormat="true" numFmtId="167" fillId="22" applyFill="true">
      <alignment horizontal="center" vertical="center"/>
    </xf>
    <xf fontId="12504" applyFont="true" borderId="8" applyBorder="true" applyNumberFormat="true" numFmtId="1" fillId="22" applyFill="true">
      <alignment horizontal="center" vertical="center"/>
    </xf>
    <xf fontId="12505" applyFont="true" borderId="8" applyBorder="true" applyNumberFormat="true" numFmtId="1" fillId="22" applyFill="true">
      <alignment horizontal="center" vertical="center"/>
    </xf>
    <xf fontId="12506" applyFont="true" borderId="8" applyBorder="true" applyNumberFormat="true" numFmtId="1" fillId="22" applyFill="true">
      <alignment horizontal="center" vertical="center"/>
    </xf>
    <xf fontId="12507" applyFont="true" borderId="8" applyBorder="true" applyNumberFormat="true" numFmtId="167" fillId="22" applyFill="true">
      <alignment horizontal="center" vertical="center"/>
    </xf>
    <xf fontId="12508" applyFont="true" borderId="8" applyBorder="true" applyNumberFormat="true" numFmtId="166" fillId="22" applyFill="true">
      <alignment horizontal="center" vertical="center"/>
    </xf>
    <xf fontId="12509" applyFont="true" borderId="8" applyBorder="true" applyNumberFormat="true" numFmtId="166" fillId="22" applyFill="true">
      <alignment horizontal="center" vertical="center"/>
    </xf>
    <xf fontId="12510" applyFont="true" borderId="8" applyBorder="true" applyNumberFormat="true" numFmtId="1" fillId="22" applyFill="true">
      <alignment horizontal="center" vertical="center"/>
    </xf>
    <xf fontId="12511" applyFont="true" borderId="8" applyBorder="true" applyNumberFormat="true" numFmtId="1" fillId="22" applyFill="true">
      <alignment horizontal="center" vertical="center"/>
    </xf>
    <xf fontId="12512" applyFont="true" borderId="8" applyBorder="true" applyNumberFormat="true" numFmtId="1" fillId="22" applyFill="true">
      <alignment horizontal="center" vertical="center"/>
    </xf>
    <xf fontId="12513" applyFont="true" borderId="8" applyBorder="true" applyNumberFormat="true" numFmtId="167" fillId="22" applyFill="true">
      <alignment horizontal="center" vertical="center"/>
    </xf>
    <xf fontId="12514" applyFont="true" borderId="8" applyBorder="true" applyNumberFormat="true" numFmtId="1" fillId="22" applyFill="true">
      <alignment horizontal="center" vertical="center"/>
    </xf>
    <xf fontId="12515" applyFont="true" borderId="8" applyBorder="true" applyNumberFormat="true" numFmtId="167" fillId="22" applyFill="true">
      <alignment horizontal="center" vertical="center"/>
    </xf>
    <xf fontId="12516" applyFont="true" borderId="8" applyBorder="true" applyNumberFormat="true" numFmtId="1" fillId="22" applyFill="true">
      <alignment horizontal="center" vertical="center"/>
    </xf>
    <xf fontId="12517" applyFont="true" borderId="8" applyBorder="true" applyNumberFormat="true" numFmtId="1" fillId="22" applyFill="true">
      <alignment horizontal="center" vertical="center"/>
    </xf>
    <xf fontId="12518" applyFont="true" borderId="8" applyBorder="true" applyNumberFormat="true" numFmtId="1" fillId="22" applyFill="true">
      <alignment horizontal="center" vertical="center"/>
    </xf>
    <xf fontId="12519" applyFont="true" borderId="8" applyBorder="true" applyNumberFormat="true" numFmtId="1" fillId="22" applyFill="true">
      <alignment horizontal="center" vertical="center"/>
    </xf>
    <xf fontId="12520" applyFont="true" borderId="8" applyBorder="true" applyNumberFormat="true" numFmtId="167" fillId="22" applyFill="true">
      <alignment horizontal="center" vertical="center"/>
    </xf>
    <xf fontId="12521" applyFont="true" borderId="8" applyBorder="true" applyNumberFormat="true" numFmtId="1" fillId="22" applyFill="true">
      <alignment horizontal="center" vertical="center"/>
    </xf>
    <xf fontId="12522" applyFont="true" borderId="8" applyBorder="true" applyNumberFormat="true" numFmtId="167" fillId="22" applyFill="true">
      <alignment horizontal="center" vertical="center"/>
    </xf>
    <xf fontId="12523" applyFont="true" borderId="8" applyBorder="true" applyNumberFormat="true" numFmtId="1" fillId="22" applyFill="true">
      <alignment horizontal="center" vertical="center"/>
    </xf>
    <xf fontId="12524" applyFont="true" borderId="8" applyBorder="true" applyNumberFormat="true" numFmtId="167" fillId="22" applyFill="true">
      <alignment horizontal="center" vertical="center"/>
    </xf>
    <xf fontId="12525" applyFont="true" borderId="8" applyBorder="true" applyNumberFormat="true" numFmtId="2" fillId="22" applyFill="true">
      <alignment horizontal="center" vertical="center"/>
    </xf>
    <xf fontId="12526" applyFont="true" borderId="8" applyBorder="true" applyNumberFormat="true" numFmtId="2" fillId="22" applyFill="true">
      <alignment horizontal="center" vertical="center"/>
    </xf>
    <xf fontId="12527" applyFont="true" borderId="8" applyBorder="true" applyNumberFormat="true" numFmtId="2" fillId="22" applyFill="true">
      <alignment horizontal="center" vertical="center"/>
    </xf>
    <xf fontId="12528" applyFont="true" borderId="8" applyBorder="true" applyNumberFormat="true" numFmtId="2" fillId="22" applyFill="true">
      <alignment horizontal="center" vertical="center"/>
    </xf>
    <xf fontId="12529" applyFont="true" borderId="8" applyBorder="true" applyNumberFormat="true" numFmtId="2" fillId="22" applyFill="true">
      <alignment horizontal="center" vertical="center"/>
    </xf>
    <xf fontId="12530" applyFont="true" borderId="8" applyBorder="true" applyNumberFormat="true" numFmtId="2" fillId="22" applyFill="true">
      <alignment horizontal="center" vertical="center"/>
    </xf>
    <xf fontId="12531" applyFont="true" borderId="8" applyBorder="true" applyNumberFormat="true" numFmtId="2" fillId="22" applyFill="true">
      <alignment horizontal="center" vertical="center"/>
    </xf>
    <xf fontId="12532" applyFont="true" borderId="8" applyBorder="true" applyNumberFormat="true" numFmtId="2" fillId="22" applyFill="true">
      <alignment horizontal="center" vertical="center"/>
    </xf>
    <xf fontId="12533" applyFont="true" borderId="8" applyBorder="true" applyNumberFormat="true" numFmtId="2" fillId="22" applyFill="true">
      <alignment horizontal="center" vertical="center"/>
    </xf>
    <xf fontId="12534" applyFont="true" borderId="8" applyBorder="true" applyNumberFormat="true" numFmtId="2" fillId="22" applyFill="true">
      <alignment horizontal="center" vertical="center"/>
    </xf>
    <xf fontId="12535" applyFont="true" borderId="8" applyBorder="true" applyNumberFormat="true" numFmtId="2" fillId="22" applyFill="true">
      <alignment horizontal="center" vertical="center"/>
    </xf>
    <xf fontId="12536" applyFont="true" borderId="8" applyBorder="true" applyNumberFormat="true" numFmtId="2" fillId="22" applyFill="true">
      <alignment horizontal="center" vertical="center"/>
    </xf>
    <xf fontId="12537" applyFont="true" borderId="8" applyBorder="true" applyNumberFormat="true" numFmtId="2" fillId="22" applyFill="true">
      <alignment horizontal="center" vertical="center"/>
    </xf>
    <xf fontId="12538" applyFont="true" borderId="8" applyBorder="true" applyNumberFormat="true" numFmtId="2" fillId="22" applyFill="true">
      <alignment horizontal="center" vertical="center"/>
    </xf>
    <xf fontId="12539" applyFont="true" borderId="8" applyBorder="true" applyNumberFormat="true" numFmtId="2" fillId="22" applyFill="true">
      <alignment horizontal="center" vertical="center"/>
    </xf>
    <xf fontId="12540" applyFont="true" borderId="8" applyBorder="true" applyNumberFormat="true" numFmtId="2" fillId="22" applyFill="true">
      <alignment horizontal="center" vertical="center"/>
    </xf>
    <xf fontId="12541" applyFont="true" borderId="8" applyBorder="true" applyNumberFormat="true" numFmtId="2" fillId="22" applyFill="true">
      <alignment horizontal="center" vertical="center"/>
    </xf>
    <xf fontId="12542" applyFont="true" borderId="8" applyBorder="true" applyNumberFormat="true" numFmtId="2" fillId="22" applyFill="true">
      <alignment horizontal="center" vertical="center"/>
    </xf>
    <xf fontId="12543" applyFont="true" borderId="8" applyBorder="true" applyNumberFormat="true" numFmtId="2" fillId="22" applyFill="true">
      <alignment horizontal="center" vertical="center"/>
    </xf>
    <xf fontId="12544" applyFont="true" borderId="8" applyBorder="true" applyNumberFormat="true" numFmtId="2" fillId="22" applyFill="true">
      <alignment horizontal="center" vertical="center"/>
    </xf>
    <xf fontId="12545" applyFont="true" borderId="8" applyBorder="true" applyNumberFormat="true" numFmtId="2" fillId="22" applyFill="true">
      <alignment horizontal="center" vertical="center"/>
    </xf>
    <xf fontId="12546" applyFont="true" borderId="8" applyBorder="true" applyNumberFormat="true" numFmtId="2" fillId="22" applyFill="true">
      <alignment horizontal="center" vertical="center"/>
    </xf>
    <xf fontId="12547" applyFont="true" borderId="8" applyBorder="true" applyNumberFormat="true" numFmtId="2" fillId="22" applyFill="true">
      <alignment horizontal="center" vertical="center"/>
    </xf>
    <xf fontId="12548" applyFont="true" borderId="8" applyBorder="true" applyNumberFormat="true" numFmtId="2" fillId="22" applyFill="true">
      <alignment horizontal="center" vertical="center"/>
    </xf>
    <xf fontId="12549" applyFont="true" borderId="8" applyBorder="true" applyNumberFormat="true" numFmtId="2" fillId="22" applyFill="true">
      <alignment horizontal="center" vertical="center"/>
    </xf>
    <xf fontId="12550" applyFont="true" borderId="8" applyBorder="true" applyNumberFormat="true" numFmtId="2" fillId="22" applyFill="true">
      <alignment horizontal="center" vertical="center"/>
    </xf>
    <xf fontId="12551" applyFont="true" borderId="8" applyBorder="true" applyNumberFormat="true" numFmtId="2" fillId="22" applyFill="true">
      <alignment horizontal="center" vertical="center"/>
    </xf>
    <xf fontId="12552" applyFont="true" borderId="8" applyBorder="true" applyNumberFormat="true" numFmtId="2" fillId="22" applyFill="true">
      <alignment horizontal="center" vertical="center"/>
    </xf>
    <xf fontId="12553" applyFont="true" borderId="8" applyBorder="true" applyNumberFormat="true" numFmtId="2" fillId="22" applyFill="true">
      <alignment horizontal="center" vertical="center"/>
    </xf>
    <xf fontId="12554" applyFont="true" borderId="8" applyBorder="true" applyNumberFormat="true" numFmtId="2" fillId="22" applyFill="true">
      <alignment horizontal="center" vertical="center"/>
    </xf>
    <xf fontId="12555" applyFont="true" borderId="8" applyBorder="true" applyNumberFormat="true" numFmtId="2" fillId="22" applyFill="true">
      <alignment horizontal="center" vertical="center"/>
    </xf>
    <xf fontId="12556" applyFont="true" borderId="8" applyBorder="true" applyNumberFormat="true" numFmtId="2" fillId="22" applyFill="true">
      <alignment horizontal="center" vertical="center"/>
    </xf>
    <xf fontId="12557" applyFont="true" borderId="8" applyBorder="true" applyNumberFormat="true" numFmtId="2" fillId="22" applyFill="true">
      <alignment horizontal="center" vertical="center"/>
    </xf>
    <xf fontId="12558" applyFont="true" borderId="8" applyBorder="true" applyNumberFormat="true" numFmtId="2" fillId="22" applyFill="true">
      <alignment horizontal="center" vertical="center"/>
    </xf>
    <xf fontId="12559" applyFont="true" borderId="8" applyBorder="true" applyNumberFormat="true" numFmtId="165" fillId="19" applyFill="true">
      <alignment horizontal="left" vertical="center"/>
    </xf>
    <xf fontId="12560" applyFont="true" borderId="8" applyBorder="true" applyNumberFormat="true" numFmtId="165" fillId="22" applyFill="true">
      <alignment horizontal="center" vertical="center"/>
    </xf>
    <xf fontId="12561" applyFont="true" borderId="8" applyBorder="true" applyNumberFormat="true" numFmtId="166" fillId="22" applyFill="true">
      <alignment horizontal="center" vertical="center"/>
    </xf>
    <xf fontId="12562" applyFont="true" borderId="8" applyBorder="true" applyNumberFormat="true" numFmtId="1" fillId="22" applyFill="true">
      <alignment horizontal="center" vertical="center"/>
    </xf>
    <xf fontId="12563" applyFont="true" borderId="8" applyBorder="true" applyNumberFormat="true" numFmtId="1" fillId="22" applyFill="true">
      <alignment horizontal="center" vertical="center"/>
    </xf>
    <xf fontId="12564" applyFont="true" borderId="8" applyBorder="true" applyNumberFormat="true" numFmtId="1" fillId="22" applyFill="true">
      <alignment horizontal="center" vertical="center"/>
    </xf>
    <xf fontId="12565" applyFont="true" borderId="8" applyBorder="true" applyNumberFormat="true" numFmtId="1" fillId="22" applyFill="true">
      <alignment horizontal="center" vertical="center"/>
    </xf>
    <xf fontId="12566" applyFont="true" borderId="8" applyBorder="true" applyNumberFormat="true" numFmtId="1" fillId="22" applyFill="true">
      <alignment horizontal="center" vertical="center"/>
    </xf>
    <xf fontId="12567" applyFont="true" borderId="8" applyBorder="true" applyNumberFormat="true" numFmtId="1" fillId="22" applyFill="true">
      <alignment horizontal="center" vertical="center"/>
    </xf>
    <xf fontId="12568" applyFont="true" borderId="8" applyBorder="true" applyNumberFormat="true" numFmtId="1" fillId="22" applyFill="true">
      <alignment horizontal="center" vertical="center"/>
    </xf>
    <xf fontId="12569" applyFont="true" borderId="8" applyBorder="true" applyNumberFormat="true" numFmtId="165" fillId="22" applyFill="true">
      <alignment horizontal="center" vertical="center"/>
    </xf>
    <xf fontId="12570" applyFont="true" borderId="8" applyBorder="true" applyNumberFormat="true" numFmtId="165" fillId="22" applyFill="true">
      <alignment horizontal="center" vertical="center"/>
    </xf>
    <xf fontId="12571" applyFont="true" borderId="8" applyBorder="true" applyNumberFormat="true" numFmtId="1" fillId="22" applyFill="true">
      <alignment horizontal="center" vertical="center"/>
    </xf>
    <xf fontId="12572" applyFont="true" borderId="8" applyBorder="true" applyNumberFormat="true" numFmtId="1" fillId="22" applyFill="true">
      <alignment horizontal="center" vertical="center"/>
    </xf>
    <xf fontId="12573" applyFont="true" borderId="8" applyBorder="true" applyNumberFormat="true" numFmtId="1" fillId="22" applyFill="true">
      <alignment horizontal="center" vertical="center"/>
    </xf>
    <xf fontId="12574" applyFont="true" borderId="8" applyBorder="true" applyNumberFormat="true" numFmtId="167" fillId="22" applyFill="true">
      <alignment horizontal="center" vertical="center"/>
    </xf>
    <xf fontId="12575" applyFont="true" borderId="8" applyBorder="true" applyNumberFormat="true" numFmtId="1" fillId="22" applyFill="true">
      <alignment horizontal="center" vertical="center"/>
    </xf>
    <xf fontId="12576" applyFont="true" borderId="8" applyBorder="true" applyNumberFormat="true" numFmtId="167" fillId="22" applyFill="true">
      <alignment horizontal="center" vertical="center"/>
    </xf>
    <xf fontId="12577" applyFont="true" borderId="8" applyBorder="true" applyNumberFormat="true" numFmtId="1" fillId="22" applyFill="true">
      <alignment horizontal="center" vertical="center"/>
    </xf>
    <xf fontId="12578" applyFont="true" borderId="8" applyBorder="true" applyNumberFormat="true" numFmtId="167" fillId="22" applyFill="true">
      <alignment horizontal="center" vertical="center"/>
    </xf>
    <xf fontId="12579" applyFont="true" borderId="8" applyBorder="true" applyNumberFormat="true" numFmtId="1" fillId="22" applyFill="true">
      <alignment horizontal="center" vertical="center"/>
    </xf>
    <xf fontId="12580" applyFont="true" borderId="8" applyBorder="true" applyNumberFormat="true" numFmtId="167" fillId="22" applyFill="true">
      <alignment horizontal="center" vertical="center"/>
    </xf>
    <xf fontId="12581" applyFont="true" borderId="8" applyBorder="true" applyNumberFormat="true" numFmtId="167" fillId="22" applyFill="true">
      <alignment horizontal="center" vertical="center"/>
    </xf>
    <xf fontId="12582" applyFont="true" borderId="8" applyBorder="true" applyNumberFormat="true" numFmtId="1" fillId="22" applyFill="true">
      <alignment horizontal="center" vertical="center"/>
    </xf>
    <xf fontId="12583" applyFont="true" borderId="8" applyBorder="true" applyNumberFormat="true" numFmtId="1" fillId="22" applyFill="true">
      <alignment horizontal="center" vertical="center"/>
    </xf>
    <xf fontId="12584" applyFont="true" borderId="8" applyBorder="true" applyNumberFormat="true" numFmtId="1" fillId="22" applyFill="true">
      <alignment horizontal="center" vertical="center"/>
    </xf>
    <xf fontId="12585" applyFont="true" borderId="8" applyBorder="true" applyNumberFormat="true" numFmtId="167" fillId="22" applyFill="true">
      <alignment horizontal="center" vertical="center"/>
    </xf>
    <xf fontId="12586" applyFont="true" borderId="8" applyBorder="true" applyNumberFormat="true" numFmtId="166" fillId="22" applyFill="true">
      <alignment horizontal="center" vertical="center"/>
    </xf>
    <xf fontId="12587" applyFont="true" borderId="8" applyBorder="true" applyNumberFormat="true" numFmtId="166" fillId="22" applyFill="true">
      <alignment horizontal="center" vertical="center"/>
    </xf>
    <xf fontId="12588" applyFont="true" borderId="8" applyBorder="true" applyNumberFormat="true" numFmtId="1" fillId="22" applyFill="true">
      <alignment horizontal="center" vertical="center"/>
    </xf>
    <xf fontId="12589" applyFont="true" borderId="8" applyBorder="true" applyNumberFormat="true" numFmtId="1" fillId="22" applyFill="true">
      <alignment horizontal="center" vertical="center"/>
    </xf>
    <xf fontId="12590" applyFont="true" borderId="8" applyBorder="true" applyNumberFormat="true" numFmtId="1" fillId="22" applyFill="true">
      <alignment horizontal="center" vertical="center"/>
    </xf>
    <xf fontId="12591" applyFont="true" borderId="8" applyBorder="true" applyNumberFormat="true" numFmtId="167" fillId="22" applyFill="true">
      <alignment horizontal="center" vertical="center"/>
    </xf>
    <xf fontId="12592" applyFont="true" borderId="8" applyBorder="true" applyNumberFormat="true" numFmtId="1" fillId="22" applyFill="true">
      <alignment horizontal="center" vertical="center"/>
    </xf>
    <xf fontId="12593" applyFont="true" borderId="8" applyBorder="true" applyNumberFormat="true" numFmtId="167" fillId="22" applyFill="true">
      <alignment horizontal="center" vertical="center"/>
    </xf>
    <xf fontId="12594" applyFont="true" borderId="8" applyBorder="true" applyNumberFormat="true" numFmtId="1" fillId="22" applyFill="true">
      <alignment horizontal="center" vertical="center"/>
    </xf>
    <xf fontId="12595" applyFont="true" borderId="8" applyBorder="true" applyNumberFormat="true" numFmtId="1" fillId="22" applyFill="true">
      <alignment horizontal="center" vertical="center"/>
    </xf>
    <xf fontId="12596" applyFont="true" borderId="8" applyBorder="true" applyNumberFormat="true" numFmtId="1" fillId="22" applyFill="true">
      <alignment horizontal="center" vertical="center"/>
    </xf>
    <xf fontId="12597" applyFont="true" borderId="8" applyBorder="true" applyNumberFormat="true" numFmtId="1" fillId="22" applyFill="true">
      <alignment horizontal="center" vertical="center"/>
    </xf>
    <xf fontId="12598" applyFont="true" borderId="8" applyBorder="true" applyNumberFormat="true" numFmtId="167" fillId="22" applyFill="true">
      <alignment horizontal="center" vertical="center"/>
    </xf>
    <xf fontId="12599" applyFont="true" borderId="8" applyBorder="true" applyNumberFormat="true" numFmtId="1" fillId="22" applyFill="true">
      <alignment horizontal="center" vertical="center"/>
    </xf>
    <xf fontId="12600" applyFont="true" borderId="8" applyBorder="true" applyNumberFormat="true" numFmtId="167" fillId="22" applyFill="true">
      <alignment horizontal="center" vertical="center"/>
    </xf>
    <xf fontId="12601" applyFont="true" borderId="8" applyBorder="true" applyNumberFormat="true" numFmtId="1" fillId="22" applyFill="true">
      <alignment horizontal="center" vertical="center"/>
    </xf>
    <xf fontId="12602" applyFont="true" borderId="8" applyBorder="true" applyNumberFormat="true" numFmtId="167" fillId="22" applyFill="true">
      <alignment horizontal="center" vertical="center"/>
    </xf>
    <xf fontId="12603" applyFont="true" borderId="8" applyBorder="true" applyNumberFormat="true" numFmtId="2" fillId="22" applyFill="true">
      <alignment horizontal="center" vertical="center"/>
    </xf>
    <xf fontId="12604" applyFont="true" borderId="8" applyBorder="true" applyNumberFormat="true" numFmtId="2" fillId="22" applyFill="true">
      <alignment horizontal="center" vertical="center"/>
    </xf>
    <xf fontId="12605" applyFont="true" borderId="8" applyBorder="true" applyNumberFormat="true" numFmtId="2" fillId="22" applyFill="true">
      <alignment horizontal="center" vertical="center"/>
    </xf>
    <xf fontId="12606" applyFont="true" borderId="8" applyBorder="true" applyNumberFormat="true" numFmtId="2" fillId="22" applyFill="true">
      <alignment horizontal="center" vertical="center"/>
    </xf>
    <xf fontId="12607" applyFont="true" borderId="8" applyBorder="true" applyNumberFormat="true" numFmtId="2" fillId="22" applyFill="true">
      <alignment horizontal="center" vertical="center"/>
    </xf>
    <xf fontId="12608" applyFont="true" borderId="8" applyBorder="true" applyNumberFormat="true" numFmtId="2" fillId="22" applyFill="true">
      <alignment horizontal="center" vertical="center"/>
    </xf>
    <xf fontId="12609" applyFont="true" borderId="8" applyBorder="true" applyNumberFormat="true" numFmtId="2" fillId="22" applyFill="true">
      <alignment horizontal="center" vertical="center"/>
    </xf>
    <xf fontId="12610" applyFont="true" borderId="8" applyBorder="true" applyNumberFormat="true" numFmtId="2" fillId="22" applyFill="true">
      <alignment horizontal="center" vertical="center"/>
    </xf>
    <xf fontId="12611" applyFont="true" borderId="8" applyBorder="true" applyNumberFormat="true" numFmtId="2" fillId="22" applyFill="true">
      <alignment horizontal="center" vertical="center"/>
    </xf>
    <xf fontId="12612" applyFont="true" borderId="8" applyBorder="true" applyNumberFormat="true" numFmtId="2" fillId="22" applyFill="true">
      <alignment horizontal="center" vertical="center"/>
    </xf>
    <xf fontId="12613" applyFont="true" borderId="8" applyBorder="true" applyNumberFormat="true" numFmtId="2" fillId="22" applyFill="true">
      <alignment horizontal="center" vertical="center"/>
    </xf>
    <xf fontId="12614" applyFont="true" borderId="8" applyBorder="true" applyNumberFormat="true" numFmtId="2" fillId="22" applyFill="true">
      <alignment horizontal="center" vertical="center"/>
    </xf>
    <xf fontId="12615" applyFont="true" borderId="8" applyBorder="true" applyNumberFormat="true" numFmtId="2" fillId="22" applyFill="true">
      <alignment horizontal="center" vertical="center"/>
    </xf>
    <xf fontId="12616" applyFont="true" borderId="8" applyBorder="true" applyNumberFormat="true" numFmtId="2" fillId="22" applyFill="true">
      <alignment horizontal="center" vertical="center"/>
    </xf>
    <xf fontId="12617" applyFont="true" borderId="8" applyBorder="true" applyNumberFormat="true" numFmtId="2" fillId="22" applyFill="true">
      <alignment horizontal="center" vertical="center"/>
    </xf>
    <xf fontId="12618" applyFont="true" borderId="8" applyBorder="true" applyNumberFormat="true" numFmtId="2" fillId="22" applyFill="true">
      <alignment horizontal="center" vertical="center"/>
    </xf>
    <xf fontId="12619" applyFont="true" borderId="8" applyBorder="true" applyNumberFormat="true" numFmtId="2" fillId="22" applyFill="true">
      <alignment horizontal="center" vertical="center"/>
    </xf>
    <xf fontId="12620" applyFont="true" borderId="8" applyBorder="true" applyNumberFormat="true" numFmtId="2" fillId="22" applyFill="true">
      <alignment horizontal="center" vertical="center"/>
    </xf>
    <xf fontId="12621" applyFont="true" borderId="8" applyBorder="true" applyNumberFormat="true" numFmtId="2" fillId="22" applyFill="true">
      <alignment horizontal="center" vertical="center"/>
    </xf>
    <xf fontId="12622" applyFont="true" borderId="8" applyBorder="true" applyNumberFormat="true" numFmtId="2" fillId="22" applyFill="true">
      <alignment horizontal="center" vertical="center"/>
    </xf>
    <xf fontId="12623" applyFont="true" borderId="8" applyBorder="true" applyNumberFormat="true" numFmtId="2" fillId="22" applyFill="true">
      <alignment horizontal="center" vertical="center"/>
    </xf>
    <xf fontId="12624" applyFont="true" borderId="8" applyBorder="true" applyNumberFormat="true" numFmtId="2" fillId="22" applyFill="true">
      <alignment horizontal="center" vertical="center"/>
    </xf>
    <xf fontId="12625" applyFont="true" borderId="8" applyBorder="true" applyNumberFormat="true" numFmtId="2" fillId="22" applyFill="true">
      <alignment horizontal="center" vertical="center"/>
    </xf>
    <xf fontId="12626" applyFont="true" borderId="8" applyBorder="true" applyNumberFormat="true" numFmtId="2" fillId="22" applyFill="true">
      <alignment horizontal="center" vertical="center"/>
    </xf>
    <xf fontId="12627" applyFont="true" borderId="8" applyBorder="true" applyNumberFormat="true" numFmtId="2" fillId="22" applyFill="true">
      <alignment horizontal="center" vertical="center"/>
    </xf>
    <xf fontId="12628" applyFont="true" borderId="8" applyBorder="true" applyNumberFormat="true" numFmtId="2" fillId="22" applyFill="true">
      <alignment horizontal="center" vertical="center"/>
    </xf>
    <xf fontId="12629" applyFont="true" borderId="8" applyBorder="true" applyNumberFormat="true" numFmtId="2" fillId="22" applyFill="true">
      <alignment horizontal="center" vertical="center"/>
    </xf>
    <xf fontId="12630" applyFont="true" borderId="8" applyBorder="true" applyNumberFormat="true" numFmtId="2" fillId="22" applyFill="true">
      <alignment horizontal="center" vertical="center"/>
    </xf>
    <xf fontId="12631" applyFont="true" borderId="8" applyBorder="true" applyNumberFormat="true" numFmtId="2" fillId="22" applyFill="true">
      <alignment horizontal="center" vertical="center"/>
    </xf>
    <xf fontId="12632" applyFont="true" borderId="8" applyBorder="true" applyNumberFormat="true" numFmtId="2" fillId="22" applyFill="true">
      <alignment horizontal="center" vertical="center"/>
    </xf>
    <xf fontId="12633" applyFont="true" borderId="8" applyBorder="true" applyNumberFormat="true" numFmtId="2" fillId="22" applyFill="true">
      <alignment horizontal="center" vertical="center"/>
    </xf>
    <xf fontId="12634" applyFont="true" borderId="8" applyBorder="true" applyNumberFormat="true" numFmtId="2" fillId="22" applyFill="true">
      <alignment horizontal="center" vertical="center"/>
    </xf>
    <xf fontId="12635" applyFont="true" borderId="8" applyBorder="true" applyNumberFormat="true" numFmtId="2" fillId="22" applyFill="true">
      <alignment horizontal="center" vertical="center"/>
    </xf>
    <xf fontId="12636" applyFont="true" borderId="8" applyBorder="true" applyNumberFormat="true" numFmtId="2" fillId="22" applyFill="true">
      <alignment horizontal="center" vertical="center"/>
    </xf>
    <xf fontId="12637" applyFont="true" borderId="8" applyBorder="true" applyNumberFormat="true" numFmtId="165" fillId="19" applyFill="true">
      <alignment horizontal="left" vertical="center"/>
    </xf>
    <xf fontId="12638" applyFont="true" borderId="8" applyBorder="true" applyNumberFormat="true" numFmtId="165" fillId="22" applyFill="true">
      <alignment horizontal="center" vertical="center"/>
    </xf>
    <xf fontId="12639" applyFont="true" borderId="8" applyBorder="true" applyNumberFormat="true" numFmtId="166" fillId="22" applyFill="true">
      <alignment horizontal="center" vertical="center"/>
    </xf>
    <xf fontId="12640" applyFont="true" borderId="8" applyBorder="true" applyNumberFormat="true" numFmtId="1" fillId="22" applyFill="true">
      <alignment horizontal="center" vertical="center"/>
    </xf>
    <xf fontId="12641" applyFont="true" borderId="8" applyBorder="true" applyNumberFormat="true" numFmtId="1" fillId="22" applyFill="true">
      <alignment horizontal="center" vertical="center"/>
    </xf>
    <xf fontId="12642" applyFont="true" borderId="8" applyBorder="true" applyNumberFormat="true" numFmtId="1" fillId="22" applyFill="true">
      <alignment horizontal="center" vertical="center"/>
    </xf>
    <xf fontId="12643" applyFont="true" borderId="8" applyBorder="true" applyNumberFormat="true" numFmtId="1" fillId="22" applyFill="true">
      <alignment horizontal="center" vertical="center"/>
    </xf>
    <xf fontId="12644" applyFont="true" borderId="8" applyBorder="true" applyNumberFormat="true" numFmtId="1" fillId="22" applyFill="true">
      <alignment horizontal="center" vertical="center"/>
    </xf>
    <xf fontId="12645" applyFont="true" borderId="8" applyBorder="true" applyNumberFormat="true" numFmtId="1" fillId="22" applyFill="true">
      <alignment horizontal="center" vertical="center"/>
    </xf>
    <xf fontId="12646" applyFont="true" borderId="8" applyBorder="true" applyNumberFormat="true" numFmtId="1" fillId="22" applyFill="true">
      <alignment horizontal="center" vertical="center"/>
    </xf>
    <xf fontId="12647" applyFont="true" borderId="8" applyBorder="true" applyNumberFormat="true" numFmtId="165" fillId="22" applyFill="true">
      <alignment horizontal="center" vertical="center"/>
    </xf>
    <xf fontId="12648" applyFont="true" borderId="8" applyBorder="true" applyNumberFormat="true" numFmtId="165" fillId="22" applyFill="true">
      <alignment horizontal="center" vertical="center"/>
    </xf>
    <xf fontId="12649" applyFont="true" borderId="8" applyBorder="true" applyNumberFormat="true" numFmtId="1" fillId="22" applyFill="true">
      <alignment horizontal="center" vertical="center"/>
    </xf>
    <xf fontId="12650" applyFont="true" borderId="8" applyBorder="true" applyNumberFormat="true" numFmtId="1" fillId="22" applyFill="true">
      <alignment horizontal="center" vertical="center"/>
    </xf>
    <xf fontId="12651" applyFont="true" borderId="8" applyBorder="true" applyNumberFormat="true" numFmtId="1" fillId="22" applyFill="true">
      <alignment horizontal="center" vertical="center"/>
    </xf>
    <xf fontId="12652" applyFont="true" borderId="8" applyBorder="true" applyNumberFormat="true" numFmtId="167" fillId="22" applyFill="true">
      <alignment horizontal="center" vertical="center"/>
    </xf>
    <xf fontId="12653" applyFont="true" borderId="8" applyBorder="true" applyNumberFormat="true" numFmtId="1" fillId="22" applyFill="true">
      <alignment horizontal="center" vertical="center"/>
    </xf>
    <xf fontId="12654" applyFont="true" borderId="8" applyBorder="true" applyNumberFormat="true" numFmtId="167" fillId="22" applyFill="true">
      <alignment horizontal="center" vertical="center"/>
    </xf>
    <xf fontId="12655" applyFont="true" borderId="8" applyBorder="true" applyNumberFormat="true" numFmtId="1" fillId="22" applyFill="true">
      <alignment horizontal="center" vertical="center"/>
    </xf>
    <xf fontId="12656" applyFont="true" borderId="8" applyBorder="true" applyNumberFormat="true" numFmtId="167" fillId="22" applyFill="true">
      <alignment horizontal="center" vertical="center"/>
    </xf>
    <xf fontId="12657" applyFont="true" borderId="8" applyBorder="true" applyNumberFormat="true" numFmtId="1" fillId="22" applyFill="true">
      <alignment horizontal="center" vertical="center"/>
    </xf>
    <xf fontId="12658" applyFont="true" borderId="8" applyBorder="true" applyNumberFormat="true" numFmtId="167" fillId="22" applyFill="true">
      <alignment horizontal="center" vertical="center"/>
    </xf>
    <xf fontId="12659" applyFont="true" borderId="8" applyBorder="true" applyNumberFormat="true" numFmtId="167" fillId="22" applyFill="true">
      <alignment horizontal="center" vertical="center"/>
    </xf>
    <xf fontId="12660" applyFont="true" borderId="8" applyBorder="true" applyNumberFormat="true" numFmtId="1" fillId="22" applyFill="true">
      <alignment horizontal="center" vertical="center"/>
    </xf>
    <xf fontId="12661" applyFont="true" borderId="8" applyBorder="true" applyNumberFormat="true" numFmtId="1" fillId="22" applyFill="true">
      <alignment horizontal="center" vertical="center"/>
    </xf>
    <xf fontId="12662" applyFont="true" borderId="8" applyBorder="true" applyNumberFormat="true" numFmtId="1" fillId="22" applyFill="true">
      <alignment horizontal="center" vertical="center"/>
    </xf>
    <xf fontId="12663" applyFont="true" borderId="8" applyBorder="true" applyNumberFormat="true" numFmtId="167" fillId="22" applyFill="true">
      <alignment horizontal="center" vertical="center"/>
    </xf>
    <xf fontId="12664" applyFont="true" borderId="8" applyBorder="true" applyNumberFormat="true" numFmtId="166" fillId="22" applyFill="true">
      <alignment horizontal="center" vertical="center"/>
    </xf>
    <xf fontId="12665" applyFont="true" borderId="8" applyBorder="true" applyNumberFormat="true" numFmtId="166" fillId="22" applyFill="true">
      <alignment horizontal="center" vertical="center"/>
    </xf>
    <xf fontId="12666" applyFont="true" borderId="8" applyBorder="true" applyNumberFormat="true" numFmtId="1" fillId="22" applyFill="true">
      <alignment horizontal="center" vertical="center"/>
    </xf>
    <xf fontId="12667" applyFont="true" borderId="8" applyBorder="true" applyNumberFormat="true" numFmtId="1" fillId="22" applyFill="true">
      <alignment horizontal="center" vertical="center"/>
    </xf>
    <xf fontId="12668" applyFont="true" borderId="8" applyBorder="true" applyNumberFormat="true" numFmtId="1" fillId="22" applyFill="true">
      <alignment horizontal="center" vertical="center"/>
    </xf>
    <xf fontId="12669" applyFont="true" borderId="8" applyBorder="true" applyNumberFormat="true" numFmtId="167" fillId="22" applyFill="true">
      <alignment horizontal="center" vertical="center"/>
    </xf>
    <xf fontId="12670" applyFont="true" borderId="8" applyBorder="true" applyNumberFormat="true" numFmtId="1" fillId="22" applyFill="true">
      <alignment horizontal="center" vertical="center"/>
    </xf>
    <xf fontId="12671" applyFont="true" borderId="8" applyBorder="true" applyNumberFormat="true" numFmtId="167" fillId="22" applyFill="true">
      <alignment horizontal="center" vertical="center"/>
    </xf>
    <xf fontId="12672" applyFont="true" borderId="8" applyBorder="true" applyNumberFormat="true" numFmtId="1" fillId="22" applyFill="true">
      <alignment horizontal="center" vertical="center"/>
    </xf>
    <xf fontId="12673" applyFont="true" borderId="8" applyBorder="true" applyNumberFormat="true" numFmtId="1" fillId="22" applyFill="true">
      <alignment horizontal="center" vertical="center"/>
    </xf>
    <xf fontId="12674" applyFont="true" borderId="8" applyBorder="true" applyNumberFormat="true" numFmtId="1" fillId="22" applyFill="true">
      <alignment horizontal="center" vertical="center"/>
    </xf>
    <xf fontId="12675" applyFont="true" borderId="8" applyBorder="true" applyNumberFormat="true" numFmtId="1" fillId="22" applyFill="true">
      <alignment horizontal="center" vertical="center"/>
    </xf>
    <xf fontId="12676" applyFont="true" borderId="8" applyBorder="true" applyNumberFormat="true" numFmtId="167" fillId="22" applyFill="true">
      <alignment horizontal="center" vertical="center"/>
    </xf>
    <xf fontId="12677" applyFont="true" borderId="8" applyBorder="true" applyNumberFormat="true" numFmtId="1" fillId="22" applyFill="true">
      <alignment horizontal="center" vertical="center"/>
    </xf>
    <xf fontId="12678" applyFont="true" borderId="8" applyBorder="true" applyNumberFormat="true" numFmtId="167" fillId="22" applyFill="true">
      <alignment horizontal="center" vertical="center"/>
    </xf>
    <xf fontId="12679" applyFont="true" borderId="8" applyBorder="true" applyNumberFormat="true" numFmtId="1" fillId="22" applyFill="true">
      <alignment horizontal="center" vertical="center"/>
    </xf>
    <xf fontId="12680" applyFont="true" borderId="8" applyBorder="true" applyNumberFormat="true" numFmtId="167" fillId="22" applyFill="true">
      <alignment horizontal="center" vertical="center"/>
    </xf>
    <xf fontId="12681" applyFont="true" borderId="8" applyBorder="true" applyNumberFormat="true" numFmtId="2" fillId="22" applyFill="true">
      <alignment horizontal="center" vertical="center"/>
    </xf>
    <xf fontId="12682" applyFont="true" borderId="8" applyBorder="true" applyNumberFormat="true" numFmtId="2" fillId="22" applyFill="true">
      <alignment horizontal="center" vertical="center"/>
    </xf>
    <xf fontId="12683" applyFont="true" borderId="8" applyBorder="true" applyNumberFormat="true" numFmtId="2" fillId="22" applyFill="true">
      <alignment horizontal="center" vertical="center"/>
    </xf>
    <xf fontId="12684" applyFont="true" borderId="8" applyBorder="true" applyNumberFormat="true" numFmtId="2" fillId="22" applyFill="true">
      <alignment horizontal="center" vertical="center"/>
    </xf>
    <xf fontId="12685" applyFont="true" borderId="8" applyBorder="true" applyNumberFormat="true" numFmtId="2" fillId="22" applyFill="true">
      <alignment horizontal="center" vertical="center"/>
    </xf>
    <xf fontId="12686" applyFont="true" borderId="8" applyBorder="true" applyNumberFormat="true" numFmtId="2" fillId="22" applyFill="true">
      <alignment horizontal="center" vertical="center"/>
    </xf>
    <xf fontId="12687" applyFont="true" borderId="8" applyBorder="true" applyNumberFormat="true" numFmtId="2" fillId="22" applyFill="true">
      <alignment horizontal="center" vertical="center"/>
    </xf>
    <xf fontId="12688" applyFont="true" borderId="8" applyBorder="true" applyNumberFormat="true" numFmtId="2" fillId="22" applyFill="true">
      <alignment horizontal="center" vertical="center"/>
    </xf>
    <xf fontId="12689" applyFont="true" borderId="8" applyBorder="true" applyNumberFormat="true" numFmtId="2" fillId="22" applyFill="true">
      <alignment horizontal="center" vertical="center"/>
    </xf>
    <xf fontId="12690" applyFont="true" borderId="8" applyBorder="true" applyNumberFormat="true" numFmtId="2" fillId="22" applyFill="true">
      <alignment horizontal="center" vertical="center"/>
    </xf>
    <xf fontId="12691" applyFont="true" borderId="8" applyBorder="true" applyNumberFormat="true" numFmtId="2" fillId="22" applyFill="true">
      <alignment horizontal="center" vertical="center"/>
    </xf>
    <xf fontId="12692" applyFont="true" borderId="8" applyBorder="true" applyNumberFormat="true" numFmtId="2" fillId="22" applyFill="true">
      <alignment horizontal="center" vertical="center"/>
    </xf>
    <xf fontId="12693" applyFont="true" borderId="8" applyBorder="true" applyNumberFormat="true" numFmtId="2" fillId="22" applyFill="true">
      <alignment horizontal="center" vertical="center"/>
    </xf>
    <xf fontId="12694" applyFont="true" borderId="8" applyBorder="true" applyNumberFormat="true" numFmtId="2" fillId="22" applyFill="true">
      <alignment horizontal="center" vertical="center"/>
    </xf>
    <xf fontId="12695" applyFont="true" borderId="8" applyBorder="true" applyNumberFormat="true" numFmtId="2" fillId="22" applyFill="true">
      <alignment horizontal="center" vertical="center"/>
    </xf>
    <xf fontId="12696" applyFont="true" borderId="8" applyBorder="true" applyNumberFormat="true" numFmtId="2" fillId="22" applyFill="true">
      <alignment horizontal="center" vertical="center"/>
    </xf>
    <xf fontId="12697" applyFont="true" borderId="8" applyBorder="true" applyNumberFormat="true" numFmtId="2" fillId="22" applyFill="true">
      <alignment horizontal="center" vertical="center"/>
    </xf>
    <xf fontId="12698" applyFont="true" borderId="8" applyBorder="true" applyNumberFormat="true" numFmtId="2" fillId="22" applyFill="true">
      <alignment horizontal="center" vertical="center"/>
    </xf>
    <xf fontId="12699" applyFont="true" borderId="8" applyBorder="true" applyNumberFormat="true" numFmtId="2" fillId="22" applyFill="true">
      <alignment horizontal="center" vertical="center"/>
    </xf>
    <xf fontId="12700" applyFont="true" borderId="8" applyBorder="true" applyNumberFormat="true" numFmtId="2" fillId="22" applyFill="true">
      <alignment horizontal="center" vertical="center"/>
    </xf>
    <xf fontId="12701" applyFont="true" borderId="8" applyBorder="true" applyNumberFormat="true" numFmtId="2" fillId="22" applyFill="true">
      <alignment horizontal="center" vertical="center"/>
    </xf>
    <xf fontId="12702" applyFont="true" borderId="8" applyBorder="true" applyNumberFormat="true" numFmtId="2" fillId="22" applyFill="true">
      <alignment horizontal="center" vertical="center"/>
    </xf>
    <xf fontId="12703" applyFont="true" borderId="8" applyBorder="true" applyNumberFormat="true" numFmtId="2" fillId="22" applyFill="true">
      <alignment horizontal="center" vertical="center"/>
    </xf>
    <xf fontId="12704" applyFont="true" borderId="8" applyBorder="true" applyNumberFormat="true" numFmtId="2" fillId="22" applyFill="true">
      <alignment horizontal="center" vertical="center"/>
    </xf>
    <xf fontId="12705" applyFont="true" borderId="8" applyBorder="true" applyNumberFormat="true" numFmtId="2" fillId="22" applyFill="true">
      <alignment horizontal="center" vertical="center"/>
    </xf>
    <xf fontId="12706" applyFont="true" borderId="8" applyBorder="true" applyNumberFormat="true" numFmtId="2" fillId="22" applyFill="true">
      <alignment horizontal="center" vertical="center"/>
    </xf>
    <xf fontId="12707" applyFont="true" borderId="8" applyBorder="true" applyNumberFormat="true" numFmtId="2" fillId="22" applyFill="true">
      <alignment horizontal="center" vertical="center"/>
    </xf>
    <xf fontId="12708" applyFont="true" borderId="8" applyBorder="true" applyNumberFormat="true" numFmtId="2" fillId="22" applyFill="true">
      <alignment horizontal="center" vertical="center"/>
    </xf>
    <xf fontId="12709" applyFont="true" borderId="8" applyBorder="true" applyNumberFormat="true" numFmtId="2" fillId="22" applyFill="true">
      <alignment horizontal="center" vertical="center"/>
    </xf>
    <xf fontId="12710" applyFont="true" borderId="8" applyBorder="true" applyNumberFormat="true" numFmtId="2" fillId="22" applyFill="true">
      <alignment horizontal="center" vertical="center"/>
    </xf>
    <xf fontId="12711" applyFont="true" borderId="8" applyBorder="true" applyNumberFormat="true" numFmtId="2" fillId="22" applyFill="true">
      <alignment horizontal="center" vertical="center"/>
    </xf>
    <xf fontId="12712" applyFont="true" borderId="8" applyBorder="true" applyNumberFormat="true" numFmtId="2" fillId="22" applyFill="true">
      <alignment horizontal="center" vertical="center"/>
    </xf>
    <xf fontId="12713" applyFont="true" borderId="8" applyBorder="true" applyNumberFormat="true" numFmtId="2" fillId="22" applyFill="true">
      <alignment horizontal="center" vertical="center"/>
    </xf>
    <xf fontId="12714" applyFont="true" borderId="8" applyBorder="true" applyNumberFormat="true" numFmtId="2" fillId="22" applyFill="true">
      <alignment horizontal="center" vertical="center"/>
    </xf>
    <xf fontId="12715" applyFont="true" borderId="8" applyBorder="true" applyNumberFormat="true" numFmtId="165" fillId="19" applyFill="true">
      <alignment horizontal="left" vertical="center"/>
    </xf>
    <xf fontId="12716" applyFont="true" borderId="8" applyBorder="true" applyNumberFormat="true" numFmtId="165" fillId="22" applyFill="true">
      <alignment horizontal="center" vertical="center"/>
    </xf>
    <xf fontId="12717" applyFont="true" borderId="8" applyBorder="true" applyNumberFormat="true" numFmtId="166" fillId="22" applyFill="true">
      <alignment horizontal="center" vertical="center"/>
    </xf>
    <xf fontId="12718" applyFont="true" borderId="8" applyBorder="true" applyNumberFormat="true" numFmtId="1" fillId="22" applyFill="true">
      <alignment horizontal="center" vertical="center"/>
    </xf>
    <xf fontId="12719" applyFont="true" borderId="8" applyBorder="true" applyNumberFormat="true" numFmtId="1" fillId="22" applyFill="true">
      <alignment horizontal="center" vertical="center"/>
    </xf>
    <xf fontId="12720" applyFont="true" borderId="8" applyBorder="true" applyNumberFormat="true" numFmtId="1" fillId="22" applyFill="true">
      <alignment horizontal="center" vertical="center"/>
    </xf>
    <xf fontId="12721" applyFont="true" borderId="8" applyBorder="true" applyNumberFormat="true" numFmtId="1" fillId="22" applyFill="true">
      <alignment horizontal="center" vertical="center"/>
    </xf>
    <xf fontId="12722" applyFont="true" borderId="8" applyBorder="true" applyNumberFormat="true" numFmtId="1" fillId="22" applyFill="true">
      <alignment horizontal="center" vertical="center"/>
    </xf>
    <xf fontId="12723" applyFont="true" borderId="8" applyBorder="true" applyNumberFormat="true" numFmtId="1" fillId="22" applyFill="true">
      <alignment horizontal="center" vertical="center"/>
    </xf>
    <xf fontId="12724" applyFont="true" borderId="8" applyBorder="true" applyNumberFormat="true" numFmtId="1" fillId="22" applyFill="true">
      <alignment horizontal="center" vertical="center"/>
    </xf>
    <xf fontId="12725" applyFont="true" borderId="8" applyBorder="true" applyNumberFormat="true" numFmtId="165" fillId="22" applyFill="true">
      <alignment horizontal="center" vertical="center"/>
    </xf>
    <xf fontId="12726" applyFont="true" borderId="8" applyBorder="true" applyNumberFormat="true" numFmtId="165" fillId="22" applyFill="true">
      <alignment horizontal="center" vertical="center"/>
    </xf>
    <xf fontId="12727" applyFont="true" borderId="8" applyBorder="true" applyNumberFormat="true" numFmtId="1" fillId="22" applyFill="true">
      <alignment horizontal="center" vertical="center"/>
    </xf>
    <xf fontId="12728" applyFont="true" borderId="8" applyBorder="true" applyNumberFormat="true" numFmtId="1" fillId="22" applyFill="true">
      <alignment horizontal="center" vertical="center"/>
    </xf>
    <xf fontId="12729" applyFont="true" borderId="8" applyBorder="true" applyNumberFormat="true" numFmtId="1" fillId="22" applyFill="true">
      <alignment horizontal="center" vertical="center"/>
    </xf>
    <xf fontId="12730" applyFont="true" borderId="8" applyBorder="true" applyNumberFormat="true" numFmtId="167" fillId="22" applyFill="true">
      <alignment horizontal="center" vertical="center"/>
    </xf>
    <xf fontId="12731" applyFont="true" borderId="8" applyBorder="true" applyNumberFormat="true" numFmtId="1" fillId="22" applyFill="true">
      <alignment horizontal="center" vertical="center"/>
    </xf>
    <xf fontId="12732" applyFont="true" borderId="8" applyBorder="true" applyNumberFormat="true" numFmtId="167" fillId="22" applyFill="true">
      <alignment horizontal="center" vertical="center"/>
    </xf>
    <xf fontId="12733" applyFont="true" borderId="8" applyBorder="true" applyNumberFormat="true" numFmtId="1" fillId="22" applyFill="true">
      <alignment horizontal="center" vertical="center"/>
    </xf>
    <xf fontId="12734" applyFont="true" borderId="8" applyBorder="true" applyNumberFormat="true" numFmtId="167" fillId="22" applyFill="true">
      <alignment horizontal="center" vertical="center"/>
    </xf>
    <xf fontId="12735" applyFont="true" borderId="8" applyBorder="true" applyNumberFormat="true" numFmtId="1" fillId="22" applyFill="true">
      <alignment horizontal="center" vertical="center"/>
    </xf>
    <xf fontId="12736" applyFont="true" borderId="8" applyBorder="true" applyNumberFormat="true" numFmtId="167" fillId="22" applyFill="true">
      <alignment horizontal="center" vertical="center"/>
    </xf>
    <xf fontId="12737" applyFont="true" borderId="8" applyBorder="true" applyNumberFormat="true" numFmtId="167" fillId="22" applyFill="true">
      <alignment horizontal="center" vertical="center"/>
    </xf>
    <xf fontId="12738" applyFont="true" borderId="8" applyBorder="true" applyNumberFormat="true" numFmtId="1" fillId="22" applyFill="true">
      <alignment horizontal="center" vertical="center"/>
    </xf>
    <xf fontId="12739" applyFont="true" borderId="8" applyBorder="true" applyNumberFormat="true" numFmtId="1" fillId="22" applyFill="true">
      <alignment horizontal="center" vertical="center"/>
    </xf>
    <xf fontId="12740" applyFont="true" borderId="8" applyBorder="true" applyNumberFormat="true" numFmtId="1" fillId="22" applyFill="true">
      <alignment horizontal="center" vertical="center"/>
    </xf>
    <xf fontId="12741" applyFont="true" borderId="8" applyBorder="true" applyNumberFormat="true" numFmtId="167" fillId="22" applyFill="true">
      <alignment horizontal="center" vertical="center"/>
    </xf>
    <xf fontId="12742" applyFont="true" borderId="8" applyBorder="true" applyNumberFormat="true" numFmtId="166" fillId="22" applyFill="true">
      <alignment horizontal="center" vertical="center"/>
    </xf>
    <xf fontId="12743" applyFont="true" borderId="8" applyBorder="true" applyNumberFormat="true" numFmtId="166" fillId="22" applyFill="true">
      <alignment horizontal="center" vertical="center"/>
    </xf>
    <xf fontId="12744" applyFont="true" borderId="8" applyBorder="true" applyNumberFormat="true" numFmtId="1" fillId="22" applyFill="true">
      <alignment horizontal="center" vertical="center"/>
    </xf>
    <xf fontId="12745" applyFont="true" borderId="8" applyBorder="true" applyNumberFormat="true" numFmtId="1" fillId="22" applyFill="true">
      <alignment horizontal="center" vertical="center"/>
    </xf>
    <xf fontId="12746" applyFont="true" borderId="8" applyBorder="true" applyNumberFormat="true" numFmtId="1" fillId="22" applyFill="true">
      <alignment horizontal="center" vertical="center"/>
    </xf>
    <xf fontId="12747" applyFont="true" borderId="8" applyBorder="true" applyNumberFormat="true" numFmtId="167" fillId="22" applyFill="true">
      <alignment horizontal="center" vertical="center"/>
    </xf>
    <xf fontId="12748" applyFont="true" borderId="8" applyBorder="true" applyNumberFormat="true" numFmtId="1" fillId="22" applyFill="true">
      <alignment horizontal="center" vertical="center"/>
    </xf>
    <xf fontId="12749" applyFont="true" borderId="8" applyBorder="true" applyNumberFormat="true" numFmtId="167" fillId="22" applyFill="true">
      <alignment horizontal="center" vertical="center"/>
    </xf>
    <xf fontId="12750" applyFont="true" borderId="8" applyBorder="true" applyNumberFormat="true" numFmtId="1" fillId="22" applyFill="true">
      <alignment horizontal="center" vertical="center"/>
    </xf>
    <xf fontId="12751" applyFont="true" borderId="8" applyBorder="true" applyNumberFormat="true" numFmtId="1" fillId="22" applyFill="true">
      <alignment horizontal="center" vertical="center"/>
    </xf>
    <xf fontId="12752" applyFont="true" borderId="8" applyBorder="true" applyNumberFormat="true" numFmtId="1" fillId="22" applyFill="true">
      <alignment horizontal="center" vertical="center"/>
    </xf>
    <xf fontId="12753" applyFont="true" borderId="8" applyBorder="true" applyNumberFormat="true" numFmtId="1" fillId="22" applyFill="true">
      <alignment horizontal="center" vertical="center"/>
    </xf>
    <xf fontId="12754" applyFont="true" borderId="8" applyBorder="true" applyNumberFormat="true" numFmtId="167" fillId="22" applyFill="true">
      <alignment horizontal="center" vertical="center"/>
    </xf>
    <xf fontId="12755" applyFont="true" borderId="8" applyBorder="true" applyNumberFormat="true" numFmtId="1" fillId="22" applyFill="true">
      <alignment horizontal="center" vertical="center"/>
    </xf>
    <xf fontId="12756" applyFont="true" borderId="8" applyBorder="true" applyNumberFormat="true" numFmtId="167" fillId="22" applyFill="true">
      <alignment horizontal="center" vertical="center"/>
    </xf>
    <xf fontId="12757" applyFont="true" borderId="8" applyBorder="true" applyNumberFormat="true" numFmtId="1" fillId="22" applyFill="true">
      <alignment horizontal="center" vertical="center"/>
    </xf>
    <xf fontId="12758" applyFont="true" borderId="8" applyBorder="true" applyNumberFormat="true" numFmtId="167" fillId="22" applyFill="true">
      <alignment horizontal="center" vertical="center"/>
    </xf>
    <xf fontId="12759" applyFont="true" borderId="8" applyBorder="true" applyNumberFormat="true" numFmtId="2" fillId="22" applyFill="true">
      <alignment horizontal="center" vertical="center"/>
    </xf>
    <xf fontId="12760" applyFont="true" borderId="8" applyBorder="true" applyNumberFormat="true" numFmtId="2" fillId="22" applyFill="true">
      <alignment horizontal="center" vertical="center"/>
    </xf>
    <xf fontId="12761" applyFont="true" borderId="8" applyBorder="true" applyNumberFormat="true" numFmtId="2" fillId="22" applyFill="true">
      <alignment horizontal="center" vertical="center"/>
    </xf>
    <xf fontId="12762" applyFont="true" borderId="8" applyBorder="true" applyNumberFormat="true" numFmtId="2" fillId="22" applyFill="true">
      <alignment horizontal="center" vertical="center"/>
    </xf>
    <xf fontId="12763" applyFont="true" borderId="8" applyBorder="true" applyNumberFormat="true" numFmtId="2" fillId="22" applyFill="true">
      <alignment horizontal="center" vertical="center"/>
    </xf>
    <xf fontId="12764" applyFont="true" borderId="8" applyBorder="true" applyNumberFormat="true" numFmtId="2" fillId="22" applyFill="true">
      <alignment horizontal="center" vertical="center"/>
    </xf>
    <xf fontId="12765" applyFont="true" borderId="8" applyBorder="true" applyNumberFormat="true" numFmtId="2" fillId="22" applyFill="true">
      <alignment horizontal="center" vertical="center"/>
    </xf>
    <xf fontId="12766" applyFont="true" borderId="8" applyBorder="true" applyNumberFormat="true" numFmtId="2" fillId="22" applyFill="true">
      <alignment horizontal="center" vertical="center"/>
    </xf>
    <xf fontId="12767" applyFont="true" borderId="8" applyBorder="true" applyNumberFormat="true" numFmtId="2" fillId="22" applyFill="true">
      <alignment horizontal="center" vertical="center"/>
    </xf>
    <xf fontId="12768" applyFont="true" borderId="8" applyBorder="true" applyNumberFormat="true" numFmtId="2" fillId="22" applyFill="true">
      <alignment horizontal="center" vertical="center"/>
    </xf>
    <xf fontId="12769" applyFont="true" borderId="8" applyBorder="true" applyNumberFormat="true" numFmtId="2" fillId="22" applyFill="true">
      <alignment horizontal="center" vertical="center"/>
    </xf>
    <xf fontId="12770" applyFont="true" borderId="8" applyBorder="true" applyNumberFormat="true" numFmtId="2" fillId="22" applyFill="true">
      <alignment horizontal="center" vertical="center"/>
    </xf>
    <xf fontId="12771" applyFont="true" borderId="8" applyBorder="true" applyNumberFormat="true" numFmtId="2" fillId="22" applyFill="true">
      <alignment horizontal="center" vertical="center"/>
    </xf>
    <xf fontId="12772" applyFont="true" borderId="8" applyBorder="true" applyNumberFormat="true" numFmtId="2" fillId="22" applyFill="true">
      <alignment horizontal="center" vertical="center"/>
    </xf>
    <xf fontId="12773" applyFont="true" borderId="8" applyBorder="true" applyNumberFormat="true" numFmtId="2" fillId="22" applyFill="true">
      <alignment horizontal="center" vertical="center"/>
    </xf>
    <xf fontId="12774" applyFont="true" borderId="8" applyBorder="true" applyNumberFormat="true" numFmtId="2" fillId="22" applyFill="true">
      <alignment horizontal="center" vertical="center"/>
    </xf>
    <xf fontId="12775" applyFont="true" borderId="8" applyBorder="true" applyNumberFormat="true" numFmtId="2" fillId="22" applyFill="true">
      <alignment horizontal="center" vertical="center"/>
    </xf>
    <xf fontId="12776" applyFont="true" borderId="8" applyBorder="true" applyNumberFormat="true" numFmtId="2" fillId="22" applyFill="true">
      <alignment horizontal="center" vertical="center"/>
    </xf>
    <xf fontId="12777" applyFont="true" borderId="8" applyBorder="true" applyNumberFormat="true" numFmtId="2" fillId="22" applyFill="true">
      <alignment horizontal="center" vertical="center"/>
    </xf>
    <xf fontId="12778" applyFont="true" borderId="8" applyBorder="true" applyNumberFormat="true" numFmtId="2" fillId="22" applyFill="true">
      <alignment horizontal="center" vertical="center"/>
    </xf>
    <xf fontId="12779" applyFont="true" borderId="8" applyBorder="true" applyNumberFormat="true" numFmtId="2" fillId="22" applyFill="true">
      <alignment horizontal="center" vertical="center"/>
    </xf>
    <xf fontId="12780" applyFont="true" borderId="8" applyBorder="true" applyNumberFormat="true" numFmtId="2" fillId="22" applyFill="true">
      <alignment horizontal="center" vertical="center"/>
    </xf>
    <xf fontId="12781" applyFont="true" borderId="8" applyBorder="true" applyNumberFormat="true" numFmtId="2" fillId="22" applyFill="true">
      <alignment horizontal="center" vertical="center"/>
    </xf>
    <xf fontId="12782" applyFont="true" borderId="8" applyBorder="true" applyNumberFormat="true" numFmtId="2" fillId="22" applyFill="true">
      <alignment horizontal="center" vertical="center"/>
    </xf>
    <xf fontId="12783" applyFont="true" borderId="8" applyBorder="true" applyNumberFormat="true" numFmtId="2" fillId="22" applyFill="true">
      <alignment horizontal="center" vertical="center"/>
    </xf>
    <xf fontId="12784" applyFont="true" borderId="8" applyBorder="true" applyNumberFormat="true" numFmtId="2" fillId="22" applyFill="true">
      <alignment horizontal="center" vertical="center"/>
    </xf>
    <xf fontId="12785" applyFont="true" borderId="8" applyBorder="true" applyNumberFormat="true" numFmtId="2" fillId="22" applyFill="true">
      <alignment horizontal="center" vertical="center"/>
    </xf>
    <xf fontId="12786" applyFont="true" borderId="8" applyBorder="true" applyNumberFormat="true" numFmtId="2" fillId="22" applyFill="true">
      <alignment horizontal="center" vertical="center"/>
    </xf>
    <xf fontId="12787" applyFont="true" borderId="8" applyBorder="true" applyNumberFormat="true" numFmtId="2" fillId="22" applyFill="true">
      <alignment horizontal="center" vertical="center"/>
    </xf>
    <xf fontId="12788" applyFont="true" borderId="8" applyBorder="true" applyNumberFormat="true" numFmtId="2" fillId="22" applyFill="true">
      <alignment horizontal="center" vertical="center"/>
    </xf>
    <xf fontId="12789" applyFont="true" borderId="8" applyBorder="true" applyNumberFormat="true" numFmtId="2" fillId="22" applyFill="true">
      <alignment horizontal="center" vertical="center"/>
    </xf>
    <xf fontId="12790" applyFont="true" borderId="8" applyBorder="true" applyNumberFormat="true" numFmtId="2" fillId="22" applyFill="true">
      <alignment horizontal="center" vertical="center"/>
    </xf>
    <xf fontId="12791" applyFont="true" borderId="8" applyBorder="true" applyNumberFormat="true" numFmtId="2" fillId="22" applyFill="true">
      <alignment horizontal="center" vertical="center"/>
    </xf>
    <xf fontId="12792" applyFont="true" borderId="8" applyBorder="true" applyNumberFormat="true" numFmtId="2" fillId="22" applyFill="true">
      <alignment horizontal="center" vertical="center"/>
    </xf>
    <xf fontId="12793" applyFont="true" borderId="8" applyBorder="true" applyNumberFormat="true" numFmtId="165" fillId="19" applyFill="true">
      <alignment horizontal="left" vertical="center"/>
    </xf>
    <xf fontId="12794" applyFont="true" borderId="8" applyBorder="true" applyNumberFormat="true" numFmtId="165" fillId="22" applyFill="true">
      <alignment horizontal="center" vertical="center"/>
    </xf>
    <xf fontId="12795" applyFont="true" borderId="8" applyBorder="true" applyNumberFormat="true" numFmtId="166" fillId="22" applyFill="true">
      <alignment horizontal="center" vertical="center"/>
    </xf>
    <xf fontId="12796" applyFont="true" borderId="8" applyBorder="true" applyNumberFormat="true" numFmtId="1" fillId="22" applyFill="true">
      <alignment horizontal="center" vertical="center"/>
    </xf>
    <xf fontId="12797" applyFont="true" borderId="8" applyBorder="true" applyNumberFormat="true" numFmtId="1" fillId="22" applyFill="true">
      <alignment horizontal="center" vertical="center"/>
    </xf>
    <xf fontId="12798" applyFont="true" borderId="8" applyBorder="true" applyNumberFormat="true" numFmtId="1" fillId="22" applyFill="true">
      <alignment horizontal="center" vertical="center"/>
    </xf>
    <xf fontId="12799" applyFont="true" borderId="8" applyBorder="true" applyNumberFormat="true" numFmtId="1" fillId="22" applyFill="true">
      <alignment horizontal="center" vertical="center"/>
    </xf>
    <xf fontId="12800" applyFont="true" borderId="8" applyBorder="true" applyNumberFormat="true" numFmtId="1" fillId="22" applyFill="true">
      <alignment horizontal="center" vertical="center"/>
    </xf>
    <xf fontId="12801" applyFont="true" borderId="8" applyBorder="true" applyNumberFormat="true" numFmtId="1" fillId="22" applyFill="true">
      <alignment horizontal="center" vertical="center"/>
    </xf>
    <xf fontId="12802" applyFont="true" borderId="8" applyBorder="true" applyNumberFormat="true" numFmtId="1" fillId="22" applyFill="true">
      <alignment horizontal="center" vertical="center"/>
    </xf>
    <xf fontId="12803" applyFont="true" borderId="8" applyBorder="true" applyNumberFormat="true" numFmtId="165" fillId="22" applyFill="true">
      <alignment horizontal="center" vertical="center"/>
    </xf>
    <xf fontId="12804" applyFont="true" borderId="8" applyBorder="true" applyNumberFormat="true" numFmtId="165" fillId="22" applyFill="true">
      <alignment horizontal="center" vertical="center"/>
    </xf>
    <xf fontId="12805" applyFont="true" borderId="8" applyBorder="true" applyNumberFormat="true" numFmtId="1" fillId="22" applyFill="true">
      <alignment horizontal="center" vertical="center"/>
    </xf>
    <xf fontId="12806" applyFont="true" borderId="8" applyBorder="true" applyNumberFormat="true" numFmtId="1" fillId="22" applyFill="true">
      <alignment horizontal="center" vertical="center"/>
    </xf>
    <xf fontId="12807" applyFont="true" borderId="8" applyBorder="true" applyNumberFormat="true" numFmtId="1" fillId="22" applyFill="true">
      <alignment horizontal="center" vertical="center"/>
    </xf>
    <xf fontId="12808" applyFont="true" borderId="8" applyBorder="true" applyNumberFormat="true" numFmtId="167" fillId="22" applyFill="true">
      <alignment horizontal="center" vertical="center"/>
    </xf>
    <xf fontId="12809" applyFont="true" borderId="8" applyBorder="true" applyNumberFormat="true" numFmtId="1" fillId="22" applyFill="true">
      <alignment horizontal="center" vertical="center"/>
    </xf>
    <xf fontId="12810" applyFont="true" borderId="8" applyBorder="true" applyNumberFormat="true" numFmtId="167" fillId="22" applyFill="true">
      <alignment horizontal="center" vertical="center"/>
    </xf>
    <xf fontId="12811" applyFont="true" borderId="8" applyBorder="true" applyNumberFormat="true" numFmtId="1" fillId="22" applyFill="true">
      <alignment horizontal="center" vertical="center"/>
    </xf>
    <xf fontId="12812" applyFont="true" borderId="8" applyBorder="true" applyNumberFormat="true" numFmtId="167" fillId="22" applyFill="true">
      <alignment horizontal="center" vertical="center"/>
    </xf>
    <xf fontId="12813" applyFont="true" borderId="8" applyBorder="true" applyNumberFormat="true" numFmtId="1" fillId="22" applyFill="true">
      <alignment horizontal="center" vertical="center"/>
    </xf>
    <xf fontId="12814" applyFont="true" borderId="8" applyBorder="true" applyNumberFormat="true" numFmtId="167" fillId="22" applyFill="true">
      <alignment horizontal="center" vertical="center"/>
    </xf>
    <xf fontId="12815" applyFont="true" borderId="8" applyBorder="true" applyNumberFormat="true" numFmtId="167" fillId="22" applyFill="true">
      <alignment horizontal="center" vertical="center"/>
    </xf>
    <xf fontId="12816" applyFont="true" borderId="8" applyBorder="true" applyNumberFormat="true" numFmtId="1" fillId="22" applyFill="true">
      <alignment horizontal="center" vertical="center"/>
    </xf>
    <xf fontId="12817" applyFont="true" borderId="8" applyBorder="true" applyNumberFormat="true" numFmtId="1" fillId="22" applyFill="true">
      <alignment horizontal="center" vertical="center"/>
    </xf>
    <xf fontId="12818" applyFont="true" borderId="8" applyBorder="true" applyNumberFormat="true" numFmtId="1" fillId="22" applyFill="true">
      <alignment horizontal="center" vertical="center"/>
    </xf>
    <xf fontId="12819" applyFont="true" borderId="8" applyBorder="true" applyNumberFormat="true" numFmtId="167" fillId="22" applyFill="true">
      <alignment horizontal="center" vertical="center"/>
    </xf>
    <xf fontId="12820" applyFont="true" borderId="8" applyBorder="true" applyNumberFormat="true" numFmtId="166" fillId="22" applyFill="true">
      <alignment horizontal="center" vertical="center"/>
    </xf>
    <xf fontId="12821" applyFont="true" borderId="8" applyBorder="true" applyNumberFormat="true" numFmtId="166" fillId="22" applyFill="true">
      <alignment horizontal="center" vertical="center"/>
    </xf>
    <xf fontId="12822" applyFont="true" borderId="8" applyBorder="true" applyNumberFormat="true" numFmtId="1" fillId="22" applyFill="true">
      <alignment horizontal="center" vertical="center"/>
    </xf>
    <xf fontId="12823" applyFont="true" borderId="8" applyBorder="true" applyNumberFormat="true" numFmtId="1" fillId="22" applyFill="true">
      <alignment horizontal="center" vertical="center"/>
    </xf>
    <xf fontId="12824" applyFont="true" borderId="8" applyBorder="true" applyNumberFormat="true" numFmtId="1" fillId="22" applyFill="true">
      <alignment horizontal="center" vertical="center"/>
    </xf>
    <xf fontId="12825" applyFont="true" borderId="8" applyBorder="true" applyNumberFormat="true" numFmtId="167" fillId="22" applyFill="true">
      <alignment horizontal="center" vertical="center"/>
    </xf>
    <xf fontId="12826" applyFont="true" borderId="8" applyBorder="true" applyNumberFormat="true" numFmtId="1" fillId="22" applyFill="true">
      <alignment horizontal="center" vertical="center"/>
    </xf>
    <xf fontId="12827" applyFont="true" borderId="8" applyBorder="true" applyNumberFormat="true" numFmtId="167" fillId="22" applyFill="true">
      <alignment horizontal="center" vertical="center"/>
    </xf>
    <xf fontId="12828" applyFont="true" borderId="8" applyBorder="true" applyNumberFormat="true" numFmtId="1" fillId="22" applyFill="true">
      <alignment horizontal="center" vertical="center"/>
    </xf>
    <xf fontId="12829" applyFont="true" borderId="8" applyBorder="true" applyNumberFormat="true" numFmtId="1" fillId="22" applyFill="true">
      <alignment horizontal="center" vertical="center"/>
    </xf>
    <xf fontId="12830" applyFont="true" borderId="8" applyBorder="true" applyNumberFormat="true" numFmtId="1" fillId="22" applyFill="true">
      <alignment horizontal="center" vertical="center"/>
    </xf>
    <xf fontId="12831" applyFont="true" borderId="8" applyBorder="true" applyNumberFormat="true" numFmtId="1" fillId="22" applyFill="true">
      <alignment horizontal="center" vertical="center"/>
    </xf>
    <xf fontId="12832" applyFont="true" borderId="8" applyBorder="true" applyNumberFormat="true" numFmtId="167" fillId="22" applyFill="true">
      <alignment horizontal="center" vertical="center"/>
    </xf>
    <xf fontId="12833" applyFont="true" borderId="8" applyBorder="true" applyNumberFormat="true" numFmtId="1" fillId="22" applyFill="true">
      <alignment horizontal="center" vertical="center"/>
    </xf>
    <xf fontId="12834" applyFont="true" borderId="8" applyBorder="true" applyNumberFormat="true" numFmtId="167" fillId="22" applyFill="true">
      <alignment horizontal="center" vertical="center"/>
    </xf>
    <xf fontId="12835" applyFont="true" borderId="8" applyBorder="true" applyNumberFormat="true" numFmtId="1" fillId="22" applyFill="true">
      <alignment horizontal="center" vertical="center"/>
    </xf>
    <xf fontId="12836" applyFont="true" borderId="8" applyBorder="true" applyNumberFormat="true" numFmtId="167" fillId="22" applyFill="true">
      <alignment horizontal="center" vertical="center"/>
    </xf>
    <xf fontId="12837" applyFont="true" borderId="8" applyBorder="true" applyNumberFormat="true" numFmtId="2" fillId="22" applyFill="true">
      <alignment horizontal="center" vertical="center"/>
    </xf>
    <xf fontId="12838" applyFont="true" borderId="8" applyBorder="true" applyNumberFormat="true" numFmtId="2" fillId="22" applyFill="true">
      <alignment horizontal="center" vertical="center"/>
    </xf>
    <xf fontId="12839" applyFont="true" borderId="8" applyBorder="true" applyNumberFormat="true" numFmtId="2" fillId="22" applyFill="true">
      <alignment horizontal="center" vertical="center"/>
    </xf>
    <xf fontId="12840" applyFont="true" borderId="8" applyBorder="true" applyNumberFormat="true" numFmtId="2" fillId="22" applyFill="true">
      <alignment horizontal="center" vertical="center"/>
    </xf>
    <xf fontId="12841" applyFont="true" borderId="8" applyBorder="true" applyNumberFormat="true" numFmtId="2" fillId="22" applyFill="true">
      <alignment horizontal="center" vertical="center"/>
    </xf>
    <xf fontId="12842" applyFont="true" borderId="8" applyBorder="true" applyNumberFormat="true" numFmtId="2" fillId="22" applyFill="true">
      <alignment horizontal="center" vertical="center"/>
    </xf>
    <xf fontId="12843" applyFont="true" borderId="8" applyBorder="true" applyNumberFormat="true" numFmtId="2" fillId="22" applyFill="true">
      <alignment horizontal="center" vertical="center"/>
    </xf>
    <xf fontId="12844" applyFont="true" borderId="8" applyBorder="true" applyNumberFormat="true" numFmtId="2" fillId="22" applyFill="true">
      <alignment horizontal="center" vertical="center"/>
    </xf>
    <xf fontId="12845" applyFont="true" borderId="8" applyBorder="true" applyNumberFormat="true" numFmtId="2" fillId="22" applyFill="true">
      <alignment horizontal="center" vertical="center"/>
    </xf>
    <xf fontId="12846" applyFont="true" borderId="8" applyBorder="true" applyNumberFormat="true" numFmtId="2" fillId="22" applyFill="true">
      <alignment horizontal="center" vertical="center"/>
    </xf>
    <xf fontId="12847" applyFont="true" borderId="8" applyBorder="true" applyNumberFormat="true" numFmtId="2" fillId="22" applyFill="true">
      <alignment horizontal="center" vertical="center"/>
    </xf>
    <xf fontId="12848" applyFont="true" borderId="8" applyBorder="true" applyNumberFormat="true" numFmtId="2" fillId="22" applyFill="true">
      <alignment horizontal="center" vertical="center"/>
    </xf>
    <xf fontId="12849" applyFont="true" borderId="8" applyBorder="true" applyNumberFormat="true" numFmtId="2" fillId="22" applyFill="true">
      <alignment horizontal="center" vertical="center"/>
    </xf>
    <xf fontId="12850" applyFont="true" borderId="8" applyBorder="true" applyNumberFormat="true" numFmtId="2" fillId="22" applyFill="true">
      <alignment horizontal="center" vertical="center"/>
    </xf>
    <xf fontId="12851" applyFont="true" borderId="8" applyBorder="true" applyNumberFormat="true" numFmtId="2" fillId="22" applyFill="true">
      <alignment horizontal="center" vertical="center"/>
    </xf>
    <xf fontId="12852" applyFont="true" borderId="8" applyBorder="true" applyNumberFormat="true" numFmtId="2" fillId="22" applyFill="true">
      <alignment horizontal="center" vertical="center"/>
    </xf>
    <xf fontId="12853" applyFont="true" borderId="8" applyBorder="true" applyNumberFormat="true" numFmtId="2" fillId="22" applyFill="true">
      <alignment horizontal="center" vertical="center"/>
    </xf>
    <xf fontId="12854" applyFont="true" borderId="8" applyBorder="true" applyNumberFormat="true" numFmtId="2" fillId="22" applyFill="true">
      <alignment horizontal="center" vertical="center"/>
    </xf>
    <xf fontId="12855" applyFont="true" borderId="8" applyBorder="true" applyNumberFormat="true" numFmtId="2" fillId="22" applyFill="true">
      <alignment horizontal="center" vertical="center"/>
    </xf>
    <xf fontId="12856" applyFont="true" borderId="8" applyBorder="true" applyNumberFormat="true" numFmtId="2" fillId="22" applyFill="true">
      <alignment horizontal="center" vertical="center"/>
    </xf>
    <xf fontId="12857" applyFont="true" borderId="8" applyBorder="true" applyNumberFormat="true" numFmtId="2" fillId="22" applyFill="true">
      <alignment horizontal="center" vertical="center"/>
    </xf>
    <xf fontId="12858" applyFont="true" borderId="8" applyBorder="true" applyNumberFormat="true" numFmtId="2" fillId="22" applyFill="true">
      <alignment horizontal="center" vertical="center"/>
    </xf>
    <xf fontId="12859" applyFont="true" borderId="8" applyBorder="true" applyNumberFormat="true" numFmtId="2" fillId="22" applyFill="true">
      <alignment horizontal="center" vertical="center"/>
    </xf>
    <xf fontId="12860" applyFont="true" borderId="8" applyBorder="true" applyNumberFormat="true" numFmtId="2" fillId="22" applyFill="true">
      <alignment horizontal="center" vertical="center"/>
    </xf>
    <xf fontId="12861" applyFont="true" borderId="8" applyBorder="true" applyNumberFormat="true" numFmtId="2" fillId="22" applyFill="true">
      <alignment horizontal="center" vertical="center"/>
    </xf>
    <xf fontId="12862" applyFont="true" borderId="8" applyBorder="true" applyNumberFormat="true" numFmtId="2" fillId="22" applyFill="true">
      <alignment horizontal="center" vertical="center"/>
    </xf>
    <xf fontId="12863" applyFont="true" borderId="8" applyBorder="true" applyNumberFormat="true" numFmtId="2" fillId="22" applyFill="true">
      <alignment horizontal="center" vertical="center"/>
    </xf>
    <xf fontId="12864" applyFont="true" borderId="8" applyBorder="true" applyNumberFormat="true" numFmtId="2" fillId="22" applyFill="true">
      <alignment horizontal="center" vertical="center"/>
    </xf>
    <xf fontId="12865" applyFont="true" borderId="8" applyBorder="true" applyNumberFormat="true" numFmtId="2" fillId="22" applyFill="true">
      <alignment horizontal="center" vertical="center"/>
    </xf>
    <xf fontId="12866" applyFont="true" borderId="8" applyBorder="true" applyNumberFormat="true" numFmtId="2" fillId="22" applyFill="true">
      <alignment horizontal="center" vertical="center"/>
    </xf>
    <xf fontId="12867" applyFont="true" borderId="8" applyBorder="true" applyNumberFormat="true" numFmtId="2" fillId="22" applyFill="true">
      <alignment horizontal="center" vertical="center"/>
    </xf>
    <xf fontId="12868" applyFont="true" borderId="8" applyBorder="true" applyNumberFormat="true" numFmtId="2" fillId="22" applyFill="true">
      <alignment horizontal="center" vertical="center"/>
    </xf>
    <xf fontId="12869" applyFont="true" borderId="8" applyBorder="true" applyNumberFormat="true" numFmtId="2" fillId="22" applyFill="true">
      <alignment horizontal="center" vertical="center"/>
    </xf>
    <xf fontId="12870" applyFont="true" borderId="8" applyBorder="true" applyNumberFormat="true" numFmtId="2" fillId="22" applyFill="true">
      <alignment horizontal="center" vertical="center"/>
    </xf>
    <xf fontId="12871" applyFont="true" borderId="8" applyBorder="true" applyNumberFormat="true" numFmtId="165" fillId="19" applyFill="true">
      <alignment horizontal="left" vertical="center"/>
    </xf>
    <xf fontId="12872" applyFont="true" borderId="8" applyBorder="true" applyNumberFormat="true" numFmtId="165" fillId="22" applyFill="true">
      <alignment horizontal="center" vertical="center"/>
    </xf>
    <xf fontId="12873" applyFont="true" borderId="8" applyBorder="true" applyNumberFormat="true" numFmtId="166" fillId="22" applyFill="true">
      <alignment horizontal="center" vertical="center"/>
    </xf>
    <xf fontId="12874" applyFont="true" borderId="8" applyBorder="true" applyNumberFormat="true" numFmtId="1" fillId="22" applyFill="true">
      <alignment horizontal="center" vertical="center"/>
    </xf>
    <xf fontId="12875" applyFont="true" borderId="8" applyBorder="true" applyNumberFormat="true" numFmtId="1" fillId="22" applyFill="true">
      <alignment horizontal="center" vertical="center"/>
    </xf>
    <xf fontId="12876" applyFont="true" borderId="8" applyBorder="true" applyNumberFormat="true" numFmtId="1" fillId="22" applyFill="true">
      <alignment horizontal="center" vertical="center"/>
    </xf>
    <xf fontId="12877" applyFont="true" borderId="8" applyBorder="true" applyNumberFormat="true" numFmtId="1" fillId="22" applyFill="true">
      <alignment horizontal="center" vertical="center"/>
    </xf>
    <xf fontId="12878" applyFont="true" borderId="8" applyBorder="true" applyNumberFormat="true" numFmtId="1" fillId="22" applyFill="true">
      <alignment horizontal="center" vertical="center"/>
    </xf>
    <xf fontId="12879" applyFont="true" borderId="8" applyBorder="true" applyNumberFormat="true" numFmtId="1" fillId="22" applyFill="true">
      <alignment horizontal="center" vertical="center"/>
    </xf>
    <xf fontId="12880" applyFont="true" borderId="8" applyBorder="true" applyNumberFormat="true" numFmtId="1" fillId="22" applyFill="true">
      <alignment horizontal="center" vertical="center"/>
    </xf>
    <xf fontId="12881" applyFont="true" borderId="8" applyBorder="true" applyNumberFormat="true" numFmtId="165" fillId="22" applyFill="true">
      <alignment horizontal="center" vertical="center"/>
    </xf>
    <xf fontId="12882" applyFont="true" borderId="8" applyBorder="true" applyNumberFormat="true" numFmtId="165" fillId="22" applyFill="true">
      <alignment horizontal="center" vertical="center"/>
    </xf>
    <xf fontId="12883" applyFont="true" borderId="8" applyBorder="true" applyNumberFormat="true" numFmtId="1" fillId="22" applyFill="true">
      <alignment horizontal="center" vertical="center"/>
    </xf>
    <xf fontId="12884" applyFont="true" borderId="8" applyBorder="true" applyNumberFormat="true" numFmtId="1" fillId="22" applyFill="true">
      <alignment horizontal="center" vertical="center"/>
    </xf>
    <xf fontId="12885" applyFont="true" borderId="8" applyBorder="true" applyNumberFormat="true" numFmtId="1" fillId="22" applyFill="true">
      <alignment horizontal="center" vertical="center"/>
    </xf>
    <xf fontId="12886" applyFont="true" borderId="8" applyBorder="true" applyNumberFormat="true" numFmtId="167" fillId="22" applyFill="true">
      <alignment horizontal="center" vertical="center"/>
    </xf>
    <xf fontId="12887" applyFont="true" borderId="8" applyBorder="true" applyNumberFormat="true" numFmtId="1" fillId="22" applyFill="true">
      <alignment horizontal="center" vertical="center"/>
    </xf>
    <xf fontId="12888" applyFont="true" borderId="8" applyBorder="true" applyNumberFormat="true" numFmtId="167" fillId="22" applyFill="true">
      <alignment horizontal="center" vertical="center"/>
    </xf>
    <xf fontId="12889" applyFont="true" borderId="8" applyBorder="true" applyNumberFormat="true" numFmtId="1" fillId="22" applyFill="true">
      <alignment horizontal="center" vertical="center"/>
    </xf>
    <xf fontId="12890" applyFont="true" borderId="8" applyBorder="true" applyNumberFormat="true" numFmtId="167" fillId="22" applyFill="true">
      <alignment horizontal="center" vertical="center"/>
    </xf>
    <xf fontId="12891" applyFont="true" borderId="8" applyBorder="true" applyNumberFormat="true" numFmtId="1" fillId="22" applyFill="true">
      <alignment horizontal="center" vertical="center"/>
    </xf>
    <xf fontId="12892" applyFont="true" borderId="8" applyBorder="true" applyNumberFormat="true" numFmtId="167" fillId="22" applyFill="true">
      <alignment horizontal="center" vertical="center"/>
    </xf>
    <xf fontId="12893" applyFont="true" borderId="8" applyBorder="true" applyNumberFormat="true" numFmtId="167" fillId="22" applyFill="true">
      <alignment horizontal="center" vertical="center"/>
    </xf>
    <xf fontId="12894" applyFont="true" borderId="8" applyBorder="true" applyNumberFormat="true" numFmtId="1" fillId="22" applyFill="true">
      <alignment horizontal="center" vertical="center"/>
    </xf>
    <xf fontId="12895" applyFont="true" borderId="8" applyBorder="true" applyNumberFormat="true" numFmtId="1" fillId="22" applyFill="true">
      <alignment horizontal="center" vertical="center"/>
    </xf>
    <xf fontId="12896" applyFont="true" borderId="8" applyBorder="true" applyNumberFormat="true" numFmtId="1" fillId="22" applyFill="true">
      <alignment horizontal="center" vertical="center"/>
    </xf>
    <xf fontId="12897" applyFont="true" borderId="8" applyBorder="true" applyNumberFormat="true" numFmtId="167" fillId="22" applyFill="true">
      <alignment horizontal="center" vertical="center"/>
    </xf>
    <xf fontId="12898" applyFont="true" borderId="8" applyBorder="true" applyNumberFormat="true" numFmtId="166" fillId="22" applyFill="true">
      <alignment horizontal="center" vertical="center"/>
    </xf>
    <xf fontId="12899" applyFont="true" borderId="8" applyBorder="true" applyNumberFormat="true" numFmtId="166" fillId="22" applyFill="true">
      <alignment horizontal="center" vertical="center"/>
    </xf>
    <xf fontId="12900" applyFont="true" borderId="8" applyBorder="true" applyNumberFormat="true" numFmtId="1" fillId="22" applyFill="true">
      <alignment horizontal="center" vertical="center"/>
    </xf>
    <xf fontId="12901" applyFont="true" borderId="8" applyBorder="true" applyNumberFormat="true" numFmtId="1" fillId="22" applyFill="true">
      <alignment horizontal="center" vertical="center"/>
    </xf>
    <xf fontId="12902" applyFont="true" borderId="8" applyBorder="true" applyNumberFormat="true" numFmtId="1" fillId="22" applyFill="true">
      <alignment horizontal="center" vertical="center"/>
    </xf>
    <xf fontId="12903" applyFont="true" borderId="8" applyBorder="true" applyNumberFormat="true" numFmtId="167" fillId="22" applyFill="true">
      <alignment horizontal="center" vertical="center"/>
    </xf>
    <xf fontId="12904" applyFont="true" borderId="8" applyBorder="true" applyNumberFormat="true" numFmtId="1" fillId="22" applyFill="true">
      <alignment horizontal="center" vertical="center"/>
    </xf>
    <xf fontId="12905" applyFont="true" borderId="8" applyBorder="true" applyNumberFormat="true" numFmtId="167" fillId="22" applyFill="true">
      <alignment horizontal="center" vertical="center"/>
    </xf>
    <xf fontId="12906" applyFont="true" borderId="8" applyBorder="true" applyNumberFormat="true" numFmtId="1" fillId="22" applyFill="true">
      <alignment horizontal="center" vertical="center"/>
    </xf>
    <xf fontId="12907" applyFont="true" borderId="8" applyBorder="true" applyNumberFormat="true" numFmtId="1" fillId="22" applyFill="true">
      <alignment horizontal="center" vertical="center"/>
    </xf>
    <xf fontId="12908" applyFont="true" borderId="8" applyBorder="true" applyNumberFormat="true" numFmtId="1" fillId="22" applyFill="true">
      <alignment horizontal="center" vertical="center"/>
    </xf>
    <xf fontId="12909" applyFont="true" borderId="8" applyBorder="true" applyNumberFormat="true" numFmtId="1" fillId="22" applyFill="true">
      <alignment horizontal="center" vertical="center"/>
    </xf>
    <xf fontId="12910" applyFont="true" borderId="8" applyBorder="true" applyNumberFormat="true" numFmtId="167" fillId="22" applyFill="true">
      <alignment horizontal="center" vertical="center"/>
    </xf>
    <xf fontId="12911" applyFont="true" borderId="8" applyBorder="true" applyNumberFormat="true" numFmtId="1" fillId="22" applyFill="true">
      <alignment horizontal="center" vertical="center"/>
    </xf>
    <xf fontId="12912" applyFont="true" borderId="8" applyBorder="true" applyNumberFormat="true" numFmtId="167" fillId="22" applyFill="true">
      <alignment horizontal="center" vertical="center"/>
    </xf>
    <xf fontId="12913" applyFont="true" borderId="8" applyBorder="true" applyNumberFormat="true" numFmtId="1" fillId="22" applyFill="true">
      <alignment horizontal="center" vertical="center"/>
    </xf>
    <xf fontId="12914" applyFont="true" borderId="8" applyBorder="true" applyNumberFormat="true" numFmtId="167" fillId="22" applyFill="true">
      <alignment horizontal="center" vertical="center"/>
    </xf>
    <xf fontId="12915" applyFont="true" borderId="8" applyBorder="true" applyNumberFormat="true" numFmtId="2" fillId="22" applyFill="true">
      <alignment horizontal="center" vertical="center"/>
    </xf>
    <xf fontId="12916" applyFont="true" borderId="8" applyBorder="true" applyNumberFormat="true" numFmtId="2" fillId="22" applyFill="true">
      <alignment horizontal="center" vertical="center"/>
    </xf>
    <xf fontId="12917" applyFont="true" borderId="8" applyBorder="true" applyNumberFormat="true" numFmtId="2" fillId="22" applyFill="true">
      <alignment horizontal="center" vertical="center"/>
    </xf>
    <xf fontId="12918" applyFont="true" borderId="8" applyBorder="true" applyNumberFormat="true" numFmtId="2" fillId="22" applyFill="true">
      <alignment horizontal="center" vertical="center"/>
    </xf>
    <xf fontId="12919" applyFont="true" borderId="8" applyBorder="true" applyNumberFormat="true" numFmtId="2" fillId="22" applyFill="true">
      <alignment horizontal="center" vertical="center"/>
    </xf>
    <xf fontId="12920" applyFont="true" borderId="8" applyBorder="true" applyNumberFormat="true" numFmtId="2" fillId="22" applyFill="true">
      <alignment horizontal="center" vertical="center"/>
    </xf>
    <xf fontId="12921" applyFont="true" borderId="8" applyBorder="true" applyNumberFormat="true" numFmtId="2" fillId="22" applyFill="true">
      <alignment horizontal="center" vertical="center"/>
    </xf>
    <xf fontId="12922" applyFont="true" borderId="8" applyBorder="true" applyNumberFormat="true" numFmtId="2" fillId="22" applyFill="true">
      <alignment horizontal="center" vertical="center"/>
    </xf>
    <xf fontId="12923" applyFont="true" borderId="8" applyBorder="true" applyNumberFormat="true" numFmtId="2" fillId="22" applyFill="true">
      <alignment horizontal="center" vertical="center"/>
    </xf>
    <xf fontId="12924" applyFont="true" borderId="8" applyBorder="true" applyNumberFormat="true" numFmtId="2" fillId="22" applyFill="true">
      <alignment horizontal="center" vertical="center"/>
    </xf>
    <xf fontId="12925" applyFont="true" borderId="8" applyBorder="true" applyNumberFormat="true" numFmtId="2" fillId="22" applyFill="true">
      <alignment horizontal="center" vertical="center"/>
    </xf>
    <xf fontId="12926" applyFont="true" borderId="8" applyBorder="true" applyNumberFormat="true" numFmtId="2" fillId="22" applyFill="true">
      <alignment horizontal="center" vertical="center"/>
    </xf>
    <xf fontId="12927" applyFont="true" borderId="8" applyBorder="true" applyNumberFormat="true" numFmtId="2" fillId="22" applyFill="true">
      <alignment horizontal="center" vertical="center"/>
    </xf>
    <xf fontId="12928" applyFont="true" borderId="8" applyBorder="true" applyNumberFormat="true" numFmtId="2" fillId="22" applyFill="true">
      <alignment horizontal="center" vertical="center"/>
    </xf>
    <xf fontId="12929" applyFont="true" borderId="8" applyBorder="true" applyNumberFormat="true" numFmtId="2" fillId="22" applyFill="true">
      <alignment horizontal="center" vertical="center"/>
    </xf>
    <xf fontId="12930" applyFont="true" borderId="8" applyBorder="true" applyNumberFormat="true" numFmtId="2" fillId="22" applyFill="true">
      <alignment horizontal="center" vertical="center"/>
    </xf>
    <xf fontId="12931" applyFont="true" borderId="8" applyBorder="true" applyNumberFormat="true" numFmtId="2" fillId="22" applyFill="true">
      <alignment horizontal="center" vertical="center"/>
    </xf>
    <xf fontId="12932" applyFont="true" borderId="8" applyBorder="true" applyNumberFormat="true" numFmtId="2" fillId="22" applyFill="true">
      <alignment horizontal="center" vertical="center"/>
    </xf>
    <xf fontId="12933" applyFont="true" borderId="8" applyBorder="true" applyNumberFormat="true" numFmtId="2" fillId="22" applyFill="true">
      <alignment horizontal="center" vertical="center"/>
    </xf>
    <xf fontId="12934" applyFont="true" borderId="8" applyBorder="true" applyNumberFormat="true" numFmtId="2" fillId="22" applyFill="true">
      <alignment horizontal="center" vertical="center"/>
    </xf>
    <xf fontId="12935" applyFont="true" borderId="8" applyBorder="true" applyNumberFormat="true" numFmtId="2" fillId="22" applyFill="true">
      <alignment horizontal="center" vertical="center"/>
    </xf>
    <xf fontId="12936" applyFont="true" borderId="8" applyBorder="true" applyNumberFormat="true" numFmtId="2" fillId="22" applyFill="true">
      <alignment horizontal="center" vertical="center"/>
    </xf>
    <xf fontId="12937" applyFont="true" borderId="8" applyBorder="true" applyNumberFormat="true" numFmtId="2" fillId="22" applyFill="true">
      <alignment horizontal="center" vertical="center"/>
    </xf>
    <xf fontId="12938" applyFont="true" borderId="8" applyBorder="true" applyNumberFormat="true" numFmtId="2" fillId="22" applyFill="true">
      <alignment horizontal="center" vertical="center"/>
    </xf>
    <xf fontId="12939" applyFont="true" borderId="8" applyBorder="true" applyNumberFormat="true" numFmtId="2" fillId="22" applyFill="true">
      <alignment horizontal="center" vertical="center"/>
    </xf>
    <xf fontId="12940" applyFont="true" borderId="8" applyBorder="true" applyNumberFormat="true" numFmtId="2" fillId="22" applyFill="true">
      <alignment horizontal="center" vertical="center"/>
    </xf>
    <xf fontId="12941" applyFont="true" borderId="8" applyBorder="true" applyNumberFormat="true" numFmtId="2" fillId="22" applyFill="true">
      <alignment horizontal="center" vertical="center"/>
    </xf>
    <xf fontId="12942" applyFont="true" borderId="8" applyBorder="true" applyNumberFormat="true" numFmtId="2" fillId="22" applyFill="true">
      <alignment horizontal="center" vertical="center"/>
    </xf>
    <xf fontId="12943" applyFont="true" borderId="8" applyBorder="true" applyNumberFormat="true" numFmtId="2" fillId="22" applyFill="true">
      <alignment horizontal="center" vertical="center"/>
    </xf>
    <xf fontId="12944" applyFont="true" borderId="8" applyBorder="true" applyNumberFormat="true" numFmtId="2" fillId="22" applyFill="true">
      <alignment horizontal="center" vertical="center"/>
    </xf>
    <xf fontId="12945" applyFont="true" borderId="8" applyBorder="true" applyNumberFormat="true" numFmtId="2" fillId="22" applyFill="true">
      <alignment horizontal="center" vertical="center"/>
    </xf>
    <xf fontId="12946" applyFont="true" borderId="8" applyBorder="true" applyNumberFormat="true" numFmtId="2" fillId="22" applyFill="true">
      <alignment horizontal="center" vertical="center"/>
    </xf>
    <xf fontId="12947" applyFont="true" borderId="8" applyBorder="true" applyNumberFormat="true" numFmtId="2" fillId="22" applyFill="true">
      <alignment horizontal="center" vertical="center"/>
    </xf>
    <xf fontId="12948" applyFont="true" borderId="8" applyBorder="true" applyNumberFormat="true" numFmtId="2" fillId="22" applyFill="true">
      <alignment horizontal="center" vertical="center"/>
    </xf>
    <xf fontId="12949" applyFont="true" borderId="8" applyBorder="true" applyNumberFormat="true" numFmtId="165" fillId="19" applyFill="true">
      <alignment horizontal="left" vertical="center"/>
    </xf>
    <xf fontId="12950" applyFont="true" borderId="8" applyBorder="true" applyNumberFormat="true" numFmtId="165" fillId="22" applyFill="true">
      <alignment horizontal="center" vertical="center"/>
    </xf>
    <xf fontId="12951" applyFont="true" borderId="8" applyBorder="true" applyNumberFormat="true" numFmtId="166" fillId="22" applyFill="true">
      <alignment horizontal="center" vertical="center"/>
    </xf>
    <xf fontId="12952" applyFont="true" borderId="8" applyBorder="true" applyNumberFormat="true" numFmtId="1" fillId="22" applyFill="true">
      <alignment horizontal="center" vertical="center"/>
    </xf>
    <xf fontId="12953" applyFont="true" borderId="8" applyBorder="true" applyNumberFormat="true" numFmtId="1" fillId="22" applyFill="true">
      <alignment horizontal="center" vertical="center"/>
    </xf>
    <xf fontId="12954" applyFont="true" borderId="8" applyBorder="true" applyNumberFormat="true" numFmtId="1" fillId="22" applyFill="true">
      <alignment horizontal="center" vertical="center"/>
    </xf>
    <xf fontId="12955" applyFont="true" borderId="8" applyBorder="true" applyNumberFormat="true" numFmtId="1" fillId="22" applyFill="true">
      <alignment horizontal="center" vertical="center"/>
    </xf>
    <xf fontId="12956" applyFont="true" borderId="8" applyBorder="true" applyNumberFormat="true" numFmtId="1" fillId="22" applyFill="true">
      <alignment horizontal="center" vertical="center"/>
    </xf>
    <xf fontId="12957" applyFont="true" borderId="8" applyBorder="true" applyNumberFormat="true" numFmtId="1" fillId="22" applyFill="true">
      <alignment horizontal="center" vertical="center"/>
    </xf>
    <xf fontId="12958" applyFont="true" borderId="8" applyBorder="true" applyNumberFormat="true" numFmtId="1" fillId="22" applyFill="true">
      <alignment horizontal="center" vertical="center"/>
    </xf>
    <xf fontId="12959" applyFont="true" borderId="8" applyBorder="true" applyNumberFormat="true" numFmtId="165" fillId="22" applyFill="true">
      <alignment horizontal="center" vertical="center"/>
    </xf>
    <xf fontId="12960" applyFont="true" borderId="8" applyBorder="true" applyNumberFormat="true" numFmtId="165" fillId="22" applyFill="true">
      <alignment horizontal="center" vertical="center"/>
    </xf>
    <xf fontId="12961" applyFont="true" borderId="8" applyBorder="true" applyNumberFormat="true" numFmtId="1" fillId="22" applyFill="true">
      <alignment horizontal="center" vertical="center"/>
    </xf>
    <xf fontId="12962" applyFont="true" borderId="8" applyBorder="true" applyNumberFormat="true" numFmtId="1" fillId="22" applyFill="true">
      <alignment horizontal="center" vertical="center"/>
    </xf>
    <xf fontId="12963" applyFont="true" borderId="8" applyBorder="true" applyNumberFormat="true" numFmtId="1" fillId="22" applyFill="true">
      <alignment horizontal="center" vertical="center"/>
    </xf>
    <xf fontId="12964" applyFont="true" borderId="8" applyBorder="true" applyNumberFormat="true" numFmtId="167" fillId="22" applyFill="true">
      <alignment horizontal="center" vertical="center"/>
    </xf>
    <xf fontId="12965" applyFont="true" borderId="8" applyBorder="true" applyNumberFormat="true" numFmtId="1" fillId="22" applyFill="true">
      <alignment horizontal="center" vertical="center"/>
    </xf>
    <xf fontId="12966" applyFont="true" borderId="8" applyBorder="true" applyNumberFormat="true" numFmtId="167" fillId="22" applyFill="true">
      <alignment horizontal="center" vertical="center"/>
    </xf>
    <xf fontId="12967" applyFont="true" borderId="8" applyBorder="true" applyNumberFormat="true" numFmtId="1" fillId="22" applyFill="true">
      <alignment horizontal="center" vertical="center"/>
    </xf>
    <xf fontId="12968" applyFont="true" borderId="8" applyBorder="true" applyNumberFormat="true" numFmtId="167" fillId="22" applyFill="true">
      <alignment horizontal="center" vertical="center"/>
    </xf>
    <xf fontId="12969" applyFont="true" borderId="8" applyBorder="true" applyNumberFormat="true" numFmtId="1" fillId="22" applyFill="true">
      <alignment horizontal="center" vertical="center"/>
    </xf>
    <xf fontId="12970" applyFont="true" borderId="8" applyBorder="true" applyNumberFormat="true" numFmtId="167" fillId="22" applyFill="true">
      <alignment horizontal="center" vertical="center"/>
    </xf>
    <xf fontId="12971" applyFont="true" borderId="8" applyBorder="true" applyNumberFormat="true" numFmtId="167" fillId="22" applyFill="true">
      <alignment horizontal="center" vertical="center"/>
    </xf>
    <xf fontId="12972" applyFont="true" borderId="8" applyBorder="true" applyNumberFormat="true" numFmtId="1" fillId="22" applyFill="true">
      <alignment horizontal="center" vertical="center"/>
    </xf>
    <xf fontId="12973" applyFont="true" borderId="8" applyBorder="true" applyNumberFormat="true" numFmtId="1" fillId="22" applyFill="true">
      <alignment horizontal="center" vertical="center"/>
    </xf>
    <xf fontId="12974" applyFont="true" borderId="8" applyBorder="true" applyNumberFormat="true" numFmtId="1" fillId="22" applyFill="true">
      <alignment horizontal="center" vertical="center"/>
    </xf>
    <xf fontId="12975" applyFont="true" borderId="8" applyBorder="true" applyNumberFormat="true" numFmtId="167" fillId="22" applyFill="true">
      <alignment horizontal="center" vertical="center"/>
    </xf>
    <xf fontId="12976" applyFont="true" borderId="8" applyBorder="true" applyNumberFormat="true" numFmtId="166" fillId="22" applyFill="true">
      <alignment horizontal="center" vertical="center"/>
    </xf>
    <xf fontId="12977" applyFont="true" borderId="8" applyBorder="true" applyNumberFormat="true" numFmtId="166" fillId="22" applyFill="true">
      <alignment horizontal="center" vertical="center"/>
    </xf>
    <xf fontId="12978" applyFont="true" borderId="8" applyBorder="true" applyNumberFormat="true" numFmtId="1" fillId="22" applyFill="true">
      <alignment horizontal="center" vertical="center"/>
    </xf>
    <xf fontId="12979" applyFont="true" borderId="8" applyBorder="true" applyNumberFormat="true" numFmtId="1" fillId="22" applyFill="true">
      <alignment horizontal="center" vertical="center"/>
    </xf>
    <xf fontId="12980" applyFont="true" borderId="8" applyBorder="true" applyNumberFormat="true" numFmtId="1" fillId="22" applyFill="true">
      <alignment horizontal="center" vertical="center"/>
    </xf>
    <xf fontId="12981" applyFont="true" borderId="8" applyBorder="true" applyNumberFormat="true" numFmtId="167" fillId="22" applyFill="true">
      <alignment horizontal="center" vertical="center"/>
    </xf>
    <xf fontId="12982" applyFont="true" borderId="8" applyBorder="true" applyNumberFormat="true" numFmtId="1" fillId="22" applyFill="true">
      <alignment horizontal="center" vertical="center"/>
    </xf>
    <xf fontId="12983" applyFont="true" borderId="8" applyBorder="true" applyNumberFormat="true" numFmtId="167" fillId="22" applyFill="true">
      <alignment horizontal="center" vertical="center"/>
    </xf>
    <xf fontId="12984" applyFont="true" borderId="8" applyBorder="true" applyNumberFormat="true" numFmtId="1" fillId="22" applyFill="true">
      <alignment horizontal="center" vertical="center"/>
    </xf>
    <xf fontId="12985" applyFont="true" borderId="8" applyBorder="true" applyNumberFormat="true" numFmtId="1" fillId="22" applyFill="true">
      <alignment horizontal="center" vertical="center"/>
    </xf>
    <xf fontId="12986" applyFont="true" borderId="8" applyBorder="true" applyNumberFormat="true" numFmtId="1" fillId="22" applyFill="true">
      <alignment horizontal="center" vertical="center"/>
    </xf>
    <xf fontId="12987" applyFont="true" borderId="8" applyBorder="true" applyNumberFormat="true" numFmtId="1" fillId="22" applyFill="true">
      <alignment horizontal="center" vertical="center"/>
    </xf>
    <xf fontId="12988" applyFont="true" borderId="8" applyBorder="true" applyNumberFormat="true" numFmtId="167" fillId="22" applyFill="true">
      <alignment horizontal="center" vertical="center"/>
    </xf>
    <xf fontId="12989" applyFont="true" borderId="8" applyBorder="true" applyNumberFormat="true" numFmtId="1" fillId="22" applyFill="true">
      <alignment horizontal="center" vertical="center"/>
    </xf>
    <xf fontId="12990" applyFont="true" borderId="8" applyBorder="true" applyNumberFormat="true" numFmtId="167" fillId="22" applyFill="true">
      <alignment horizontal="center" vertical="center"/>
    </xf>
    <xf fontId="12991" applyFont="true" borderId="8" applyBorder="true" applyNumberFormat="true" numFmtId="1" fillId="22" applyFill="true">
      <alignment horizontal="center" vertical="center"/>
    </xf>
    <xf fontId="12992" applyFont="true" borderId="8" applyBorder="true" applyNumberFormat="true" numFmtId="167" fillId="22" applyFill="true">
      <alignment horizontal="center" vertical="center"/>
    </xf>
    <xf fontId="12993" applyFont="true" borderId="8" applyBorder="true" applyNumberFormat="true" numFmtId="2" fillId="22" applyFill="true">
      <alignment horizontal="center" vertical="center"/>
    </xf>
    <xf fontId="12994" applyFont="true" borderId="8" applyBorder="true" applyNumberFormat="true" numFmtId="2" fillId="22" applyFill="true">
      <alignment horizontal="center" vertical="center"/>
    </xf>
    <xf fontId="12995" applyFont="true" borderId="8" applyBorder="true" applyNumberFormat="true" numFmtId="2" fillId="22" applyFill="true">
      <alignment horizontal="center" vertical="center"/>
    </xf>
    <xf fontId="12996" applyFont="true" borderId="8" applyBorder="true" applyNumberFormat="true" numFmtId="2" fillId="22" applyFill="true">
      <alignment horizontal="center" vertical="center"/>
    </xf>
    <xf fontId="12997" applyFont="true" borderId="8" applyBorder="true" applyNumberFormat="true" numFmtId="2" fillId="22" applyFill="true">
      <alignment horizontal="center" vertical="center"/>
    </xf>
    <xf fontId="12998" applyFont="true" borderId="8" applyBorder="true" applyNumberFormat="true" numFmtId="2" fillId="22" applyFill="true">
      <alignment horizontal="center" vertical="center"/>
    </xf>
    <xf fontId="12999" applyFont="true" borderId="8" applyBorder="true" applyNumberFormat="true" numFmtId="2" fillId="22" applyFill="true">
      <alignment horizontal="center" vertical="center"/>
    </xf>
    <xf fontId="13000" applyFont="true" borderId="8" applyBorder="true" applyNumberFormat="true" numFmtId="2" fillId="22" applyFill="true">
      <alignment horizontal="center" vertical="center"/>
    </xf>
    <xf fontId="13001" applyFont="true" borderId="8" applyBorder="true" applyNumberFormat="true" numFmtId="2" fillId="22" applyFill="true">
      <alignment horizontal="center" vertical="center"/>
    </xf>
    <xf fontId="13002" applyFont="true" borderId="8" applyBorder="true" applyNumberFormat="true" numFmtId="2" fillId="22" applyFill="true">
      <alignment horizontal="center" vertical="center"/>
    </xf>
    <xf fontId="13003" applyFont="true" borderId="8" applyBorder="true" applyNumberFormat="true" numFmtId="2" fillId="22" applyFill="true">
      <alignment horizontal="center" vertical="center"/>
    </xf>
    <xf fontId="13004" applyFont="true" borderId="8" applyBorder="true" applyNumberFormat="true" numFmtId="2" fillId="22" applyFill="true">
      <alignment horizontal="center" vertical="center"/>
    </xf>
    <xf fontId="13005" applyFont="true" borderId="8" applyBorder="true" applyNumberFormat="true" numFmtId="2" fillId="22" applyFill="true">
      <alignment horizontal="center" vertical="center"/>
    </xf>
    <xf fontId="13006" applyFont="true" borderId="8" applyBorder="true" applyNumberFormat="true" numFmtId="2" fillId="22" applyFill="true">
      <alignment horizontal="center" vertical="center"/>
    </xf>
    <xf fontId="13007" applyFont="true" borderId="8" applyBorder="true" applyNumberFormat="true" numFmtId="2" fillId="22" applyFill="true">
      <alignment horizontal="center" vertical="center"/>
    </xf>
    <xf fontId="13008" applyFont="true" borderId="8" applyBorder="true" applyNumberFormat="true" numFmtId="2" fillId="22" applyFill="true">
      <alignment horizontal="center" vertical="center"/>
    </xf>
    <xf fontId="13009" applyFont="true" borderId="8" applyBorder="true" applyNumberFormat="true" numFmtId="2" fillId="22" applyFill="true">
      <alignment horizontal="center" vertical="center"/>
    </xf>
    <xf fontId="13010" applyFont="true" borderId="8" applyBorder="true" applyNumberFormat="true" numFmtId="2" fillId="22" applyFill="true">
      <alignment horizontal="center" vertical="center"/>
    </xf>
    <xf fontId="13011" applyFont="true" borderId="8" applyBorder="true" applyNumberFormat="true" numFmtId="2" fillId="22" applyFill="true">
      <alignment horizontal="center" vertical="center"/>
    </xf>
    <xf fontId="13012" applyFont="true" borderId="8" applyBorder="true" applyNumberFormat="true" numFmtId="2" fillId="22" applyFill="true">
      <alignment horizontal="center" vertical="center"/>
    </xf>
    <xf fontId="13013" applyFont="true" borderId="8" applyBorder="true" applyNumberFormat="true" numFmtId="2" fillId="22" applyFill="true">
      <alignment horizontal="center" vertical="center"/>
    </xf>
    <xf fontId="13014" applyFont="true" borderId="8" applyBorder="true" applyNumberFormat="true" numFmtId="2" fillId="22" applyFill="true">
      <alignment horizontal="center" vertical="center"/>
    </xf>
    <xf fontId="13015" applyFont="true" borderId="8" applyBorder="true" applyNumberFormat="true" numFmtId="2" fillId="22" applyFill="true">
      <alignment horizontal="center" vertical="center"/>
    </xf>
    <xf fontId="13016" applyFont="true" borderId="8" applyBorder="true" applyNumberFormat="true" numFmtId="2" fillId="22" applyFill="true">
      <alignment horizontal="center" vertical="center"/>
    </xf>
    <xf fontId="13017" applyFont="true" borderId="8" applyBorder="true" applyNumberFormat="true" numFmtId="2" fillId="22" applyFill="true">
      <alignment horizontal="center" vertical="center"/>
    </xf>
    <xf fontId="13018" applyFont="true" borderId="8" applyBorder="true" applyNumberFormat="true" numFmtId="2" fillId="22" applyFill="true">
      <alignment horizontal="center" vertical="center"/>
    </xf>
    <xf fontId="13019" applyFont="true" borderId="8" applyBorder="true" applyNumberFormat="true" numFmtId="2" fillId="22" applyFill="true">
      <alignment horizontal="center" vertical="center"/>
    </xf>
    <xf fontId="13020" applyFont="true" borderId="8" applyBorder="true" applyNumberFormat="true" numFmtId="2" fillId="22" applyFill="true">
      <alignment horizontal="center" vertical="center"/>
    </xf>
    <xf fontId="13021" applyFont="true" borderId="8" applyBorder="true" applyNumberFormat="true" numFmtId="2" fillId="22" applyFill="true">
      <alignment horizontal="center" vertical="center"/>
    </xf>
    <xf fontId="13022" applyFont="true" borderId="8" applyBorder="true" applyNumberFormat="true" numFmtId="2" fillId="22" applyFill="true">
      <alignment horizontal="center" vertical="center"/>
    </xf>
    <xf fontId="13023" applyFont="true" borderId="8" applyBorder="true" applyNumberFormat="true" numFmtId="2" fillId="22" applyFill="true">
      <alignment horizontal="center" vertical="center"/>
    </xf>
    <xf fontId="13024" applyFont="true" borderId="8" applyBorder="true" applyNumberFormat="true" numFmtId="2" fillId="22" applyFill="true">
      <alignment horizontal="center" vertical="center"/>
    </xf>
    <xf fontId="13025" applyFont="true" borderId="8" applyBorder="true" applyNumberFormat="true" numFmtId="2" fillId="22" applyFill="true">
      <alignment horizontal="center" vertical="center"/>
    </xf>
    <xf fontId="13026" applyFont="true" borderId="8" applyBorder="true" applyNumberFormat="true" numFmtId="2" fillId="22" applyFill="true">
      <alignment horizontal="center" vertical="center"/>
    </xf>
    <xf fontId="13027" applyFont="true" borderId="8" applyBorder="true" applyNumberFormat="true" numFmtId="165" fillId="19" applyFill="true">
      <alignment horizontal="left" vertical="center"/>
    </xf>
    <xf fontId="13028" applyFont="true" borderId="8" applyBorder="true" applyNumberFormat="true" numFmtId="165" fillId="22" applyFill="true">
      <alignment horizontal="center" vertical="center"/>
    </xf>
    <xf fontId="13029" applyFont="true" borderId="8" applyBorder="true" applyNumberFormat="true" numFmtId="166" fillId="22" applyFill="true">
      <alignment horizontal="center" vertical="center"/>
    </xf>
    <xf fontId="13030" applyFont="true" borderId="8" applyBorder="true" applyNumberFormat="true" numFmtId="1" fillId="22" applyFill="true">
      <alignment horizontal="center" vertical="center"/>
    </xf>
    <xf fontId="13031" applyFont="true" borderId="8" applyBorder="true" applyNumberFormat="true" numFmtId="1" fillId="22" applyFill="true">
      <alignment horizontal="center" vertical="center"/>
    </xf>
    <xf fontId="13032" applyFont="true" borderId="8" applyBorder="true" applyNumberFormat="true" numFmtId="1" fillId="22" applyFill="true">
      <alignment horizontal="center" vertical="center"/>
    </xf>
    <xf fontId="13033" applyFont="true" borderId="8" applyBorder="true" applyNumberFormat="true" numFmtId="1" fillId="22" applyFill="true">
      <alignment horizontal="center" vertical="center"/>
    </xf>
    <xf fontId="13034" applyFont="true" borderId="8" applyBorder="true" applyNumberFormat="true" numFmtId="1" fillId="22" applyFill="true">
      <alignment horizontal="center" vertical="center"/>
    </xf>
    <xf fontId="13035" applyFont="true" borderId="8" applyBorder="true" applyNumberFormat="true" numFmtId="1" fillId="22" applyFill="true">
      <alignment horizontal="center" vertical="center"/>
    </xf>
    <xf fontId="13036" applyFont="true" borderId="8" applyBorder="true" applyNumberFormat="true" numFmtId="1" fillId="22" applyFill="true">
      <alignment horizontal="center" vertical="center"/>
    </xf>
    <xf fontId="13037" applyFont="true" borderId="8" applyBorder="true" applyNumberFormat="true" numFmtId="165" fillId="22" applyFill="true">
      <alignment horizontal="center" vertical="center"/>
    </xf>
    <xf fontId="13038" applyFont="true" borderId="8" applyBorder="true" applyNumberFormat="true" numFmtId="165" fillId="22" applyFill="true">
      <alignment horizontal="center" vertical="center"/>
    </xf>
    <xf fontId="13039" applyFont="true" borderId="8" applyBorder="true" applyNumberFormat="true" numFmtId="1" fillId="22" applyFill="true">
      <alignment horizontal="center" vertical="center"/>
    </xf>
    <xf fontId="13040" applyFont="true" borderId="8" applyBorder="true" applyNumberFormat="true" numFmtId="1" fillId="22" applyFill="true">
      <alignment horizontal="center" vertical="center"/>
    </xf>
    <xf fontId="13041" applyFont="true" borderId="8" applyBorder="true" applyNumberFormat="true" numFmtId="1" fillId="22" applyFill="true">
      <alignment horizontal="center" vertical="center"/>
    </xf>
    <xf fontId="13042" applyFont="true" borderId="8" applyBorder="true" applyNumberFormat="true" numFmtId="167" fillId="22" applyFill="true">
      <alignment horizontal="center" vertical="center"/>
    </xf>
    <xf fontId="13043" applyFont="true" borderId="8" applyBorder="true" applyNumberFormat="true" numFmtId="1" fillId="22" applyFill="true">
      <alignment horizontal="center" vertical="center"/>
    </xf>
    <xf fontId="13044" applyFont="true" borderId="8" applyBorder="true" applyNumberFormat="true" numFmtId="167" fillId="22" applyFill="true">
      <alignment horizontal="center" vertical="center"/>
    </xf>
    <xf fontId="13045" applyFont="true" borderId="8" applyBorder="true" applyNumberFormat="true" numFmtId="1" fillId="22" applyFill="true">
      <alignment horizontal="center" vertical="center"/>
    </xf>
    <xf fontId="13046" applyFont="true" borderId="8" applyBorder="true" applyNumberFormat="true" numFmtId="167" fillId="22" applyFill="true">
      <alignment horizontal="center" vertical="center"/>
    </xf>
    <xf fontId="13047" applyFont="true" borderId="8" applyBorder="true" applyNumberFormat="true" numFmtId="1" fillId="22" applyFill="true">
      <alignment horizontal="center" vertical="center"/>
    </xf>
    <xf fontId="13048" applyFont="true" borderId="8" applyBorder="true" applyNumberFormat="true" numFmtId="167" fillId="22" applyFill="true">
      <alignment horizontal="center" vertical="center"/>
    </xf>
    <xf fontId="13049" applyFont="true" borderId="8" applyBorder="true" applyNumberFormat="true" numFmtId="167" fillId="22" applyFill="true">
      <alignment horizontal="center" vertical="center"/>
    </xf>
    <xf fontId="13050" applyFont="true" borderId="8" applyBorder="true" applyNumberFormat="true" numFmtId="1" fillId="22" applyFill="true">
      <alignment horizontal="center" vertical="center"/>
    </xf>
    <xf fontId="13051" applyFont="true" borderId="8" applyBorder="true" applyNumberFormat="true" numFmtId="1" fillId="22" applyFill="true">
      <alignment horizontal="center" vertical="center"/>
    </xf>
    <xf fontId="13052" applyFont="true" borderId="8" applyBorder="true" applyNumberFormat="true" numFmtId="1" fillId="22" applyFill="true">
      <alignment horizontal="center" vertical="center"/>
    </xf>
    <xf fontId="13053" applyFont="true" borderId="8" applyBorder="true" applyNumberFormat="true" numFmtId="167" fillId="22" applyFill="true">
      <alignment horizontal="center" vertical="center"/>
    </xf>
    <xf fontId="13054" applyFont="true" borderId="8" applyBorder="true" applyNumberFormat="true" numFmtId="166" fillId="22" applyFill="true">
      <alignment horizontal="center" vertical="center"/>
    </xf>
    <xf fontId="13055" applyFont="true" borderId="8" applyBorder="true" applyNumberFormat="true" numFmtId="166" fillId="22" applyFill="true">
      <alignment horizontal="center" vertical="center"/>
    </xf>
    <xf fontId="13056" applyFont="true" borderId="8" applyBorder="true" applyNumberFormat="true" numFmtId="1" fillId="22" applyFill="true">
      <alignment horizontal="center" vertical="center"/>
    </xf>
    <xf fontId="13057" applyFont="true" borderId="8" applyBorder="true" applyNumberFormat="true" numFmtId="1" fillId="22" applyFill="true">
      <alignment horizontal="center" vertical="center"/>
    </xf>
    <xf fontId="13058" applyFont="true" borderId="8" applyBorder="true" applyNumberFormat="true" numFmtId="1" fillId="22" applyFill="true">
      <alignment horizontal="center" vertical="center"/>
    </xf>
    <xf fontId="13059" applyFont="true" borderId="8" applyBorder="true" applyNumberFormat="true" numFmtId="167" fillId="22" applyFill="true">
      <alignment horizontal="center" vertical="center"/>
    </xf>
    <xf fontId="13060" applyFont="true" borderId="8" applyBorder="true" applyNumberFormat="true" numFmtId="1" fillId="22" applyFill="true">
      <alignment horizontal="center" vertical="center"/>
    </xf>
    <xf fontId="13061" applyFont="true" borderId="8" applyBorder="true" applyNumberFormat="true" numFmtId="167" fillId="22" applyFill="true">
      <alignment horizontal="center" vertical="center"/>
    </xf>
    <xf fontId="13062" applyFont="true" borderId="8" applyBorder="true" applyNumberFormat="true" numFmtId="1" fillId="22" applyFill="true">
      <alignment horizontal="center" vertical="center"/>
    </xf>
    <xf fontId="13063" applyFont="true" borderId="8" applyBorder="true" applyNumberFormat="true" numFmtId="1" fillId="22" applyFill="true">
      <alignment horizontal="center" vertical="center"/>
    </xf>
    <xf fontId="13064" applyFont="true" borderId="8" applyBorder="true" applyNumberFormat="true" numFmtId="1" fillId="22" applyFill="true">
      <alignment horizontal="center" vertical="center"/>
    </xf>
    <xf fontId="13065" applyFont="true" borderId="8" applyBorder="true" applyNumberFormat="true" numFmtId="1" fillId="22" applyFill="true">
      <alignment horizontal="center" vertical="center"/>
    </xf>
    <xf fontId="13066" applyFont="true" borderId="8" applyBorder="true" applyNumberFormat="true" numFmtId="167" fillId="22" applyFill="true">
      <alignment horizontal="center" vertical="center"/>
    </xf>
    <xf fontId="13067" applyFont="true" borderId="8" applyBorder="true" applyNumberFormat="true" numFmtId="1" fillId="22" applyFill="true">
      <alignment horizontal="center" vertical="center"/>
    </xf>
    <xf fontId="13068" applyFont="true" borderId="8" applyBorder="true" applyNumberFormat="true" numFmtId="167" fillId="22" applyFill="true">
      <alignment horizontal="center" vertical="center"/>
    </xf>
    <xf fontId="13069" applyFont="true" borderId="8" applyBorder="true" applyNumberFormat="true" numFmtId="1" fillId="22" applyFill="true">
      <alignment horizontal="center" vertical="center"/>
    </xf>
    <xf fontId="13070" applyFont="true" borderId="8" applyBorder="true" applyNumberFormat="true" numFmtId="167" fillId="22" applyFill="true">
      <alignment horizontal="center" vertical="center"/>
    </xf>
    <xf fontId="13071" applyFont="true" borderId="8" applyBorder="true" applyNumberFormat="true" numFmtId="2" fillId="22" applyFill="true">
      <alignment horizontal="center" vertical="center"/>
    </xf>
    <xf fontId="13072" applyFont="true" borderId="8" applyBorder="true" applyNumberFormat="true" numFmtId="2" fillId="22" applyFill="true">
      <alignment horizontal="center" vertical="center"/>
    </xf>
    <xf fontId="13073" applyFont="true" borderId="8" applyBorder="true" applyNumberFormat="true" numFmtId="2" fillId="22" applyFill="true">
      <alignment horizontal="center" vertical="center"/>
    </xf>
    <xf fontId="13074" applyFont="true" borderId="8" applyBorder="true" applyNumberFormat="true" numFmtId="2" fillId="22" applyFill="true">
      <alignment horizontal="center" vertical="center"/>
    </xf>
    <xf fontId="13075" applyFont="true" borderId="8" applyBorder="true" applyNumberFormat="true" numFmtId="2" fillId="22" applyFill="true">
      <alignment horizontal="center" vertical="center"/>
    </xf>
    <xf fontId="13076" applyFont="true" borderId="8" applyBorder="true" applyNumberFormat="true" numFmtId="2" fillId="22" applyFill="true">
      <alignment horizontal="center" vertical="center"/>
    </xf>
    <xf fontId="13077" applyFont="true" borderId="8" applyBorder="true" applyNumberFormat="true" numFmtId="2" fillId="22" applyFill="true">
      <alignment horizontal="center" vertical="center"/>
    </xf>
    <xf fontId="13078" applyFont="true" borderId="8" applyBorder="true" applyNumberFormat="true" numFmtId="2" fillId="22" applyFill="true">
      <alignment horizontal="center" vertical="center"/>
    </xf>
    <xf fontId="13079" applyFont="true" borderId="8" applyBorder="true" applyNumberFormat="true" numFmtId="2" fillId="22" applyFill="true">
      <alignment horizontal="center" vertical="center"/>
    </xf>
    <xf fontId="13080" applyFont="true" borderId="8" applyBorder="true" applyNumberFormat="true" numFmtId="2" fillId="22" applyFill="true">
      <alignment horizontal="center" vertical="center"/>
    </xf>
    <xf fontId="13081" applyFont="true" borderId="8" applyBorder="true" applyNumberFormat="true" numFmtId="2" fillId="22" applyFill="true">
      <alignment horizontal="center" vertical="center"/>
    </xf>
    <xf fontId="13082" applyFont="true" borderId="8" applyBorder="true" applyNumberFormat="true" numFmtId="2" fillId="22" applyFill="true">
      <alignment horizontal="center" vertical="center"/>
    </xf>
    <xf fontId="13083" applyFont="true" borderId="8" applyBorder="true" applyNumberFormat="true" numFmtId="2" fillId="22" applyFill="true">
      <alignment horizontal="center" vertical="center"/>
    </xf>
    <xf fontId="13084" applyFont="true" borderId="8" applyBorder="true" applyNumberFormat="true" numFmtId="2" fillId="22" applyFill="true">
      <alignment horizontal="center" vertical="center"/>
    </xf>
    <xf fontId="13085" applyFont="true" borderId="8" applyBorder="true" applyNumberFormat="true" numFmtId="2" fillId="22" applyFill="true">
      <alignment horizontal="center" vertical="center"/>
    </xf>
    <xf fontId="13086" applyFont="true" borderId="8" applyBorder="true" applyNumberFormat="true" numFmtId="2" fillId="22" applyFill="true">
      <alignment horizontal="center" vertical="center"/>
    </xf>
    <xf fontId="13087" applyFont="true" borderId="8" applyBorder="true" applyNumberFormat="true" numFmtId="2" fillId="22" applyFill="true">
      <alignment horizontal="center" vertical="center"/>
    </xf>
    <xf fontId="13088" applyFont="true" borderId="8" applyBorder="true" applyNumberFormat="true" numFmtId="2" fillId="22" applyFill="true">
      <alignment horizontal="center" vertical="center"/>
    </xf>
    <xf fontId="13089" applyFont="true" borderId="8" applyBorder="true" applyNumberFormat="true" numFmtId="2" fillId="22" applyFill="true">
      <alignment horizontal="center" vertical="center"/>
    </xf>
    <xf fontId="13090" applyFont="true" borderId="8" applyBorder="true" applyNumberFormat="true" numFmtId="2" fillId="22" applyFill="true">
      <alignment horizontal="center" vertical="center"/>
    </xf>
    <xf fontId="13091" applyFont="true" borderId="8" applyBorder="true" applyNumberFormat="true" numFmtId="2" fillId="22" applyFill="true">
      <alignment horizontal="center" vertical="center"/>
    </xf>
    <xf fontId="13092" applyFont="true" borderId="8" applyBorder="true" applyNumberFormat="true" numFmtId="2" fillId="22" applyFill="true">
      <alignment horizontal="center" vertical="center"/>
    </xf>
    <xf fontId="13093" applyFont="true" borderId="8" applyBorder="true" applyNumberFormat="true" numFmtId="2" fillId="22" applyFill="true">
      <alignment horizontal="center" vertical="center"/>
    </xf>
    <xf fontId="13094" applyFont="true" borderId="8" applyBorder="true" applyNumberFormat="true" numFmtId="2" fillId="22" applyFill="true">
      <alignment horizontal="center" vertical="center"/>
    </xf>
    <xf fontId="13095" applyFont="true" borderId="8" applyBorder="true" applyNumberFormat="true" numFmtId="2" fillId="22" applyFill="true">
      <alignment horizontal="center" vertical="center"/>
    </xf>
    <xf fontId="13096" applyFont="true" borderId="8" applyBorder="true" applyNumberFormat="true" numFmtId="2" fillId="22" applyFill="true">
      <alignment horizontal="center" vertical="center"/>
    </xf>
    <xf fontId="13097" applyFont="true" borderId="8" applyBorder="true" applyNumberFormat="true" numFmtId="2" fillId="22" applyFill="true">
      <alignment horizontal="center" vertical="center"/>
    </xf>
    <xf fontId="13098" applyFont="true" borderId="8" applyBorder="true" applyNumberFormat="true" numFmtId="2" fillId="22" applyFill="true">
      <alignment horizontal="center" vertical="center"/>
    </xf>
    <xf fontId="13099" applyFont="true" borderId="8" applyBorder="true" applyNumberFormat="true" numFmtId="2" fillId="22" applyFill="true">
      <alignment horizontal="center" vertical="center"/>
    </xf>
    <xf fontId="13100" applyFont="true" borderId="8" applyBorder="true" applyNumberFormat="true" numFmtId="2" fillId="22" applyFill="true">
      <alignment horizontal="center" vertical="center"/>
    </xf>
    <xf fontId="13101" applyFont="true" borderId="8" applyBorder="true" applyNumberFormat="true" numFmtId="2" fillId="22" applyFill="true">
      <alignment horizontal="center" vertical="center"/>
    </xf>
    <xf fontId="13102" applyFont="true" borderId="8" applyBorder="true" applyNumberFormat="true" numFmtId="2" fillId="22" applyFill="true">
      <alignment horizontal="center" vertical="center"/>
    </xf>
    <xf fontId="13103" applyFont="true" borderId="8" applyBorder="true" applyNumberFormat="true" numFmtId="2" fillId="22" applyFill="true">
      <alignment horizontal="center" vertical="center"/>
    </xf>
    <xf fontId="13104" applyFont="true" borderId="8" applyBorder="true" applyNumberFormat="true" numFmtId="2" fillId="22" applyFill="true">
      <alignment horizontal="center" vertical="center"/>
    </xf>
    <xf fontId="13105" applyFont="true" borderId="8" applyBorder="true" applyNumberFormat="true" numFmtId="165" fillId="19" applyFill="true">
      <alignment horizontal="left" vertical="center"/>
    </xf>
    <xf fontId="13106" applyFont="true" borderId="8" applyBorder="true" applyNumberFormat="true" numFmtId="165" fillId="22" applyFill="true">
      <alignment horizontal="center" vertical="center"/>
    </xf>
    <xf fontId="13107" applyFont="true" borderId="8" applyBorder="true" applyNumberFormat="true" numFmtId="166" fillId="22" applyFill="true">
      <alignment horizontal="center" vertical="center"/>
    </xf>
    <xf fontId="13108" applyFont="true" borderId="8" applyBorder="true" applyNumberFormat="true" numFmtId="1" fillId="22" applyFill="true">
      <alignment horizontal="center" vertical="center"/>
    </xf>
    <xf fontId="13109" applyFont="true" borderId="8" applyBorder="true" applyNumberFormat="true" numFmtId="1" fillId="22" applyFill="true">
      <alignment horizontal="center" vertical="center"/>
    </xf>
    <xf fontId="13110" applyFont="true" borderId="8" applyBorder="true" applyNumberFormat="true" numFmtId="1" fillId="22" applyFill="true">
      <alignment horizontal="center" vertical="center"/>
    </xf>
    <xf fontId="13111" applyFont="true" borderId="8" applyBorder="true" applyNumberFormat="true" numFmtId="1" fillId="22" applyFill="true">
      <alignment horizontal="center" vertical="center"/>
    </xf>
    <xf fontId="13112" applyFont="true" borderId="8" applyBorder="true" applyNumberFormat="true" numFmtId="1" fillId="22" applyFill="true">
      <alignment horizontal="center" vertical="center"/>
    </xf>
    <xf fontId="13113" applyFont="true" borderId="8" applyBorder="true" applyNumberFormat="true" numFmtId="1" fillId="22" applyFill="true">
      <alignment horizontal="center" vertical="center"/>
    </xf>
    <xf fontId="13114" applyFont="true" borderId="8" applyBorder="true" applyNumberFormat="true" numFmtId="1" fillId="22" applyFill="true">
      <alignment horizontal="center" vertical="center"/>
    </xf>
    <xf fontId="13115" applyFont="true" borderId="8" applyBorder="true" applyNumberFormat="true" numFmtId="165" fillId="22" applyFill="true">
      <alignment horizontal="center" vertical="center"/>
    </xf>
    <xf fontId="13116" applyFont="true" borderId="8" applyBorder="true" applyNumberFormat="true" numFmtId="165" fillId="22" applyFill="true">
      <alignment horizontal="center" vertical="center"/>
    </xf>
    <xf fontId="13117" applyFont="true" borderId="8" applyBorder="true" applyNumberFormat="true" numFmtId="1" fillId="22" applyFill="true">
      <alignment horizontal="center" vertical="center"/>
    </xf>
    <xf fontId="13118" applyFont="true" borderId="8" applyBorder="true" applyNumberFormat="true" numFmtId="1" fillId="22" applyFill="true">
      <alignment horizontal="center" vertical="center"/>
    </xf>
    <xf fontId="13119" applyFont="true" borderId="8" applyBorder="true" applyNumberFormat="true" numFmtId="1" fillId="22" applyFill="true">
      <alignment horizontal="center" vertical="center"/>
    </xf>
    <xf fontId="13120" applyFont="true" borderId="8" applyBorder="true" applyNumberFormat="true" numFmtId="167" fillId="22" applyFill="true">
      <alignment horizontal="center" vertical="center"/>
    </xf>
    <xf fontId="13121" applyFont="true" borderId="8" applyBorder="true" applyNumberFormat="true" numFmtId="1" fillId="22" applyFill="true">
      <alignment horizontal="center" vertical="center"/>
    </xf>
    <xf fontId="13122" applyFont="true" borderId="8" applyBorder="true" applyNumberFormat="true" numFmtId="167" fillId="22" applyFill="true">
      <alignment horizontal="center" vertical="center"/>
    </xf>
    <xf fontId="13123" applyFont="true" borderId="8" applyBorder="true" applyNumberFormat="true" numFmtId="1" fillId="22" applyFill="true">
      <alignment horizontal="center" vertical="center"/>
    </xf>
    <xf fontId="13124" applyFont="true" borderId="8" applyBorder="true" applyNumberFormat="true" numFmtId="167" fillId="22" applyFill="true">
      <alignment horizontal="center" vertical="center"/>
    </xf>
    <xf fontId="13125" applyFont="true" borderId="8" applyBorder="true" applyNumberFormat="true" numFmtId="1" fillId="22" applyFill="true">
      <alignment horizontal="center" vertical="center"/>
    </xf>
    <xf fontId="13126" applyFont="true" borderId="8" applyBorder="true" applyNumberFormat="true" numFmtId="167" fillId="22" applyFill="true">
      <alignment horizontal="center" vertical="center"/>
    </xf>
    <xf fontId="13127" applyFont="true" borderId="8" applyBorder="true" applyNumberFormat="true" numFmtId="167" fillId="22" applyFill="true">
      <alignment horizontal="center" vertical="center"/>
    </xf>
    <xf fontId="13128" applyFont="true" borderId="8" applyBorder="true" applyNumberFormat="true" numFmtId="1" fillId="22" applyFill="true">
      <alignment horizontal="center" vertical="center"/>
    </xf>
    <xf fontId="13129" applyFont="true" borderId="8" applyBorder="true" applyNumberFormat="true" numFmtId="1" fillId="22" applyFill="true">
      <alignment horizontal="center" vertical="center"/>
    </xf>
    <xf fontId="13130" applyFont="true" borderId="8" applyBorder="true" applyNumberFormat="true" numFmtId="1" fillId="22" applyFill="true">
      <alignment horizontal="center" vertical="center"/>
    </xf>
    <xf fontId="13131" applyFont="true" borderId="8" applyBorder="true" applyNumberFormat="true" numFmtId="167" fillId="22" applyFill="true">
      <alignment horizontal="center" vertical="center"/>
    </xf>
    <xf fontId="13132" applyFont="true" borderId="8" applyBorder="true" applyNumberFormat="true" numFmtId="166" fillId="22" applyFill="true">
      <alignment horizontal="center" vertical="center"/>
    </xf>
    <xf fontId="13133" applyFont="true" borderId="8" applyBorder="true" applyNumberFormat="true" numFmtId="166" fillId="22" applyFill="true">
      <alignment horizontal="center" vertical="center"/>
    </xf>
    <xf fontId="13134" applyFont="true" borderId="8" applyBorder="true" applyNumberFormat="true" numFmtId="1" fillId="22" applyFill="true">
      <alignment horizontal="center" vertical="center"/>
    </xf>
    <xf fontId="13135" applyFont="true" borderId="8" applyBorder="true" applyNumberFormat="true" numFmtId="1" fillId="22" applyFill="true">
      <alignment horizontal="center" vertical="center"/>
    </xf>
    <xf fontId="13136" applyFont="true" borderId="8" applyBorder="true" applyNumberFormat="true" numFmtId="1" fillId="22" applyFill="true">
      <alignment horizontal="center" vertical="center"/>
    </xf>
    <xf fontId="13137" applyFont="true" borderId="8" applyBorder="true" applyNumberFormat="true" numFmtId="167" fillId="22" applyFill="true">
      <alignment horizontal="center" vertical="center"/>
    </xf>
    <xf fontId="13138" applyFont="true" borderId="8" applyBorder="true" applyNumberFormat="true" numFmtId="1" fillId="22" applyFill="true">
      <alignment horizontal="center" vertical="center"/>
    </xf>
    <xf fontId="13139" applyFont="true" borderId="8" applyBorder="true" applyNumberFormat="true" numFmtId="167" fillId="22" applyFill="true">
      <alignment horizontal="center" vertical="center"/>
    </xf>
    <xf fontId="13140" applyFont="true" borderId="8" applyBorder="true" applyNumberFormat="true" numFmtId="1" fillId="22" applyFill="true">
      <alignment horizontal="center" vertical="center"/>
    </xf>
    <xf fontId="13141" applyFont="true" borderId="8" applyBorder="true" applyNumberFormat="true" numFmtId="1" fillId="22" applyFill="true">
      <alignment horizontal="center" vertical="center"/>
    </xf>
    <xf fontId="13142" applyFont="true" borderId="8" applyBorder="true" applyNumberFormat="true" numFmtId="1" fillId="22" applyFill="true">
      <alignment horizontal="center" vertical="center"/>
    </xf>
    <xf fontId="13143" applyFont="true" borderId="8" applyBorder="true" applyNumberFormat="true" numFmtId="1" fillId="22" applyFill="true">
      <alignment horizontal="center" vertical="center"/>
    </xf>
    <xf fontId="13144" applyFont="true" borderId="8" applyBorder="true" applyNumberFormat="true" numFmtId="167" fillId="22" applyFill="true">
      <alignment horizontal="center" vertical="center"/>
    </xf>
    <xf fontId="13145" applyFont="true" borderId="8" applyBorder="true" applyNumberFormat="true" numFmtId="1" fillId="22" applyFill="true">
      <alignment horizontal="center" vertical="center"/>
    </xf>
    <xf fontId="13146" applyFont="true" borderId="8" applyBorder="true" applyNumberFormat="true" numFmtId="167" fillId="22" applyFill="true">
      <alignment horizontal="center" vertical="center"/>
    </xf>
    <xf fontId="13147" applyFont="true" borderId="8" applyBorder="true" applyNumberFormat="true" numFmtId="1" fillId="22" applyFill="true">
      <alignment horizontal="center" vertical="center"/>
    </xf>
    <xf fontId="13148" applyFont="true" borderId="8" applyBorder="true" applyNumberFormat="true" numFmtId="167" fillId="22" applyFill="true">
      <alignment horizontal="center" vertical="center"/>
    </xf>
    <xf fontId="13149" applyFont="true" borderId="8" applyBorder="true" applyNumberFormat="true" numFmtId="2" fillId="22" applyFill="true">
      <alignment horizontal="center" vertical="center"/>
    </xf>
    <xf fontId="13150" applyFont="true" borderId="8" applyBorder="true" applyNumberFormat="true" numFmtId="2" fillId="22" applyFill="true">
      <alignment horizontal="center" vertical="center"/>
    </xf>
    <xf fontId="13151" applyFont="true" borderId="8" applyBorder="true" applyNumberFormat="true" numFmtId="2" fillId="22" applyFill="true">
      <alignment horizontal="center" vertical="center"/>
    </xf>
    <xf fontId="13152" applyFont="true" borderId="8" applyBorder="true" applyNumberFormat="true" numFmtId="2" fillId="22" applyFill="true">
      <alignment horizontal="center" vertical="center"/>
    </xf>
    <xf fontId="13153" applyFont="true" borderId="8" applyBorder="true" applyNumberFormat="true" numFmtId="2" fillId="22" applyFill="true">
      <alignment horizontal="center" vertical="center"/>
    </xf>
    <xf fontId="13154" applyFont="true" borderId="8" applyBorder="true" applyNumberFormat="true" numFmtId="2" fillId="22" applyFill="true">
      <alignment horizontal="center" vertical="center"/>
    </xf>
    <xf fontId="13155" applyFont="true" borderId="8" applyBorder="true" applyNumberFormat="true" numFmtId="2" fillId="22" applyFill="true">
      <alignment horizontal="center" vertical="center"/>
    </xf>
    <xf fontId="13156" applyFont="true" borderId="8" applyBorder="true" applyNumberFormat="true" numFmtId="2" fillId="22" applyFill="true">
      <alignment horizontal="center" vertical="center"/>
    </xf>
    <xf fontId="13157" applyFont="true" borderId="8" applyBorder="true" applyNumberFormat="true" numFmtId="2" fillId="22" applyFill="true">
      <alignment horizontal="center" vertical="center"/>
    </xf>
    <xf fontId="13158" applyFont="true" borderId="8" applyBorder="true" applyNumberFormat="true" numFmtId="2" fillId="22" applyFill="true">
      <alignment horizontal="center" vertical="center"/>
    </xf>
    <xf fontId="13159" applyFont="true" borderId="8" applyBorder="true" applyNumberFormat="true" numFmtId="2" fillId="22" applyFill="true">
      <alignment horizontal="center" vertical="center"/>
    </xf>
    <xf fontId="13160" applyFont="true" borderId="8" applyBorder="true" applyNumberFormat="true" numFmtId="2" fillId="22" applyFill="true">
      <alignment horizontal="center" vertical="center"/>
    </xf>
    <xf fontId="13161" applyFont="true" borderId="8" applyBorder="true" applyNumberFormat="true" numFmtId="2" fillId="22" applyFill="true">
      <alignment horizontal="center" vertical="center"/>
    </xf>
    <xf fontId="13162" applyFont="true" borderId="8" applyBorder="true" applyNumberFormat="true" numFmtId="2" fillId="22" applyFill="true">
      <alignment horizontal="center" vertical="center"/>
    </xf>
    <xf fontId="13163" applyFont="true" borderId="8" applyBorder="true" applyNumberFormat="true" numFmtId="2" fillId="22" applyFill="true">
      <alignment horizontal="center" vertical="center"/>
    </xf>
    <xf fontId="13164" applyFont="true" borderId="8" applyBorder="true" applyNumberFormat="true" numFmtId="2" fillId="22" applyFill="true">
      <alignment horizontal="center" vertical="center"/>
    </xf>
    <xf fontId="13165" applyFont="true" borderId="8" applyBorder="true" applyNumberFormat="true" numFmtId="2" fillId="22" applyFill="true">
      <alignment horizontal="center" vertical="center"/>
    </xf>
    <xf fontId="13166" applyFont="true" borderId="8" applyBorder="true" applyNumberFormat="true" numFmtId="2" fillId="22" applyFill="true">
      <alignment horizontal="center" vertical="center"/>
    </xf>
    <xf fontId="13167" applyFont="true" borderId="8" applyBorder="true" applyNumberFormat="true" numFmtId="2" fillId="22" applyFill="true">
      <alignment horizontal="center" vertical="center"/>
    </xf>
    <xf fontId="13168" applyFont="true" borderId="8" applyBorder="true" applyNumberFormat="true" numFmtId="2" fillId="22" applyFill="true">
      <alignment horizontal="center" vertical="center"/>
    </xf>
    <xf fontId="13169" applyFont="true" borderId="8" applyBorder="true" applyNumberFormat="true" numFmtId="2" fillId="22" applyFill="true">
      <alignment horizontal="center" vertical="center"/>
    </xf>
    <xf fontId="13170" applyFont="true" borderId="8" applyBorder="true" applyNumberFormat="true" numFmtId="2" fillId="22" applyFill="true">
      <alignment horizontal="center" vertical="center"/>
    </xf>
    <xf fontId="13171" applyFont="true" borderId="8" applyBorder="true" applyNumberFormat="true" numFmtId="2" fillId="22" applyFill="true">
      <alignment horizontal="center" vertical="center"/>
    </xf>
    <xf fontId="13172" applyFont="true" borderId="8" applyBorder="true" applyNumberFormat="true" numFmtId="2" fillId="22" applyFill="true">
      <alignment horizontal="center" vertical="center"/>
    </xf>
    <xf fontId="13173" applyFont="true" borderId="8" applyBorder="true" applyNumberFormat="true" numFmtId="2" fillId="22" applyFill="true">
      <alignment horizontal="center" vertical="center"/>
    </xf>
    <xf fontId="13174" applyFont="true" borderId="8" applyBorder="true" applyNumberFormat="true" numFmtId="2" fillId="22" applyFill="true">
      <alignment horizontal="center" vertical="center"/>
    </xf>
    <xf fontId="13175" applyFont="true" borderId="8" applyBorder="true" applyNumberFormat="true" numFmtId="2" fillId="22" applyFill="true">
      <alignment horizontal="center" vertical="center"/>
    </xf>
    <xf fontId="13176" applyFont="true" borderId="8" applyBorder="true" applyNumberFormat="true" numFmtId="2" fillId="22" applyFill="true">
      <alignment horizontal="center" vertical="center"/>
    </xf>
    <xf fontId="13177" applyFont="true" borderId="8" applyBorder="true" applyNumberFormat="true" numFmtId="2" fillId="22" applyFill="true">
      <alignment horizontal="center" vertical="center"/>
    </xf>
    <xf fontId="13178" applyFont="true" borderId="8" applyBorder="true" applyNumberFormat="true" numFmtId="2" fillId="22" applyFill="true">
      <alignment horizontal="center" vertical="center"/>
    </xf>
    <xf fontId="13179" applyFont="true" borderId="8" applyBorder="true" applyNumberFormat="true" numFmtId="2" fillId="22" applyFill="true">
      <alignment horizontal="center" vertical="center"/>
    </xf>
    <xf fontId="13180" applyFont="true" borderId="8" applyBorder="true" applyNumberFormat="true" numFmtId="2" fillId="22" applyFill="true">
      <alignment horizontal="center" vertical="center"/>
    </xf>
    <xf fontId="13181" applyFont="true" borderId="8" applyBorder="true" applyNumberFormat="true" numFmtId="2" fillId="22" applyFill="true">
      <alignment horizontal="center" vertical="center"/>
    </xf>
    <xf fontId="13182" applyFont="true" borderId="8" applyBorder="true" applyNumberFormat="true" numFmtId="2" fillId="22" applyFill="true">
      <alignment horizontal="center" vertical="center"/>
    </xf>
    <xf fontId="13183" applyFont="true" borderId="8" applyBorder="true" applyNumberFormat="true" numFmtId="165" fillId="19" applyFill="true">
      <alignment horizontal="left" vertical="center"/>
    </xf>
    <xf fontId="13184" applyFont="true" borderId="8" applyBorder="true" applyNumberFormat="true" numFmtId="165" fillId="22" applyFill="true">
      <alignment horizontal="center" vertical="center"/>
    </xf>
    <xf fontId="13185" applyFont="true" borderId="8" applyBorder="true" applyNumberFormat="true" numFmtId="166" fillId="22" applyFill="true">
      <alignment horizontal="center" vertical="center"/>
    </xf>
    <xf fontId="13186" applyFont="true" borderId="8" applyBorder="true" applyNumberFormat="true" numFmtId="1" fillId="22" applyFill="true">
      <alignment horizontal="center" vertical="center"/>
    </xf>
    <xf fontId="13187" applyFont="true" borderId="8" applyBorder="true" applyNumberFormat="true" numFmtId="1" fillId="22" applyFill="true">
      <alignment horizontal="center" vertical="center"/>
    </xf>
    <xf fontId="13188" applyFont="true" borderId="8" applyBorder="true" applyNumberFormat="true" numFmtId="1" fillId="22" applyFill="true">
      <alignment horizontal="center" vertical="center"/>
    </xf>
    <xf fontId="13189" applyFont="true" borderId="8" applyBorder="true" applyNumberFormat="true" numFmtId="1" fillId="22" applyFill="true">
      <alignment horizontal="center" vertical="center"/>
    </xf>
    <xf fontId="13190" applyFont="true" borderId="8" applyBorder="true" applyNumberFormat="true" numFmtId="1" fillId="22" applyFill="true">
      <alignment horizontal="center" vertical="center"/>
    </xf>
    <xf fontId="13191" applyFont="true" borderId="8" applyBorder="true" applyNumberFormat="true" numFmtId="1" fillId="22" applyFill="true">
      <alignment horizontal="center" vertical="center"/>
    </xf>
    <xf fontId="13192" applyFont="true" borderId="8" applyBorder="true" applyNumberFormat="true" numFmtId="1" fillId="22" applyFill="true">
      <alignment horizontal="center" vertical="center"/>
    </xf>
    <xf fontId="13193" applyFont="true" borderId="8" applyBorder="true" applyNumberFormat="true" numFmtId="165" fillId="22" applyFill="true">
      <alignment horizontal="center" vertical="center"/>
    </xf>
    <xf fontId="13194" applyFont="true" borderId="8" applyBorder="true" applyNumberFormat="true" numFmtId="165" fillId="22" applyFill="true">
      <alignment horizontal="center" vertical="center"/>
    </xf>
    <xf fontId="13195" applyFont="true" borderId="8" applyBorder="true" applyNumberFormat="true" numFmtId="1" fillId="22" applyFill="true">
      <alignment horizontal="center" vertical="center"/>
    </xf>
    <xf fontId="13196" applyFont="true" borderId="8" applyBorder="true" applyNumberFormat="true" numFmtId="1" fillId="22" applyFill="true">
      <alignment horizontal="center" vertical="center"/>
    </xf>
    <xf fontId="13197" applyFont="true" borderId="8" applyBorder="true" applyNumberFormat="true" numFmtId="1" fillId="22" applyFill="true">
      <alignment horizontal="center" vertical="center"/>
    </xf>
    <xf fontId="13198" applyFont="true" borderId="8" applyBorder="true" applyNumberFormat="true" numFmtId="167" fillId="22" applyFill="true">
      <alignment horizontal="center" vertical="center"/>
    </xf>
    <xf fontId="13199" applyFont="true" borderId="8" applyBorder="true" applyNumberFormat="true" numFmtId="1" fillId="22" applyFill="true">
      <alignment horizontal="center" vertical="center"/>
    </xf>
    <xf fontId="13200" applyFont="true" borderId="8" applyBorder="true" applyNumberFormat="true" numFmtId="167" fillId="22" applyFill="true">
      <alignment horizontal="center" vertical="center"/>
    </xf>
    <xf fontId="13201" applyFont="true" borderId="8" applyBorder="true" applyNumberFormat="true" numFmtId="1" fillId="22" applyFill="true">
      <alignment horizontal="center" vertical="center"/>
    </xf>
    <xf fontId="13202" applyFont="true" borderId="8" applyBorder="true" applyNumberFormat="true" numFmtId="167" fillId="22" applyFill="true">
      <alignment horizontal="center" vertical="center"/>
    </xf>
    <xf fontId="13203" applyFont="true" borderId="8" applyBorder="true" applyNumberFormat="true" numFmtId="1" fillId="22" applyFill="true">
      <alignment horizontal="center" vertical="center"/>
    </xf>
    <xf fontId="13204" applyFont="true" borderId="8" applyBorder="true" applyNumberFormat="true" numFmtId="167" fillId="22" applyFill="true">
      <alignment horizontal="center" vertical="center"/>
    </xf>
    <xf fontId="13205" applyFont="true" borderId="8" applyBorder="true" applyNumberFormat="true" numFmtId="167" fillId="22" applyFill="true">
      <alignment horizontal="center" vertical="center"/>
    </xf>
    <xf fontId="13206" applyFont="true" borderId="8" applyBorder="true" applyNumberFormat="true" numFmtId="1" fillId="22" applyFill="true">
      <alignment horizontal="center" vertical="center"/>
    </xf>
    <xf fontId="13207" applyFont="true" borderId="8" applyBorder="true" applyNumberFormat="true" numFmtId="1" fillId="22" applyFill="true">
      <alignment horizontal="center" vertical="center"/>
    </xf>
    <xf fontId="13208" applyFont="true" borderId="8" applyBorder="true" applyNumberFormat="true" numFmtId="1" fillId="22" applyFill="true">
      <alignment horizontal="center" vertical="center"/>
    </xf>
    <xf fontId="13209" applyFont="true" borderId="8" applyBorder="true" applyNumberFormat="true" numFmtId="167" fillId="22" applyFill="true">
      <alignment horizontal="center" vertical="center"/>
    </xf>
    <xf fontId="13210" applyFont="true" borderId="8" applyBorder="true" applyNumberFormat="true" numFmtId="166" fillId="22" applyFill="true">
      <alignment horizontal="center" vertical="center"/>
    </xf>
    <xf fontId="13211" applyFont="true" borderId="8" applyBorder="true" applyNumberFormat="true" numFmtId="166" fillId="22" applyFill="true">
      <alignment horizontal="center" vertical="center"/>
    </xf>
    <xf fontId="13212" applyFont="true" borderId="8" applyBorder="true" applyNumberFormat="true" numFmtId="1" fillId="22" applyFill="true">
      <alignment horizontal="center" vertical="center"/>
    </xf>
    <xf fontId="13213" applyFont="true" borderId="8" applyBorder="true" applyNumberFormat="true" numFmtId="1" fillId="22" applyFill="true">
      <alignment horizontal="center" vertical="center"/>
    </xf>
    <xf fontId="13214" applyFont="true" borderId="8" applyBorder="true" applyNumberFormat="true" numFmtId="1" fillId="22" applyFill="true">
      <alignment horizontal="center" vertical="center"/>
    </xf>
    <xf fontId="13215" applyFont="true" borderId="8" applyBorder="true" applyNumberFormat="true" numFmtId="167" fillId="22" applyFill="true">
      <alignment horizontal="center" vertical="center"/>
    </xf>
    <xf fontId="13216" applyFont="true" borderId="8" applyBorder="true" applyNumberFormat="true" numFmtId="1" fillId="22" applyFill="true">
      <alignment horizontal="center" vertical="center"/>
    </xf>
    <xf fontId="13217" applyFont="true" borderId="8" applyBorder="true" applyNumberFormat="true" numFmtId="167" fillId="22" applyFill="true">
      <alignment horizontal="center" vertical="center"/>
    </xf>
    <xf fontId="13218" applyFont="true" borderId="8" applyBorder="true" applyNumberFormat="true" numFmtId="1" fillId="22" applyFill="true">
      <alignment horizontal="center" vertical="center"/>
    </xf>
    <xf fontId="13219" applyFont="true" borderId="8" applyBorder="true" applyNumberFormat="true" numFmtId="1" fillId="22" applyFill="true">
      <alignment horizontal="center" vertical="center"/>
    </xf>
    <xf fontId="13220" applyFont="true" borderId="8" applyBorder="true" applyNumberFormat="true" numFmtId="1" fillId="22" applyFill="true">
      <alignment horizontal="center" vertical="center"/>
    </xf>
    <xf fontId="13221" applyFont="true" borderId="8" applyBorder="true" applyNumberFormat="true" numFmtId="1" fillId="22" applyFill="true">
      <alignment horizontal="center" vertical="center"/>
    </xf>
    <xf fontId="13222" applyFont="true" borderId="8" applyBorder="true" applyNumberFormat="true" numFmtId="167" fillId="22" applyFill="true">
      <alignment horizontal="center" vertical="center"/>
    </xf>
    <xf fontId="13223" applyFont="true" borderId="8" applyBorder="true" applyNumberFormat="true" numFmtId="1" fillId="22" applyFill="true">
      <alignment horizontal="center" vertical="center"/>
    </xf>
    <xf fontId="13224" applyFont="true" borderId="8" applyBorder="true" applyNumberFormat="true" numFmtId="167" fillId="22" applyFill="true">
      <alignment horizontal="center" vertical="center"/>
    </xf>
    <xf fontId="13225" applyFont="true" borderId="8" applyBorder="true" applyNumberFormat="true" numFmtId="1" fillId="22" applyFill="true">
      <alignment horizontal="center" vertical="center"/>
    </xf>
    <xf fontId="13226" applyFont="true" borderId="8" applyBorder="true" applyNumberFormat="true" numFmtId="167" fillId="22" applyFill="true">
      <alignment horizontal="center" vertical="center"/>
    </xf>
    <xf fontId="13227" applyFont="true" borderId="8" applyBorder="true" applyNumberFormat="true" numFmtId="2" fillId="22" applyFill="true">
      <alignment horizontal="center" vertical="center"/>
    </xf>
    <xf fontId="13228" applyFont="true" borderId="8" applyBorder="true" applyNumberFormat="true" numFmtId="2" fillId="22" applyFill="true">
      <alignment horizontal="center" vertical="center"/>
    </xf>
    <xf fontId="13229" applyFont="true" borderId="8" applyBorder="true" applyNumberFormat="true" numFmtId="2" fillId="22" applyFill="true">
      <alignment horizontal="center" vertical="center"/>
    </xf>
    <xf fontId="13230" applyFont="true" borderId="8" applyBorder="true" applyNumberFormat="true" numFmtId="2" fillId="22" applyFill="true">
      <alignment horizontal="center" vertical="center"/>
    </xf>
    <xf fontId="13231" applyFont="true" borderId="8" applyBorder="true" applyNumberFormat="true" numFmtId="2" fillId="22" applyFill="true">
      <alignment horizontal="center" vertical="center"/>
    </xf>
    <xf fontId="13232" applyFont="true" borderId="8" applyBorder="true" applyNumberFormat="true" numFmtId="2" fillId="22" applyFill="true">
      <alignment horizontal="center" vertical="center"/>
    </xf>
    <xf fontId="13233" applyFont="true" borderId="8" applyBorder="true" applyNumberFormat="true" numFmtId="2" fillId="22" applyFill="true">
      <alignment horizontal="center" vertical="center"/>
    </xf>
    <xf fontId="13234" applyFont="true" borderId="8" applyBorder="true" applyNumberFormat="true" numFmtId="2" fillId="22" applyFill="true">
      <alignment horizontal="center" vertical="center"/>
    </xf>
    <xf fontId="13235" applyFont="true" borderId="8" applyBorder="true" applyNumberFormat="true" numFmtId="2" fillId="22" applyFill="true">
      <alignment horizontal="center" vertical="center"/>
    </xf>
    <xf fontId="13236" applyFont="true" borderId="8" applyBorder="true" applyNumberFormat="true" numFmtId="2" fillId="22" applyFill="true">
      <alignment horizontal="center" vertical="center"/>
    </xf>
    <xf fontId="13237" applyFont="true" borderId="8" applyBorder="true" applyNumberFormat="true" numFmtId="2" fillId="22" applyFill="true">
      <alignment horizontal="center" vertical="center"/>
    </xf>
    <xf fontId="13238" applyFont="true" borderId="8" applyBorder="true" applyNumberFormat="true" numFmtId="2" fillId="22" applyFill="true">
      <alignment horizontal="center" vertical="center"/>
    </xf>
    <xf fontId="13239" applyFont="true" borderId="8" applyBorder="true" applyNumberFormat="true" numFmtId="2" fillId="22" applyFill="true">
      <alignment horizontal="center" vertical="center"/>
    </xf>
    <xf fontId="13240" applyFont="true" borderId="8" applyBorder="true" applyNumberFormat="true" numFmtId="2" fillId="22" applyFill="true">
      <alignment horizontal="center" vertical="center"/>
    </xf>
    <xf fontId="13241" applyFont="true" borderId="8" applyBorder="true" applyNumberFormat="true" numFmtId="2" fillId="22" applyFill="true">
      <alignment horizontal="center" vertical="center"/>
    </xf>
    <xf fontId="13242" applyFont="true" borderId="8" applyBorder="true" applyNumberFormat="true" numFmtId="2" fillId="22" applyFill="true">
      <alignment horizontal="center" vertical="center"/>
    </xf>
    <xf fontId="13243" applyFont="true" borderId="8" applyBorder="true" applyNumberFormat="true" numFmtId="2" fillId="22" applyFill="true">
      <alignment horizontal="center" vertical="center"/>
    </xf>
    <xf fontId="13244" applyFont="true" borderId="8" applyBorder="true" applyNumberFormat="true" numFmtId="2" fillId="22" applyFill="true">
      <alignment horizontal="center" vertical="center"/>
    </xf>
    <xf fontId="13245" applyFont="true" borderId="8" applyBorder="true" applyNumberFormat="true" numFmtId="2" fillId="22" applyFill="true">
      <alignment horizontal="center" vertical="center"/>
    </xf>
    <xf fontId="13246" applyFont="true" borderId="8" applyBorder="true" applyNumberFormat="true" numFmtId="2" fillId="22" applyFill="true">
      <alignment horizontal="center" vertical="center"/>
    </xf>
    <xf fontId="13247" applyFont="true" borderId="8" applyBorder="true" applyNumberFormat="true" numFmtId="2" fillId="22" applyFill="true">
      <alignment horizontal="center" vertical="center"/>
    </xf>
    <xf fontId="13248" applyFont="true" borderId="8" applyBorder="true" applyNumberFormat="true" numFmtId="2" fillId="22" applyFill="true">
      <alignment horizontal="center" vertical="center"/>
    </xf>
    <xf fontId="13249" applyFont="true" borderId="8" applyBorder="true" applyNumberFormat="true" numFmtId="2" fillId="22" applyFill="true">
      <alignment horizontal="center" vertical="center"/>
    </xf>
    <xf fontId="13250" applyFont="true" borderId="8" applyBorder="true" applyNumberFormat="true" numFmtId="2" fillId="22" applyFill="true">
      <alignment horizontal="center" vertical="center"/>
    </xf>
    <xf fontId="13251" applyFont="true" borderId="8" applyBorder="true" applyNumberFormat="true" numFmtId="2" fillId="22" applyFill="true">
      <alignment horizontal="center" vertical="center"/>
    </xf>
    <xf fontId="13252" applyFont="true" borderId="8" applyBorder="true" applyNumberFormat="true" numFmtId="2" fillId="22" applyFill="true">
      <alignment horizontal="center" vertical="center"/>
    </xf>
    <xf fontId="13253" applyFont="true" borderId="8" applyBorder="true" applyNumberFormat="true" numFmtId="2" fillId="22" applyFill="true">
      <alignment horizontal="center" vertical="center"/>
    </xf>
    <xf fontId="13254" applyFont="true" borderId="8" applyBorder="true" applyNumberFormat="true" numFmtId="2" fillId="22" applyFill="true">
      <alignment horizontal="center" vertical="center"/>
    </xf>
    <xf fontId="13255" applyFont="true" borderId="8" applyBorder="true" applyNumberFormat="true" numFmtId="2" fillId="22" applyFill="true">
      <alignment horizontal="center" vertical="center"/>
    </xf>
    <xf fontId="13256" applyFont="true" borderId="8" applyBorder="true" applyNumberFormat="true" numFmtId="2" fillId="22" applyFill="true">
      <alignment horizontal="center" vertical="center"/>
    </xf>
    <xf fontId="13257" applyFont="true" borderId="8" applyBorder="true" applyNumberFormat="true" numFmtId="2" fillId="22" applyFill="true">
      <alignment horizontal="center" vertical="center"/>
    </xf>
    <xf fontId="13258" applyFont="true" borderId="8" applyBorder="true" applyNumberFormat="true" numFmtId="2" fillId="22" applyFill="true">
      <alignment horizontal="center" vertical="center"/>
    </xf>
    <xf fontId="13259" applyFont="true" borderId="8" applyBorder="true" applyNumberFormat="true" numFmtId="2" fillId="22" applyFill="true">
      <alignment horizontal="center" vertical="center"/>
    </xf>
    <xf fontId="13260" applyFont="true" borderId="8" applyBorder="true" applyNumberFormat="true" numFmtId="2" fillId="22" applyFill="true">
      <alignment horizontal="center" vertical="center"/>
    </xf>
    <xf fontId="13261" applyFont="true" borderId="8" applyBorder="true" applyNumberFormat="true" numFmtId="165" fillId="19" applyFill="true">
      <alignment horizontal="left" vertical="center"/>
    </xf>
    <xf fontId="13262" applyFont="true" borderId="8" applyBorder="true" applyNumberFormat="true" numFmtId="165" fillId="22" applyFill="true">
      <alignment horizontal="center" vertical="center"/>
    </xf>
    <xf fontId="13263" applyFont="true" borderId="8" applyBorder="true" applyNumberFormat="true" numFmtId="166" fillId="22" applyFill="true">
      <alignment horizontal="center" vertical="center"/>
    </xf>
    <xf fontId="13264" applyFont="true" borderId="8" applyBorder="true" applyNumberFormat="true" numFmtId="1" fillId="22" applyFill="true">
      <alignment horizontal="center" vertical="center"/>
    </xf>
    <xf fontId="13265" applyFont="true" borderId="8" applyBorder="true" applyNumberFormat="true" numFmtId="1" fillId="22" applyFill="true">
      <alignment horizontal="center" vertical="center"/>
    </xf>
    <xf fontId="13266" applyFont="true" borderId="8" applyBorder="true" applyNumberFormat="true" numFmtId="1" fillId="22" applyFill="true">
      <alignment horizontal="center" vertical="center"/>
    </xf>
    <xf fontId="13267" applyFont="true" borderId="8" applyBorder="true" applyNumberFormat="true" numFmtId="1" fillId="22" applyFill="true">
      <alignment horizontal="center" vertical="center"/>
    </xf>
    <xf fontId="13268" applyFont="true" borderId="8" applyBorder="true" applyNumberFormat="true" numFmtId="1" fillId="22" applyFill="true">
      <alignment horizontal="center" vertical="center"/>
    </xf>
    <xf fontId="13269" applyFont="true" borderId="8" applyBorder="true" applyNumberFormat="true" numFmtId="1" fillId="22" applyFill="true">
      <alignment horizontal="center" vertical="center"/>
    </xf>
    <xf fontId="13270" applyFont="true" borderId="8" applyBorder="true" applyNumberFormat="true" numFmtId="1" fillId="22" applyFill="true">
      <alignment horizontal="center" vertical="center"/>
    </xf>
    <xf fontId="13271" applyFont="true" borderId="8" applyBorder="true" applyNumberFormat="true" numFmtId="165" fillId="22" applyFill="true">
      <alignment horizontal="center" vertical="center"/>
    </xf>
    <xf fontId="13272" applyFont="true" borderId="8" applyBorder="true" applyNumberFormat="true" numFmtId="165" fillId="22" applyFill="true">
      <alignment horizontal="center" vertical="center"/>
    </xf>
    <xf fontId="13273" applyFont="true" borderId="8" applyBorder="true" applyNumberFormat="true" numFmtId="1" fillId="22" applyFill="true">
      <alignment horizontal="center" vertical="center"/>
    </xf>
    <xf fontId="13274" applyFont="true" borderId="8" applyBorder="true" applyNumberFormat="true" numFmtId="1" fillId="22" applyFill="true">
      <alignment horizontal="center" vertical="center"/>
    </xf>
    <xf fontId="13275" applyFont="true" borderId="8" applyBorder="true" applyNumberFormat="true" numFmtId="1" fillId="22" applyFill="true">
      <alignment horizontal="center" vertical="center"/>
    </xf>
    <xf fontId="13276" applyFont="true" borderId="8" applyBorder="true" applyNumberFormat="true" numFmtId="167" fillId="22" applyFill="true">
      <alignment horizontal="center" vertical="center"/>
    </xf>
    <xf fontId="13277" applyFont="true" borderId="8" applyBorder="true" applyNumberFormat="true" numFmtId="1" fillId="22" applyFill="true">
      <alignment horizontal="center" vertical="center"/>
    </xf>
    <xf fontId="13278" applyFont="true" borderId="8" applyBorder="true" applyNumberFormat="true" numFmtId="167" fillId="22" applyFill="true">
      <alignment horizontal="center" vertical="center"/>
    </xf>
    <xf fontId="13279" applyFont="true" borderId="8" applyBorder="true" applyNumberFormat="true" numFmtId="1" fillId="22" applyFill="true">
      <alignment horizontal="center" vertical="center"/>
    </xf>
    <xf fontId="13280" applyFont="true" borderId="8" applyBorder="true" applyNumberFormat="true" numFmtId="167" fillId="22" applyFill="true">
      <alignment horizontal="center" vertical="center"/>
    </xf>
    <xf fontId="13281" applyFont="true" borderId="8" applyBorder="true" applyNumberFormat="true" numFmtId="1" fillId="22" applyFill="true">
      <alignment horizontal="center" vertical="center"/>
    </xf>
    <xf fontId="13282" applyFont="true" borderId="8" applyBorder="true" applyNumberFormat="true" numFmtId="167" fillId="22" applyFill="true">
      <alignment horizontal="center" vertical="center"/>
    </xf>
    <xf fontId="13283" applyFont="true" borderId="8" applyBorder="true" applyNumberFormat="true" numFmtId="167" fillId="22" applyFill="true">
      <alignment horizontal="center" vertical="center"/>
    </xf>
    <xf fontId="13284" applyFont="true" borderId="8" applyBorder="true" applyNumberFormat="true" numFmtId="1" fillId="22" applyFill="true">
      <alignment horizontal="center" vertical="center"/>
    </xf>
    <xf fontId="13285" applyFont="true" borderId="8" applyBorder="true" applyNumberFormat="true" numFmtId="1" fillId="22" applyFill="true">
      <alignment horizontal="center" vertical="center"/>
    </xf>
    <xf fontId="13286" applyFont="true" borderId="8" applyBorder="true" applyNumberFormat="true" numFmtId="1" fillId="22" applyFill="true">
      <alignment horizontal="center" vertical="center"/>
    </xf>
    <xf fontId="13287" applyFont="true" borderId="8" applyBorder="true" applyNumberFormat="true" numFmtId="167" fillId="22" applyFill="true">
      <alignment horizontal="center" vertical="center"/>
    </xf>
    <xf fontId="13288" applyFont="true" borderId="8" applyBorder="true" applyNumberFormat="true" numFmtId="166" fillId="22" applyFill="true">
      <alignment horizontal="center" vertical="center"/>
    </xf>
    <xf fontId="13289" applyFont="true" borderId="8" applyBorder="true" applyNumberFormat="true" numFmtId="166" fillId="22" applyFill="true">
      <alignment horizontal="center" vertical="center"/>
    </xf>
    <xf fontId="13290" applyFont="true" borderId="8" applyBorder="true" applyNumberFormat="true" numFmtId="1" fillId="22" applyFill="true">
      <alignment horizontal="center" vertical="center"/>
    </xf>
    <xf fontId="13291" applyFont="true" borderId="8" applyBorder="true" applyNumberFormat="true" numFmtId="1" fillId="22" applyFill="true">
      <alignment horizontal="center" vertical="center"/>
    </xf>
    <xf fontId="13292" applyFont="true" borderId="8" applyBorder="true" applyNumberFormat="true" numFmtId="1" fillId="22" applyFill="true">
      <alignment horizontal="center" vertical="center"/>
    </xf>
    <xf fontId="13293" applyFont="true" borderId="8" applyBorder="true" applyNumberFormat="true" numFmtId="167" fillId="22" applyFill="true">
      <alignment horizontal="center" vertical="center"/>
    </xf>
    <xf fontId="13294" applyFont="true" borderId="8" applyBorder="true" applyNumberFormat="true" numFmtId="1" fillId="22" applyFill="true">
      <alignment horizontal="center" vertical="center"/>
    </xf>
    <xf fontId="13295" applyFont="true" borderId="8" applyBorder="true" applyNumberFormat="true" numFmtId="167" fillId="22" applyFill="true">
      <alignment horizontal="center" vertical="center"/>
    </xf>
    <xf fontId="13296" applyFont="true" borderId="8" applyBorder="true" applyNumberFormat="true" numFmtId="1" fillId="22" applyFill="true">
      <alignment horizontal="center" vertical="center"/>
    </xf>
    <xf fontId="13297" applyFont="true" borderId="8" applyBorder="true" applyNumberFormat="true" numFmtId="1" fillId="22" applyFill="true">
      <alignment horizontal="center" vertical="center"/>
    </xf>
    <xf fontId="13298" applyFont="true" borderId="8" applyBorder="true" applyNumberFormat="true" numFmtId="1" fillId="22" applyFill="true">
      <alignment horizontal="center" vertical="center"/>
    </xf>
    <xf fontId="13299" applyFont="true" borderId="8" applyBorder="true" applyNumberFormat="true" numFmtId="1" fillId="22" applyFill="true">
      <alignment horizontal="center" vertical="center"/>
    </xf>
    <xf fontId="13300" applyFont="true" borderId="8" applyBorder="true" applyNumberFormat="true" numFmtId="167" fillId="22" applyFill="true">
      <alignment horizontal="center" vertical="center"/>
    </xf>
    <xf fontId="13301" applyFont="true" borderId="8" applyBorder="true" applyNumberFormat="true" numFmtId="1" fillId="22" applyFill="true">
      <alignment horizontal="center" vertical="center"/>
    </xf>
    <xf fontId="13302" applyFont="true" borderId="8" applyBorder="true" applyNumberFormat="true" numFmtId="167" fillId="22" applyFill="true">
      <alignment horizontal="center" vertical="center"/>
    </xf>
    <xf fontId="13303" applyFont="true" borderId="8" applyBorder="true" applyNumberFormat="true" numFmtId="1" fillId="22" applyFill="true">
      <alignment horizontal="center" vertical="center"/>
    </xf>
    <xf fontId="13304" applyFont="true" borderId="8" applyBorder="true" applyNumberFormat="true" numFmtId="167" fillId="22" applyFill="true">
      <alignment horizontal="center" vertical="center"/>
    </xf>
    <xf fontId="13305" applyFont="true" borderId="8" applyBorder="true" applyNumberFormat="true" numFmtId="2" fillId="22" applyFill="true">
      <alignment horizontal="center" vertical="center"/>
    </xf>
    <xf fontId="13306" applyFont="true" borderId="8" applyBorder="true" applyNumberFormat="true" numFmtId="2" fillId="22" applyFill="true">
      <alignment horizontal="center" vertical="center"/>
    </xf>
    <xf fontId="13307" applyFont="true" borderId="8" applyBorder="true" applyNumberFormat="true" numFmtId="2" fillId="22" applyFill="true">
      <alignment horizontal="center" vertical="center"/>
    </xf>
    <xf fontId="13308" applyFont="true" borderId="8" applyBorder="true" applyNumberFormat="true" numFmtId="2" fillId="22" applyFill="true">
      <alignment horizontal="center" vertical="center"/>
    </xf>
    <xf fontId="13309" applyFont="true" borderId="8" applyBorder="true" applyNumberFormat="true" numFmtId="2" fillId="22" applyFill="true">
      <alignment horizontal="center" vertical="center"/>
    </xf>
    <xf fontId="13310" applyFont="true" borderId="8" applyBorder="true" applyNumberFormat="true" numFmtId="2" fillId="22" applyFill="true">
      <alignment horizontal="center" vertical="center"/>
    </xf>
    <xf fontId="13311" applyFont="true" borderId="8" applyBorder="true" applyNumberFormat="true" numFmtId="2" fillId="22" applyFill="true">
      <alignment horizontal="center" vertical="center"/>
    </xf>
    <xf fontId="13312" applyFont="true" borderId="8" applyBorder="true" applyNumberFormat="true" numFmtId="2" fillId="22" applyFill="true">
      <alignment horizontal="center" vertical="center"/>
    </xf>
    <xf fontId="13313" applyFont="true" borderId="8" applyBorder="true" applyNumberFormat="true" numFmtId="2" fillId="22" applyFill="true">
      <alignment horizontal="center" vertical="center"/>
    </xf>
    <xf fontId="13314" applyFont="true" borderId="8" applyBorder="true" applyNumberFormat="true" numFmtId="2" fillId="22" applyFill="true">
      <alignment horizontal="center" vertical="center"/>
    </xf>
    <xf fontId="13315" applyFont="true" borderId="8" applyBorder="true" applyNumberFormat="true" numFmtId="2" fillId="22" applyFill="true">
      <alignment horizontal="center" vertical="center"/>
    </xf>
    <xf fontId="13316" applyFont="true" borderId="8" applyBorder="true" applyNumberFormat="true" numFmtId="2" fillId="22" applyFill="true">
      <alignment horizontal="center" vertical="center"/>
    </xf>
    <xf fontId="13317" applyFont="true" borderId="8" applyBorder="true" applyNumberFormat="true" numFmtId="2" fillId="22" applyFill="true">
      <alignment horizontal="center" vertical="center"/>
    </xf>
    <xf fontId="13318" applyFont="true" borderId="8" applyBorder="true" applyNumberFormat="true" numFmtId="2" fillId="22" applyFill="true">
      <alignment horizontal="center" vertical="center"/>
    </xf>
    <xf fontId="13319" applyFont="true" borderId="8" applyBorder="true" applyNumberFormat="true" numFmtId="2" fillId="22" applyFill="true">
      <alignment horizontal="center" vertical="center"/>
    </xf>
    <xf fontId="13320" applyFont="true" borderId="8" applyBorder="true" applyNumberFormat="true" numFmtId="2" fillId="22" applyFill="true">
      <alignment horizontal="center" vertical="center"/>
    </xf>
    <xf fontId="13321" applyFont="true" borderId="8" applyBorder="true" applyNumberFormat="true" numFmtId="2" fillId="22" applyFill="true">
      <alignment horizontal="center" vertical="center"/>
    </xf>
    <xf fontId="13322" applyFont="true" borderId="8" applyBorder="true" applyNumberFormat="true" numFmtId="2" fillId="22" applyFill="true">
      <alignment horizontal="center" vertical="center"/>
    </xf>
    <xf fontId="13323" applyFont="true" borderId="8" applyBorder="true" applyNumberFormat="true" numFmtId="2" fillId="22" applyFill="true">
      <alignment horizontal="center" vertical="center"/>
    </xf>
    <xf fontId="13324" applyFont="true" borderId="8" applyBorder="true" applyNumberFormat="true" numFmtId="2" fillId="22" applyFill="true">
      <alignment horizontal="center" vertical="center"/>
    </xf>
    <xf fontId="13325" applyFont="true" borderId="8" applyBorder="true" applyNumberFormat="true" numFmtId="2" fillId="22" applyFill="true">
      <alignment horizontal="center" vertical="center"/>
    </xf>
    <xf fontId="13326" applyFont="true" borderId="8" applyBorder="true" applyNumberFormat="true" numFmtId="2" fillId="22" applyFill="true">
      <alignment horizontal="center" vertical="center"/>
    </xf>
    <xf fontId="13327" applyFont="true" borderId="8" applyBorder="true" applyNumberFormat="true" numFmtId="2" fillId="22" applyFill="true">
      <alignment horizontal="center" vertical="center"/>
    </xf>
    <xf fontId="13328" applyFont="true" borderId="8" applyBorder="true" applyNumberFormat="true" numFmtId="2" fillId="22" applyFill="true">
      <alignment horizontal="center" vertical="center"/>
    </xf>
    <xf fontId="13329" applyFont="true" borderId="8" applyBorder="true" applyNumberFormat="true" numFmtId="2" fillId="22" applyFill="true">
      <alignment horizontal="center" vertical="center"/>
    </xf>
    <xf fontId="13330" applyFont="true" borderId="8" applyBorder="true" applyNumberFormat="true" numFmtId="2" fillId="22" applyFill="true">
      <alignment horizontal="center" vertical="center"/>
    </xf>
    <xf fontId="13331" applyFont="true" borderId="8" applyBorder="true" applyNumberFormat="true" numFmtId="2" fillId="22" applyFill="true">
      <alignment horizontal="center" vertical="center"/>
    </xf>
    <xf fontId="13332" applyFont="true" borderId="8" applyBorder="true" applyNumberFormat="true" numFmtId="2" fillId="22" applyFill="true">
      <alignment horizontal="center" vertical="center"/>
    </xf>
    <xf fontId="13333" applyFont="true" borderId="8" applyBorder="true" applyNumberFormat="true" numFmtId="2" fillId="22" applyFill="true">
      <alignment horizontal="center" vertical="center"/>
    </xf>
    <xf fontId="13334" applyFont="true" borderId="8" applyBorder="true" applyNumberFormat="true" numFmtId="2" fillId="22" applyFill="true">
      <alignment horizontal="center" vertical="center"/>
    </xf>
    <xf fontId="13335" applyFont="true" borderId="8" applyBorder="true" applyNumberFormat="true" numFmtId="2" fillId="22" applyFill="true">
      <alignment horizontal="center" vertical="center"/>
    </xf>
    <xf fontId="13336" applyFont="true" borderId="8" applyBorder="true" applyNumberFormat="true" numFmtId="2" fillId="22" applyFill="true">
      <alignment horizontal="center" vertical="center"/>
    </xf>
    <xf fontId="13337" applyFont="true" borderId="8" applyBorder="true" applyNumberFormat="true" numFmtId="2" fillId="22" applyFill="true">
      <alignment horizontal="center" vertical="center"/>
    </xf>
    <xf fontId="13338" applyFont="true" borderId="8" applyBorder="true" applyNumberFormat="true" numFmtId="2" fillId="22" applyFill="true">
      <alignment horizontal="center" vertical="center"/>
    </xf>
    <xf fontId="13339" applyFont="true" borderId="8" applyBorder="true" applyNumberFormat="true" numFmtId="165" fillId="19" applyFill="true">
      <alignment horizontal="left" vertical="center"/>
    </xf>
    <xf fontId="13340" applyFont="true" borderId="8" applyBorder="true" applyNumberFormat="true" numFmtId="165" fillId="22" applyFill="true">
      <alignment horizontal="center" vertical="center"/>
    </xf>
    <xf fontId="13341" applyFont="true" borderId="8" applyBorder="true" applyNumberFormat="true" numFmtId="166" fillId="22" applyFill="true">
      <alignment horizontal="center" vertical="center"/>
    </xf>
    <xf fontId="13342" applyFont="true" borderId="8" applyBorder="true" applyNumberFormat="true" numFmtId="1" fillId="22" applyFill="true">
      <alignment horizontal="center" vertical="center"/>
    </xf>
    <xf fontId="13343" applyFont="true" borderId="8" applyBorder="true" applyNumberFormat="true" numFmtId="1" fillId="22" applyFill="true">
      <alignment horizontal="center" vertical="center"/>
    </xf>
    <xf fontId="13344" applyFont="true" borderId="8" applyBorder="true" applyNumberFormat="true" numFmtId="1" fillId="22" applyFill="true">
      <alignment horizontal="center" vertical="center"/>
    </xf>
    <xf fontId="13345" applyFont="true" borderId="8" applyBorder="true" applyNumberFormat="true" numFmtId="1" fillId="22" applyFill="true">
      <alignment horizontal="center" vertical="center"/>
    </xf>
    <xf fontId="13346" applyFont="true" borderId="8" applyBorder="true" applyNumberFormat="true" numFmtId="1" fillId="22" applyFill="true">
      <alignment horizontal="center" vertical="center"/>
    </xf>
    <xf fontId="13347" applyFont="true" borderId="8" applyBorder="true" applyNumberFormat="true" numFmtId="1" fillId="22" applyFill="true">
      <alignment horizontal="center" vertical="center"/>
    </xf>
    <xf fontId="13348" applyFont="true" borderId="8" applyBorder="true" applyNumberFormat="true" numFmtId="1" fillId="22" applyFill="true">
      <alignment horizontal="center" vertical="center"/>
    </xf>
    <xf fontId="13349" applyFont="true" borderId="8" applyBorder="true" applyNumberFormat="true" numFmtId="165" fillId="22" applyFill="true">
      <alignment horizontal="center" vertical="center"/>
    </xf>
    <xf fontId="13350" applyFont="true" borderId="8" applyBorder="true" applyNumberFormat="true" numFmtId="165" fillId="22" applyFill="true">
      <alignment horizontal="center" vertical="center"/>
    </xf>
    <xf fontId="13351" applyFont="true" borderId="8" applyBorder="true" applyNumberFormat="true" numFmtId="1" fillId="22" applyFill="true">
      <alignment horizontal="center" vertical="center"/>
    </xf>
    <xf fontId="13352" applyFont="true" borderId="8" applyBorder="true" applyNumberFormat="true" numFmtId="1" fillId="22" applyFill="true">
      <alignment horizontal="center" vertical="center"/>
    </xf>
    <xf fontId="13353" applyFont="true" borderId="8" applyBorder="true" applyNumberFormat="true" numFmtId="1" fillId="22" applyFill="true">
      <alignment horizontal="center" vertical="center"/>
    </xf>
    <xf fontId="13354" applyFont="true" borderId="8" applyBorder="true" applyNumberFormat="true" numFmtId="167" fillId="22" applyFill="true">
      <alignment horizontal="center" vertical="center"/>
    </xf>
    <xf fontId="13355" applyFont="true" borderId="8" applyBorder="true" applyNumberFormat="true" numFmtId="1" fillId="22" applyFill="true">
      <alignment horizontal="center" vertical="center"/>
    </xf>
    <xf fontId="13356" applyFont="true" borderId="8" applyBorder="true" applyNumberFormat="true" numFmtId="167" fillId="22" applyFill="true">
      <alignment horizontal="center" vertical="center"/>
    </xf>
    <xf fontId="13357" applyFont="true" borderId="8" applyBorder="true" applyNumberFormat="true" numFmtId="1" fillId="22" applyFill="true">
      <alignment horizontal="center" vertical="center"/>
    </xf>
    <xf fontId="13358" applyFont="true" borderId="8" applyBorder="true" applyNumberFormat="true" numFmtId="167" fillId="22" applyFill="true">
      <alignment horizontal="center" vertical="center"/>
    </xf>
    <xf fontId="13359" applyFont="true" borderId="8" applyBorder="true" applyNumberFormat="true" numFmtId="1" fillId="22" applyFill="true">
      <alignment horizontal="center" vertical="center"/>
    </xf>
    <xf fontId="13360" applyFont="true" borderId="8" applyBorder="true" applyNumberFormat="true" numFmtId="167" fillId="22" applyFill="true">
      <alignment horizontal="center" vertical="center"/>
    </xf>
    <xf fontId="13361" applyFont="true" borderId="8" applyBorder="true" applyNumberFormat="true" numFmtId="167" fillId="22" applyFill="true">
      <alignment horizontal="center" vertical="center"/>
    </xf>
    <xf fontId="13362" applyFont="true" borderId="8" applyBorder="true" applyNumberFormat="true" numFmtId="1" fillId="22" applyFill="true">
      <alignment horizontal="center" vertical="center"/>
    </xf>
    <xf fontId="13363" applyFont="true" borderId="8" applyBorder="true" applyNumberFormat="true" numFmtId="1" fillId="22" applyFill="true">
      <alignment horizontal="center" vertical="center"/>
    </xf>
    <xf fontId="13364" applyFont="true" borderId="8" applyBorder="true" applyNumberFormat="true" numFmtId="1" fillId="22" applyFill="true">
      <alignment horizontal="center" vertical="center"/>
    </xf>
    <xf fontId="13365" applyFont="true" borderId="8" applyBorder="true" applyNumberFormat="true" numFmtId="167" fillId="22" applyFill="true">
      <alignment horizontal="center" vertical="center"/>
    </xf>
    <xf fontId="13366" applyFont="true" borderId="8" applyBorder="true" applyNumberFormat="true" numFmtId="166" fillId="22" applyFill="true">
      <alignment horizontal="center" vertical="center"/>
    </xf>
    <xf fontId="13367" applyFont="true" borderId="8" applyBorder="true" applyNumberFormat="true" numFmtId="166" fillId="22" applyFill="true">
      <alignment horizontal="center" vertical="center"/>
    </xf>
    <xf fontId="13368" applyFont="true" borderId="8" applyBorder="true" applyNumberFormat="true" numFmtId="1" fillId="22" applyFill="true">
      <alignment horizontal="center" vertical="center"/>
    </xf>
    <xf fontId="13369" applyFont="true" borderId="8" applyBorder="true" applyNumberFormat="true" numFmtId="1" fillId="22" applyFill="true">
      <alignment horizontal="center" vertical="center"/>
    </xf>
    <xf fontId="13370" applyFont="true" borderId="8" applyBorder="true" applyNumberFormat="true" numFmtId="1" fillId="22" applyFill="true">
      <alignment horizontal="center" vertical="center"/>
    </xf>
    <xf fontId="13371" applyFont="true" borderId="8" applyBorder="true" applyNumberFormat="true" numFmtId="167" fillId="22" applyFill="true">
      <alignment horizontal="center" vertical="center"/>
    </xf>
    <xf fontId="13372" applyFont="true" borderId="8" applyBorder="true" applyNumberFormat="true" numFmtId="1" fillId="22" applyFill="true">
      <alignment horizontal="center" vertical="center"/>
    </xf>
    <xf fontId="13373" applyFont="true" borderId="8" applyBorder="true" applyNumberFormat="true" numFmtId="167" fillId="22" applyFill="true">
      <alignment horizontal="center" vertical="center"/>
    </xf>
    <xf fontId="13374" applyFont="true" borderId="8" applyBorder="true" applyNumberFormat="true" numFmtId="1" fillId="22" applyFill="true">
      <alignment horizontal="center" vertical="center"/>
    </xf>
    <xf fontId="13375" applyFont="true" borderId="8" applyBorder="true" applyNumberFormat="true" numFmtId="1" fillId="22" applyFill="true">
      <alignment horizontal="center" vertical="center"/>
    </xf>
    <xf fontId="13376" applyFont="true" borderId="8" applyBorder="true" applyNumberFormat="true" numFmtId="1" fillId="22" applyFill="true">
      <alignment horizontal="center" vertical="center"/>
    </xf>
    <xf fontId="13377" applyFont="true" borderId="8" applyBorder="true" applyNumberFormat="true" numFmtId="1" fillId="22" applyFill="true">
      <alignment horizontal="center" vertical="center"/>
    </xf>
    <xf fontId="13378" applyFont="true" borderId="8" applyBorder="true" applyNumberFormat="true" numFmtId="167" fillId="22" applyFill="true">
      <alignment horizontal="center" vertical="center"/>
    </xf>
    <xf fontId="13379" applyFont="true" borderId="8" applyBorder="true" applyNumberFormat="true" numFmtId="1" fillId="22" applyFill="true">
      <alignment horizontal="center" vertical="center"/>
    </xf>
    <xf fontId="13380" applyFont="true" borderId="8" applyBorder="true" applyNumberFormat="true" numFmtId="167" fillId="22" applyFill="true">
      <alignment horizontal="center" vertical="center"/>
    </xf>
    <xf fontId="13381" applyFont="true" borderId="8" applyBorder="true" applyNumberFormat="true" numFmtId="1" fillId="22" applyFill="true">
      <alignment horizontal="center" vertical="center"/>
    </xf>
    <xf fontId="13382" applyFont="true" borderId="8" applyBorder="true" applyNumberFormat="true" numFmtId="167" fillId="22" applyFill="true">
      <alignment horizontal="center" vertical="center"/>
    </xf>
    <xf fontId="13383" applyFont="true" borderId="8" applyBorder="true" applyNumberFormat="true" numFmtId="2" fillId="22" applyFill="true">
      <alignment horizontal="center" vertical="center"/>
    </xf>
    <xf fontId="13384" applyFont="true" borderId="8" applyBorder="true" applyNumberFormat="true" numFmtId="2" fillId="22" applyFill="true">
      <alignment horizontal="center" vertical="center"/>
    </xf>
    <xf fontId="13385" applyFont="true" borderId="8" applyBorder="true" applyNumberFormat="true" numFmtId="2" fillId="22" applyFill="true">
      <alignment horizontal="center" vertical="center"/>
    </xf>
    <xf fontId="13386" applyFont="true" borderId="8" applyBorder="true" applyNumberFormat="true" numFmtId="2" fillId="22" applyFill="true">
      <alignment horizontal="center" vertical="center"/>
    </xf>
    <xf fontId="13387" applyFont="true" borderId="8" applyBorder="true" applyNumberFormat="true" numFmtId="2" fillId="22" applyFill="true">
      <alignment horizontal="center" vertical="center"/>
    </xf>
    <xf fontId="13388" applyFont="true" borderId="8" applyBorder="true" applyNumberFormat="true" numFmtId="2" fillId="22" applyFill="true">
      <alignment horizontal="center" vertical="center"/>
    </xf>
    <xf fontId="13389" applyFont="true" borderId="8" applyBorder="true" applyNumberFormat="true" numFmtId="2" fillId="22" applyFill="true">
      <alignment horizontal="center" vertical="center"/>
    </xf>
    <xf fontId="13390" applyFont="true" borderId="8" applyBorder="true" applyNumberFormat="true" numFmtId="2" fillId="22" applyFill="true">
      <alignment horizontal="center" vertical="center"/>
    </xf>
    <xf fontId="13391" applyFont="true" borderId="8" applyBorder="true" applyNumberFormat="true" numFmtId="2" fillId="22" applyFill="true">
      <alignment horizontal="center" vertical="center"/>
    </xf>
    <xf fontId="13392" applyFont="true" borderId="8" applyBorder="true" applyNumberFormat="true" numFmtId="2" fillId="22" applyFill="true">
      <alignment horizontal="center" vertical="center"/>
    </xf>
    <xf fontId="13393" applyFont="true" borderId="8" applyBorder="true" applyNumberFormat="true" numFmtId="2" fillId="22" applyFill="true">
      <alignment horizontal="center" vertical="center"/>
    </xf>
    <xf fontId="13394" applyFont="true" borderId="8" applyBorder="true" applyNumberFormat="true" numFmtId="2" fillId="22" applyFill="true">
      <alignment horizontal="center" vertical="center"/>
    </xf>
    <xf fontId="13395" applyFont="true" borderId="8" applyBorder="true" applyNumberFormat="true" numFmtId="2" fillId="22" applyFill="true">
      <alignment horizontal="center" vertical="center"/>
    </xf>
    <xf fontId="13396" applyFont="true" borderId="8" applyBorder="true" applyNumberFormat="true" numFmtId="2" fillId="22" applyFill="true">
      <alignment horizontal="center" vertical="center"/>
    </xf>
    <xf fontId="13397" applyFont="true" borderId="8" applyBorder="true" applyNumberFormat="true" numFmtId="2" fillId="22" applyFill="true">
      <alignment horizontal="center" vertical="center"/>
    </xf>
    <xf fontId="13398" applyFont="true" borderId="8" applyBorder="true" applyNumberFormat="true" numFmtId="2" fillId="22" applyFill="true">
      <alignment horizontal="center" vertical="center"/>
    </xf>
    <xf fontId="13399" applyFont="true" borderId="8" applyBorder="true" applyNumberFormat="true" numFmtId="2" fillId="22" applyFill="true">
      <alignment horizontal="center" vertical="center"/>
    </xf>
    <xf fontId="13400" applyFont="true" borderId="8" applyBorder="true" applyNumberFormat="true" numFmtId="2" fillId="22" applyFill="true">
      <alignment horizontal="center" vertical="center"/>
    </xf>
    <xf fontId="13401" applyFont="true" borderId="8" applyBorder="true" applyNumberFormat="true" numFmtId="2" fillId="22" applyFill="true">
      <alignment horizontal="center" vertical="center"/>
    </xf>
    <xf fontId="13402" applyFont="true" borderId="8" applyBorder="true" applyNumberFormat="true" numFmtId="2" fillId="22" applyFill="true">
      <alignment horizontal="center" vertical="center"/>
    </xf>
    <xf fontId="13403" applyFont="true" borderId="8" applyBorder="true" applyNumberFormat="true" numFmtId="2" fillId="22" applyFill="true">
      <alignment horizontal="center" vertical="center"/>
    </xf>
    <xf fontId="13404" applyFont="true" borderId="8" applyBorder="true" applyNumberFormat="true" numFmtId="2" fillId="22" applyFill="true">
      <alignment horizontal="center" vertical="center"/>
    </xf>
    <xf fontId="13405" applyFont="true" borderId="8" applyBorder="true" applyNumberFormat="true" numFmtId="2" fillId="22" applyFill="true">
      <alignment horizontal="center" vertical="center"/>
    </xf>
    <xf fontId="13406" applyFont="true" borderId="8" applyBorder="true" applyNumberFormat="true" numFmtId="2" fillId="22" applyFill="true">
      <alignment horizontal="center" vertical="center"/>
    </xf>
    <xf fontId="13407" applyFont="true" borderId="8" applyBorder="true" applyNumberFormat="true" numFmtId="2" fillId="22" applyFill="true">
      <alignment horizontal="center" vertical="center"/>
    </xf>
    <xf fontId="13408" applyFont="true" borderId="8" applyBorder="true" applyNumberFormat="true" numFmtId="2" fillId="22" applyFill="true">
      <alignment horizontal="center" vertical="center"/>
    </xf>
    <xf fontId="13409" applyFont="true" borderId="8" applyBorder="true" applyNumberFormat="true" numFmtId="2" fillId="22" applyFill="true">
      <alignment horizontal="center" vertical="center"/>
    </xf>
    <xf fontId="13410" applyFont="true" borderId="8" applyBorder="true" applyNumberFormat="true" numFmtId="2" fillId="22" applyFill="true">
      <alignment horizontal="center" vertical="center"/>
    </xf>
    <xf fontId="13411" applyFont="true" borderId="8" applyBorder="true" applyNumberFormat="true" numFmtId="2" fillId="22" applyFill="true">
      <alignment horizontal="center" vertical="center"/>
    </xf>
    <xf fontId="13412" applyFont="true" borderId="8" applyBorder="true" applyNumberFormat="true" numFmtId="2" fillId="22" applyFill="true">
      <alignment horizontal="center" vertical="center"/>
    </xf>
    <xf fontId="13413" applyFont="true" borderId="8" applyBorder="true" applyNumberFormat="true" numFmtId="2" fillId="22" applyFill="true">
      <alignment horizontal="center" vertical="center"/>
    </xf>
    <xf fontId="13414" applyFont="true" borderId="8" applyBorder="true" applyNumberFormat="true" numFmtId="2" fillId="22" applyFill="true">
      <alignment horizontal="center" vertical="center"/>
    </xf>
    <xf fontId="13415" applyFont="true" borderId="8" applyBorder="true" applyNumberFormat="true" numFmtId="2" fillId="22" applyFill="true">
      <alignment horizontal="center" vertical="center"/>
    </xf>
    <xf fontId="13416" applyFont="true" borderId="8" applyBorder="true" applyNumberFormat="true" numFmtId="2" fillId="22" applyFill="true">
      <alignment horizontal="center" vertical="center"/>
    </xf>
    <xf fontId="13417" applyFont="true" borderId="8" applyBorder="true" applyNumberFormat="true" numFmtId="165" fillId="19" applyFill="true">
      <alignment horizontal="left" vertical="center"/>
    </xf>
    <xf fontId="13418" applyFont="true" borderId="8" applyBorder="true" applyNumberFormat="true" numFmtId="165" fillId="22" applyFill="true">
      <alignment horizontal="center" vertical="center"/>
    </xf>
    <xf fontId="13419" applyFont="true" borderId="8" applyBorder="true" applyNumberFormat="true" numFmtId="166" fillId="22" applyFill="true">
      <alignment horizontal="center" vertical="center"/>
    </xf>
    <xf fontId="13420" applyFont="true" borderId="8" applyBorder="true" applyNumberFormat="true" numFmtId="1" fillId="22" applyFill="true">
      <alignment horizontal="center" vertical="center"/>
    </xf>
    <xf fontId="13421" applyFont="true" borderId="8" applyBorder="true" applyNumberFormat="true" numFmtId="1" fillId="22" applyFill="true">
      <alignment horizontal="center" vertical="center"/>
    </xf>
    <xf fontId="13422" applyFont="true" borderId="8" applyBorder="true" applyNumberFormat="true" numFmtId="1" fillId="22" applyFill="true">
      <alignment horizontal="center" vertical="center"/>
    </xf>
    <xf fontId="13423" applyFont="true" borderId="8" applyBorder="true" applyNumberFormat="true" numFmtId="1" fillId="22" applyFill="true">
      <alignment horizontal="center" vertical="center"/>
    </xf>
    <xf fontId="13424" applyFont="true" borderId="8" applyBorder="true" applyNumberFormat="true" numFmtId="1" fillId="22" applyFill="true">
      <alignment horizontal="center" vertical="center"/>
    </xf>
    <xf fontId="13425" applyFont="true" borderId="8" applyBorder="true" applyNumberFormat="true" numFmtId="1" fillId="22" applyFill="true">
      <alignment horizontal="center" vertical="center"/>
    </xf>
    <xf fontId="13426" applyFont="true" borderId="8" applyBorder="true" applyNumberFormat="true" numFmtId="1" fillId="22" applyFill="true">
      <alignment horizontal="center" vertical="center"/>
    </xf>
    <xf fontId="13427" applyFont="true" borderId="8" applyBorder="true" applyNumberFormat="true" numFmtId="165" fillId="22" applyFill="true">
      <alignment horizontal="center" vertical="center"/>
    </xf>
    <xf fontId="13428" applyFont="true" borderId="8" applyBorder="true" applyNumberFormat="true" numFmtId="165" fillId="22" applyFill="true">
      <alignment horizontal="center" vertical="center"/>
    </xf>
    <xf fontId="13429" applyFont="true" borderId="8" applyBorder="true" applyNumberFormat="true" numFmtId="1" fillId="22" applyFill="true">
      <alignment horizontal="center" vertical="center"/>
    </xf>
    <xf fontId="13430" applyFont="true" borderId="8" applyBorder="true" applyNumberFormat="true" numFmtId="1" fillId="22" applyFill="true">
      <alignment horizontal="center" vertical="center"/>
    </xf>
    <xf fontId="13431" applyFont="true" borderId="8" applyBorder="true" applyNumberFormat="true" numFmtId="1" fillId="22" applyFill="true">
      <alignment horizontal="center" vertical="center"/>
    </xf>
    <xf fontId="13432" applyFont="true" borderId="8" applyBorder="true" applyNumberFormat="true" numFmtId="167" fillId="22" applyFill="true">
      <alignment horizontal="center" vertical="center"/>
    </xf>
    <xf fontId="13433" applyFont="true" borderId="8" applyBorder="true" applyNumberFormat="true" numFmtId="1" fillId="22" applyFill="true">
      <alignment horizontal="center" vertical="center"/>
    </xf>
    <xf fontId="13434" applyFont="true" borderId="8" applyBorder="true" applyNumberFormat="true" numFmtId="167" fillId="22" applyFill="true">
      <alignment horizontal="center" vertical="center"/>
    </xf>
    <xf fontId="13435" applyFont="true" borderId="8" applyBorder="true" applyNumberFormat="true" numFmtId="1" fillId="22" applyFill="true">
      <alignment horizontal="center" vertical="center"/>
    </xf>
    <xf fontId="13436" applyFont="true" borderId="8" applyBorder="true" applyNumberFormat="true" numFmtId="167" fillId="22" applyFill="true">
      <alignment horizontal="center" vertical="center"/>
    </xf>
    <xf fontId="13437" applyFont="true" borderId="8" applyBorder="true" applyNumberFormat="true" numFmtId="1" fillId="22" applyFill="true">
      <alignment horizontal="center" vertical="center"/>
    </xf>
    <xf fontId="13438" applyFont="true" borderId="8" applyBorder="true" applyNumberFormat="true" numFmtId="167" fillId="22" applyFill="true">
      <alignment horizontal="center" vertical="center"/>
    </xf>
    <xf fontId="13439" applyFont="true" borderId="8" applyBorder="true" applyNumberFormat="true" numFmtId="167" fillId="22" applyFill="true">
      <alignment horizontal="center" vertical="center"/>
    </xf>
    <xf fontId="13440" applyFont="true" borderId="8" applyBorder="true" applyNumberFormat="true" numFmtId="1" fillId="22" applyFill="true">
      <alignment horizontal="center" vertical="center"/>
    </xf>
    <xf fontId="13441" applyFont="true" borderId="8" applyBorder="true" applyNumberFormat="true" numFmtId="1" fillId="22" applyFill="true">
      <alignment horizontal="center" vertical="center"/>
    </xf>
    <xf fontId="13442" applyFont="true" borderId="8" applyBorder="true" applyNumberFormat="true" numFmtId="1" fillId="22" applyFill="true">
      <alignment horizontal="center" vertical="center"/>
    </xf>
    <xf fontId="13443" applyFont="true" borderId="8" applyBorder="true" applyNumberFormat="true" numFmtId="167" fillId="22" applyFill="true">
      <alignment horizontal="center" vertical="center"/>
    </xf>
    <xf fontId="13444" applyFont="true" borderId="8" applyBorder="true" applyNumberFormat="true" numFmtId="166" fillId="22" applyFill="true">
      <alignment horizontal="center" vertical="center"/>
    </xf>
    <xf fontId="13445" applyFont="true" borderId="8" applyBorder="true" applyNumberFormat="true" numFmtId="166" fillId="22" applyFill="true">
      <alignment horizontal="center" vertical="center"/>
    </xf>
    <xf fontId="13446" applyFont="true" borderId="8" applyBorder="true" applyNumberFormat="true" numFmtId="1" fillId="22" applyFill="true">
      <alignment horizontal="center" vertical="center"/>
    </xf>
    <xf fontId="13447" applyFont="true" borderId="8" applyBorder="true" applyNumberFormat="true" numFmtId="1" fillId="22" applyFill="true">
      <alignment horizontal="center" vertical="center"/>
    </xf>
    <xf fontId="13448" applyFont="true" borderId="8" applyBorder="true" applyNumberFormat="true" numFmtId="1" fillId="22" applyFill="true">
      <alignment horizontal="center" vertical="center"/>
    </xf>
    <xf fontId="13449" applyFont="true" borderId="8" applyBorder="true" applyNumberFormat="true" numFmtId="167" fillId="22" applyFill="true">
      <alignment horizontal="center" vertical="center"/>
    </xf>
    <xf fontId="13450" applyFont="true" borderId="8" applyBorder="true" applyNumberFormat="true" numFmtId="1" fillId="22" applyFill="true">
      <alignment horizontal="center" vertical="center"/>
    </xf>
    <xf fontId="13451" applyFont="true" borderId="8" applyBorder="true" applyNumberFormat="true" numFmtId="167" fillId="22" applyFill="true">
      <alignment horizontal="center" vertical="center"/>
    </xf>
    <xf fontId="13452" applyFont="true" borderId="8" applyBorder="true" applyNumberFormat="true" numFmtId="1" fillId="22" applyFill="true">
      <alignment horizontal="center" vertical="center"/>
    </xf>
    <xf fontId="13453" applyFont="true" borderId="8" applyBorder="true" applyNumberFormat="true" numFmtId="1" fillId="22" applyFill="true">
      <alignment horizontal="center" vertical="center"/>
    </xf>
    <xf fontId="13454" applyFont="true" borderId="8" applyBorder="true" applyNumberFormat="true" numFmtId="1" fillId="22" applyFill="true">
      <alignment horizontal="center" vertical="center"/>
    </xf>
    <xf fontId="13455" applyFont="true" borderId="8" applyBorder="true" applyNumberFormat="true" numFmtId="1" fillId="22" applyFill="true">
      <alignment horizontal="center" vertical="center"/>
    </xf>
    <xf fontId="13456" applyFont="true" borderId="8" applyBorder="true" applyNumberFormat="true" numFmtId="167" fillId="22" applyFill="true">
      <alignment horizontal="center" vertical="center"/>
    </xf>
    <xf fontId="13457" applyFont="true" borderId="8" applyBorder="true" applyNumberFormat="true" numFmtId="1" fillId="22" applyFill="true">
      <alignment horizontal="center" vertical="center"/>
    </xf>
    <xf fontId="13458" applyFont="true" borderId="8" applyBorder="true" applyNumberFormat="true" numFmtId="167" fillId="22" applyFill="true">
      <alignment horizontal="center" vertical="center"/>
    </xf>
    <xf fontId="13459" applyFont="true" borderId="8" applyBorder="true" applyNumberFormat="true" numFmtId="1" fillId="22" applyFill="true">
      <alignment horizontal="center" vertical="center"/>
    </xf>
    <xf fontId="13460" applyFont="true" borderId="8" applyBorder="true" applyNumberFormat="true" numFmtId="167" fillId="22" applyFill="true">
      <alignment horizontal="center" vertical="center"/>
    </xf>
    <xf fontId="13461" applyFont="true" borderId="8" applyBorder="true" applyNumberFormat="true" numFmtId="2" fillId="22" applyFill="true">
      <alignment horizontal="center" vertical="center"/>
    </xf>
    <xf fontId="13462" applyFont="true" borderId="8" applyBorder="true" applyNumberFormat="true" numFmtId="2" fillId="22" applyFill="true">
      <alignment horizontal="center" vertical="center"/>
    </xf>
    <xf fontId="13463" applyFont="true" borderId="8" applyBorder="true" applyNumberFormat="true" numFmtId="2" fillId="22" applyFill="true">
      <alignment horizontal="center" vertical="center"/>
    </xf>
    <xf fontId="13464" applyFont="true" borderId="8" applyBorder="true" applyNumberFormat="true" numFmtId="2" fillId="22" applyFill="true">
      <alignment horizontal="center" vertical="center"/>
    </xf>
    <xf fontId="13465" applyFont="true" borderId="8" applyBorder="true" applyNumberFormat="true" numFmtId="2" fillId="22" applyFill="true">
      <alignment horizontal="center" vertical="center"/>
    </xf>
    <xf fontId="13466" applyFont="true" borderId="8" applyBorder="true" applyNumberFormat="true" numFmtId="2" fillId="22" applyFill="true">
      <alignment horizontal="center" vertical="center"/>
    </xf>
    <xf fontId="13467" applyFont="true" borderId="8" applyBorder="true" applyNumberFormat="true" numFmtId="2" fillId="22" applyFill="true">
      <alignment horizontal="center" vertical="center"/>
    </xf>
    <xf fontId="13468" applyFont="true" borderId="8" applyBorder="true" applyNumberFormat="true" numFmtId="2" fillId="22" applyFill="true">
      <alignment horizontal="center" vertical="center"/>
    </xf>
    <xf fontId="13469" applyFont="true" borderId="8" applyBorder="true" applyNumberFormat="true" numFmtId="2" fillId="22" applyFill="true">
      <alignment horizontal="center" vertical="center"/>
    </xf>
    <xf fontId="13470" applyFont="true" borderId="8" applyBorder="true" applyNumberFormat="true" numFmtId="2" fillId="22" applyFill="true">
      <alignment horizontal="center" vertical="center"/>
    </xf>
    <xf fontId="13471" applyFont="true" borderId="8" applyBorder="true" applyNumberFormat="true" numFmtId="2" fillId="22" applyFill="true">
      <alignment horizontal="center" vertical="center"/>
    </xf>
    <xf fontId="13472" applyFont="true" borderId="8" applyBorder="true" applyNumberFormat="true" numFmtId="2" fillId="22" applyFill="true">
      <alignment horizontal="center" vertical="center"/>
    </xf>
    <xf fontId="13473" applyFont="true" borderId="8" applyBorder="true" applyNumberFormat="true" numFmtId="2" fillId="22" applyFill="true">
      <alignment horizontal="center" vertical="center"/>
    </xf>
    <xf fontId="13474" applyFont="true" borderId="8" applyBorder="true" applyNumberFormat="true" numFmtId="2" fillId="22" applyFill="true">
      <alignment horizontal="center" vertical="center"/>
    </xf>
    <xf fontId="13475" applyFont="true" borderId="8" applyBorder="true" applyNumberFormat="true" numFmtId="2" fillId="22" applyFill="true">
      <alignment horizontal="center" vertical="center"/>
    </xf>
    <xf fontId="13476" applyFont="true" borderId="8" applyBorder="true" applyNumberFormat="true" numFmtId="2" fillId="22" applyFill="true">
      <alignment horizontal="center" vertical="center"/>
    </xf>
    <xf fontId="13477" applyFont="true" borderId="8" applyBorder="true" applyNumberFormat="true" numFmtId="2" fillId="22" applyFill="true">
      <alignment horizontal="center" vertical="center"/>
    </xf>
    <xf fontId="13478" applyFont="true" borderId="8" applyBorder="true" applyNumberFormat="true" numFmtId="2" fillId="22" applyFill="true">
      <alignment horizontal="center" vertical="center"/>
    </xf>
    <xf fontId="13479" applyFont="true" borderId="8" applyBorder="true" applyNumberFormat="true" numFmtId="2" fillId="22" applyFill="true">
      <alignment horizontal="center" vertical="center"/>
    </xf>
    <xf fontId="13480" applyFont="true" borderId="8" applyBorder="true" applyNumberFormat="true" numFmtId="2" fillId="22" applyFill="true">
      <alignment horizontal="center" vertical="center"/>
    </xf>
    <xf fontId="13481" applyFont="true" borderId="8" applyBorder="true" applyNumberFormat="true" numFmtId="2" fillId="22" applyFill="true">
      <alignment horizontal="center" vertical="center"/>
    </xf>
    <xf fontId="13482" applyFont="true" borderId="8" applyBorder="true" applyNumberFormat="true" numFmtId="2" fillId="22" applyFill="true">
      <alignment horizontal="center" vertical="center"/>
    </xf>
    <xf fontId="13483" applyFont="true" borderId="8" applyBorder="true" applyNumberFormat="true" numFmtId="2" fillId="22" applyFill="true">
      <alignment horizontal="center" vertical="center"/>
    </xf>
    <xf fontId="13484" applyFont="true" borderId="8" applyBorder="true" applyNumberFormat="true" numFmtId="2" fillId="22" applyFill="true">
      <alignment horizontal="center" vertical="center"/>
    </xf>
    <xf fontId="13485" applyFont="true" borderId="8" applyBorder="true" applyNumberFormat="true" numFmtId="2" fillId="22" applyFill="true">
      <alignment horizontal="center" vertical="center"/>
    </xf>
    <xf fontId="13486" applyFont="true" borderId="8" applyBorder="true" applyNumberFormat="true" numFmtId="2" fillId="22" applyFill="true">
      <alignment horizontal="center" vertical="center"/>
    </xf>
    <xf fontId="13487" applyFont="true" borderId="8" applyBorder="true" applyNumberFormat="true" numFmtId="2" fillId="22" applyFill="true">
      <alignment horizontal="center" vertical="center"/>
    </xf>
    <xf fontId="13488" applyFont="true" borderId="8" applyBorder="true" applyNumberFormat="true" numFmtId="2" fillId="22" applyFill="true">
      <alignment horizontal="center" vertical="center"/>
    </xf>
    <xf fontId="13489" applyFont="true" borderId="8" applyBorder="true" applyNumberFormat="true" numFmtId="2" fillId="22" applyFill="true">
      <alignment horizontal="center" vertical="center"/>
    </xf>
    <xf fontId="13490" applyFont="true" borderId="8" applyBorder="true" applyNumberFormat="true" numFmtId="2" fillId="22" applyFill="true">
      <alignment horizontal="center" vertical="center"/>
    </xf>
    <xf fontId="13491" applyFont="true" borderId="8" applyBorder="true" applyNumberFormat="true" numFmtId="2" fillId="22" applyFill="true">
      <alignment horizontal="center" vertical="center"/>
    </xf>
    <xf fontId="13492" applyFont="true" borderId="8" applyBorder="true" applyNumberFormat="true" numFmtId="2" fillId="22" applyFill="true">
      <alignment horizontal="center" vertical="center"/>
    </xf>
    <xf fontId="13493" applyFont="true" borderId="8" applyBorder="true" applyNumberFormat="true" numFmtId="2" fillId="22" applyFill="true">
      <alignment horizontal="center" vertical="center"/>
    </xf>
    <xf fontId="13494" applyFont="true" borderId="8" applyBorder="true" applyNumberFormat="true" numFmtId="2" fillId="22" applyFill="true">
      <alignment horizontal="center" vertical="center"/>
    </xf>
    <xf fontId="13495" applyFont="true" borderId="8" applyBorder="true" applyNumberFormat="true" numFmtId="165" fillId="19" applyFill="true">
      <alignment horizontal="left" vertical="center"/>
    </xf>
    <xf fontId="13496" applyFont="true" borderId="8" applyBorder="true" applyNumberFormat="true" numFmtId="165" fillId="22" applyFill="true">
      <alignment horizontal="center" vertical="center"/>
    </xf>
    <xf fontId="13497" applyFont="true" borderId="8" applyBorder="true" applyNumberFormat="true" numFmtId="166" fillId="22" applyFill="true">
      <alignment horizontal="center" vertical="center"/>
    </xf>
    <xf fontId="13498" applyFont="true" borderId="8" applyBorder="true" applyNumberFormat="true" numFmtId="1" fillId="22" applyFill="true">
      <alignment horizontal="center" vertical="center"/>
    </xf>
    <xf fontId="13499" applyFont="true" borderId="8" applyBorder="true" applyNumberFormat="true" numFmtId="1" fillId="22" applyFill="true">
      <alignment horizontal="center" vertical="center"/>
    </xf>
    <xf fontId="13500" applyFont="true" borderId="8" applyBorder="true" applyNumberFormat="true" numFmtId="1" fillId="22" applyFill="true">
      <alignment horizontal="center" vertical="center"/>
    </xf>
    <xf fontId="13501" applyFont="true" borderId="8" applyBorder="true" applyNumberFormat="true" numFmtId="1" fillId="22" applyFill="true">
      <alignment horizontal="center" vertical="center"/>
    </xf>
    <xf fontId="13502" applyFont="true" borderId="8" applyBorder="true" applyNumberFormat="true" numFmtId="1" fillId="22" applyFill="true">
      <alignment horizontal="center" vertical="center"/>
    </xf>
    <xf fontId="13503" applyFont="true" borderId="8" applyBorder="true" applyNumberFormat="true" numFmtId="1" fillId="22" applyFill="true">
      <alignment horizontal="center" vertical="center"/>
    </xf>
    <xf fontId="13504" applyFont="true" borderId="8" applyBorder="true" applyNumberFormat="true" numFmtId="1" fillId="22" applyFill="true">
      <alignment horizontal="center" vertical="center"/>
    </xf>
    <xf fontId="13505" applyFont="true" borderId="8" applyBorder="true" applyNumberFormat="true" numFmtId="165" fillId="22" applyFill="true">
      <alignment horizontal="center" vertical="center"/>
    </xf>
    <xf fontId="13506" applyFont="true" borderId="8" applyBorder="true" applyNumberFormat="true" numFmtId="165" fillId="22" applyFill="true">
      <alignment horizontal="center" vertical="center"/>
    </xf>
    <xf fontId="13507" applyFont="true" borderId="8" applyBorder="true" applyNumberFormat="true" numFmtId="1" fillId="22" applyFill="true">
      <alignment horizontal="center" vertical="center"/>
    </xf>
    <xf fontId="13508" applyFont="true" borderId="8" applyBorder="true" applyNumberFormat="true" numFmtId="1" fillId="22" applyFill="true">
      <alignment horizontal="center" vertical="center"/>
    </xf>
    <xf fontId="13509" applyFont="true" borderId="8" applyBorder="true" applyNumberFormat="true" numFmtId="1" fillId="22" applyFill="true">
      <alignment horizontal="center" vertical="center"/>
    </xf>
    <xf fontId="13510" applyFont="true" borderId="8" applyBorder="true" applyNumberFormat="true" numFmtId="167" fillId="22" applyFill="true">
      <alignment horizontal="center" vertical="center"/>
    </xf>
    <xf fontId="13511" applyFont="true" borderId="8" applyBorder="true" applyNumberFormat="true" numFmtId="1" fillId="22" applyFill="true">
      <alignment horizontal="center" vertical="center"/>
    </xf>
    <xf fontId="13512" applyFont="true" borderId="8" applyBorder="true" applyNumberFormat="true" numFmtId="167" fillId="22" applyFill="true">
      <alignment horizontal="center" vertical="center"/>
    </xf>
    <xf fontId="13513" applyFont="true" borderId="8" applyBorder="true" applyNumberFormat="true" numFmtId="1" fillId="22" applyFill="true">
      <alignment horizontal="center" vertical="center"/>
    </xf>
    <xf fontId="13514" applyFont="true" borderId="8" applyBorder="true" applyNumberFormat="true" numFmtId="167" fillId="22" applyFill="true">
      <alignment horizontal="center" vertical="center"/>
    </xf>
    <xf fontId="13515" applyFont="true" borderId="8" applyBorder="true" applyNumberFormat="true" numFmtId="1" fillId="22" applyFill="true">
      <alignment horizontal="center" vertical="center"/>
    </xf>
    <xf fontId="13516" applyFont="true" borderId="8" applyBorder="true" applyNumberFormat="true" numFmtId="167" fillId="22" applyFill="true">
      <alignment horizontal="center" vertical="center"/>
    </xf>
    <xf fontId="13517" applyFont="true" borderId="8" applyBorder="true" applyNumberFormat="true" numFmtId="167" fillId="22" applyFill="true">
      <alignment horizontal="center" vertical="center"/>
    </xf>
    <xf fontId="13518" applyFont="true" borderId="8" applyBorder="true" applyNumberFormat="true" numFmtId="1" fillId="22" applyFill="true">
      <alignment horizontal="center" vertical="center"/>
    </xf>
    <xf fontId="13519" applyFont="true" borderId="8" applyBorder="true" applyNumberFormat="true" numFmtId="1" fillId="22" applyFill="true">
      <alignment horizontal="center" vertical="center"/>
    </xf>
    <xf fontId="13520" applyFont="true" borderId="8" applyBorder="true" applyNumberFormat="true" numFmtId="1" fillId="22" applyFill="true">
      <alignment horizontal="center" vertical="center"/>
    </xf>
    <xf fontId="13521" applyFont="true" borderId="8" applyBorder="true" applyNumberFormat="true" numFmtId="167" fillId="22" applyFill="true">
      <alignment horizontal="center" vertical="center"/>
    </xf>
    <xf fontId="13522" applyFont="true" borderId="8" applyBorder="true" applyNumberFormat="true" numFmtId="166" fillId="22" applyFill="true">
      <alignment horizontal="center" vertical="center"/>
    </xf>
    <xf fontId="13523" applyFont="true" borderId="8" applyBorder="true" applyNumberFormat="true" numFmtId="166" fillId="22" applyFill="true">
      <alignment horizontal="center" vertical="center"/>
    </xf>
    <xf fontId="13524" applyFont="true" borderId="8" applyBorder="true" applyNumberFormat="true" numFmtId="1" fillId="22" applyFill="true">
      <alignment horizontal="center" vertical="center"/>
    </xf>
    <xf fontId="13525" applyFont="true" borderId="8" applyBorder="true" applyNumberFormat="true" numFmtId="1" fillId="22" applyFill="true">
      <alignment horizontal="center" vertical="center"/>
    </xf>
    <xf fontId="13526" applyFont="true" borderId="8" applyBorder="true" applyNumberFormat="true" numFmtId="1" fillId="22" applyFill="true">
      <alignment horizontal="center" vertical="center"/>
    </xf>
    <xf fontId="13527" applyFont="true" borderId="8" applyBorder="true" applyNumberFormat="true" numFmtId="167" fillId="22" applyFill="true">
      <alignment horizontal="center" vertical="center"/>
    </xf>
    <xf fontId="13528" applyFont="true" borderId="8" applyBorder="true" applyNumberFormat="true" numFmtId="1" fillId="22" applyFill="true">
      <alignment horizontal="center" vertical="center"/>
    </xf>
    <xf fontId="13529" applyFont="true" borderId="8" applyBorder="true" applyNumberFormat="true" numFmtId="167" fillId="22" applyFill="true">
      <alignment horizontal="center" vertical="center"/>
    </xf>
    <xf fontId="13530" applyFont="true" borderId="8" applyBorder="true" applyNumberFormat="true" numFmtId="1" fillId="22" applyFill="true">
      <alignment horizontal="center" vertical="center"/>
    </xf>
    <xf fontId="13531" applyFont="true" borderId="8" applyBorder="true" applyNumberFormat="true" numFmtId="1" fillId="22" applyFill="true">
      <alignment horizontal="center" vertical="center"/>
    </xf>
    <xf fontId="13532" applyFont="true" borderId="8" applyBorder="true" applyNumberFormat="true" numFmtId="1" fillId="22" applyFill="true">
      <alignment horizontal="center" vertical="center"/>
    </xf>
    <xf fontId="13533" applyFont="true" borderId="8" applyBorder="true" applyNumberFormat="true" numFmtId="1" fillId="22" applyFill="true">
      <alignment horizontal="center" vertical="center"/>
    </xf>
    <xf fontId="13534" applyFont="true" borderId="8" applyBorder="true" applyNumberFormat="true" numFmtId="167" fillId="22" applyFill="true">
      <alignment horizontal="center" vertical="center"/>
    </xf>
    <xf fontId="13535" applyFont="true" borderId="8" applyBorder="true" applyNumberFormat="true" numFmtId="1" fillId="22" applyFill="true">
      <alignment horizontal="center" vertical="center"/>
    </xf>
    <xf fontId="13536" applyFont="true" borderId="8" applyBorder="true" applyNumberFormat="true" numFmtId="167" fillId="22" applyFill="true">
      <alignment horizontal="center" vertical="center"/>
    </xf>
    <xf fontId="13537" applyFont="true" borderId="8" applyBorder="true" applyNumberFormat="true" numFmtId="1" fillId="22" applyFill="true">
      <alignment horizontal="center" vertical="center"/>
    </xf>
    <xf fontId="13538" applyFont="true" borderId="8" applyBorder="true" applyNumberFormat="true" numFmtId="167" fillId="22" applyFill="true">
      <alignment horizontal="center" vertical="center"/>
    </xf>
    <xf fontId="13539" applyFont="true" borderId="8" applyBorder="true" applyNumberFormat="true" numFmtId="2" fillId="22" applyFill="true">
      <alignment horizontal="center" vertical="center"/>
    </xf>
    <xf fontId="13540" applyFont="true" borderId="8" applyBorder="true" applyNumberFormat="true" numFmtId="2" fillId="22" applyFill="true">
      <alignment horizontal="center" vertical="center"/>
    </xf>
    <xf fontId="13541" applyFont="true" borderId="8" applyBorder="true" applyNumberFormat="true" numFmtId="2" fillId="22" applyFill="true">
      <alignment horizontal="center" vertical="center"/>
    </xf>
    <xf fontId="13542" applyFont="true" borderId="8" applyBorder="true" applyNumberFormat="true" numFmtId="2" fillId="22" applyFill="true">
      <alignment horizontal="center" vertical="center"/>
    </xf>
    <xf fontId="13543" applyFont="true" borderId="8" applyBorder="true" applyNumberFormat="true" numFmtId="2" fillId="22" applyFill="true">
      <alignment horizontal="center" vertical="center"/>
    </xf>
    <xf fontId="13544" applyFont="true" borderId="8" applyBorder="true" applyNumberFormat="true" numFmtId="2" fillId="22" applyFill="true">
      <alignment horizontal="center" vertical="center"/>
    </xf>
    <xf fontId="13545" applyFont="true" borderId="8" applyBorder="true" applyNumberFormat="true" numFmtId="2" fillId="22" applyFill="true">
      <alignment horizontal="center" vertical="center"/>
    </xf>
    <xf fontId="13546" applyFont="true" borderId="8" applyBorder="true" applyNumberFormat="true" numFmtId="2" fillId="22" applyFill="true">
      <alignment horizontal="center" vertical="center"/>
    </xf>
    <xf fontId="13547" applyFont="true" borderId="8" applyBorder="true" applyNumberFormat="true" numFmtId="2" fillId="22" applyFill="true">
      <alignment horizontal="center" vertical="center"/>
    </xf>
    <xf fontId="13548" applyFont="true" borderId="8" applyBorder="true" applyNumberFormat="true" numFmtId="2" fillId="22" applyFill="true">
      <alignment horizontal="center" vertical="center"/>
    </xf>
    <xf fontId="13549" applyFont="true" borderId="8" applyBorder="true" applyNumberFormat="true" numFmtId="2" fillId="22" applyFill="true">
      <alignment horizontal="center" vertical="center"/>
    </xf>
    <xf fontId="13550" applyFont="true" borderId="8" applyBorder="true" applyNumberFormat="true" numFmtId="2" fillId="22" applyFill="true">
      <alignment horizontal="center" vertical="center"/>
    </xf>
    <xf fontId="13551" applyFont="true" borderId="8" applyBorder="true" applyNumberFormat="true" numFmtId="2" fillId="22" applyFill="true">
      <alignment horizontal="center" vertical="center"/>
    </xf>
    <xf fontId="13552" applyFont="true" borderId="8" applyBorder="true" applyNumberFormat="true" numFmtId="2" fillId="22" applyFill="true">
      <alignment horizontal="center" vertical="center"/>
    </xf>
    <xf fontId="13553" applyFont="true" borderId="8" applyBorder="true" applyNumberFormat="true" numFmtId="2" fillId="22" applyFill="true">
      <alignment horizontal="center" vertical="center"/>
    </xf>
    <xf fontId="13554" applyFont="true" borderId="8" applyBorder="true" applyNumberFormat="true" numFmtId="2" fillId="22" applyFill="true">
      <alignment horizontal="center" vertical="center"/>
    </xf>
    <xf fontId="13555" applyFont="true" borderId="8" applyBorder="true" applyNumberFormat="true" numFmtId="2" fillId="22" applyFill="true">
      <alignment horizontal="center" vertical="center"/>
    </xf>
    <xf fontId="13556" applyFont="true" borderId="8" applyBorder="true" applyNumberFormat="true" numFmtId="2" fillId="22" applyFill="true">
      <alignment horizontal="center" vertical="center"/>
    </xf>
    <xf fontId="13557" applyFont="true" borderId="8" applyBorder="true" applyNumberFormat="true" numFmtId="2" fillId="22" applyFill="true">
      <alignment horizontal="center" vertical="center"/>
    </xf>
    <xf fontId="13558" applyFont="true" borderId="8" applyBorder="true" applyNumberFormat="true" numFmtId="2" fillId="22" applyFill="true">
      <alignment horizontal="center" vertical="center"/>
    </xf>
    <xf fontId="13559" applyFont="true" borderId="8" applyBorder="true" applyNumberFormat="true" numFmtId="2" fillId="22" applyFill="true">
      <alignment horizontal="center" vertical="center"/>
    </xf>
    <xf fontId="13560" applyFont="true" borderId="8" applyBorder="true" applyNumberFormat="true" numFmtId="2" fillId="22" applyFill="true">
      <alignment horizontal="center" vertical="center"/>
    </xf>
    <xf fontId="13561" applyFont="true" borderId="8" applyBorder="true" applyNumberFormat="true" numFmtId="2" fillId="22" applyFill="true">
      <alignment horizontal="center" vertical="center"/>
    </xf>
    <xf fontId="13562" applyFont="true" borderId="8" applyBorder="true" applyNumberFormat="true" numFmtId="2" fillId="22" applyFill="true">
      <alignment horizontal="center" vertical="center"/>
    </xf>
    <xf fontId="13563" applyFont="true" borderId="8" applyBorder="true" applyNumberFormat="true" numFmtId="2" fillId="22" applyFill="true">
      <alignment horizontal="center" vertical="center"/>
    </xf>
    <xf fontId="13564" applyFont="true" borderId="8" applyBorder="true" applyNumberFormat="true" numFmtId="2" fillId="22" applyFill="true">
      <alignment horizontal="center" vertical="center"/>
    </xf>
    <xf fontId="13565" applyFont="true" borderId="8" applyBorder="true" applyNumberFormat="true" numFmtId="2" fillId="22" applyFill="true">
      <alignment horizontal="center" vertical="center"/>
    </xf>
    <xf fontId="13566" applyFont="true" borderId="8" applyBorder="true" applyNumberFormat="true" numFmtId="2" fillId="22" applyFill="true">
      <alignment horizontal="center" vertical="center"/>
    </xf>
    <xf fontId="13567" applyFont="true" borderId="8" applyBorder="true" applyNumberFormat="true" numFmtId="2" fillId="22" applyFill="true">
      <alignment horizontal="center" vertical="center"/>
    </xf>
    <xf fontId="13568" applyFont="true" borderId="8" applyBorder="true" applyNumberFormat="true" numFmtId="2" fillId="22" applyFill="true">
      <alignment horizontal="center" vertical="center"/>
    </xf>
    <xf fontId="13569" applyFont="true" borderId="8" applyBorder="true" applyNumberFormat="true" numFmtId="2" fillId="22" applyFill="true">
      <alignment horizontal="center" vertical="center"/>
    </xf>
    <xf fontId="13570" applyFont="true" borderId="8" applyBorder="true" applyNumberFormat="true" numFmtId="2" fillId="22" applyFill="true">
      <alignment horizontal="center" vertical="center"/>
    </xf>
    <xf fontId="13571" applyFont="true" borderId="8" applyBorder="true" applyNumberFormat="true" numFmtId="2" fillId="22" applyFill="true">
      <alignment horizontal="center" vertical="center"/>
    </xf>
    <xf fontId="13572" applyFont="true" borderId="8" applyBorder="true" applyNumberFormat="true" numFmtId="2" fillId="22" applyFill="true">
      <alignment horizontal="center" vertical="center"/>
    </xf>
    <xf fontId="13573" applyFont="true" borderId="8" applyBorder="true" applyNumberFormat="true" numFmtId="165" fillId="19" applyFill="true">
      <alignment horizontal="left" vertical="center"/>
    </xf>
    <xf fontId="13574" applyFont="true" borderId="8" applyBorder="true" applyNumberFormat="true" numFmtId="165" fillId="22" applyFill="true">
      <alignment horizontal="center" vertical="center"/>
    </xf>
    <xf fontId="13575" applyFont="true" borderId="8" applyBorder="true" applyNumberFormat="true" numFmtId="166" fillId="22" applyFill="true">
      <alignment horizontal="center" vertical="center"/>
    </xf>
    <xf fontId="13576" applyFont="true" borderId="8" applyBorder="true" applyNumberFormat="true" numFmtId="1" fillId="22" applyFill="true">
      <alignment horizontal="center" vertical="center"/>
    </xf>
    <xf fontId="13577" applyFont="true" borderId="8" applyBorder="true" applyNumberFormat="true" numFmtId="1" fillId="22" applyFill="true">
      <alignment horizontal="center" vertical="center"/>
    </xf>
    <xf fontId="13578" applyFont="true" borderId="8" applyBorder="true" applyNumberFormat="true" numFmtId="1" fillId="22" applyFill="true">
      <alignment horizontal="center" vertical="center"/>
    </xf>
    <xf fontId="13579" applyFont="true" borderId="8" applyBorder="true" applyNumberFormat="true" numFmtId="1" fillId="22" applyFill="true">
      <alignment horizontal="center" vertical="center"/>
    </xf>
    <xf fontId="13580" applyFont="true" borderId="8" applyBorder="true" applyNumberFormat="true" numFmtId="1" fillId="22" applyFill="true">
      <alignment horizontal="center" vertical="center"/>
    </xf>
    <xf fontId="13581" applyFont="true" borderId="8" applyBorder="true" applyNumberFormat="true" numFmtId="1" fillId="22" applyFill="true">
      <alignment horizontal="center" vertical="center"/>
    </xf>
    <xf fontId="13582" applyFont="true" borderId="8" applyBorder="true" applyNumberFormat="true" numFmtId="1" fillId="22" applyFill="true">
      <alignment horizontal="center" vertical="center"/>
    </xf>
    <xf fontId="13583" applyFont="true" borderId="8" applyBorder="true" applyNumberFormat="true" numFmtId="165" fillId="22" applyFill="true">
      <alignment horizontal="center" vertical="center"/>
    </xf>
    <xf fontId="13584" applyFont="true" borderId="8" applyBorder="true" applyNumberFormat="true" numFmtId="165" fillId="22" applyFill="true">
      <alignment horizontal="center" vertical="center"/>
    </xf>
    <xf fontId="13585" applyFont="true" borderId="8" applyBorder="true" applyNumberFormat="true" numFmtId="1" fillId="22" applyFill="true">
      <alignment horizontal="center" vertical="center"/>
    </xf>
    <xf fontId="13586" applyFont="true" borderId="8" applyBorder="true" applyNumberFormat="true" numFmtId="1" fillId="22" applyFill="true">
      <alignment horizontal="center" vertical="center"/>
    </xf>
    <xf fontId="13587" applyFont="true" borderId="8" applyBorder="true" applyNumberFormat="true" numFmtId="1" fillId="22" applyFill="true">
      <alignment horizontal="center" vertical="center"/>
    </xf>
    <xf fontId="13588" applyFont="true" borderId="8" applyBorder="true" applyNumberFormat="true" numFmtId="167" fillId="22" applyFill="true">
      <alignment horizontal="center" vertical="center"/>
    </xf>
    <xf fontId="13589" applyFont="true" borderId="8" applyBorder="true" applyNumberFormat="true" numFmtId="1" fillId="22" applyFill="true">
      <alignment horizontal="center" vertical="center"/>
    </xf>
    <xf fontId="13590" applyFont="true" borderId="8" applyBorder="true" applyNumberFormat="true" numFmtId="167" fillId="22" applyFill="true">
      <alignment horizontal="center" vertical="center"/>
    </xf>
    <xf fontId="13591" applyFont="true" borderId="8" applyBorder="true" applyNumberFormat="true" numFmtId="1" fillId="22" applyFill="true">
      <alignment horizontal="center" vertical="center"/>
    </xf>
    <xf fontId="13592" applyFont="true" borderId="8" applyBorder="true" applyNumberFormat="true" numFmtId="167" fillId="22" applyFill="true">
      <alignment horizontal="center" vertical="center"/>
    </xf>
    <xf fontId="13593" applyFont="true" borderId="8" applyBorder="true" applyNumberFormat="true" numFmtId="1" fillId="22" applyFill="true">
      <alignment horizontal="center" vertical="center"/>
    </xf>
    <xf fontId="13594" applyFont="true" borderId="8" applyBorder="true" applyNumberFormat="true" numFmtId="167" fillId="22" applyFill="true">
      <alignment horizontal="center" vertical="center"/>
    </xf>
    <xf fontId="13595" applyFont="true" borderId="8" applyBorder="true" applyNumberFormat="true" numFmtId="167" fillId="22" applyFill="true">
      <alignment horizontal="center" vertical="center"/>
    </xf>
    <xf fontId="13596" applyFont="true" borderId="8" applyBorder="true" applyNumberFormat="true" numFmtId="1" fillId="22" applyFill="true">
      <alignment horizontal="center" vertical="center"/>
    </xf>
    <xf fontId="13597" applyFont="true" borderId="8" applyBorder="true" applyNumberFormat="true" numFmtId="1" fillId="22" applyFill="true">
      <alignment horizontal="center" vertical="center"/>
    </xf>
    <xf fontId="13598" applyFont="true" borderId="8" applyBorder="true" applyNumberFormat="true" numFmtId="1" fillId="22" applyFill="true">
      <alignment horizontal="center" vertical="center"/>
    </xf>
    <xf fontId="13599" applyFont="true" borderId="8" applyBorder="true" applyNumberFormat="true" numFmtId="167" fillId="22" applyFill="true">
      <alignment horizontal="center" vertical="center"/>
    </xf>
    <xf fontId="13600" applyFont="true" borderId="8" applyBorder="true" applyNumberFormat="true" numFmtId="166" fillId="22" applyFill="true">
      <alignment horizontal="center" vertical="center"/>
    </xf>
    <xf fontId="13601" applyFont="true" borderId="8" applyBorder="true" applyNumberFormat="true" numFmtId="166" fillId="22" applyFill="true">
      <alignment horizontal="center" vertical="center"/>
    </xf>
    <xf fontId="13602" applyFont="true" borderId="8" applyBorder="true" applyNumberFormat="true" numFmtId="1" fillId="22" applyFill="true">
      <alignment horizontal="center" vertical="center"/>
    </xf>
    <xf fontId="13603" applyFont="true" borderId="8" applyBorder="true" applyNumberFormat="true" numFmtId="1" fillId="22" applyFill="true">
      <alignment horizontal="center" vertical="center"/>
    </xf>
    <xf fontId="13604" applyFont="true" borderId="8" applyBorder="true" applyNumberFormat="true" numFmtId="1" fillId="22" applyFill="true">
      <alignment horizontal="center" vertical="center"/>
    </xf>
    <xf fontId="13605" applyFont="true" borderId="8" applyBorder="true" applyNumberFormat="true" numFmtId="167" fillId="22" applyFill="true">
      <alignment horizontal="center" vertical="center"/>
    </xf>
    <xf fontId="13606" applyFont="true" borderId="8" applyBorder="true" applyNumberFormat="true" numFmtId="1" fillId="22" applyFill="true">
      <alignment horizontal="center" vertical="center"/>
    </xf>
    <xf fontId="13607" applyFont="true" borderId="8" applyBorder="true" applyNumberFormat="true" numFmtId="167" fillId="22" applyFill="true">
      <alignment horizontal="center" vertical="center"/>
    </xf>
    <xf fontId="13608" applyFont="true" borderId="8" applyBorder="true" applyNumberFormat="true" numFmtId="1" fillId="22" applyFill="true">
      <alignment horizontal="center" vertical="center"/>
    </xf>
    <xf fontId="13609" applyFont="true" borderId="8" applyBorder="true" applyNumberFormat="true" numFmtId="1" fillId="22" applyFill="true">
      <alignment horizontal="center" vertical="center"/>
    </xf>
    <xf fontId="13610" applyFont="true" borderId="8" applyBorder="true" applyNumberFormat="true" numFmtId="1" fillId="22" applyFill="true">
      <alignment horizontal="center" vertical="center"/>
    </xf>
    <xf fontId="13611" applyFont="true" borderId="8" applyBorder="true" applyNumberFormat="true" numFmtId="1" fillId="22" applyFill="true">
      <alignment horizontal="center" vertical="center"/>
    </xf>
    <xf fontId="13612" applyFont="true" borderId="8" applyBorder="true" applyNumberFormat="true" numFmtId="167" fillId="22" applyFill="true">
      <alignment horizontal="center" vertical="center"/>
    </xf>
    <xf fontId="13613" applyFont="true" borderId="8" applyBorder="true" applyNumberFormat="true" numFmtId="1" fillId="22" applyFill="true">
      <alignment horizontal="center" vertical="center"/>
    </xf>
    <xf fontId="13614" applyFont="true" borderId="8" applyBorder="true" applyNumberFormat="true" numFmtId="167" fillId="22" applyFill="true">
      <alignment horizontal="center" vertical="center"/>
    </xf>
    <xf fontId="13615" applyFont="true" borderId="8" applyBorder="true" applyNumberFormat="true" numFmtId="1" fillId="22" applyFill="true">
      <alignment horizontal="center" vertical="center"/>
    </xf>
    <xf fontId="13616" applyFont="true" borderId="8" applyBorder="true" applyNumberFormat="true" numFmtId="167" fillId="22" applyFill="true">
      <alignment horizontal="center" vertical="center"/>
    </xf>
    <xf fontId="13617" applyFont="true" borderId="8" applyBorder="true" applyNumberFormat="true" numFmtId="2" fillId="22" applyFill="true">
      <alignment horizontal="center" vertical="center"/>
    </xf>
    <xf fontId="13618" applyFont="true" borderId="8" applyBorder="true" applyNumberFormat="true" numFmtId="2" fillId="22" applyFill="true">
      <alignment horizontal="center" vertical="center"/>
    </xf>
    <xf fontId="13619" applyFont="true" borderId="8" applyBorder="true" applyNumberFormat="true" numFmtId="2" fillId="22" applyFill="true">
      <alignment horizontal="center" vertical="center"/>
    </xf>
    <xf fontId="13620" applyFont="true" borderId="8" applyBorder="true" applyNumberFormat="true" numFmtId="2" fillId="22" applyFill="true">
      <alignment horizontal="center" vertical="center"/>
    </xf>
    <xf fontId="13621" applyFont="true" borderId="8" applyBorder="true" applyNumberFormat="true" numFmtId="2" fillId="22" applyFill="true">
      <alignment horizontal="center" vertical="center"/>
    </xf>
    <xf fontId="13622" applyFont="true" borderId="8" applyBorder="true" applyNumberFormat="true" numFmtId="2" fillId="22" applyFill="true">
      <alignment horizontal="center" vertical="center"/>
    </xf>
    <xf fontId="13623" applyFont="true" borderId="8" applyBorder="true" applyNumberFormat="true" numFmtId="2" fillId="22" applyFill="true">
      <alignment horizontal="center" vertical="center"/>
    </xf>
    <xf fontId="13624" applyFont="true" borderId="8" applyBorder="true" applyNumberFormat="true" numFmtId="2" fillId="22" applyFill="true">
      <alignment horizontal="center" vertical="center"/>
    </xf>
    <xf fontId="13625" applyFont="true" borderId="8" applyBorder="true" applyNumberFormat="true" numFmtId="2" fillId="22" applyFill="true">
      <alignment horizontal="center" vertical="center"/>
    </xf>
    <xf fontId="13626" applyFont="true" borderId="8" applyBorder="true" applyNumberFormat="true" numFmtId="2" fillId="22" applyFill="true">
      <alignment horizontal="center" vertical="center"/>
    </xf>
    <xf fontId="13627" applyFont="true" borderId="8" applyBorder="true" applyNumberFormat="true" numFmtId="2" fillId="22" applyFill="true">
      <alignment horizontal="center" vertical="center"/>
    </xf>
    <xf fontId="13628" applyFont="true" borderId="8" applyBorder="true" applyNumberFormat="true" numFmtId="2" fillId="22" applyFill="true">
      <alignment horizontal="center" vertical="center"/>
    </xf>
    <xf fontId="13629" applyFont="true" borderId="8" applyBorder="true" applyNumberFormat="true" numFmtId="2" fillId="22" applyFill="true">
      <alignment horizontal="center" vertical="center"/>
    </xf>
    <xf fontId="13630" applyFont="true" borderId="8" applyBorder="true" applyNumberFormat="true" numFmtId="2" fillId="22" applyFill="true">
      <alignment horizontal="center" vertical="center"/>
    </xf>
    <xf fontId="13631" applyFont="true" borderId="8" applyBorder="true" applyNumberFormat="true" numFmtId="2" fillId="22" applyFill="true">
      <alignment horizontal="center" vertical="center"/>
    </xf>
    <xf fontId="13632" applyFont="true" borderId="8" applyBorder="true" applyNumberFormat="true" numFmtId="2" fillId="22" applyFill="true">
      <alignment horizontal="center" vertical="center"/>
    </xf>
    <xf fontId="13633" applyFont="true" borderId="8" applyBorder="true" applyNumberFormat="true" numFmtId="2" fillId="22" applyFill="true">
      <alignment horizontal="center" vertical="center"/>
    </xf>
    <xf fontId="13634" applyFont="true" borderId="8" applyBorder="true" applyNumberFormat="true" numFmtId="2" fillId="22" applyFill="true">
      <alignment horizontal="center" vertical="center"/>
    </xf>
    <xf fontId="13635" applyFont="true" borderId="8" applyBorder="true" applyNumberFormat="true" numFmtId="2" fillId="22" applyFill="true">
      <alignment horizontal="center" vertical="center"/>
    </xf>
    <xf fontId="13636" applyFont="true" borderId="8" applyBorder="true" applyNumberFormat="true" numFmtId="2" fillId="22" applyFill="true">
      <alignment horizontal="center" vertical="center"/>
    </xf>
    <xf fontId="13637" applyFont="true" borderId="8" applyBorder="true" applyNumberFormat="true" numFmtId="2" fillId="22" applyFill="true">
      <alignment horizontal="center" vertical="center"/>
    </xf>
    <xf fontId="13638" applyFont="true" borderId="8" applyBorder="true" applyNumberFormat="true" numFmtId="2" fillId="22" applyFill="true">
      <alignment horizontal="center" vertical="center"/>
    </xf>
    <xf fontId="13639" applyFont="true" borderId="8" applyBorder="true" applyNumberFormat="true" numFmtId="2" fillId="22" applyFill="true">
      <alignment horizontal="center" vertical="center"/>
    </xf>
    <xf fontId="13640" applyFont="true" borderId="8" applyBorder="true" applyNumberFormat="true" numFmtId="2" fillId="22" applyFill="true">
      <alignment horizontal="center" vertical="center"/>
    </xf>
    <xf fontId="13641" applyFont="true" borderId="8" applyBorder="true" applyNumberFormat="true" numFmtId="2" fillId="22" applyFill="true">
      <alignment horizontal="center" vertical="center"/>
    </xf>
    <xf fontId="13642" applyFont="true" borderId="8" applyBorder="true" applyNumberFormat="true" numFmtId="2" fillId="22" applyFill="true">
      <alignment horizontal="center" vertical="center"/>
    </xf>
    <xf fontId="13643" applyFont="true" borderId="8" applyBorder="true" applyNumberFormat="true" numFmtId="2" fillId="22" applyFill="true">
      <alignment horizontal="center" vertical="center"/>
    </xf>
    <xf fontId="13644" applyFont="true" borderId="8" applyBorder="true" applyNumberFormat="true" numFmtId="2" fillId="22" applyFill="true">
      <alignment horizontal="center" vertical="center"/>
    </xf>
    <xf fontId="13645" applyFont="true" borderId="8" applyBorder="true" applyNumberFormat="true" numFmtId="2" fillId="22" applyFill="true">
      <alignment horizontal="center" vertical="center"/>
    </xf>
    <xf fontId="13646" applyFont="true" borderId="8" applyBorder="true" applyNumberFormat="true" numFmtId="2" fillId="22" applyFill="true">
      <alignment horizontal="center" vertical="center"/>
    </xf>
    <xf fontId="13647" applyFont="true" borderId="8" applyBorder="true" applyNumberFormat="true" numFmtId="2" fillId="22" applyFill="true">
      <alignment horizontal="center" vertical="center"/>
    </xf>
    <xf fontId="13648" applyFont="true" borderId="8" applyBorder="true" applyNumberFormat="true" numFmtId="2" fillId="22" applyFill="true">
      <alignment horizontal="center" vertical="center"/>
    </xf>
    <xf fontId="13649" applyFont="true" borderId="8" applyBorder="true" applyNumberFormat="true" numFmtId="2" fillId="22" applyFill="true">
      <alignment horizontal="center" vertical="center"/>
    </xf>
    <xf fontId="13650" applyFont="true" borderId="8" applyBorder="true" applyNumberFormat="true" numFmtId="2" fillId="22" applyFill="true">
      <alignment horizontal="center" vertical="center"/>
    </xf>
    <xf fontId="13651" applyFont="true" borderId="8" applyBorder="true" applyNumberFormat="true" numFmtId="165" fillId="19" applyFill="true">
      <alignment horizontal="left" vertical="center"/>
    </xf>
    <xf fontId="13652" applyFont="true" borderId="8" applyBorder="true" applyNumberFormat="true" numFmtId="165" fillId="22" applyFill="true">
      <alignment horizontal="center" vertical="center"/>
    </xf>
    <xf fontId="13653" applyFont="true" borderId="8" applyBorder="true" applyNumberFormat="true" numFmtId="166" fillId="22" applyFill="true">
      <alignment horizontal="center" vertical="center"/>
    </xf>
    <xf fontId="13654" applyFont="true" borderId="8" applyBorder="true" applyNumberFormat="true" numFmtId="1" fillId="22" applyFill="true">
      <alignment horizontal="center" vertical="center"/>
    </xf>
    <xf fontId="13655" applyFont="true" borderId="8" applyBorder="true" applyNumberFormat="true" numFmtId="1" fillId="22" applyFill="true">
      <alignment horizontal="center" vertical="center"/>
    </xf>
    <xf fontId="13656" applyFont="true" borderId="8" applyBorder="true" applyNumberFormat="true" numFmtId="1" fillId="22" applyFill="true">
      <alignment horizontal="center" vertical="center"/>
    </xf>
    <xf fontId="13657" applyFont="true" borderId="8" applyBorder="true" applyNumberFormat="true" numFmtId="1" fillId="22" applyFill="true">
      <alignment horizontal="center" vertical="center"/>
    </xf>
    <xf fontId="13658" applyFont="true" borderId="8" applyBorder="true" applyNumberFormat="true" numFmtId="1" fillId="22" applyFill="true">
      <alignment horizontal="center" vertical="center"/>
    </xf>
    <xf fontId="13659" applyFont="true" borderId="8" applyBorder="true" applyNumberFormat="true" numFmtId="1" fillId="22" applyFill="true">
      <alignment horizontal="center" vertical="center"/>
    </xf>
    <xf fontId="13660" applyFont="true" borderId="8" applyBorder="true" applyNumberFormat="true" numFmtId="1" fillId="22" applyFill="true">
      <alignment horizontal="center" vertical="center"/>
    </xf>
    <xf fontId="13661" applyFont="true" borderId="8" applyBorder="true" applyNumberFormat="true" numFmtId="165" fillId="22" applyFill="true">
      <alignment horizontal="center" vertical="center"/>
    </xf>
    <xf fontId="13662" applyFont="true" borderId="8" applyBorder="true" applyNumberFormat="true" numFmtId="165" fillId="22" applyFill="true">
      <alignment horizontal="center" vertical="center"/>
    </xf>
    <xf fontId="13663" applyFont="true" borderId="8" applyBorder="true" applyNumberFormat="true" numFmtId="1" fillId="22" applyFill="true">
      <alignment horizontal="center" vertical="center"/>
    </xf>
    <xf fontId="13664" applyFont="true" borderId="8" applyBorder="true" applyNumberFormat="true" numFmtId="1" fillId="22" applyFill="true">
      <alignment horizontal="center" vertical="center"/>
    </xf>
    <xf fontId="13665" applyFont="true" borderId="8" applyBorder="true" applyNumberFormat="true" numFmtId="1" fillId="22" applyFill="true">
      <alignment horizontal="center" vertical="center"/>
    </xf>
    <xf fontId="13666" applyFont="true" borderId="8" applyBorder="true" applyNumberFormat="true" numFmtId="167" fillId="22" applyFill="true">
      <alignment horizontal="center" vertical="center"/>
    </xf>
    <xf fontId="13667" applyFont="true" borderId="8" applyBorder="true" applyNumberFormat="true" numFmtId="1" fillId="22" applyFill="true">
      <alignment horizontal="center" vertical="center"/>
    </xf>
    <xf fontId="13668" applyFont="true" borderId="8" applyBorder="true" applyNumberFormat="true" numFmtId="167" fillId="22" applyFill="true">
      <alignment horizontal="center" vertical="center"/>
    </xf>
    <xf fontId="13669" applyFont="true" borderId="8" applyBorder="true" applyNumberFormat="true" numFmtId="1" fillId="22" applyFill="true">
      <alignment horizontal="center" vertical="center"/>
    </xf>
    <xf fontId="13670" applyFont="true" borderId="8" applyBorder="true" applyNumberFormat="true" numFmtId="167" fillId="22" applyFill="true">
      <alignment horizontal="center" vertical="center"/>
    </xf>
    <xf fontId="13671" applyFont="true" borderId="8" applyBorder="true" applyNumberFormat="true" numFmtId="1" fillId="22" applyFill="true">
      <alignment horizontal="center" vertical="center"/>
    </xf>
    <xf fontId="13672" applyFont="true" borderId="8" applyBorder="true" applyNumberFormat="true" numFmtId="167" fillId="22" applyFill="true">
      <alignment horizontal="center" vertical="center"/>
    </xf>
    <xf fontId="13673" applyFont="true" borderId="8" applyBorder="true" applyNumberFormat="true" numFmtId="167" fillId="22" applyFill="true">
      <alignment horizontal="center" vertical="center"/>
    </xf>
    <xf fontId="13674" applyFont="true" borderId="8" applyBorder="true" applyNumberFormat="true" numFmtId="1" fillId="22" applyFill="true">
      <alignment horizontal="center" vertical="center"/>
    </xf>
    <xf fontId="13675" applyFont="true" borderId="8" applyBorder="true" applyNumberFormat="true" numFmtId="1" fillId="22" applyFill="true">
      <alignment horizontal="center" vertical="center"/>
    </xf>
    <xf fontId="13676" applyFont="true" borderId="8" applyBorder="true" applyNumberFormat="true" numFmtId="1" fillId="22" applyFill="true">
      <alignment horizontal="center" vertical="center"/>
    </xf>
    <xf fontId="13677" applyFont="true" borderId="8" applyBorder="true" applyNumberFormat="true" numFmtId="167" fillId="22" applyFill="true">
      <alignment horizontal="center" vertical="center"/>
    </xf>
    <xf fontId="13678" applyFont="true" borderId="8" applyBorder="true" applyNumberFormat="true" numFmtId="166" fillId="22" applyFill="true">
      <alignment horizontal="center" vertical="center"/>
    </xf>
    <xf fontId="13679" applyFont="true" borderId="8" applyBorder="true" applyNumberFormat="true" numFmtId="166" fillId="22" applyFill="true">
      <alignment horizontal="center" vertical="center"/>
    </xf>
    <xf fontId="13680" applyFont="true" borderId="8" applyBorder="true" applyNumberFormat="true" numFmtId="1" fillId="22" applyFill="true">
      <alignment horizontal="center" vertical="center"/>
    </xf>
    <xf fontId="13681" applyFont="true" borderId="8" applyBorder="true" applyNumberFormat="true" numFmtId="1" fillId="22" applyFill="true">
      <alignment horizontal="center" vertical="center"/>
    </xf>
    <xf fontId="13682" applyFont="true" borderId="8" applyBorder="true" applyNumberFormat="true" numFmtId="1" fillId="22" applyFill="true">
      <alignment horizontal="center" vertical="center"/>
    </xf>
    <xf fontId="13683" applyFont="true" borderId="8" applyBorder="true" applyNumberFormat="true" numFmtId="167" fillId="22" applyFill="true">
      <alignment horizontal="center" vertical="center"/>
    </xf>
    <xf fontId="13684" applyFont="true" borderId="8" applyBorder="true" applyNumberFormat="true" numFmtId="1" fillId="22" applyFill="true">
      <alignment horizontal="center" vertical="center"/>
    </xf>
    <xf fontId="13685" applyFont="true" borderId="8" applyBorder="true" applyNumberFormat="true" numFmtId="167" fillId="22" applyFill="true">
      <alignment horizontal="center" vertical="center"/>
    </xf>
    <xf fontId="13686" applyFont="true" borderId="8" applyBorder="true" applyNumberFormat="true" numFmtId="1" fillId="22" applyFill="true">
      <alignment horizontal="center" vertical="center"/>
    </xf>
    <xf fontId="13687" applyFont="true" borderId="8" applyBorder="true" applyNumberFormat="true" numFmtId="1" fillId="22" applyFill="true">
      <alignment horizontal="center" vertical="center"/>
    </xf>
    <xf fontId="13688" applyFont="true" borderId="8" applyBorder="true" applyNumberFormat="true" numFmtId="1" fillId="22" applyFill="true">
      <alignment horizontal="center" vertical="center"/>
    </xf>
    <xf fontId="13689" applyFont="true" borderId="8" applyBorder="true" applyNumberFormat="true" numFmtId="1" fillId="22" applyFill="true">
      <alignment horizontal="center" vertical="center"/>
    </xf>
    <xf fontId="13690" applyFont="true" borderId="8" applyBorder="true" applyNumberFormat="true" numFmtId="167" fillId="22" applyFill="true">
      <alignment horizontal="center" vertical="center"/>
    </xf>
    <xf fontId="13691" applyFont="true" borderId="8" applyBorder="true" applyNumberFormat="true" numFmtId="1" fillId="22" applyFill="true">
      <alignment horizontal="center" vertical="center"/>
    </xf>
    <xf fontId="13692" applyFont="true" borderId="8" applyBorder="true" applyNumberFormat="true" numFmtId="167" fillId="22" applyFill="true">
      <alignment horizontal="center" vertical="center"/>
    </xf>
    <xf fontId="13693" applyFont="true" borderId="8" applyBorder="true" applyNumberFormat="true" numFmtId="1" fillId="22" applyFill="true">
      <alignment horizontal="center" vertical="center"/>
    </xf>
    <xf fontId="13694" applyFont="true" borderId="8" applyBorder="true" applyNumberFormat="true" numFmtId="167" fillId="22" applyFill="true">
      <alignment horizontal="center" vertical="center"/>
    </xf>
    <xf fontId="13695" applyFont="true" borderId="8" applyBorder="true" applyNumberFormat="true" numFmtId="2" fillId="22" applyFill="true">
      <alignment horizontal="center" vertical="center"/>
    </xf>
    <xf fontId="13696" applyFont="true" borderId="8" applyBorder="true" applyNumberFormat="true" numFmtId="2" fillId="22" applyFill="true">
      <alignment horizontal="center" vertical="center"/>
    </xf>
    <xf fontId="13697" applyFont="true" borderId="8" applyBorder="true" applyNumberFormat="true" numFmtId="2" fillId="22" applyFill="true">
      <alignment horizontal="center" vertical="center"/>
    </xf>
    <xf fontId="13698" applyFont="true" borderId="8" applyBorder="true" applyNumberFormat="true" numFmtId="2" fillId="22" applyFill="true">
      <alignment horizontal="center" vertical="center"/>
    </xf>
    <xf fontId="13699" applyFont="true" borderId="8" applyBorder="true" applyNumberFormat="true" numFmtId="2" fillId="22" applyFill="true">
      <alignment horizontal="center" vertical="center"/>
    </xf>
    <xf fontId="13700" applyFont="true" borderId="8" applyBorder="true" applyNumberFormat="true" numFmtId="2" fillId="22" applyFill="true">
      <alignment horizontal="center" vertical="center"/>
    </xf>
    <xf fontId="13701" applyFont="true" borderId="8" applyBorder="true" applyNumberFormat="true" numFmtId="2" fillId="22" applyFill="true">
      <alignment horizontal="center" vertical="center"/>
    </xf>
    <xf fontId="13702" applyFont="true" borderId="8" applyBorder="true" applyNumberFormat="true" numFmtId="2" fillId="22" applyFill="true">
      <alignment horizontal="center" vertical="center"/>
    </xf>
    <xf fontId="13703" applyFont="true" borderId="8" applyBorder="true" applyNumberFormat="true" numFmtId="2" fillId="22" applyFill="true">
      <alignment horizontal="center" vertical="center"/>
    </xf>
    <xf fontId="13704" applyFont="true" borderId="8" applyBorder="true" applyNumberFormat="true" numFmtId="2" fillId="22" applyFill="true">
      <alignment horizontal="center" vertical="center"/>
    </xf>
    <xf fontId="13705" applyFont="true" borderId="8" applyBorder="true" applyNumberFormat="true" numFmtId="2" fillId="22" applyFill="true">
      <alignment horizontal="center" vertical="center"/>
    </xf>
    <xf fontId="13706" applyFont="true" borderId="8" applyBorder="true" applyNumberFormat="true" numFmtId="2" fillId="22" applyFill="true">
      <alignment horizontal="center" vertical="center"/>
    </xf>
    <xf fontId="13707" applyFont="true" borderId="8" applyBorder="true" applyNumberFormat="true" numFmtId="2" fillId="22" applyFill="true">
      <alignment horizontal="center" vertical="center"/>
    </xf>
    <xf fontId="13708" applyFont="true" borderId="8" applyBorder="true" applyNumberFormat="true" numFmtId="2" fillId="22" applyFill="true">
      <alignment horizontal="center" vertical="center"/>
    </xf>
    <xf fontId="13709" applyFont="true" borderId="8" applyBorder="true" applyNumberFormat="true" numFmtId="2" fillId="22" applyFill="true">
      <alignment horizontal="center" vertical="center"/>
    </xf>
    <xf fontId="13710" applyFont="true" borderId="8" applyBorder="true" applyNumberFormat="true" numFmtId="2" fillId="22" applyFill="true">
      <alignment horizontal="center" vertical="center"/>
    </xf>
    <xf fontId="13711" applyFont="true" borderId="8" applyBorder="true" applyNumberFormat="true" numFmtId="2" fillId="22" applyFill="true">
      <alignment horizontal="center" vertical="center"/>
    </xf>
    <xf fontId="13712" applyFont="true" borderId="8" applyBorder="true" applyNumberFormat="true" numFmtId="2" fillId="22" applyFill="true">
      <alignment horizontal="center" vertical="center"/>
    </xf>
    <xf fontId="13713" applyFont="true" borderId="8" applyBorder="true" applyNumberFormat="true" numFmtId="2" fillId="22" applyFill="true">
      <alignment horizontal="center" vertical="center"/>
    </xf>
    <xf fontId="13714" applyFont="true" borderId="8" applyBorder="true" applyNumberFormat="true" numFmtId="2" fillId="22" applyFill="true">
      <alignment horizontal="center" vertical="center"/>
    </xf>
    <xf fontId="13715" applyFont="true" borderId="8" applyBorder="true" applyNumberFormat="true" numFmtId="2" fillId="22" applyFill="true">
      <alignment horizontal="center" vertical="center"/>
    </xf>
    <xf fontId="13716" applyFont="true" borderId="8" applyBorder="true" applyNumberFormat="true" numFmtId="2" fillId="22" applyFill="true">
      <alignment horizontal="center" vertical="center"/>
    </xf>
    <xf fontId="13717" applyFont="true" borderId="8" applyBorder="true" applyNumberFormat="true" numFmtId="2" fillId="22" applyFill="true">
      <alignment horizontal="center" vertical="center"/>
    </xf>
    <xf fontId="13718" applyFont="true" borderId="8" applyBorder="true" applyNumberFormat="true" numFmtId="2" fillId="22" applyFill="true">
      <alignment horizontal="center" vertical="center"/>
    </xf>
    <xf fontId="13719" applyFont="true" borderId="8" applyBorder="true" applyNumberFormat="true" numFmtId="2" fillId="22" applyFill="true">
      <alignment horizontal="center" vertical="center"/>
    </xf>
    <xf fontId="13720" applyFont="true" borderId="8" applyBorder="true" applyNumberFormat="true" numFmtId="2" fillId="22" applyFill="true">
      <alignment horizontal="center" vertical="center"/>
    </xf>
    <xf fontId="13721" applyFont="true" borderId="8" applyBorder="true" applyNumberFormat="true" numFmtId="2" fillId="22" applyFill="true">
      <alignment horizontal="center" vertical="center"/>
    </xf>
    <xf fontId="13722" applyFont="true" borderId="8" applyBorder="true" applyNumberFormat="true" numFmtId="2" fillId="22" applyFill="true">
      <alignment horizontal="center" vertical="center"/>
    </xf>
    <xf fontId="13723" applyFont="true" borderId="8" applyBorder="true" applyNumberFormat="true" numFmtId="2" fillId="22" applyFill="true">
      <alignment horizontal="center" vertical="center"/>
    </xf>
    <xf fontId="13724" applyFont="true" borderId="8" applyBorder="true" applyNumberFormat="true" numFmtId="2" fillId="22" applyFill="true">
      <alignment horizontal="center" vertical="center"/>
    </xf>
    <xf fontId="13725" applyFont="true" borderId="8" applyBorder="true" applyNumberFormat="true" numFmtId="2" fillId="22" applyFill="true">
      <alignment horizontal="center" vertical="center"/>
    </xf>
    <xf fontId="13726" applyFont="true" borderId="8" applyBorder="true" applyNumberFormat="true" numFmtId="2" fillId="22" applyFill="true">
      <alignment horizontal="center" vertical="center"/>
    </xf>
    <xf fontId="13727" applyFont="true" borderId="8" applyBorder="true" applyNumberFormat="true" numFmtId="2" fillId="22" applyFill="true">
      <alignment horizontal="center" vertical="center"/>
    </xf>
    <xf fontId="13728" applyFont="true" borderId="8" applyBorder="true" applyNumberFormat="true" numFmtId="2" fillId="22" applyFill="true">
      <alignment horizontal="center" vertical="center"/>
    </xf>
    <xf fontId="13729" applyFont="true" borderId="8" applyBorder="true" applyNumberFormat="true" numFmtId="165" fillId="19" applyFill="true">
      <alignment horizontal="left" vertical="center"/>
    </xf>
    <xf fontId="13730" applyFont="true" borderId="8" applyBorder="true" applyNumberFormat="true" numFmtId="165" fillId="22" applyFill="true">
      <alignment horizontal="center" vertical="center"/>
    </xf>
    <xf fontId="13731" applyFont="true" borderId="8" applyBorder="true" applyNumberFormat="true" numFmtId="166" fillId="22" applyFill="true">
      <alignment horizontal="center" vertical="center"/>
    </xf>
    <xf fontId="13732" applyFont="true" borderId="8" applyBorder="true" applyNumberFormat="true" numFmtId="1" fillId="22" applyFill="true">
      <alignment horizontal="center" vertical="center"/>
    </xf>
    <xf fontId="13733" applyFont="true" borderId="8" applyBorder="true" applyNumberFormat="true" numFmtId="1" fillId="22" applyFill="true">
      <alignment horizontal="center" vertical="center"/>
    </xf>
    <xf fontId="13734" applyFont="true" borderId="8" applyBorder="true" applyNumberFormat="true" numFmtId="1" fillId="22" applyFill="true">
      <alignment horizontal="center" vertical="center"/>
    </xf>
    <xf fontId="13735" applyFont="true" borderId="8" applyBorder="true" applyNumberFormat="true" numFmtId="1" fillId="22" applyFill="true">
      <alignment horizontal="center" vertical="center"/>
    </xf>
    <xf fontId="13736" applyFont="true" borderId="8" applyBorder="true" applyNumberFormat="true" numFmtId="1" fillId="22" applyFill="true">
      <alignment horizontal="center" vertical="center"/>
    </xf>
    <xf fontId="13737" applyFont="true" borderId="8" applyBorder="true" applyNumberFormat="true" numFmtId="1" fillId="22" applyFill="true">
      <alignment horizontal="center" vertical="center"/>
    </xf>
    <xf fontId="13738" applyFont="true" borderId="8" applyBorder="true" applyNumberFormat="true" numFmtId="1" fillId="22" applyFill="true">
      <alignment horizontal="center" vertical="center"/>
    </xf>
    <xf fontId="13739" applyFont="true" borderId="8" applyBorder="true" applyNumberFormat="true" numFmtId="165" fillId="22" applyFill="true">
      <alignment horizontal="center" vertical="center"/>
    </xf>
    <xf fontId="13740" applyFont="true" borderId="8" applyBorder="true" applyNumberFormat="true" numFmtId="165" fillId="22" applyFill="true">
      <alignment horizontal="center" vertical="center"/>
    </xf>
    <xf fontId="13741" applyFont="true" borderId="8" applyBorder="true" applyNumberFormat="true" numFmtId="1" fillId="22" applyFill="true">
      <alignment horizontal="center" vertical="center"/>
    </xf>
    <xf fontId="13742" applyFont="true" borderId="8" applyBorder="true" applyNumberFormat="true" numFmtId="1" fillId="22" applyFill="true">
      <alignment horizontal="center" vertical="center"/>
    </xf>
    <xf fontId="13743" applyFont="true" borderId="8" applyBorder="true" applyNumberFormat="true" numFmtId="1" fillId="22" applyFill="true">
      <alignment horizontal="center" vertical="center"/>
    </xf>
    <xf fontId="13744" applyFont="true" borderId="8" applyBorder="true" applyNumberFormat="true" numFmtId="167" fillId="22" applyFill="true">
      <alignment horizontal="center" vertical="center"/>
    </xf>
    <xf fontId="13745" applyFont="true" borderId="8" applyBorder="true" applyNumberFormat="true" numFmtId="1" fillId="22" applyFill="true">
      <alignment horizontal="center" vertical="center"/>
    </xf>
    <xf fontId="13746" applyFont="true" borderId="8" applyBorder="true" applyNumberFormat="true" numFmtId="167" fillId="22" applyFill="true">
      <alignment horizontal="center" vertical="center"/>
    </xf>
    <xf fontId="13747" applyFont="true" borderId="8" applyBorder="true" applyNumberFormat="true" numFmtId="1" fillId="22" applyFill="true">
      <alignment horizontal="center" vertical="center"/>
    </xf>
    <xf fontId="13748" applyFont="true" borderId="8" applyBorder="true" applyNumberFormat="true" numFmtId="167" fillId="22" applyFill="true">
      <alignment horizontal="center" vertical="center"/>
    </xf>
    <xf fontId="13749" applyFont="true" borderId="8" applyBorder="true" applyNumberFormat="true" numFmtId="1" fillId="22" applyFill="true">
      <alignment horizontal="center" vertical="center"/>
    </xf>
    <xf fontId="13750" applyFont="true" borderId="8" applyBorder="true" applyNumberFormat="true" numFmtId="167" fillId="22" applyFill="true">
      <alignment horizontal="center" vertical="center"/>
    </xf>
    <xf fontId="13751" applyFont="true" borderId="8" applyBorder="true" applyNumberFormat="true" numFmtId="167" fillId="22" applyFill="true">
      <alignment horizontal="center" vertical="center"/>
    </xf>
    <xf fontId="13752" applyFont="true" borderId="8" applyBorder="true" applyNumberFormat="true" numFmtId="1" fillId="22" applyFill="true">
      <alignment horizontal="center" vertical="center"/>
    </xf>
    <xf fontId="13753" applyFont="true" borderId="8" applyBorder="true" applyNumberFormat="true" numFmtId="1" fillId="22" applyFill="true">
      <alignment horizontal="center" vertical="center"/>
    </xf>
    <xf fontId="13754" applyFont="true" borderId="8" applyBorder="true" applyNumberFormat="true" numFmtId="1" fillId="22" applyFill="true">
      <alignment horizontal="center" vertical="center"/>
    </xf>
    <xf fontId="13755" applyFont="true" borderId="8" applyBorder="true" applyNumberFormat="true" numFmtId="167" fillId="22" applyFill="true">
      <alignment horizontal="center" vertical="center"/>
    </xf>
    <xf fontId="13756" applyFont="true" borderId="8" applyBorder="true" applyNumberFormat="true" numFmtId="166" fillId="22" applyFill="true">
      <alignment horizontal="center" vertical="center"/>
    </xf>
    <xf fontId="13757" applyFont="true" borderId="8" applyBorder="true" applyNumberFormat="true" numFmtId="166" fillId="22" applyFill="true">
      <alignment horizontal="center" vertical="center"/>
    </xf>
    <xf fontId="13758" applyFont="true" borderId="8" applyBorder="true" applyNumberFormat="true" numFmtId="1" fillId="22" applyFill="true">
      <alignment horizontal="center" vertical="center"/>
    </xf>
    <xf fontId="13759" applyFont="true" borderId="8" applyBorder="true" applyNumberFormat="true" numFmtId="1" fillId="22" applyFill="true">
      <alignment horizontal="center" vertical="center"/>
    </xf>
    <xf fontId="13760" applyFont="true" borderId="8" applyBorder="true" applyNumberFormat="true" numFmtId="1" fillId="22" applyFill="true">
      <alignment horizontal="center" vertical="center"/>
    </xf>
    <xf fontId="13761" applyFont="true" borderId="8" applyBorder="true" applyNumberFormat="true" numFmtId="167" fillId="22" applyFill="true">
      <alignment horizontal="center" vertical="center"/>
    </xf>
    <xf fontId="13762" applyFont="true" borderId="8" applyBorder="true" applyNumberFormat="true" numFmtId="1" fillId="22" applyFill="true">
      <alignment horizontal="center" vertical="center"/>
    </xf>
    <xf fontId="13763" applyFont="true" borderId="8" applyBorder="true" applyNumberFormat="true" numFmtId="167" fillId="22" applyFill="true">
      <alignment horizontal="center" vertical="center"/>
    </xf>
    <xf fontId="13764" applyFont="true" borderId="8" applyBorder="true" applyNumberFormat="true" numFmtId="1" fillId="22" applyFill="true">
      <alignment horizontal="center" vertical="center"/>
    </xf>
    <xf fontId="13765" applyFont="true" borderId="8" applyBorder="true" applyNumberFormat="true" numFmtId="1" fillId="22" applyFill="true">
      <alignment horizontal="center" vertical="center"/>
    </xf>
    <xf fontId="13766" applyFont="true" borderId="8" applyBorder="true" applyNumberFormat="true" numFmtId="1" fillId="22" applyFill="true">
      <alignment horizontal="center" vertical="center"/>
    </xf>
    <xf fontId="13767" applyFont="true" borderId="8" applyBorder="true" applyNumberFormat="true" numFmtId="1" fillId="22" applyFill="true">
      <alignment horizontal="center" vertical="center"/>
    </xf>
    <xf fontId="13768" applyFont="true" borderId="8" applyBorder="true" applyNumberFormat="true" numFmtId="167" fillId="22" applyFill="true">
      <alignment horizontal="center" vertical="center"/>
    </xf>
    <xf fontId="13769" applyFont="true" borderId="8" applyBorder="true" applyNumberFormat="true" numFmtId="1" fillId="22" applyFill="true">
      <alignment horizontal="center" vertical="center"/>
    </xf>
    <xf fontId="13770" applyFont="true" borderId="8" applyBorder="true" applyNumberFormat="true" numFmtId="167" fillId="22" applyFill="true">
      <alignment horizontal="center" vertical="center"/>
    </xf>
    <xf fontId="13771" applyFont="true" borderId="8" applyBorder="true" applyNumberFormat="true" numFmtId="1" fillId="22" applyFill="true">
      <alignment horizontal="center" vertical="center"/>
    </xf>
    <xf fontId="13772" applyFont="true" borderId="8" applyBorder="true" applyNumberFormat="true" numFmtId="167" fillId="22" applyFill="true">
      <alignment horizontal="center" vertical="center"/>
    </xf>
    <xf fontId="13773" applyFont="true" borderId="8" applyBorder="true" applyNumberFormat="true" numFmtId="2" fillId="22" applyFill="true">
      <alignment horizontal="center" vertical="center"/>
    </xf>
    <xf fontId="13774" applyFont="true" borderId="8" applyBorder="true" applyNumberFormat="true" numFmtId="2" fillId="22" applyFill="true">
      <alignment horizontal="center" vertical="center"/>
    </xf>
    <xf fontId="13775" applyFont="true" borderId="8" applyBorder="true" applyNumberFormat="true" numFmtId="2" fillId="22" applyFill="true">
      <alignment horizontal="center" vertical="center"/>
    </xf>
    <xf fontId="13776" applyFont="true" borderId="8" applyBorder="true" applyNumberFormat="true" numFmtId="2" fillId="22" applyFill="true">
      <alignment horizontal="center" vertical="center"/>
    </xf>
    <xf fontId="13777" applyFont="true" borderId="8" applyBorder="true" applyNumberFormat="true" numFmtId="2" fillId="22" applyFill="true">
      <alignment horizontal="center" vertical="center"/>
    </xf>
    <xf fontId="13778" applyFont="true" borderId="8" applyBorder="true" applyNumberFormat="true" numFmtId="2" fillId="22" applyFill="true">
      <alignment horizontal="center" vertical="center"/>
    </xf>
    <xf fontId="13779" applyFont="true" borderId="8" applyBorder="true" applyNumberFormat="true" numFmtId="2" fillId="22" applyFill="true">
      <alignment horizontal="center" vertical="center"/>
    </xf>
    <xf fontId="13780" applyFont="true" borderId="8" applyBorder="true" applyNumberFormat="true" numFmtId="2" fillId="22" applyFill="true">
      <alignment horizontal="center" vertical="center"/>
    </xf>
    <xf fontId="13781" applyFont="true" borderId="8" applyBorder="true" applyNumberFormat="true" numFmtId="2" fillId="22" applyFill="true">
      <alignment horizontal="center" vertical="center"/>
    </xf>
    <xf fontId="13782" applyFont="true" borderId="8" applyBorder="true" applyNumberFormat="true" numFmtId="2" fillId="22" applyFill="true">
      <alignment horizontal="center" vertical="center"/>
    </xf>
    <xf fontId="13783" applyFont="true" borderId="8" applyBorder="true" applyNumberFormat="true" numFmtId="2" fillId="22" applyFill="true">
      <alignment horizontal="center" vertical="center"/>
    </xf>
    <xf fontId="13784" applyFont="true" borderId="8" applyBorder="true" applyNumberFormat="true" numFmtId="2" fillId="22" applyFill="true">
      <alignment horizontal="center" vertical="center"/>
    </xf>
    <xf fontId="13785" applyFont="true" borderId="8" applyBorder="true" applyNumberFormat="true" numFmtId="2" fillId="22" applyFill="true">
      <alignment horizontal="center" vertical="center"/>
    </xf>
    <xf fontId="13786" applyFont="true" borderId="8" applyBorder="true" applyNumberFormat="true" numFmtId="2" fillId="22" applyFill="true">
      <alignment horizontal="center" vertical="center"/>
    </xf>
    <xf fontId="13787" applyFont="true" borderId="8" applyBorder="true" applyNumberFormat="true" numFmtId="2" fillId="22" applyFill="true">
      <alignment horizontal="center" vertical="center"/>
    </xf>
    <xf fontId="13788" applyFont="true" borderId="8" applyBorder="true" applyNumberFormat="true" numFmtId="2" fillId="22" applyFill="true">
      <alignment horizontal="center" vertical="center"/>
    </xf>
    <xf fontId="13789" applyFont="true" borderId="8" applyBorder="true" applyNumberFormat="true" numFmtId="2" fillId="22" applyFill="true">
      <alignment horizontal="center" vertical="center"/>
    </xf>
    <xf fontId="13790" applyFont="true" borderId="8" applyBorder="true" applyNumberFormat="true" numFmtId="2" fillId="22" applyFill="true">
      <alignment horizontal="center" vertical="center"/>
    </xf>
    <xf fontId="13791" applyFont="true" borderId="8" applyBorder="true" applyNumberFormat="true" numFmtId="2" fillId="22" applyFill="true">
      <alignment horizontal="center" vertical="center"/>
    </xf>
    <xf fontId="13792" applyFont="true" borderId="8" applyBorder="true" applyNumberFormat="true" numFmtId="2" fillId="22" applyFill="true">
      <alignment horizontal="center" vertical="center"/>
    </xf>
    <xf fontId="13793" applyFont="true" borderId="8" applyBorder="true" applyNumberFormat="true" numFmtId="2" fillId="22" applyFill="true">
      <alignment horizontal="center" vertical="center"/>
    </xf>
    <xf fontId="13794" applyFont="true" borderId="8" applyBorder="true" applyNumberFormat="true" numFmtId="2" fillId="22" applyFill="true">
      <alignment horizontal="center" vertical="center"/>
    </xf>
    <xf fontId="13795" applyFont="true" borderId="8" applyBorder="true" applyNumberFormat="true" numFmtId="2" fillId="22" applyFill="true">
      <alignment horizontal="center" vertical="center"/>
    </xf>
    <xf fontId="13796" applyFont="true" borderId="8" applyBorder="true" applyNumberFormat="true" numFmtId="2" fillId="22" applyFill="true">
      <alignment horizontal="center" vertical="center"/>
    </xf>
    <xf fontId="13797" applyFont="true" borderId="8" applyBorder="true" applyNumberFormat="true" numFmtId="2" fillId="22" applyFill="true">
      <alignment horizontal="center" vertical="center"/>
    </xf>
    <xf fontId="13798" applyFont="true" borderId="8" applyBorder="true" applyNumberFormat="true" numFmtId="2" fillId="22" applyFill="true">
      <alignment horizontal="center" vertical="center"/>
    </xf>
    <xf fontId="13799" applyFont="true" borderId="8" applyBorder="true" applyNumberFormat="true" numFmtId="2" fillId="22" applyFill="true">
      <alignment horizontal="center" vertical="center"/>
    </xf>
    <xf fontId="13800" applyFont="true" borderId="8" applyBorder="true" applyNumberFormat="true" numFmtId="2" fillId="22" applyFill="true">
      <alignment horizontal="center" vertical="center"/>
    </xf>
    <xf fontId="13801" applyFont="true" borderId="8" applyBorder="true" applyNumberFormat="true" numFmtId="2" fillId="22" applyFill="true">
      <alignment horizontal="center" vertical="center"/>
    </xf>
    <xf fontId="13802" applyFont="true" borderId="8" applyBorder="true" applyNumberFormat="true" numFmtId="2" fillId="22" applyFill="true">
      <alignment horizontal="center" vertical="center"/>
    </xf>
    <xf fontId="13803" applyFont="true" borderId="8" applyBorder="true" applyNumberFormat="true" numFmtId="2" fillId="22" applyFill="true">
      <alignment horizontal="center" vertical="center"/>
    </xf>
    <xf fontId="13804" applyFont="true" borderId="8" applyBorder="true" applyNumberFormat="true" numFmtId="2" fillId="22" applyFill="true">
      <alignment horizontal="center" vertical="center"/>
    </xf>
    <xf fontId="13805" applyFont="true" borderId="8" applyBorder="true" applyNumberFormat="true" numFmtId="2" fillId="22" applyFill="true">
      <alignment horizontal="center" vertical="center"/>
    </xf>
    <xf fontId="13806" applyFont="true" borderId="8" applyBorder="true" applyNumberFormat="true" numFmtId="2" fillId="22" applyFill="true">
      <alignment horizontal="center" vertical="center"/>
    </xf>
    <xf fontId="13807" applyFont="true" borderId="8" applyBorder="true" applyNumberFormat="true" numFmtId="165" fillId="19" applyFill="true">
      <alignment horizontal="left" vertical="center"/>
    </xf>
    <xf fontId="13808" applyFont="true" borderId="8" applyBorder="true" applyNumberFormat="true" numFmtId="165" fillId="22" applyFill="true">
      <alignment horizontal="center" vertical="center"/>
    </xf>
    <xf fontId="13809" applyFont="true" borderId="8" applyBorder="true" applyNumberFormat="true" numFmtId="166" fillId="22" applyFill="true">
      <alignment horizontal="center" vertical="center"/>
    </xf>
    <xf fontId="13810" applyFont="true" borderId="8" applyBorder="true" applyNumberFormat="true" numFmtId="1" fillId="22" applyFill="true">
      <alignment horizontal="center" vertical="center"/>
    </xf>
    <xf fontId="13811" applyFont="true" borderId="8" applyBorder="true" applyNumberFormat="true" numFmtId="1" fillId="22" applyFill="true">
      <alignment horizontal="center" vertical="center"/>
    </xf>
    <xf fontId="13812" applyFont="true" borderId="8" applyBorder="true" applyNumberFormat="true" numFmtId="1" fillId="22" applyFill="true">
      <alignment horizontal="center" vertical="center"/>
    </xf>
    <xf fontId="13813" applyFont="true" borderId="8" applyBorder="true" applyNumberFormat="true" numFmtId="1" fillId="22" applyFill="true">
      <alignment horizontal="center" vertical="center"/>
    </xf>
    <xf fontId="13814" applyFont="true" borderId="8" applyBorder="true" applyNumberFormat="true" numFmtId="1" fillId="22" applyFill="true">
      <alignment horizontal="center" vertical="center"/>
    </xf>
    <xf fontId="13815" applyFont="true" borderId="8" applyBorder="true" applyNumberFormat="true" numFmtId="1" fillId="22" applyFill="true">
      <alignment horizontal="center" vertical="center"/>
    </xf>
    <xf fontId="13816" applyFont="true" borderId="8" applyBorder="true" applyNumberFormat="true" numFmtId="1" fillId="22" applyFill="true">
      <alignment horizontal="center" vertical="center"/>
    </xf>
    <xf fontId="13817" applyFont="true" borderId="8" applyBorder="true" applyNumberFormat="true" numFmtId="165" fillId="22" applyFill="true">
      <alignment horizontal="center" vertical="center"/>
    </xf>
    <xf fontId="13818" applyFont="true" borderId="8" applyBorder="true" applyNumberFormat="true" numFmtId="165" fillId="22" applyFill="true">
      <alignment horizontal="center" vertical="center"/>
    </xf>
    <xf fontId="13819" applyFont="true" borderId="8" applyBorder="true" applyNumberFormat="true" numFmtId="1" fillId="22" applyFill="true">
      <alignment horizontal="center" vertical="center"/>
    </xf>
    <xf fontId="13820" applyFont="true" borderId="8" applyBorder="true" applyNumberFormat="true" numFmtId="1" fillId="22" applyFill="true">
      <alignment horizontal="center" vertical="center"/>
    </xf>
    <xf fontId="13821" applyFont="true" borderId="8" applyBorder="true" applyNumberFormat="true" numFmtId="1" fillId="22" applyFill="true">
      <alignment horizontal="center" vertical="center"/>
    </xf>
    <xf fontId="13822" applyFont="true" borderId="8" applyBorder="true" applyNumberFormat="true" numFmtId="167" fillId="22" applyFill="true">
      <alignment horizontal="center" vertical="center"/>
    </xf>
    <xf fontId="13823" applyFont="true" borderId="8" applyBorder="true" applyNumberFormat="true" numFmtId="1" fillId="22" applyFill="true">
      <alignment horizontal="center" vertical="center"/>
    </xf>
    <xf fontId="13824" applyFont="true" borderId="8" applyBorder="true" applyNumberFormat="true" numFmtId="167" fillId="22" applyFill="true">
      <alignment horizontal="center" vertical="center"/>
    </xf>
    <xf fontId="13825" applyFont="true" borderId="8" applyBorder="true" applyNumberFormat="true" numFmtId="1" fillId="22" applyFill="true">
      <alignment horizontal="center" vertical="center"/>
    </xf>
    <xf fontId="13826" applyFont="true" borderId="8" applyBorder="true" applyNumberFormat="true" numFmtId="167" fillId="22" applyFill="true">
      <alignment horizontal="center" vertical="center"/>
    </xf>
    <xf fontId="13827" applyFont="true" borderId="8" applyBorder="true" applyNumberFormat="true" numFmtId="1" fillId="22" applyFill="true">
      <alignment horizontal="center" vertical="center"/>
    </xf>
    <xf fontId="13828" applyFont="true" borderId="8" applyBorder="true" applyNumberFormat="true" numFmtId="167" fillId="22" applyFill="true">
      <alignment horizontal="center" vertical="center"/>
    </xf>
    <xf fontId="13829" applyFont="true" borderId="8" applyBorder="true" applyNumberFormat="true" numFmtId="167" fillId="22" applyFill="true">
      <alignment horizontal="center" vertical="center"/>
    </xf>
    <xf fontId="13830" applyFont="true" borderId="8" applyBorder="true" applyNumberFormat="true" numFmtId="1" fillId="22" applyFill="true">
      <alignment horizontal="center" vertical="center"/>
    </xf>
    <xf fontId="13831" applyFont="true" borderId="8" applyBorder="true" applyNumberFormat="true" numFmtId="1" fillId="22" applyFill="true">
      <alignment horizontal="center" vertical="center"/>
    </xf>
    <xf fontId="13832" applyFont="true" borderId="8" applyBorder="true" applyNumberFormat="true" numFmtId="1" fillId="22" applyFill="true">
      <alignment horizontal="center" vertical="center"/>
    </xf>
    <xf fontId="13833" applyFont="true" borderId="8" applyBorder="true" applyNumberFormat="true" numFmtId="167" fillId="22" applyFill="true">
      <alignment horizontal="center" vertical="center"/>
    </xf>
    <xf fontId="13834" applyFont="true" borderId="8" applyBorder="true" applyNumberFormat="true" numFmtId="166" fillId="22" applyFill="true">
      <alignment horizontal="center" vertical="center"/>
    </xf>
    <xf fontId="13835" applyFont="true" borderId="8" applyBorder="true" applyNumberFormat="true" numFmtId="166" fillId="22" applyFill="true">
      <alignment horizontal="center" vertical="center"/>
    </xf>
    <xf fontId="13836" applyFont="true" borderId="8" applyBorder="true" applyNumberFormat="true" numFmtId="1" fillId="22" applyFill="true">
      <alignment horizontal="center" vertical="center"/>
    </xf>
    <xf fontId="13837" applyFont="true" borderId="8" applyBorder="true" applyNumberFormat="true" numFmtId="1" fillId="22" applyFill="true">
      <alignment horizontal="center" vertical="center"/>
    </xf>
    <xf fontId="13838" applyFont="true" borderId="8" applyBorder="true" applyNumberFormat="true" numFmtId="1" fillId="22" applyFill="true">
      <alignment horizontal="center" vertical="center"/>
    </xf>
    <xf fontId="13839" applyFont="true" borderId="8" applyBorder="true" applyNumberFormat="true" numFmtId="167" fillId="22" applyFill="true">
      <alignment horizontal="center" vertical="center"/>
    </xf>
    <xf fontId="13840" applyFont="true" borderId="8" applyBorder="true" applyNumberFormat="true" numFmtId="1" fillId="22" applyFill="true">
      <alignment horizontal="center" vertical="center"/>
    </xf>
    <xf fontId="13841" applyFont="true" borderId="8" applyBorder="true" applyNumberFormat="true" numFmtId="167" fillId="22" applyFill="true">
      <alignment horizontal="center" vertical="center"/>
    </xf>
    <xf fontId="13842" applyFont="true" borderId="8" applyBorder="true" applyNumberFormat="true" numFmtId="1" fillId="22" applyFill="true">
      <alignment horizontal="center" vertical="center"/>
    </xf>
    <xf fontId="13843" applyFont="true" borderId="8" applyBorder="true" applyNumberFormat="true" numFmtId="1" fillId="22" applyFill="true">
      <alignment horizontal="center" vertical="center"/>
    </xf>
    <xf fontId="13844" applyFont="true" borderId="8" applyBorder="true" applyNumberFormat="true" numFmtId="1" fillId="22" applyFill="true">
      <alignment horizontal="center" vertical="center"/>
    </xf>
    <xf fontId="13845" applyFont="true" borderId="8" applyBorder="true" applyNumberFormat="true" numFmtId="1" fillId="22" applyFill="true">
      <alignment horizontal="center" vertical="center"/>
    </xf>
    <xf fontId="13846" applyFont="true" borderId="8" applyBorder="true" applyNumberFormat="true" numFmtId="167" fillId="22" applyFill="true">
      <alignment horizontal="center" vertical="center"/>
    </xf>
    <xf fontId="13847" applyFont="true" borderId="8" applyBorder="true" applyNumberFormat="true" numFmtId="1" fillId="22" applyFill="true">
      <alignment horizontal="center" vertical="center"/>
    </xf>
    <xf fontId="13848" applyFont="true" borderId="8" applyBorder="true" applyNumberFormat="true" numFmtId="167" fillId="22" applyFill="true">
      <alignment horizontal="center" vertical="center"/>
    </xf>
    <xf fontId="13849" applyFont="true" borderId="8" applyBorder="true" applyNumberFormat="true" numFmtId="1" fillId="22" applyFill="true">
      <alignment horizontal="center" vertical="center"/>
    </xf>
    <xf fontId="13850" applyFont="true" borderId="8" applyBorder="true" applyNumberFormat="true" numFmtId="167" fillId="22" applyFill="true">
      <alignment horizontal="center" vertical="center"/>
    </xf>
    <xf fontId="13851" applyFont="true" borderId="8" applyBorder="true" applyNumberFormat="true" numFmtId="2" fillId="22" applyFill="true">
      <alignment horizontal="center" vertical="center"/>
    </xf>
    <xf fontId="13852" applyFont="true" borderId="8" applyBorder="true" applyNumberFormat="true" numFmtId="2" fillId="22" applyFill="true">
      <alignment horizontal="center" vertical="center"/>
    </xf>
    <xf fontId="13853" applyFont="true" borderId="8" applyBorder="true" applyNumberFormat="true" numFmtId="2" fillId="22" applyFill="true">
      <alignment horizontal="center" vertical="center"/>
    </xf>
    <xf fontId="13854" applyFont="true" borderId="8" applyBorder="true" applyNumberFormat="true" numFmtId="2" fillId="22" applyFill="true">
      <alignment horizontal="center" vertical="center"/>
    </xf>
    <xf fontId="13855" applyFont="true" borderId="8" applyBorder="true" applyNumberFormat="true" numFmtId="2" fillId="22" applyFill="true">
      <alignment horizontal="center" vertical="center"/>
    </xf>
    <xf fontId="13856" applyFont="true" borderId="8" applyBorder="true" applyNumberFormat="true" numFmtId="2" fillId="22" applyFill="true">
      <alignment horizontal="center" vertical="center"/>
    </xf>
    <xf fontId="13857" applyFont="true" borderId="8" applyBorder="true" applyNumberFormat="true" numFmtId="2" fillId="22" applyFill="true">
      <alignment horizontal="center" vertical="center"/>
    </xf>
    <xf fontId="13858" applyFont="true" borderId="8" applyBorder="true" applyNumberFormat="true" numFmtId="2" fillId="22" applyFill="true">
      <alignment horizontal="center" vertical="center"/>
    </xf>
    <xf fontId="13859" applyFont="true" borderId="8" applyBorder="true" applyNumberFormat="true" numFmtId="2" fillId="22" applyFill="true">
      <alignment horizontal="center" vertical="center"/>
    </xf>
    <xf fontId="13860" applyFont="true" borderId="8" applyBorder="true" applyNumberFormat="true" numFmtId="2" fillId="22" applyFill="true">
      <alignment horizontal="center" vertical="center"/>
    </xf>
    <xf fontId="13861" applyFont="true" borderId="8" applyBorder="true" applyNumberFormat="true" numFmtId="2" fillId="22" applyFill="true">
      <alignment horizontal="center" vertical="center"/>
    </xf>
    <xf fontId="13862" applyFont="true" borderId="8" applyBorder="true" applyNumberFormat="true" numFmtId="2" fillId="22" applyFill="true">
      <alignment horizontal="center" vertical="center"/>
    </xf>
    <xf fontId="13863" applyFont="true" borderId="8" applyBorder="true" applyNumberFormat="true" numFmtId="2" fillId="22" applyFill="true">
      <alignment horizontal="center" vertical="center"/>
    </xf>
    <xf fontId="13864" applyFont="true" borderId="8" applyBorder="true" applyNumberFormat="true" numFmtId="2" fillId="22" applyFill="true">
      <alignment horizontal="center" vertical="center"/>
    </xf>
    <xf fontId="13865" applyFont="true" borderId="8" applyBorder="true" applyNumberFormat="true" numFmtId="2" fillId="22" applyFill="true">
      <alignment horizontal="center" vertical="center"/>
    </xf>
    <xf fontId="13866" applyFont="true" borderId="8" applyBorder="true" applyNumberFormat="true" numFmtId="2" fillId="22" applyFill="true">
      <alignment horizontal="center" vertical="center"/>
    </xf>
    <xf fontId="13867" applyFont="true" borderId="8" applyBorder="true" applyNumberFormat="true" numFmtId="2" fillId="22" applyFill="true">
      <alignment horizontal="center" vertical="center"/>
    </xf>
    <xf fontId="13868" applyFont="true" borderId="8" applyBorder="true" applyNumberFormat="true" numFmtId="2" fillId="22" applyFill="true">
      <alignment horizontal="center" vertical="center"/>
    </xf>
    <xf fontId="13869" applyFont="true" borderId="8" applyBorder="true" applyNumberFormat="true" numFmtId="2" fillId="22" applyFill="true">
      <alignment horizontal="center" vertical="center"/>
    </xf>
    <xf fontId="13870" applyFont="true" borderId="8" applyBorder="true" applyNumberFormat="true" numFmtId="2" fillId="22" applyFill="true">
      <alignment horizontal="center" vertical="center"/>
    </xf>
    <xf fontId="13871" applyFont="true" borderId="8" applyBorder="true" applyNumberFormat="true" numFmtId="2" fillId="22" applyFill="true">
      <alignment horizontal="center" vertical="center"/>
    </xf>
    <xf fontId="13872" applyFont="true" borderId="8" applyBorder="true" applyNumberFormat="true" numFmtId="2" fillId="22" applyFill="true">
      <alignment horizontal="center" vertical="center"/>
    </xf>
    <xf fontId="13873" applyFont="true" borderId="8" applyBorder="true" applyNumberFormat="true" numFmtId="2" fillId="22" applyFill="true">
      <alignment horizontal="center" vertical="center"/>
    </xf>
    <xf fontId="13874" applyFont="true" borderId="8" applyBorder="true" applyNumberFormat="true" numFmtId="2" fillId="22" applyFill="true">
      <alignment horizontal="center" vertical="center"/>
    </xf>
    <xf fontId="13875" applyFont="true" borderId="8" applyBorder="true" applyNumberFormat="true" numFmtId="2" fillId="22" applyFill="true">
      <alignment horizontal="center" vertical="center"/>
    </xf>
    <xf fontId="13876" applyFont="true" borderId="8" applyBorder="true" applyNumberFormat="true" numFmtId="2" fillId="22" applyFill="true">
      <alignment horizontal="center" vertical="center"/>
    </xf>
    <xf fontId="13877" applyFont="true" borderId="8" applyBorder="true" applyNumberFormat="true" numFmtId="2" fillId="22" applyFill="true">
      <alignment horizontal="center" vertical="center"/>
    </xf>
    <xf fontId="13878" applyFont="true" borderId="8" applyBorder="true" applyNumberFormat="true" numFmtId="2" fillId="22" applyFill="true">
      <alignment horizontal="center" vertical="center"/>
    </xf>
    <xf fontId="13879" applyFont="true" borderId="8" applyBorder="true" applyNumberFormat="true" numFmtId="2" fillId="22" applyFill="true">
      <alignment horizontal="center" vertical="center"/>
    </xf>
    <xf fontId="13880" applyFont="true" borderId="8" applyBorder="true" applyNumberFormat="true" numFmtId="2" fillId="22" applyFill="true">
      <alignment horizontal="center" vertical="center"/>
    </xf>
    <xf fontId="13881" applyFont="true" borderId="8" applyBorder="true" applyNumberFormat="true" numFmtId="2" fillId="22" applyFill="true">
      <alignment horizontal="center" vertical="center"/>
    </xf>
    <xf fontId="13882" applyFont="true" borderId="8" applyBorder="true" applyNumberFormat="true" numFmtId="2" fillId="22" applyFill="true">
      <alignment horizontal="center" vertical="center"/>
    </xf>
    <xf fontId="13883" applyFont="true" borderId="8" applyBorder="true" applyNumberFormat="true" numFmtId="2" fillId="22" applyFill="true">
      <alignment horizontal="center" vertical="center"/>
    </xf>
    <xf fontId="13884" applyFont="true" borderId="8" applyBorder="true" applyNumberFormat="true" numFmtId="2" fillId="22" applyFill="true">
      <alignment horizontal="center" vertical="center"/>
    </xf>
    <xf fontId="13885" applyFont="true" borderId="8" applyBorder="true" applyNumberFormat="true" numFmtId="165" fillId="19" applyFill="true">
      <alignment horizontal="left" vertical="center"/>
    </xf>
    <xf fontId="13886" applyFont="true" borderId="8" applyBorder="true" applyNumberFormat="true" numFmtId="165" fillId="22" applyFill="true">
      <alignment horizontal="center" vertical="center"/>
    </xf>
    <xf fontId="13887" applyFont="true" borderId="8" applyBorder="true" applyNumberFormat="true" numFmtId="166" fillId="22" applyFill="true">
      <alignment horizontal="center" vertical="center"/>
    </xf>
    <xf fontId="13888" applyFont="true" borderId="8" applyBorder="true" applyNumberFormat="true" numFmtId="1" fillId="22" applyFill="true">
      <alignment horizontal="center" vertical="center"/>
    </xf>
    <xf fontId="13889" applyFont="true" borderId="8" applyBorder="true" applyNumberFormat="true" numFmtId="1" fillId="22" applyFill="true">
      <alignment horizontal="center" vertical="center"/>
    </xf>
    <xf fontId="13890" applyFont="true" borderId="8" applyBorder="true" applyNumberFormat="true" numFmtId="1" fillId="22" applyFill="true">
      <alignment horizontal="center" vertical="center"/>
    </xf>
    <xf fontId="13891" applyFont="true" borderId="8" applyBorder="true" applyNumberFormat="true" numFmtId="1" fillId="22" applyFill="true">
      <alignment horizontal="center" vertical="center"/>
    </xf>
    <xf fontId="13892" applyFont="true" borderId="8" applyBorder="true" applyNumberFormat="true" numFmtId="1" fillId="22" applyFill="true">
      <alignment horizontal="center" vertical="center"/>
    </xf>
    <xf fontId="13893" applyFont="true" borderId="8" applyBorder="true" applyNumberFormat="true" numFmtId="1" fillId="22" applyFill="true">
      <alignment horizontal="center" vertical="center"/>
    </xf>
    <xf fontId="13894" applyFont="true" borderId="8" applyBorder="true" applyNumberFormat="true" numFmtId="1" fillId="22" applyFill="true">
      <alignment horizontal="center" vertical="center"/>
    </xf>
    <xf fontId="13895" applyFont="true" borderId="8" applyBorder="true" applyNumberFormat="true" numFmtId="165" fillId="22" applyFill="true">
      <alignment horizontal="center" vertical="center"/>
    </xf>
    <xf fontId="13896" applyFont="true" borderId="8" applyBorder="true" applyNumberFormat="true" numFmtId="165" fillId="22" applyFill="true">
      <alignment horizontal="center" vertical="center"/>
    </xf>
    <xf fontId="13897" applyFont="true" borderId="8" applyBorder="true" applyNumberFormat="true" numFmtId="1" fillId="22" applyFill="true">
      <alignment horizontal="center" vertical="center"/>
    </xf>
    <xf fontId="13898" applyFont="true" borderId="8" applyBorder="true" applyNumberFormat="true" numFmtId="1" fillId="22" applyFill="true">
      <alignment horizontal="center" vertical="center"/>
    </xf>
    <xf fontId="13899" applyFont="true" borderId="8" applyBorder="true" applyNumberFormat="true" numFmtId="1" fillId="22" applyFill="true">
      <alignment horizontal="center" vertical="center"/>
    </xf>
    <xf fontId="13900" applyFont="true" borderId="8" applyBorder="true" applyNumberFormat="true" numFmtId="167" fillId="22" applyFill="true">
      <alignment horizontal="center" vertical="center"/>
    </xf>
    <xf fontId="13901" applyFont="true" borderId="8" applyBorder="true" applyNumberFormat="true" numFmtId="1" fillId="22" applyFill="true">
      <alignment horizontal="center" vertical="center"/>
    </xf>
    <xf fontId="13902" applyFont="true" borderId="8" applyBorder="true" applyNumberFormat="true" numFmtId="167" fillId="22" applyFill="true">
      <alignment horizontal="center" vertical="center"/>
    </xf>
    <xf fontId="13903" applyFont="true" borderId="8" applyBorder="true" applyNumberFormat="true" numFmtId="1" fillId="22" applyFill="true">
      <alignment horizontal="center" vertical="center"/>
    </xf>
    <xf fontId="13904" applyFont="true" borderId="8" applyBorder="true" applyNumberFormat="true" numFmtId="167" fillId="22" applyFill="true">
      <alignment horizontal="center" vertical="center"/>
    </xf>
    <xf fontId="13905" applyFont="true" borderId="8" applyBorder="true" applyNumberFormat="true" numFmtId="1" fillId="22" applyFill="true">
      <alignment horizontal="center" vertical="center"/>
    </xf>
    <xf fontId="13906" applyFont="true" borderId="8" applyBorder="true" applyNumberFormat="true" numFmtId="167" fillId="22" applyFill="true">
      <alignment horizontal="center" vertical="center"/>
    </xf>
    <xf fontId="13907" applyFont="true" borderId="8" applyBorder="true" applyNumberFormat="true" numFmtId="167" fillId="22" applyFill="true">
      <alignment horizontal="center" vertical="center"/>
    </xf>
    <xf fontId="13908" applyFont="true" borderId="8" applyBorder="true" applyNumberFormat="true" numFmtId="1" fillId="22" applyFill="true">
      <alignment horizontal="center" vertical="center"/>
    </xf>
    <xf fontId="13909" applyFont="true" borderId="8" applyBorder="true" applyNumberFormat="true" numFmtId="1" fillId="22" applyFill="true">
      <alignment horizontal="center" vertical="center"/>
    </xf>
    <xf fontId="13910" applyFont="true" borderId="8" applyBorder="true" applyNumberFormat="true" numFmtId="1" fillId="22" applyFill="true">
      <alignment horizontal="center" vertical="center"/>
    </xf>
    <xf fontId="13911" applyFont="true" borderId="8" applyBorder="true" applyNumberFormat="true" numFmtId="167" fillId="22" applyFill="true">
      <alignment horizontal="center" vertical="center"/>
    </xf>
    <xf fontId="13912" applyFont="true" borderId="8" applyBorder="true" applyNumberFormat="true" numFmtId="166" fillId="22" applyFill="true">
      <alignment horizontal="center" vertical="center"/>
    </xf>
    <xf fontId="13913" applyFont="true" borderId="8" applyBorder="true" applyNumberFormat="true" numFmtId="166" fillId="22" applyFill="true">
      <alignment horizontal="center" vertical="center"/>
    </xf>
    <xf fontId="13914" applyFont="true" borderId="8" applyBorder="true" applyNumberFormat="true" numFmtId="1" fillId="22" applyFill="true">
      <alignment horizontal="center" vertical="center"/>
    </xf>
    <xf fontId="13915" applyFont="true" borderId="8" applyBorder="true" applyNumberFormat="true" numFmtId="1" fillId="22" applyFill="true">
      <alignment horizontal="center" vertical="center"/>
    </xf>
    <xf fontId="13916" applyFont="true" borderId="8" applyBorder="true" applyNumberFormat="true" numFmtId="1" fillId="22" applyFill="true">
      <alignment horizontal="center" vertical="center"/>
    </xf>
    <xf fontId="13917" applyFont="true" borderId="8" applyBorder="true" applyNumberFormat="true" numFmtId="167" fillId="22" applyFill="true">
      <alignment horizontal="center" vertical="center"/>
    </xf>
    <xf fontId="13918" applyFont="true" borderId="8" applyBorder="true" applyNumberFormat="true" numFmtId="1" fillId="22" applyFill="true">
      <alignment horizontal="center" vertical="center"/>
    </xf>
    <xf fontId="13919" applyFont="true" borderId="8" applyBorder="true" applyNumberFormat="true" numFmtId="167" fillId="22" applyFill="true">
      <alignment horizontal="center" vertical="center"/>
    </xf>
    <xf fontId="13920" applyFont="true" borderId="8" applyBorder="true" applyNumberFormat="true" numFmtId="1" fillId="22" applyFill="true">
      <alignment horizontal="center" vertical="center"/>
    </xf>
    <xf fontId="13921" applyFont="true" borderId="8" applyBorder="true" applyNumberFormat="true" numFmtId="1" fillId="22" applyFill="true">
      <alignment horizontal="center" vertical="center"/>
    </xf>
    <xf fontId="13922" applyFont="true" borderId="8" applyBorder="true" applyNumberFormat="true" numFmtId="1" fillId="22" applyFill="true">
      <alignment horizontal="center" vertical="center"/>
    </xf>
    <xf fontId="13923" applyFont="true" borderId="8" applyBorder="true" applyNumberFormat="true" numFmtId="1" fillId="22" applyFill="true">
      <alignment horizontal="center" vertical="center"/>
    </xf>
    <xf fontId="13924" applyFont="true" borderId="8" applyBorder="true" applyNumberFormat="true" numFmtId="167" fillId="22" applyFill="true">
      <alignment horizontal="center" vertical="center"/>
    </xf>
    <xf fontId="13925" applyFont="true" borderId="8" applyBorder="true" applyNumberFormat="true" numFmtId="1" fillId="22" applyFill="true">
      <alignment horizontal="center" vertical="center"/>
    </xf>
    <xf fontId="13926" applyFont="true" borderId="8" applyBorder="true" applyNumberFormat="true" numFmtId="167" fillId="22" applyFill="true">
      <alignment horizontal="center" vertical="center"/>
    </xf>
    <xf fontId="13927" applyFont="true" borderId="8" applyBorder="true" applyNumberFormat="true" numFmtId="1" fillId="22" applyFill="true">
      <alignment horizontal="center" vertical="center"/>
    </xf>
    <xf fontId="13928" applyFont="true" borderId="8" applyBorder="true" applyNumberFormat="true" numFmtId="167" fillId="22" applyFill="true">
      <alignment horizontal="center" vertical="center"/>
    </xf>
    <xf fontId="13929" applyFont="true" borderId="8" applyBorder="true" applyNumberFormat="true" numFmtId="2" fillId="22" applyFill="true">
      <alignment horizontal="center" vertical="center"/>
    </xf>
    <xf fontId="13930" applyFont="true" borderId="8" applyBorder="true" applyNumberFormat="true" numFmtId="2" fillId="22" applyFill="true">
      <alignment horizontal="center" vertical="center"/>
    </xf>
    <xf fontId="13931" applyFont="true" borderId="8" applyBorder="true" applyNumberFormat="true" numFmtId="2" fillId="22" applyFill="true">
      <alignment horizontal="center" vertical="center"/>
    </xf>
    <xf fontId="13932" applyFont="true" borderId="8" applyBorder="true" applyNumberFormat="true" numFmtId="2" fillId="22" applyFill="true">
      <alignment horizontal="center" vertical="center"/>
    </xf>
    <xf fontId="13933" applyFont="true" borderId="8" applyBorder="true" applyNumberFormat="true" numFmtId="2" fillId="22" applyFill="true">
      <alignment horizontal="center" vertical="center"/>
    </xf>
    <xf fontId="13934" applyFont="true" borderId="8" applyBorder="true" applyNumberFormat="true" numFmtId="2" fillId="22" applyFill="true">
      <alignment horizontal="center" vertical="center"/>
    </xf>
    <xf fontId="13935" applyFont="true" borderId="8" applyBorder="true" applyNumberFormat="true" numFmtId="2" fillId="22" applyFill="true">
      <alignment horizontal="center" vertical="center"/>
    </xf>
    <xf fontId="13936" applyFont="true" borderId="8" applyBorder="true" applyNumberFormat="true" numFmtId="2" fillId="22" applyFill="true">
      <alignment horizontal="center" vertical="center"/>
    </xf>
    <xf fontId="13937" applyFont="true" borderId="8" applyBorder="true" applyNumberFormat="true" numFmtId="2" fillId="22" applyFill="true">
      <alignment horizontal="center" vertical="center"/>
    </xf>
    <xf fontId="13938" applyFont="true" borderId="8" applyBorder="true" applyNumberFormat="true" numFmtId="2" fillId="22" applyFill="true">
      <alignment horizontal="center" vertical="center"/>
    </xf>
    <xf fontId="13939" applyFont="true" borderId="8" applyBorder="true" applyNumberFormat="true" numFmtId="2" fillId="22" applyFill="true">
      <alignment horizontal="center" vertical="center"/>
    </xf>
    <xf fontId="13940" applyFont="true" borderId="8" applyBorder="true" applyNumberFormat="true" numFmtId="2" fillId="22" applyFill="true">
      <alignment horizontal="center" vertical="center"/>
    </xf>
    <xf fontId="13941" applyFont="true" borderId="8" applyBorder="true" applyNumberFormat="true" numFmtId="2" fillId="22" applyFill="true">
      <alignment horizontal="center" vertical="center"/>
    </xf>
    <xf fontId="13942" applyFont="true" borderId="8" applyBorder="true" applyNumberFormat="true" numFmtId="2" fillId="22" applyFill="true">
      <alignment horizontal="center" vertical="center"/>
    </xf>
    <xf fontId="13943" applyFont="true" borderId="8" applyBorder="true" applyNumberFormat="true" numFmtId="2" fillId="22" applyFill="true">
      <alignment horizontal="center" vertical="center"/>
    </xf>
    <xf fontId="13944" applyFont="true" borderId="8" applyBorder="true" applyNumberFormat="true" numFmtId="2" fillId="22" applyFill="true">
      <alignment horizontal="center" vertical="center"/>
    </xf>
    <xf fontId="13945" applyFont="true" borderId="8" applyBorder="true" applyNumberFormat="true" numFmtId="2" fillId="22" applyFill="true">
      <alignment horizontal="center" vertical="center"/>
    </xf>
    <xf fontId="13946" applyFont="true" borderId="8" applyBorder="true" applyNumberFormat="true" numFmtId="2" fillId="22" applyFill="true">
      <alignment horizontal="center" vertical="center"/>
    </xf>
    <xf fontId="13947" applyFont="true" borderId="8" applyBorder="true" applyNumberFormat="true" numFmtId="2" fillId="22" applyFill="true">
      <alignment horizontal="center" vertical="center"/>
    </xf>
    <xf fontId="13948" applyFont="true" borderId="8" applyBorder="true" applyNumberFormat="true" numFmtId="2" fillId="22" applyFill="true">
      <alignment horizontal="center" vertical="center"/>
    </xf>
    <xf fontId="13949" applyFont="true" borderId="8" applyBorder="true" applyNumberFormat="true" numFmtId="2" fillId="22" applyFill="true">
      <alignment horizontal="center" vertical="center"/>
    </xf>
    <xf fontId="13950" applyFont="true" borderId="8" applyBorder="true" applyNumberFormat="true" numFmtId="2" fillId="22" applyFill="true">
      <alignment horizontal="center" vertical="center"/>
    </xf>
    <xf fontId="13951" applyFont="true" borderId="8" applyBorder="true" applyNumberFormat="true" numFmtId="2" fillId="22" applyFill="true">
      <alignment horizontal="center" vertical="center"/>
    </xf>
    <xf fontId="13952" applyFont="true" borderId="8" applyBorder="true" applyNumberFormat="true" numFmtId="2" fillId="22" applyFill="true">
      <alignment horizontal="center" vertical="center"/>
    </xf>
    <xf fontId="13953" applyFont="true" borderId="8" applyBorder="true" applyNumberFormat="true" numFmtId="2" fillId="22" applyFill="true">
      <alignment horizontal="center" vertical="center"/>
    </xf>
    <xf fontId="13954" applyFont="true" borderId="8" applyBorder="true" applyNumberFormat="true" numFmtId="2" fillId="22" applyFill="true">
      <alignment horizontal="center" vertical="center"/>
    </xf>
    <xf fontId="13955" applyFont="true" borderId="8" applyBorder="true" applyNumberFormat="true" numFmtId="2" fillId="22" applyFill="true">
      <alignment horizontal="center" vertical="center"/>
    </xf>
    <xf fontId="13956" applyFont="true" borderId="8" applyBorder="true" applyNumberFormat="true" numFmtId="2" fillId="22" applyFill="true">
      <alignment horizontal="center" vertical="center"/>
    </xf>
    <xf fontId="13957" applyFont="true" borderId="8" applyBorder="true" applyNumberFormat="true" numFmtId="2" fillId="22" applyFill="true">
      <alignment horizontal="center" vertical="center"/>
    </xf>
    <xf fontId="13958" applyFont="true" borderId="8" applyBorder="true" applyNumberFormat="true" numFmtId="2" fillId="22" applyFill="true">
      <alignment horizontal="center" vertical="center"/>
    </xf>
    <xf fontId="13959" applyFont="true" borderId="8" applyBorder="true" applyNumberFormat="true" numFmtId="2" fillId="22" applyFill="true">
      <alignment horizontal="center" vertical="center"/>
    </xf>
    <xf fontId="13960" applyFont="true" borderId="8" applyBorder="true" applyNumberFormat="true" numFmtId="2" fillId="22" applyFill="true">
      <alignment horizontal="center" vertical="center"/>
    </xf>
    <xf fontId="13961" applyFont="true" borderId="8" applyBorder="true" applyNumberFormat="true" numFmtId="2" fillId="22" applyFill="true">
      <alignment horizontal="center" vertical="center"/>
    </xf>
    <xf fontId="13962" applyFont="true" borderId="8" applyBorder="true" applyNumberFormat="true" numFmtId="2" fillId="22" applyFill="true">
      <alignment horizontal="center" vertical="center"/>
    </xf>
    <xf fontId="13963" applyFont="true" borderId="8" applyBorder="true" applyNumberFormat="true" numFmtId="165" fillId="19" applyFill="true">
      <alignment horizontal="left" vertical="center"/>
    </xf>
    <xf fontId="13964" applyFont="true" borderId="8" applyBorder="true" applyNumberFormat="true" numFmtId="165" fillId="22" applyFill="true">
      <alignment horizontal="center" vertical="center"/>
    </xf>
    <xf fontId="13965" applyFont="true" borderId="8" applyBorder="true" applyNumberFormat="true" numFmtId="166" fillId="22" applyFill="true">
      <alignment horizontal="center" vertical="center"/>
    </xf>
    <xf fontId="13966" applyFont="true" borderId="8" applyBorder="true" applyNumberFormat="true" numFmtId="1" fillId="22" applyFill="true">
      <alignment horizontal="center" vertical="center"/>
    </xf>
    <xf fontId="13967" applyFont="true" borderId="8" applyBorder="true" applyNumberFormat="true" numFmtId="1" fillId="22" applyFill="true">
      <alignment horizontal="center" vertical="center"/>
    </xf>
    <xf fontId="13968" applyFont="true" borderId="8" applyBorder="true" applyNumberFormat="true" numFmtId="1" fillId="22" applyFill="true">
      <alignment horizontal="center" vertical="center"/>
    </xf>
    <xf fontId="13969" applyFont="true" borderId="8" applyBorder="true" applyNumberFormat="true" numFmtId="1" fillId="22" applyFill="true">
      <alignment horizontal="center" vertical="center"/>
    </xf>
    <xf fontId="13970" applyFont="true" borderId="8" applyBorder="true" applyNumberFormat="true" numFmtId="1" fillId="22" applyFill="true">
      <alignment horizontal="center" vertical="center"/>
    </xf>
    <xf fontId="13971" applyFont="true" borderId="8" applyBorder="true" applyNumberFormat="true" numFmtId="1" fillId="22" applyFill="true">
      <alignment horizontal="center" vertical="center"/>
    </xf>
    <xf fontId="13972" applyFont="true" borderId="8" applyBorder="true" applyNumberFormat="true" numFmtId="1" fillId="22" applyFill="true">
      <alignment horizontal="center" vertical="center"/>
    </xf>
    <xf fontId="13973" applyFont="true" borderId="8" applyBorder="true" applyNumberFormat="true" numFmtId="165" fillId="22" applyFill="true">
      <alignment horizontal="center" vertical="center"/>
    </xf>
    <xf fontId="13974" applyFont="true" borderId="8" applyBorder="true" applyNumberFormat="true" numFmtId="165" fillId="22" applyFill="true">
      <alignment horizontal="center" vertical="center"/>
    </xf>
    <xf fontId="13975" applyFont="true" borderId="8" applyBorder="true" applyNumberFormat="true" numFmtId="1" fillId="22" applyFill="true">
      <alignment horizontal="center" vertical="center"/>
    </xf>
    <xf fontId="13976" applyFont="true" borderId="8" applyBorder="true" applyNumberFormat="true" numFmtId="1" fillId="22" applyFill="true">
      <alignment horizontal="center" vertical="center"/>
    </xf>
    <xf fontId="13977" applyFont="true" borderId="8" applyBorder="true" applyNumberFormat="true" numFmtId="1" fillId="22" applyFill="true">
      <alignment horizontal="center" vertical="center"/>
    </xf>
    <xf fontId="13978" applyFont="true" borderId="8" applyBorder="true" applyNumberFormat="true" numFmtId="167" fillId="22" applyFill="true">
      <alignment horizontal="center" vertical="center"/>
    </xf>
    <xf fontId="13979" applyFont="true" borderId="8" applyBorder="true" applyNumberFormat="true" numFmtId="1" fillId="22" applyFill="true">
      <alignment horizontal="center" vertical="center"/>
    </xf>
    <xf fontId="13980" applyFont="true" borderId="8" applyBorder="true" applyNumberFormat="true" numFmtId="167" fillId="22" applyFill="true">
      <alignment horizontal="center" vertical="center"/>
    </xf>
    <xf fontId="13981" applyFont="true" borderId="8" applyBorder="true" applyNumberFormat="true" numFmtId="1" fillId="22" applyFill="true">
      <alignment horizontal="center" vertical="center"/>
    </xf>
    <xf fontId="13982" applyFont="true" borderId="8" applyBorder="true" applyNumberFormat="true" numFmtId="167" fillId="22" applyFill="true">
      <alignment horizontal="center" vertical="center"/>
    </xf>
    <xf fontId="13983" applyFont="true" borderId="8" applyBorder="true" applyNumberFormat="true" numFmtId="1" fillId="22" applyFill="true">
      <alignment horizontal="center" vertical="center"/>
    </xf>
    <xf fontId="13984" applyFont="true" borderId="8" applyBorder="true" applyNumberFormat="true" numFmtId="167" fillId="22" applyFill="true">
      <alignment horizontal="center" vertical="center"/>
    </xf>
    <xf fontId="13985" applyFont="true" borderId="8" applyBorder="true" applyNumberFormat="true" numFmtId="167" fillId="22" applyFill="true">
      <alignment horizontal="center" vertical="center"/>
    </xf>
    <xf fontId="13986" applyFont="true" borderId="8" applyBorder="true" applyNumberFormat="true" numFmtId="1" fillId="22" applyFill="true">
      <alignment horizontal="center" vertical="center"/>
    </xf>
    <xf fontId="13987" applyFont="true" borderId="8" applyBorder="true" applyNumberFormat="true" numFmtId="1" fillId="22" applyFill="true">
      <alignment horizontal="center" vertical="center"/>
    </xf>
    <xf fontId="13988" applyFont="true" borderId="8" applyBorder="true" applyNumberFormat="true" numFmtId="1" fillId="22" applyFill="true">
      <alignment horizontal="center" vertical="center"/>
    </xf>
    <xf fontId="13989" applyFont="true" borderId="8" applyBorder="true" applyNumberFormat="true" numFmtId="167" fillId="22" applyFill="true">
      <alignment horizontal="center" vertical="center"/>
    </xf>
    <xf fontId="13990" applyFont="true" borderId="8" applyBorder="true" applyNumberFormat="true" numFmtId="166" fillId="22" applyFill="true">
      <alignment horizontal="center" vertical="center"/>
    </xf>
    <xf fontId="13991" applyFont="true" borderId="8" applyBorder="true" applyNumberFormat="true" numFmtId="166" fillId="22" applyFill="true">
      <alignment horizontal="center" vertical="center"/>
    </xf>
    <xf fontId="13992" applyFont="true" borderId="8" applyBorder="true" applyNumberFormat="true" numFmtId="1" fillId="22" applyFill="true">
      <alignment horizontal="center" vertical="center"/>
    </xf>
    <xf fontId="13993" applyFont="true" borderId="8" applyBorder="true" applyNumberFormat="true" numFmtId="1" fillId="22" applyFill="true">
      <alignment horizontal="center" vertical="center"/>
    </xf>
    <xf fontId="13994" applyFont="true" borderId="8" applyBorder="true" applyNumberFormat="true" numFmtId="1" fillId="22" applyFill="true">
      <alignment horizontal="center" vertical="center"/>
    </xf>
    <xf fontId="13995" applyFont="true" borderId="8" applyBorder="true" applyNumberFormat="true" numFmtId="167" fillId="22" applyFill="true">
      <alignment horizontal="center" vertical="center"/>
    </xf>
    <xf fontId="13996" applyFont="true" borderId="8" applyBorder="true" applyNumberFormat="true" numFmtId="1" fillId="22" applyFill="true">
      <alignment horizontal="center" vertical="center"/>
    </xf>
    <xf fontId="13997" applyFont="true" borderId="8" applyBorder="true" applyNumberFormat="true" numFmtId="167" fillId="22" applyFill="true">
      <alignment horizontal="center" vertical="center"/>
    </xf>
    <xf fontId="13998" applyFont="true" borderId="8" applyBorder="true" applyNumberFormat="true" numFmtId="1" fillId="22" applyFill="true">
      <alignment horizontal="center" vertical="center"/>
    </xf>
    <xf fontId="13999" applyFont="true" borderId="8" applyBorder="true" applyNumberFormat="true" numFmtId="1" fillId="22" applyFill="true">
      <alignment horizontal="center" vertical="center"/>
    </xf>
    <xf fontId="14000" applyFont="true" borderId="8" applyBorder="true" applyNumberFormat="true" numFmtId="1" fillId="22" applyFill="true">
      <alignment horizontal="center" vertical="center"/>
    </xf>
    <xf fontId="14001" applyFont="true" borderId="8" applyBorder="true" applyNumberFormat="true" numFmtId="1" fillId="22" applyFill="true">
      <alignment horizontal="center" vertical="center"/>
    </xf>
    <xf fontId="14002" applyFont="true" borderId="8" applyBorder="true" applyNumberFormat="true" numFmtId="167" fillId="22" applyFill="true">
      <alignment horizontal="center" vertical="center"/>
    </xf>
    <xf fontId="14003" applyFont="true" borderId="8" applyBorder="true" applyNumberFormat="true" numFmtId="1" fillId="22" applyFill="true">
      <alignment horizontal="center" vertical="center"/>
    </xf>
    <xf fontId="14004" applyFont="true" borderId="8" applyBorder="true" applyNumberFormat="true" numFmtId="167" fillId="22" applyFill="true">
      <alignment horizontal="center" vertical="center"/>
    </xf>
    <xf fontId="14005" applyFont="true" borderId="8" applyBorder="true" applyNumberFormat="true" numFmtId="1" fillId="22" applyFill="true">
      <alignment horizontal="center" vertical="center"/>
    </xf>
    <xf fontId="14006" applyFont="true" borderId="8" applyBorder="true" applyNumberFormat="true" numFmtId="167" fillId="22" applyFill="true">
      <alignment horizontal="center" vertical="center"/>
    </xf>
    <xf fontId="14007" applyFont="true" borderId="8" applyBorder="true" applyNumberFormat="true" numFmtId="2" fillId="22" applyFill="true">
      <alignment horizontal="center" vertical="center"/>
    </xf>
    <xf fontId="14008" applyFont="true" borderId="8" applyBorder="true" applyNumberFormat="true" numFmtId="2" fillId="22" applyFill="true">
      <alignment horizontal="center" vertical="center"/>
    </xf>
    <xf fontId="14009" applyFont="true" borderId="8" applyBorder="true" applyNumberFormat="true" numFmtId="2" fillId="22" applyFill="true">
      <alignment horizontal="center" vertical="center"/>
    </xf>
    <xf fontId="14010" applyFont="true" borderId="8" applyBorder="true" applyNumberFormat="true" numFmtId="2" fillId="22" applyFill="true">
      <alignment horizontal="center" vertical="center"/>
    </xf>
    <xf fontId="14011" applyFont="true" borderId="8" applyBorder="true" applyNumberFormat="true" numFmtId="2" fillId="22" applyFill="true">
      <alignment horizontal="center" vertical="center"/>
    </xf>
    <xf fontId="14012" applyFont="true" borderId="8" applyBorder="true" applyNumberFormat="true" numFmtId="2" fillId="22" applyFill="true">
      <alignment horizontal="center" vertical="center"/>
    </xf>
    <xf fontId="14013" applyFont="true" borderId="8" applyBorder="true" applyNumberFormat="true" numFmtId="2" fillId="22" applyFill="true">
      <alignment horizontal="center" vertical="center"/>
    </xf>
    <xf fontId="14014" applyFont="true" borderId="8" applyBorder="true" applyNumberFormat="true" numFmtId="2" fillId="22" applyFill="true">
      <alignment horizontal="center" vertical="center"/>
    </xf>
    <xf fontId="14015" applyFont="true" borderId="8" applyBorder="true" applyNumberFormat="true" numFmtId="2" fillId="22" applyFill="true">
      <alignment horizontal="center" vertical="center"/>
    </xf>
    <xf fontId="14016" applyFont="true" borderId="8" applyBorder="true" applyNumberFormat="true" numFmtId="2" fillId="22" applyFill="true">
      <alignment horizontal="center" vertical="center"/>
    </xf>
    <xf fontId="14017" applyFont="true" borderId="8" applyBorder="true" applyNumberFormat="true" numFmtId="2" fillId="22" applyFill="true">
      <alignment horizontal="center" vertical="center"/>
    </xf>
    <xf fontId="14018" applyFont="true" borderId="8" applyBorder="true" applyNumberFormat="true" numFmtId="2" fillId="22" applyFill="true">
      <alignment horizontal="center" vertical="center"/>
    </xf>
    <xf fontId="14019" applyFont="true" borderId="8" applyBorder="true" applyNumberFormat="true" numFmtId="2" fillId="22" applyFill="true">
      <alignment horizontal="center" vertical="center"/>
    </xf>
    <xf fontId="14020" applyFont="true" borderId="8" applyBorder="true" applyNumberFormat="true" numFmtId="2" fillId="22" applyFill="true">
      <alignment horizontal="center" vertical="center"/>
    </xf>
    <xf fontId="14021" applyFont="true" borderId="8" applyBorder="true" applyNumberFormat="true" numFmtId="2" fillId="22" applyFill="true">
      <alignment horizontal="center" vertical="center"/>
    </xf>
    <xf fontId="14022" applyFont="true" borderId="8" applyBorder="true" applyNumberFormat="true" numFmtId="2" fillId="22" applyFill="true">
      <alignment horizontal="center" vertical="center"/>
    </xf>
    <xf fontId="14023" applyFont="true" borderId="8" applyBorder="true" applyNumberFormat="true" numFmtId="2" fillId="22" applyFill="true">
      <alignment horizontal="center" vertical="center"/>
    </xf>
    <xf fontId="14024" applyFont="true" borderId="8" applyBorder="true" applyNumberFormat="true" numFmtId="2" fillId="22" applyFill="true">
      <alignment horizontal="center" vertical="center"/>
    </xf>
    <xf fontId="14025" applyFont="true" borderId="8" applyBorder="true" applyNumberFormat="true" numFmtId="2" fillId="22" applyFill="true">
      <alignment horizontal="center" vertical="center"/>
    </xf>
    <xf fontId="14026" applyFont="true" borderId="8" applyBorder="true" applyNumberFormat="true" numFmtId="2" fillId="22" applyFill="true">
      <alignment horizontal="center" vertical="center"/>
    </xf>
    <xf fontId="14027" applyFont="true" borderId="8" applyBorder="true" applyNumberFormat="true" numFmtId="2" fillId="22" applyFill="true">
      <alignment horizontal="center" vertical="center"/>
    </xf>
    <xf fontId="14028" applyFont="true" borderId="8" applyBorder="true" applyNumberFormat="true" numFmtId="2" fillId="22" applyFill="true">
      <alignment horizontal="center" vertical="center"/>
    </xf>
    <xf fontId="14029" applyFont="true" borderId="8" applyBorder="true" applyNumberFormat="true" numFmtId="2" fillId="22" applyFill="true">
      <alignment horizontal="center" vertical="center"/>
    </xf>
    <xf fontId="14030" applyFont="true" borderId="8" applyBorder="true" applyNumberFormat="true" numFmtId="2" fillId="22" applyFill="true">
      <alignment horizontal="center" vertical="center"/>
    </xf>
    <xf fontId="14031" applyFont="true" borderId="8" applyBorder="true" applyNumberFormat="true" numFmtId="2" fillId="22" applyFill="true">
      <alignment horizontal="center" vertical="center"/>
    </xf>
    <xf fontId="14032" applyFont="true" borderId="8" applyBorder="true" applyNumberFormat="true" numFmtId="2" fillId="22" applyFill="true">
      <alignment horizontal="center" vertical="center"/>
    </xf>
    <xf fontId="14033" applyFont="true" borderId="8" applyBorder="true" applyNumberFormat="true" numFmtId="2" fillId="22" applyFill="true">
      <alignment horizontal="center" vertical="center"/>
    </xf>
    <xf fontId="14034" applyFont="true" borderId="8" applyBorder="true" applyNumberFormat="true" numFmtId="2" fillId="22" applyFill="true">
      <alignment horizontal="center" vertical="center"/>
    </xf>
    <xf fontId="14035" applyFont="true" borderId="8" applyBorder="true" applyNumberFormat="true" numFmtId="2" fillId="22" applyFill="true">
      <alignment horizontal="center" vertical="center"/>
    </xf>
    <xf fontId="14036" applyFont="true" borderId="8" applyBorder="true" applyNumberFormat="true" numFmtId="2" fillId="22" applyFill="true">
      <alignment horizontal="center" vertical="center"/>
    </xf>
    <xf fontId="14037" applyFont="true" borderId="8" applyBorder="true" applyNumberFormat="true" numFmtId="2" fillId="22" applyFill="true">
      <alignment horizontal="center" vertical="center"/>
    </xf>
    <xf fontId="14038" applyFont="true" borderId="8" applyBorder="true" applyNumberFormat="true" numFmtId="2" fillId="22" applyFill="true">
      <alignment horizontal="center" vertical="center"/>
    </xf>
    <xf fontId="14039" applyFont="true" borderId="8" applyBorder="true" applyNumberFormat="true" numFmtId="2" fillId="22" applyFill="true">
      <alignment horizontal="center" vertical="center"/>
    </xf>
    <xf fontId="14040" applyFont="true" borderId="8" applyBorder="true" applyNumberFormat="true" numFmtId="2" fillId="22" applyFill="true">
      <alignment horizontal="center" vertical="center"/>
    </xf>
    <xf fontId="14041" applyFont="true" borderId="8" applyBorder="true" applyNumberFormat="true" numFmtId="165" fillId="19" applyFill="true">
      <alignment horizontal="left" vertical="center"/>
    </xf>
    <xf fontId="14042" applyFont="true" borderId="8" applyBorder="true" applyNumberFormat="true" numFmtId="165" fillId="22" applyFill="true">
      <alignment horizontal="center" vertical="center"/>
    </xf>
    <xf fontId="14043" applyFont="true" borderId="8" applyBorder="true" applyNumberFormat="true" numFmtId="166" fillId="22" applyFill="true">
      <alignment horizontal="center" vertical="center"/>
    </xf>
    <xf fontId="14044" applyFont="true" borderId="8" applyBorder="true" applyNumberFormat="true" numFmtId="1" fillId="22" applyFill="true">
      <alignment horizontal="center" vertical="center"/>
    </xf>
    <xf fontId="14045" applyFont="true" borderId="8" applyBorder="true" applyNumberFormat="true" numFmtId="1" fillId="22" applyFill="true">
      <alignment horizontal="center" vertical="center"/>
    </xf>
    <xf fontId="14046" applyFont="true" borderId="8" applyBorder="true" applyNumberFormat="true" numFmtId="1" fillId="22" applyFill="true">
      <alignment horizontal="center" vertical="center"/>
    </xf>
    <xf fontId="14047" applyFont="true" borderId="8" applyBorder="true" applyNumberFormat="true" numFmtId="1" fillId="22" applyFill="true">
      <alignment horizontal="center" vertical="center"/>
    </xf>
    <xf fontId="14048" applyFont="true" borderId="8" applyBorder="true" applyNumberFormat="true" numFmtId="1" fillId="22" applyFill="true">
      <alignment horizontal="center" vertical="center"/>
    </xf>
    <xf fontId="14049" applyFont="true" borderId="8" applyBorder="true" applyNumberFormat="true" numFmtId="1" fillId="22" applyFill="true">
      <alignment horizontal="center" vertical="center"/>
    </xf>
    <xf fontId="14050" applyFont="true" borderId="8" applyBorder="true" applyNumberFormat="true" numFmtId="1" fillId="22" applyFill="true">
      <alignment horizontal="center" vertical="center"/>
    </xf>
    <xf fontId="14051" applyFont="true" borderId="8" applyBorder="true" applyNumberFormat="true" numFmtId="165" fillId="22" applyFill="true">
      <alignment horizontal="center" vertical="center"/>
    </xf>
    <xf fontId="14052" applyFont="true" borderId="8" applyBorder="true" applyNumberFormat="true" numFmtId="165" fillId="22" applyFill="true">
      <alignment horizontal="center" vertical="center"/>
    </xf>
    <xf fontId="14053" applyFont="true" borderId="8" applyBorder="true" applyNumberFormat="true" numFmtId="1" fillId="22" applyFill="true">
      <alignment horizontal="center" vertical="center"/>
    </xf>
    <xf fontId="14054" applyFont="true" borderId="8" applyBorder="true" applyNumberFormat="true" numFmtId="1" fillId="22" applyFill="true">
      <alignment horizontal="center" vertical="center"/>
    </xf>
    <xf fontId="14055" applyFont="true" borderId="8" applyBorder="true" applyNumberFormat="true" numFmtId="1" fillId="22" applyFill="true">
      <alignment horizontal="center" vertical="center"/>
    </xf>
    <xf fontId="14056" applyFont="true" borderId="8" applyBorder="true" applyNumberFormat="true" numFmtId="167" fillId="22" applyFill="true">
      <alignment horizontal="center" vertical="center"/>
    </xf>
    <xf fontId="14057" applyFont="true" borderId="8" applyBorder="true" applyNumberFormat="true" numFmtId="1" fillId="22" applyFill="true">
      <alignment horizontal="center" vertical="center"/>
    </xf>
    <xf fontId="14058" applyFont="true" borderId="8" applyBorder="true" applyNumberFormat="true" numFmtId="167" fillId="22" applyFill="true">
      <alignment horizontal="center" vertical="center"/>
    </xf>
    <xf fontId="14059" applyFont="true" borderId="8" applyBorder="true" applyNumberFormat="true" numFmtId="1" fillId="22" applyFill="true">
      <alignment horizontal="center" vertical="center"/>
    </xf>
    <xf fontId="14060" applyFont="true" borderId="8" applyBorder="true" applyNumberFormat="true" numFmtId="167" fillId="22" applyFill="true">
      <alignment horizontal="center" vertical="center"/>
    </xf>
    <xf fontId="14061" applyFont="true" borderId="8" applyBorder="true" applyNumberFormat="true" numFmtId="1" fillId="22" applyFill="true">
      <alignment horizontal="center" vertical="center"/>
    </xf>
    <xf fontId="14062" applyFont="true" borderId="8" applyBorder="true" applyNumberFormat="true" numFmtId="167" fillId="22" applyFill="true">
      <alignment horizontal="center" vertical="center"/>
    </xf>
    <xf fontId="14063" applyFont="true" borderId="8" applyBorder="true" applyNumberFormat="true" numFmtId="167" fillId="22" applyFill="true">
      <alignment horizontal="center" vertical="center"/>
    </xf>
    <xf fontId="14064" applyFont="true" borderId="8" applyBorder="true" applyNumberFormat="true" numFmtId="1" fillId="22" applyFill="true">
      <alignment horizontal="center" vertical="center"/>
    </xf>
    <xf fontId="14065" applyFont="true" borderId="8" applyBorder="true" applyNumberFormat="true" numFmtId="1" fillId="22" applyFill="true">
      <alignment horizontal="center" vertical="center"/>
    </xf>
    <xf fontId="14066" applyFont="true" borderId="8" applyBorder="true" applyNumberFormat="true" numFmtId="1" fillId="22" applyFill="true">
      <alignment horizontal="center" vertical="center"/>
    </xf>
    <xf fontId="14067" applyFont="true" borderId="8" applyBorder="true" applyNumberFormat="true" numFmtId="167" fillId="22" applyFill="true">
      <alignment horizontal="center" vertical="center"/>
    </xf>
    <xf fontId="14068" applyFont="true" borderId="8" applyBorder="true" applyNumberFormat="true" numFmtId="166" fillId="22" applyFill="true">
      <alignment horizontal="center" vertical="center"/>
    </xf>
    <xf fontId="14069" applyFont="true" borderId="8" applyBorder="true" applyNumberFormat="true" numFmtId="166" fillId="22" applyFill="true">
      <alignment horizontal="center" vertical="center"/>
    </xf>
    <xf fontId="14070" applyFont="true" borderId="8" applyBorder="true" applyNumberFormat="true" numFmtId="1" fillId="22" applyFill="true">
      <alignment horizontal="center" vertical="center"/>
    </xf>
    <xf fontId="14071" applyFont="true" borderId="8" applyBorder="true" applyNumberFormat="true" numFmtId="1" fillId="22" applyFill="true">
      <alignment horizontal="center" vertical="center"/>
    </xf>
    <xf fontId="14072" applyFont="true" borderId="8" applyBorder="true" applyNumberFormat="true" numFmtId="1" fillId="22" applyFill="true">
      <alignment horizontal="center" vertical="center"/>
    </xf>
    <xf fontId="14073" applyFont="true" borderId="8" applyBorder="true" applyNumberFormat="true" numFmtId="167" fillId="22" applyFill="true">
      <alignment horizontal="center" vertical="center"/>
    </xf>
    <xf fontId="14074" applyFont="true" borderId="8" applyBorder="true" applyNumberFormat="true" numFmtId="1" fillId="22" applyFill="true">
      <alignment horizontal="center" vertical="center"/>
    </xf>
    <xf fontId="14075" applyFont="true" borderId="8" applyBorder="true" applyNumberFormat="true" numFmtId="167" fillId="22" applyFill="true">
      <alignment horizontal="center" vertical="center"/>
    </xf>
    <xf fontId="14076" applyFont="true" borderId="8" applyBorder="true" applyNumberFormat="true" numFmtId="1" fillId="22" applyFill="true">
      <alignment horizontal="center" vertical="center"/>
    </xf>
    <xf fontId="14077" applyFont="true" borderId="8" applyBorder="true" applyNumberFormat="true" numFmtId="1" fillId="22" applyFill="true">
      <alignment horizontal="center" vertical="center"/>
    </xf>
    <xf fontId="14078" applyFont="true" borderId="8" applyBorder="true" applyNumberFormat="true" numFmtId="1" fillId="22" applyFill="true">
      <alignment horizontal="center" vertical="center"/>
    </xf>
    <xf fontId="14079" applyFont="true" borderId="8" applyBorder="true" applyNumberFormat="true" numFmtId="1" fillId="22" applyFill="true">
      <alignment horizontal="center" vertical="center"/>
    </xf>
    <xf fontId="14080" applyFont="true" borderId="8" applyBorder="true" applyNumberFormat="true" numFmtId="167" fillId="22" applyFill="true">
      <alignment horizontal="center" vertical="center"/>
    </xf>
    <xf fontId="14081" applyFont="true" borderId="8" applyBorder="true" applyNumberFormat="true" numFmtId="1" fillId="22" applyFill="true">
      <alignment horizontal="center" vertical="center"/>
    </xf>
    <xf fontId="14082" applyFont="true" borderId="8" applyBorder="true" applyNumberFormat="true" numFmtId="167" fillId="22" applyFill="true">
      <alignment horizontal="center" vertical="center"/>
    </xf>
    <xf fontId="14083" applyFont="true" borderId="8" applyBorder="true" applyNumberFormat="true" numFmtId="1" fillId="22" applyFill="true">
      <alignment horizontal="center" vertical="center"/>
    </xf>
    <xf fontId="14084" applyFont="true" borderId="8" applyBorder="true" applyNumberFormat="true" numFmtId="167" fillId="22" applyFill="true">
      <alignment horizontal="center" vertical="center"/>
    </xf>
    <xf fontId="14085" applyFont="true" borderId="8" applyBorder="true" applyNumberFormat="true" numFmtId="2" fillId="22" applyFill="true">
      <alignment horizontal="center" vertical="center"/>
    </xf>
    <xf fontId="14086" applyFont="true" borderId="8" applyBorder="true" applyNumberFormat="true" numFmtId="2" fillId="22" applyFill="true">
      <alignment horizontal="center" vertical="center"/>
    </xf>
    <xf fontId="14087" applyFont="true" borderId="8" applyBorder="true" applyNumberFormat="true" numFmtId="2" fillId="22" applyFill="true">
      <alignment horizontal="center" vertical="center"/>
    </xf>
    <xf fontId="14088" applyFont="true" borderId="8" applyBorder="true" applyNumberFormat="true" numFmtId="2" fillId="22" applyFill="true">
      <alignment horizontal="center" vertical="center"/>
    </xf>
    <xf fontId="14089" applyFont="true" borderId="8" applyBorder="true" applyNumberFormat="true" numFmtId="2" fillId="22" applyFill="true">
      <alignment horizontal="center" vertical="center"/>
    </xf>
    <xf fontId="14090" applyFont="true" borderId="8" applyBorder="true" applyNumberFormat="true" numFmtId="2" fillId="22" applyFill="true">
      <alignment horizontal="center" vertical="center"/>
    </xf>
    <xf fontId="14091" applyFont="true" borderId="8" applyBorder="true" applyNumberFormat="true" numFmtId="2" fillId="22" applyFill="true">
      <alignment horizontal="center" vertical="center"/>
    </xf>
    <xf fontId="14092" applyFont="true" borderId="8" applyBorder="true" applyNumberFormat="true" numFmtId="2" fillId="22" applyFill="true">
      <alignment horizontal="center" vertical="center"/>
    </xf>
    <xf fontId="14093" applyFont="true" borderId="8" applyBorder="true" applyNumberFormat="true" numFmtId="2" fillId="22" applyFill="true">
      <alignment horizontal="center" vertical="center"/>
    </xf>
    <xf fontId="14094" applyFont="true" borderId="8" applyBorder="true" applyNumberFormat="true" numFmtId="2" fillId="22" applyFill="true">
      <alignment horizontal="center" vertical="center"/>
    </xf>
    <xf fontId="14095" applyFont="true" borderId="8" applyBorder="true" applyNumberFormat="true" numFmtId="2" fillId="22" applyFill="true">
      <alignment horizontal="center" vertical="center"/>
    </xf>
    <xf fontId="14096" applyFont="true" borderId="8" applyBorder="true" applyNumberFormat="true" numFmtId="2" fillId="22" applyFill="true">
      <alignment horizontal="center" vertical="center"/>
    </xf>
    <xf fontId="14097" applyFont="true" borderId="8" applyBorder="true" applyNumberFormat="true" numFmtId="2" fillId="22" applyFill="true">
      <alignment horizontal="center" vertical="center"/>
    </xf>
    <xf fontId="14098" applyFont="true" borderId="8" applyBorder="true" applyNumberFormat="true" numFmtId="2" fillId="22" applyFill="true">
      <alignment horizontal="center" vertical="center"/>
    </xf>
    <xf fontId="14099" applyFont="true" borderId="8" applyBorder="true" applyNumberFormat="true" numFmtId="2" fillId="22" applyFill="true">
      <alignment horizontal="center" vertical="center"/>
    </xf>
    <xf fontId="14100" applyFont="true" borderId="8" applyBorder="true" applyNumberFormat="true" numFmtId="2" fillId="22" applyFill="true">
      <alignment horizontal="center" vertical="center"/>
    </xf>
    <xf fontId="14101" applyFont="true" borderId="8" applyBorder="true" applyNumberFormat="true" numFmtId="2" fillId="22" applyFill="true">
      <alignment horizontal="center" vertical="center"/>
    </xf>
    <xf fontId="14102" applyFont="true" borderId="8" applyBorder="true" applyNumberFormat="true" numFmtId="2" fillId="22" applyFill="true">
      <alignment horizontal="center" vertical="center"/>
    </xf>
    <xf fontId="14103" applyFont="true" borderId="8" applyBorder="true" applyNumberFormat="true" numFmtId="2" fillId="22" applyFill="true">
      <alignment horizontal="center" vertical="center"/>
    </xf>
    <xf fontId="14104" applyFont="true" borderId="8" applyBorder="true" applyNumberFormat="true" numFmtId="2" fillId="22" applyFill="true">
      <alignment horizontal="center" vertical="center"/>
    </xf>
    <xf fontId="14105" applyFont="true" borderId="8" applyBorder="true" applyNumberFormat="true" numFmtId="2" fillId="22" applyFill="true">
      <alignment horizontal="center" vertical="center"/>
    </xf>
    <xf fontId="14106" applyFont="true" borderId="8" applyBorder="true" applyNumberFormat="true" numFmtId="2" fillId="22" applyFill="true">
      <alignment horizontal="center" vertical="center"/>
    </xf>
    <xf fontId="14107" applyFont="true" borderId="8" applyBorder="true" applyNumberFormat="true" numFmtId="2" fillId="22" applyFill="true">
      <alignment horizontal="center" vertical="center"/>
    </xf>
    <xf fontId="14108" applyFont="true" borderId="8" applyBorder="true" applyNumberFormat="true" numFmtId="2" fillId="22" applyFill="true">
      <alignment horizontal="center" vertical="center"/>
    </xf>
    <xf fontId="14109" applyFont="true" borderId="8" applyBorder="true" applyNumberFormat="true" numFmtId="2" fillId="22" applyFill="true">
      <alignment horizontal="center" vertical="center"/>
    </xf>
    <xf fontId="14110" applyFont="true" borderId="8" applyBorder="true" applyNumberFormat="true" numFmtId="2" fillId="22" applyFill="true">
      <alignment horizontal="center" vertical="center"/>
    </xf>
    <xf fontId="14111" applyFont="true" borderId="8" applyBorder="true" applyNumberFormat="true" numFmtId="2" fillId="22" applyFill="true">
      <alignment horizontal="center" vertical="center"/>
    </xf>
    <xf fontId="14112" applyFont="true" borderId="8" applyBorder="true" applyNumberFormat="true" numFmtId="2" fillId="22" applyFill="true">
      <alignment horizontal="center" vertical="center"/>
    </xf>
    <xf fontId="14113" applyFont="true" borderId="8" applyBorder="true" applyNumberFormat="true" numFmtId="2" fillId="22" applyFill="true">
      <alignment horizontal="center" vertical="center"/>
    </xf>
    <xf fontId="14114" applyFont="true" borderId="8" applyBorder="true" applyNumberFormat="true" numFmtId="2" fillId="22" applyFill="true">
      <alignment horizontal="center" vertical="center"/>
    </xf>
    <xf fontId="14115" applyFont="true" borderId="8" applyBorder="true" applyNumberFormat="true" numFmtId="2" fillId="22" applyFill="true">
      <alignment horizontal="center" vertical="center"/>
    </xf>
    <xf fontId="14116" applyFont="true" borderId="8" applyBorder="true" applyNumberFormat="true" numFmtId="2" fillId="22" applyFill="true">
      <alignment horizontal="center" vertical="center"/>
    </xf>
    <xf fontId="14117" applyFont="true" borderId="8" applyBorder="true" applyNumberFormat="true" numFmtId="2" fillId="22" applyFill="true">
      <alignment horizontal="center" vertical="center"/>
    </xf>
    <xf fontId="14118" applyFont="true" borderId="8" applyBorder="true" applyNumberFormat="true" numFmtId="2" fillId="22" applyFill="true">
      <alignment horizontal="center" vertical="center"/>
    </xf>
    <xf fontId="14119" applyFont="true" borderId="8" applyBorder="true" applyNumberFormat="true" numFmtId="165" fillId="19" applyFill="true">
      <alignment horizontal="left" vertical="center"/>
    </xf>
    <xf fontId="14120" applyFont="true" borderId="8" applyBorder="true" applyNumberFormat="true" numFmtId="165" fillId="22" applyFill="true">
      <alignment horizontal="center" vertical="center"/>
    </xf>
    <xf fontId="14121" applyFont="true" borderId="8" applyBorder="true" applyNumberFormat="true" numFmtId="166" fillId="22" applyFill="true">
      <alignment horizontal="center" vertical="center"/>
    </xf>
    <xf fontId="14122" applyFont="true" borderId="8" applyBorder="true" applyNumberFormat="true" numFmtId="1" fillId="22" applyFill="true">
      <alignment horizontal="center" vertical="center"/>
    </xf>
    <xf fontId="14123" applyFont="true" borderId="8" applyBorder="true" applyNumberFormat="true" numFmtId="1" fillId="22" applyFill="true">
      <alignment horizontal="center" vertical="center"/>
    </xf>
    <xf fontId="14124" applyFont="true" borderId="8" applyBorder="true" applyNumberFormat="true" numFmtId="1" fillId="22" applyFill="true">
      <alignment horizontal="center" vertical="center"/>
    </xf>
    <xf fontId="14125" applyFont="true" borderId="8" applyBorder="true" applyNumberFormat="true" numFmtId="1" fillId="22" applyFill="true">
      <alignment horizontal="center" vertical="center"/>
    </xf>
    <xf fontId="14126" applyFont="true" borderId="8" applyBorder="true" applyNumberFormat="true" numFmtId="1" fillId="22" applyFill="true">
      <alignment horizontal="center" vertical="center"/>
    </xf>
    <xf fontId="14127" applyFont="true" borderId="8" applyBorder="true" applyNumberFormat="true" numFmtId="1" fillId="22" applyFill="true">
      <alignment horizontal="center" vertical="center"/>
    </xf>
    <xf fontId="14128" applyFont="true" borderId="8" applyBorder="true" applyNumberFormat="true" numFmtId="1" fillId="22" applyFill="true">
      <alignment horizontal="center" vertical="center"/>
    </xf>
    <xf fontId="14129" applyFont="true" borderId="8" applyBorder="true" applyNumberFormat="true" numFmtId="165" fillId="22" applyFill="true">
      <alignment horizontal="center" vertical="center"/>
    </xf>
    <xf fontId="14130" applyFont="true" borderId="8" applyBorder="true" applyNumberFormat="true" numFmtId="165" fillId="22" applyFill="true">
      <alignment horizontal="center" vertical="center"/>
    </xf>
    <xf fontId="14131" applyFont="true" borderId="8" applyBorder="true" applyNumberFormat="true" numFmtId="1" fillId="22" applyFill="true">
      <alignment horizontal="center" vertical="center"/>
    </xf>
    <xf fontId="14132" applyFont="true" borderId="8" applyBorder="true" applyNumberFormat="true" numFmtId="1" fillId="22" applyFill="true">
      <alignment horizontal="center" vertical="center"/>
    </xf>
    <xf fontId="14133" applyFont="true" borderId="8" applyBorder="true" applyNumberFormat="true" numFmtId="1" fillId="22" applyFill="true">
      <alignment horizontal="center" vertical="center"/>
    </xf>
    <xf fontId="14134" applyFont="true" borderId="8" applyBorder="true" applyNumberFormat="true" numFmtId="167" fillId="22" applyFill="true">
      <alignment horizontal="center" vertical="center"/>
    </xf>
    <xf fontId="14135" applyFont="true" borderId="8" applyBorder="true" applyNumberFormat="true" numFmtId="1" fillId="22" applyFill="true">
      <alignment horizontal="center" vertical="center"/>
    </xf>
    <xf fontId="14136" applyFont="true" borderId="8" applyBorder="true" applyNumberFormat="true" numFmtId="167" fillId="22" applyFill="true">
      <alignment horizontal="center" vertical="center"/>
    </xf>
    <xf fontId="14137" applyFont="true" borderId="8" applyBorder="true" applyNumberFormat="true" numFmtId="1" fillId="22" applyFill="true">
      <alignment horizontal="center" vertical="center"/>
    </xf>
    <xf fontId="14138" applyFont="true" borderId="8" applyBorder="true" applyNumberFormat="true" numFmtId="167" fillId="22" applyFill="true">
      <alignment horizontal="center" vertical="center"/>
    </xf>
    <xf fontId="14139" applyFont="true" borderId="8" applyBorder="true" applyNumberFormat="true" numFmtId="1" fillId="22" applyFill="true">
      <alignment horizontal="center" vertical="center"/>
    </xf>
    <xf fontId="14140" applyFont="true" borderId="8" applyBorder="true" applyNumberFormat="true" numFmtId="167" fillId="22" applyFill="true">
      <alignment horizontal="center" vertical="center"/>
    </xf>
    <xf fontId="14141" applyFont="true" borderId="8" applyBorder="true" applyNumberFormat="true" numFmtId="167" fillId="22" applyFill="true">
      <alignment horizontal="center" vertical="center"/>
    </xf>
    <xf fontId="14142" applyFont="true" borderId="8" applyBorder="true" applyNumberFormat="true" numFmtId="1" fillId="22" applyFill="true">
      <alignment horizontal="center" vertical="center"/>
    </xf>
    <xf fontId="14143" applyFont="true" borderId="8" applyBorder="true" applyNumberFormat="true" numFmtId="1" fillId="22" applyFill="true">
      <alignment horizontal="center" vertical="center"/>
    </xf>
    <xf fontId="14144" applyFont="true" borderId="8" applyBorder="true" applyNumberFormat="true" numFmtId="1" fillId="22" applyFill="true">
      <alignment horizontal="center" vertical="center"/>
    </xf>
    <xf fontId="14145" applyFont="true" borderId="8" applyBorder="true" applyNumberFormat="true" numFmtId="167" fillId="22" applyFill="true">
      <alignment horizontal="center" vertical="center"/>
    </xf>
    <xf fontId="14146" applyFont="true" borderId="8" applyBorder="true" applyNumberFormat="true" numFmtId="166" fillId="22" applyFill="true">
      <alignment horizontal="center" vertical="center"/>
    </xf>
    <xf fontId="14147" applyFont="true" borderId="8" applyBorder="true" applyNumberFormat="true" numFmtId="166" fillId="22" applyFill="true">
      <alignment horizontal="center" vertical="center"/>
    </xf>
    <xf fontId="14148" applyFont="true" borderId="8" applyBorder="true" applyNumberFormat="true" numFmtId="1" fillId="22" applyFill="true">
      <alignment horizontal="center" vertical="center"/>
    </xf>
    <xf fontId="14149" applyFont="true" borderId="8" applyBorder="true" applyNumberFormat="true" numFmtId="1" fillId="22" applyFill="true">
      <alignment horizontal="center" vertical="center"/>
    </xf>
    <xf fontId="14150" applyFont="true" borderId="8" applyBorder="true" applyNumberFormat="true" numFmtId="1" fillId="22" applyFill="true">
      <alignment horizontal="center" vertical="center"/>
    </xf>
    <xf fontId="14151" applyFont="true" borderId="8" applyBorder="true" applyNumberFormat="true" numFmtId="167" fillId="22" applyFill="true">
      <alignment horizontal="center" vertical="center"/>
    </xf>
    <xf fontId="14152" applyFont="true" borderId="8" applyBorder="true" applyNumberFormat="true" numFmtId="1" fillId="22" applyFill="true">
      <alignment horizontal="center" vertical="center"/>
    </xf>
    <xf fontId="14153" applyFont="true" borderId="8" applyBorder="true" applyNumberFormat="true" numFmtId="167" fillId="22" applyFill="true">
      <alignment horizontal="center" vertical="center"/>
    </xf>
    <xf fontId="14154" applyFont="true" borderId="8" applyBorder="true" applyNumberFormat="true" numFmtId="1" fillId="22" applyFill="true">
      <alignment horizontal="center" vertical="center"/>
    </xf>
    <xf fontId="14155" applyFont="true" borderId="8" applyBorder="true" applyNumberFormat="true" numFmtId="1" fillId="22" applyFill="true">
      <alignment horizontal="center" vertical="center"/>
    </xf>
    <xf fontId="14156" applyFont="true" borderId="8" applyBorder="true" applyNumberFormat="true" numFmtId="1" fillId="22" applyFill="true">
      <alignment horizontal="center" vertical="center"/>
    </xf>
    <xf fontId="14157" applyFont="true" borderId="8" applyBorder="true" applyNumberFormat="true" numFmtId="1" fillId="22" applyFill="true">
      <alignment horizontal="center" vertical="center"/>
    </xf>
    <xf fontId="14158" applyFont="true" borderId="8" applyBorder="true" applyNumberFormat="true" numFmtId="167" fillId="22" applyFill="true">
      <alignment horizontal="center" vertical="center"/>
    </xf>
    <xf fontId="14159" applyFont="true" borderId="8" applyBorder="true" applyNumberFormat="true" numFmtId="1" fillId="22" applyFill="true">
      <alignment horizontal="center" vertical="center"/>
    </xf>
    <xf fontId="14160" applyFont="true" borderId="8" applyBorder="true" applyNumberFormat="true" numFmtId="167" fillId="22" applyFill="true">
      <alignment horizontal="center" vertical="center"/>
    </xf>
    <xf fontId="14161" applyFont="true" borderId="8" applyBorder="true" applyNumberFormat="true" numFmtId="1" fillId="22" applyFill="true">
      <alignment horizontal="center" vertical="center"/>
    </xf>
    <xf fontId="14162" applyFont="true" borderId="8" applyBorder="true" applyNumberFormat="true" numFmtId="167" fillId="22" applyFill="true">
      <alignment horizontal="center" vertical="center"/>
    </xf>
    <xf fontId="14163" applyFont="true" borderId="8" applyBorder="true" applyNumberFormat="true" numFmtId="2" fillId="22" applyFill="true">
      <alignment horizontal="center" vertical="center"/>
    </xf>
    <xf fontId="14164" applyFont="true" borderId="8" applyBorder="true" applyNumberFormat="true" numFmtId="2" fillId="22" applyFill="true">
      <alignment horizontal="center" vertical="center"/>
    </xf>
    <xf fontId="14165" applyFont="true" borderId="8" applyBorder="true" applyNumberFormat="true" numFmtId="2" fillId="22" applyFill="true">
      <alignment horizontal="center" vertical="center"/>
    </xf>
    <xf fontId="14166" applyFont="true" borderId="8" applyBorder="true" applyNumberFormat="true" numFmtId="2" fillId="22" applyFill="true">
      <alignment horizontal="center" vertical="center"/>
    </xf>
    <xf fontId="14167" applyFont="true" borderId="8" applyBorder="true" applyNumberFormat="true" numFmtId="2" fillId="22" applyFill="true">
      <alignment horizontal="center" vertical="center"/>
    </xf>
    <xf fontId="14168" applyFont="true" borderId="8" applyBorder="true" applyNumberFormat="true" numFmtId="2" fillId="22" applyFill="true">
      <alignment horizontal="center" vertical="center"/>
    </xf>
    <xf fontId="14169" applyFont="true" borderId="8" applyBorder="true" applyNumberFormat="true" numFmtId="2" fillId="22" applyFill="true">
      <alignment horizontal="center" vertical="center"/>
    </xf>
    <xf fontId="14170" applyFont="true" borderId="8" applyBorder="true" applyNumberFormat="true" numFmtId="2" fillId="22" applyFill="true">
      <alignment horizontal="center" vertical="center"/>
    </xf>
    <xf fontId="14171" applyFont="true" borderId="8" applyBorder="true" applyNumberFormat="true" numFmtId="2" fillId="22" applyFill="true">
      <alignment horizontal="center" vertical="center"/>
    </xf>
    <xf fontId="14172" applyFont="true" borderId="8" applyBorder="true" applyNumberFormat="true" numFmtId="2" fillId="22" applyFill="true">
      <alignment horizontal="center" vertical="center"/>
    </xf>
    <xf fontId="14173" applyFont="true" borderId="8" applyBorder="true" applyNumberFormat="true" numFmtId="2" fillId="22" applyFill="true">
      <alignment horizontal="center" vertical="center"/>
    </xf>
    <xf fontId="14174" applyFont="true" borderId="8" applyBorder="true" applyNumberFormat="true" numFmtId="2" fillId="22" applyFill="true">
      <alignment horizontal="center" vertical="center"/>
    </xf>
    <xf fontId="14175" applyFont="true" borderId="8" applyBorder="true" applyNumberFormat="true" numFmtId="2" fillId="22" applyFill="true">
      <alignment horizontal="center" vertical="center"/>
    </xf>
    <xf fontId="14176" applyFont="true" borderId="8" applyBorder="true" applyNumberFormat="true" numFmtId="2" fillId="22" applyFill="true">
      <alignment horizontal="center" vertical="center"/>
    </xf>
    <xf fontId="14177" applyFont="true" borderId="8" applyBorder="true" applyNumberFormat="true" numFmtId="2" fillId="22" applyFill="true">
      <alignment horizontal="center" vertical="center"/>
    </xf>
    <xf fontId="14178" applyFont="true" borderId="8" applyBorder="true" applyNumberFormat="true" numFmtId="2" fillId="22" applyFill="true">
      <alignment horizontal="center" vertical="center"/>
    </xf>
    <xf fontId="14179" applyFont="true" borderId="8" applyBorder="true" applyNumberFormat="true" numFmtId="2" fillId="22" applyFill="true">
      <alignment horizontal="center" vertical="center"/>
    </xf>
    <xf fontId="14180" applyFont="true" borderId="8" applyBorder="true" applyNumberFormat="true" numFmtId="2" fillId="22" applyFill="true">
      <alignment horizontal="center" vertical="center"/>
    </xf>
    <xf fontId="14181" applyFont="true" borderId="8" applyBorder="true" applyNumberFormat="true" numFmtId="2" fillId="22" applyFill="true">
      <alignment horizontal="center" vertical="center"/>
    </xf>
    <xf fontId="14182" applyFont="true" borderId="8" applyBorder="true" applyNumberFormat="true" numFmtId="2" fillId="22" applyFill="true">
      <alignment horizontal="center" vertical="center"/>
    </xf>
    <xf fontId="14183" applyFont="true" borderId="8" applyBorder="true" applyNumberFormat="true" numFmtId="2" fillId="22" applyFill="true">
      <alignment horizontal="center" vertical="center"/>
    </xf>
    <xf fontId="14184" applyFont="true" borderId="8" applyBorder="true" applyNumberFormat="true" numFmtId="2" fillId="22" applyFill="true">
      <alignment horizontal="center" vertical="center"/>
    </xf>
    <xf fontId="14185" applyFont="true" borderId="8" applyBorder="true" applyNumberFormat="true" numFmtId="2" fillId="22" applyFill="true">
      <alignment horizontal="center" vertical="center"/>
    </xf>
    <xf fontId="14186" applyFont="true" borderId="8" applyBorder="true" applyNumberFormat="true" numFmtId="2" fillId="22" applyFill="true">
      <alignment horizontal="center" vertical="center"/>
    </xf>
    <xf fontId="14187" applyFont="true" borderId="8" applyBorder="true" applyNumberFormat="true" numFmtId="2" fillId="22" applyFill="true">
      <alignment horizontal="center" vertical="center"/>
    </xf>
    <xf fontId="14188" applyFont="true" borderId="8" applyBorder="true" applyNumberFormat="true" numFmtId="2" fillId="22" applyFill="true">
      <alignment horizontal="center" vertical="center"/>
    </xf>
    <xf fontId="14189" applyFont="true" borderId="8" applyBorder="true" applyNumberFormat="true" numFmtId="2" fillId="22" applyFill="true">
      <alignment horizontal="center" vertical="center"/>
    </xf>
    <xf fontId="14190" applyFont="true" borderId="8" applyBorder="true" applyNumberFormat="true" numFmtId="2" fillId="22" applyFill="true">
      <alignment horizontal="center" vertical="center"/>
    </xf>
    <xf fontId="14191" applyFont="true" borderId="8" applyBorder="true" applyNumberFormat="true" numFmtId="2" fillId="22" applyFill="true">
      <alignment horizontal="center" vertical="center"/>
    </xf>
    <xf fontId="14192" applyFont="true" borderId="8" applyBorder="true" applyNumberFormat="true" numFmtId="2" fillId="22" applyFill="true">
      <alignment horizontal="center" vertical="center"/>
    </xf>
    <xf fontId="14193" applyFont="true" borderId="8" applyBorder="true" applyNumberFormat="true" numFmtId="2" fillId="22" applyFill="true">
      <alignment horizontal="center" vertical="center"/>
    </xf>
    <xf fontId="14194" applyFont="true" borderId="8" applyBorder="true" applyNumberFormat="true" numFmtId="2" fillId="22" applyFill="true">
      <alignment horizontal="center" vertical="center"/>
    </xf>
    <xf fontId="14195" applyFont="true" borderId="8" applyBorder="true" applyNumberFormat="true" numFmtId="2" fillId="22" applyFill="true">
      <alignment horizontal="center" vertical="center"/>
    </xf>
    <xf fontId="14196" applyFont="true" borderId="8" applyBorder="true" applyNumberFormat="true" numFmtId="2" fillId="22" applyFill="true">
      <alignment horizontal="center" vertical="center"/>
    </xf>
    <xf fontId="14197" applyFont="true" borderId="8" applyBorder="true" applyNumberFormat="true" numFmtId="165" fillId="19" applyFill="true">
      <alignment horizontal="left" vertical="center"/>
    </xf>
    <xf fontId="14198" applyFont="true" borderId="8" applyBorder="true" applyNumberFormat="true" numFmtId="165" fillId="22" applyFill="true">
      <alignment horizontal="center" vertical="center"/>
    </xf>
    <xf fontId="14199" applyFont="true" borderId="8" applyBorder="true" applyNumberFormat="true" numFmtId="166" fillId="22" applyFill="true">
      <alignment horizontal="center" vertical="center"/>
    </xf>
    <xf fontId="14200" applyFont="true" borderId="8" applyBorder="true" applyNumberFormat="true" numFmtId="1" fillId="22" applyFill="true">
      <alignment horizontal="center" vertical="center"/>
    </xf>
    <xf fontId="14201" applyFont="true" borderId="8" applyBorder="true" applyNumberFormat="true" numFmtId="1" fillId="22" applyFill="true">
      <alignment horizontal="center" vertical="center"/>
    </xf>
    <xf fontId="14202" applyFont="true" borderId="8" applyBorder="true" applyNumberFormat="true" numFmtId="1" fillId="22" applyFill="true">
      <alignment horizontal="center" vertical="center"/>
    </xf>
    <xf fontId="14203" applyFont="true" borderId="8" applyBorder="true" applyNumberFormat="true" numFmtId="1" fillId="22" applyFill="true">
      <alignment horizontal="center" vertical="center"/>
    </xf>
    <xf fontId="14204" applyFont="true" borderId="8" applyBorder="true" applyNumberFormat="true" numFmtId="1" fillId="22" applyFill="true">
      <alignment horizontal="center" vertical="center"/>
    </xf>
    <xf fontId="14205" applyFont="true" borderId="8" applyBorder="true" applyNumberFormat="true" numFmtId="1" fillId="22" applyFill="true">
      <alignment horizontal="center" vertical="center"/>
    </xf>
    <xf fontId="14206" applyFont="true" borderId="8" applyBorder="true" applyNumberFormat="true" numFmtId="1" fillId="22" applyFill="true">
      <alignment horizontal="center" vertical="center"/>
    </xf>
    <xf fontId="14207" applyFont="true" borderId="8" applyBorder="true" applyNumberFormat="true" numFmtId="165" fillId="22" applyFill="true">
      <alignment horizontal="center" vertical="center"/>
    </xf>
    <xf fontId="14208" applyFont="true" borderId="8" applyBorder="true" applyNumberFormat="true" numFmtId="165" fillId="22" applyFill="true">
      <alignment horizontal="center" vertical="center"/>
    </xf>
    <xf fontId="14209" applyFont="true" borderId="8" applyBorder="true" applyNumberFormat="true" numFmtId="1" fillId="22" applyFill="true">
      <alignment horizontal="center" vertical="center"/>
    </xf>
    <xf fontId="14210" applyFont="true" borderId="8" applyBorder="true" applyNumberFormat="true" numFmtId="1" fillId="22" applyFill="true">
      <alignment horizontal="center" vertical="center"/>
    </xf>
    <xf fontId="14211" applyFont="true" borderId="8" applyBorder="true" applyNumberFormat="true" numFmtId="1" fillId="22" applyFill="true">
      <alignment horizontal="center" vertical="center"/>
    </xf>
    <xf fontId="14212" applyFont="true" borderId="8" applyBorder="true" applyNumberFormat="true" numFmtId="167" fillId="22" applyFill="true">
      <alignment horizontal="center" vertical="center"/>
    </xf>
    <xf fontId="14213" applyFont="true" borderId="8" applyBorder="true" applyNumberFormat="true" numFmtId="1" fillId="22" applyFill="true">
      <alignment horizontal="center" vertical="center"/>
    </xf>
    <xf fontId="14214" applyFont="true" borderId="8" applyBorder="true" applyNumberFormat="true" numFmtId="167" fillId="22" applyFill="true">
      <alignment horizontal="center" vertical="center"/>
    </xf>
    <xf fontId="14215" applyFont="true" borderId="8" applyBorder="true" applyNumberFormat="true" numFmtId="1" fillId="22" applyFill="true">
      <alignment horizontal="center" vertical="center"/>
    </xf>
    <xf fontId="14216" applyFont="true" borderId="8" applyBorder="true" applyNumberFormat="true" numFmtId="167" fillId="22" applyFill="true">
      <alignment horizontal="center" vertical="center"/>
    </xf>
    <xf fontId="14217" applyFont="true" borderId="8" applyBorder="true" applyNumberFormat="true" numFmtId="1" fillId="22" applyFill="true">
      <alignment horizontal="center" vertical="center"/>
    </xf>
    <xf fontId="14218" applyFont="true" borderId="8" applyBorder="true" applyNumberFormat="true" numFmtId="167" fillId="22" applyFill="true">
      <alignment horizontal="center" vertical="center"/>
    </xf>
    <xf fontId="14219" applyFont="true" borderId="8" applyBorder="true" applyNumberFormat="true" numFmtId="167" fillId="22" applyFill="true">
      <alignment horizontal="center" vertical="center"/>
    </xf>
    <xf fontId="14220" applyFont="true" borderId="8" applyBorder="true" applyNumberFormat="true" numFmtId="1" fillId="22" applyFill="true">
      <alignment horizontal="center" vertical="center"/>
    </xf>
    <xf fontId="14221" applyFont="true" borderId="8" applyBorder="true" applyNumberFormat="true" numFmtId="1" fillId="22" applyFill="true">
      <alignment horizontal="center" vertical="center"/>
    </xf>
    <xf fontId="14222" applyFont="true" borderId="8" applyBorder="true" applyNumberFormat="true" numFmtId="1" fillId="22" applyFill="true">
      <alignment horizontal="center" vertical="center"/>
    </xf>
    <xf fontId="14223" applyFont="true" borderId="8" applyBorder="true" applyNumberFormat="true" numFmtId="167" fillId="22" applyFill="true">
      <alignment horizontal="center" vertical="center"/>
    </xf>
    <xf fontId="14224" applyFont="true" borderId="8" applyBorder="true" applyNumberFormat="true" numFmtId="166" fillId="22" applyFill="true">
      <alignment horizontal="center" vertical="center"/>
    </xf>
    <xf fontId="14225" applyFont="true" borderId="8" applyBorder="true" applyNumberFormat="true" numFmtId="166" fillId="22" applyFill="true">
      <alignment horizontal="center" vertical="center"/>
    </xf>
    <xf fontId="14226" applyFont="true" borderId="8" applyBorder="true" applyNumberFormat="true" numFmtId="1" fillId="22" applyFill="true">
      <alignment horizontal="center" vertical="center"/>
    </xf>
    <xf fontId="14227" applyFont="true" borderId="8" applyBorder="true" applyNumberFormat="true" numFmtId="1" fillId="22" applyFill="true">
      <alignment horizontal="center" vertical="center"/>
    </xf>
    <xf fontId="14228" applyFont="true" borderId="8" applyBorder="true" applyNumberFormat="true" numFmtId="1" fillId="22" applyFill="true">
      <alignment horizontal="center" vertical="center"/>
    </xf>
    <xf fontId="14229" applyFont="true" borderId="8" applyBorder="true" applyNumberFormat="true" numFmtId="167" fillId="22" applyFill="true">
      <alignment horizontal="center" vertical="center"/>
    </xf>
    <xf fontId="14230" applyFont="true" borderId="8" applyBorder="true" applyNumberFormat="true" numFmtId="1" fillId="22" applyFill="true">
      <alignment horizontal="center" vertical="center"/>
    </xf>
    <xf fontId="14231" applyFont="true" borderId="8" applyBorder="true" applyNumberFormat="true" numFmtId="167" fillId="22" applyFill="true">
      <alignment horizontal="center" vertical="center"/>
    </xf>
    <xf fontId="14232" applyFont="true" borderId="8" applyBorder="true" applyNumberFormat="true" numFmtId="1" fillId="22" applyFill="true">
      <alignment horizontal="center" vertical="center"/>
    </xf>
    <xf fontId="14233" applyFont="true" borderId="8" applyBorder="true" applyNumberFormat="true" numFmtId="1" fillId="22" applyFill="true">
      <alignment horizontal="center" vertical="center"/>
    </xf>
    <xf fontId="14234" applyFont="true" borderId="8" applyBorder="true" applyNumberFormat="true" numFmtId="1" fillId="22" applyFill="true">
      <alignment horizontal="center" vertical="center"/>
    </xf>
    <xf fontId="14235" applyFont="true" borderId="8" applyBorder="true" applyNumberFormat="true" numFmtId="1" fillId="22" applyFill="true">
      <alignment horizontal="center" vertical="center"/>
    </xf>
    <xf fontId="14236" applyFont="true" borderId="8" applyBorder="true" applyNumberFormat="true" numFmtId="167" fillId="22" applyFill="true">
      <alignment horizontal="center" vertical="center"/>
    </xf>
    <xf fontId="14237" applyFont="true" borderId="8" applyBorder="true" applyNumberFormat="true" numFmtId="1" fillId="22" applyFill="true">
      <alignment horizontal="center" vertical="center"/>
    </xf>
    <xf fontId="14238" applyFont="true" borderId="8" applyBorder="true" applyNumberFormat="true" numFmtId="167" fillId="22" applyFill="true">
      <alignment horizontal="center" vertical="center"/>
    </xf>
    <xf fontId="14239" applyFont="true" borderId="8" applyBorder="true" applyNumberFormat="true" numFmtId="1" fillId="22" applyFill="true">
      <alignment horizontal="center" vertical="center"/>
    </xf>
    <xf fontId="14240" applyFont="true" borderId="8" applyBorder="true" applyNumberFormat="true" numFmtId="167" fillId="22" applyFill="true">
      <alignment horizontal="center" vertical="center"/>
    </xf>
    <xf fontId="14241" applyFont="true" borderId="8" applyBorder="true" applyNumberFormat="true" numFmtId="2" fillId="22" applyFill="true">
      <alignment horizontal="center" vertical="center"/>
    </xf>
    <xf fontId="14242" applyFont="true" borderId="8" applyBorder="true" applyNumberFormat="true" numFmtId="2" fillId="22" applyFill="true">
      <alignment horizontal="center" vertical="center"/>
    </xf>
    <xf fontId="14243" applyFont="true" borderId="8" applyBorder="true" applyNumberFormat="true" numFmtId="2" fillId="22" applyFill="true">
      <alignment horizontal="center" vertical="center"/>
    </xf>
    <xf fontId="14244" applyFont="true" borderId="8" applyBorder="true" applyNumberFormat="true" numFmtId="2" fillId="22" applyFill="true">
      <alignment horizontal="center" vertical="center"/>
    </xf>
    <xf fontId="14245" applyFont="true" borderId="8" applyBorder="true" applyNumberFormat="true" numFmtId="2" fillId="22" applyFill="true">
      <alignment horizontal="center" vertical="center"/>
    </xf>
    <xf fontId="14246" applyFont="true" borderId="8" applyBorder="true" applyNumberFormat="true" numFmtId="2" fillId="22" applyFill="true">
      <alignment horizontal="center" vertical="center"/>
    </xf>
    <xf fontId="14247" applyFont="true" borderId="8" applyBorder="true" applyNumberFormat="true" numFmtId="2" fillId="22" applyFill="true">
      <alignment horizontal="center" vertical="center"/>
    </xf>
    <xf fontId="14248" applyFont="true" borderId="8" applyBorder="true" applyNumberFormat="true" numFmtId="2" fillId="22" applyFill="true">
      <alignment horizontal="center" vertical="center"/>
    </xf>
    <xf fontId="14249" applyFont="true" borderId="8" applyBorder="true" applyNumberFormat="true" numFmtId="2" fillId="22" applyFill="true">
      <alignment horizontal="center" vertical="center"/>
    </xf>
    <xf fontId="14250" applyFont="true" borderId="8" applyBorder="true" applyNumberFormat="true" numFmtId="2" fillId="22" applyFill="true">
      <alignment horizontal="center" vertical="center"/>
    </xf>
    <xf fontId="14251" applyFont="true" borderId="8" applyBorder="true" applyNumberFormat="true" numFmtId="2" fillId="22" applyFill="true">
      <alignment horizontal="center" vertical="center"/>
    </xf>
    <xf fontId="14252" applyFont="true" borderId="8" applyBorder="true" applyNumberFormat="true" numFmtId="2" fillId="22" applyFill="true">
      <alignment horizontal="center" vertical="center"/>
    </xf>
    <xf fontId="14253" applyFont="true" borderId="8" applyBorder="true" applyNumberFormat="true" numFmtId="2" fillId="22" applyFill="true">
      <alignment horizontal="center" vertical="center"/>
    </xf>
    <xf fontId="14254" applyFont="true" borderId="8" applyBorder="true" applyNumberFormat="true" numFmtId="2" fillId="22" applyFill="true">
      <alignment horizontal="center" vertical="center"/>
    </xf>
    <xf fontId="14255" applyFont="true" borderId="8" applyBorder="true" applyNumberFormat="true" numFmtId="2" fillId="22" applyFill="true">
      <alignment horizontal="center" vertical="center"/>
    </xf>
    <xf fontId="14256" applyFont="true" borderId="8" applyBorder="true" applyNumberFormat="true" numFmtId="2" fillId="22" applyFill="true">
      <alignment horizontal="center" vertical="center"/>
    </xf>
    <xf fontId="14257" applyFont="true" borderId="8" applyBorder="true" applyNumberFormat="true" numFmtId="2" fillId="22" applyFill="true">
      <alignment horizontal="center" vertical="center"/>
    </xf>
    <xf fontId="14258" applyFont="true" borderId="8" applyBorder="true" applyNumberFormat="true" numFmtId="2" fillId="22" applyFill="true">
      <alignment horizontal="center" vertical="center"/>
    </xf>
    <xf fontId="14259" applyFont="true" borderId="8" applyBorder="true" applyNumberFormat="true" numFmtId="2" fillId="22" applyFill="true">
      <alignment horizontal="center" vertical="center"/>
    </xf>
    <xf fontId="14260" applyFont="true" borderId="8" applyBorder="true" applyNumberFormat="true" numFmtId="2" fillId="22" applyFill="true">
      <alignment horizontal="center" vertical="center"/>
    </xf>
    <xf fontId="14261" applyFont="true" borderId="8" applyBorder="true" applyNumberFormat="true" numFmtId="2" fillId="22" applyFill="true">
      <alignment horizontal="center" vertical="center"/>
    </xf>
    <xf fontId="14262" applyFont="true" borderId="8" applyBorder="true" applyNumberFormat="true" numFmtId="2" fillId="22" applyFill="true">
      <alignment horizontal="center" vertical="center"/>
    </xf>
    <xf fontId="14263" applyFont="true" borderId="8" applyBorder="true" applyNumberFormat="true" numFmtId="2" fillId="22" applyFill="true">
      <alignment horizontal="center" vertical="center"/>
    </xf>
    <xf fontId="14264" applyFont="true" borderId="8" applyBorder="true" applyNumberFormat="true" numFmtId="2" fillId="22" applyFill="true">
      <alignment horizontal="center" vertical="center"/>
    </xf>
    <xf fontId="14265" applyFont="true" borderId="8" applyBorder="true" applyNumberFormat="true" numFmtId="2" fillId="22" applyFill="true">
      <alignment horizontal="center" vertical="center"/>
    </xf>
    <xf fontId="14266" applyFont="true" borderId="8" applyBorder="true" applyNumberFormat="true" numFmtId="2" fillId="22" applyFill="true">
      <alignment horizontal="center" vertical="center"/>
    </xf>
    <xf fontId="14267" applyFont="true" borderId="8" applyBorder="true" applyNumberFormat="true" numFmtId="2" fillId="22" applyFill="true">
      <alignment horizontal="center" vertical="center"/>
    </xf>
    <xf fontId="14268" applyFont="true" borderId="8" applyBorder="true" applyNumberFormat="true" numFmtId="2" fillId="22" applyFill="true">
      <alignment horizontal="center" vertical="center"/>
    </xf>
    <xf fontId="14269" applyFont="true" borderId="8" applyBorder="true" applyNumberFormat="true" numFmtId="2" fillId="22" applyFill="true">
      <alignment horizontal="center" vertical="center"/>
    </xf>
    <xf fontId="14270" applyFont="true" borderId="8" applyBorder="true" applyNumberFormat="true" numFmtId="2" fillId="22" applyFill="true">
      <alignment horizontal="center" vertical="center"/>
    </xf>
    <xf fontId="14271" applyFont="true" borderId="8" applyBorder="true" applyNumberFormat="true" numFmtId="2" fillId="22" applyFill="true">
      <alignment horizontal="center" vertical="center"/>
    </xf>
    <xf fontId="14272" applyFont="true" borderId="8" applyBorder="true" applyNumberFormat="true" numFmtId="2" fillId="22" applyFill="true">
      <alignment horizontal="center" vertical="center"/>
    </xf>
    <xf fontId="14273" applyFont="true" borderId="8" applyBorder="true" applyNumberFormat="true" numFmtId="2" fillId="22" applyFill="true">
      <alignment horizontal="center" vertical="center"/>
    </xf>
    <xf fontId="14274" applyFont="true" borderId="8" applyBorder="true" applyNumberFormat="true" numFmtId="2" fillId="22" applyFill="true">
      <alignment horizontal="center" vertical="center"/>
    </xf>
    <xf fontId="14275" applyFont="true" borderId="8" applyBorder="true" applyNumberFormat="true" numFmtId="165" fillId="19" applyFill="true">
      <alignment horizontal="left" vertical="center"/>
    </xf>
    <xf fontId="14276" applyFont="true" borderId="8" applyBorder="true" applyNumberFormat="true" numFmtId="165" fillId="22" applyFill="true">
      <alignment horizontal="center" vertical="center"/>
    </xf>
    <xf fontId="14277" applyFont="true" borderId="8" applyBorder="true" applyNumberFormat="true" numFmtId="166" fillId="22" applyFill="true">
      <alignment horizontal="center" vertical="center"/>
    </xf>
    <xf fontId="14278" applyFont="true" borderId="8" applyBorder="true" applyNumberFormat="true" numFmtId="1" fillId="22" applyFill="true">
      <alignment horizontal="center" vertical="center"/>
    </xf>
    <xf fontId="14279" applyFont="true" borderId="8" applyBorder="true" applyNumberFormat="true" numFmtId="1" fillId="22" applyFill="true">
      <alignment horizontal="center" vertical="center"/>
    </xf>
    <xf fontId="14280" applyFont="true" borderId="8" applyBorder="true" applyNumberFormat="true" numFmtId="1" fillId="22" applyFill="true">
      <alignment horizontal="center" vertical="center"/>
    </xf>
    <xf fontId="14281" applyFont="true" borderId="8" applyBorder="true" applyNumberFormat="true" numFmtId="1" fillId="22" applyFill="true">
      <alignment horizontal="center" vertical="center"/>
    </xf>
    <xf fontId="14282" applyFont="true" borderId="8" applyBorder="true" applyNumberFormat="true" numFmtId="1" fillId="22" applyFill="true">
      <alignment horizontal="center" vertical="center"/>
    </xf>
    <xf fontId="14283" applyFont="true" borderId="8" applyBorder="true" applyNumberFormat="true" numFmtId="1" fillId="22" applyFill="true">
      <alignment horizontal="center" vertical="center"/>
    </xf>
    <xf fontId="14284" applyFont="true" borderId="8" applyBorder="true" applyNumberFormat="true" numFmtId="1" fillId="22" applyFill="true">
      <alignment horizontal="center" vertical="center"/>
    </xf>
    <xf fontId="14285" applyFont="true" borderId="8" applyBorder="true" applyNumberFormat="true" numFmtId="165" fillId="22" applyFill="true">
      <alignment horizontal="center" vertical="center"/>
    </xf>
    <xf fontId="14286" applyFont="true" borderId="8" applyBorder="true" applyNumberFormat="true" numFmtId="165" fillId="22" applyFill="true">
      <alignment horizontal="center" vertical="center"/>
    </xf>
    <xf fontId="14287" applyFont="true" borderId="8" applyBorder="true" applyNumberFormat="true" numFmtId="1" fillId="22" applyFill="true">
      <alignment horizontal="center" vertical="center"/>
    </xf>
    <xf fontId="14288" applyFont="true" borderId="8" applyBorder="true" applyNumberFormat="true" numFmtId="1" fillId="22" applyFill="true">
      <alignment horizontal="center" vertical="center"/>
    </xf>
    <xf fontId="14289" applyFont="true" borderId="8" applyBorder="true" applyNumberFormat="true" numFmtId="1" fillId="22" applyFill="true">
      <alignment horizontal="center" vertical="center"/>
    </xf>
    <xf fontId="14290" applyFont="true" borderId="8" applyBorder="true" applyNumberFormat="true" numFmtId="167" fillId="22" applyFill="true">
      <alignment horizontal="center" vertical="center"/>
    </xf>
    <xf fontId="14291" applyFont="true" borderId="8" applyBorder="true" applyNumberFormat="true" numFmtId="1" fillId="22" applyFill="true">
      <alignment horizontal="center" vertical="center"/>
    </xf>
    <xf fontId="14292" applyFont="true" borderId="8" applyBorder="true" applyNumberFormat="true" numFmtId="167" fillId="22" applyFill="true">
      <alignment horizontal="center" vertical="center"/>
    </xf>
    <xf fontId="14293" applyFont="true" borderId="8" applyBorder="true" applyNumberFormat="true" numFmtId="1" fillId="22" applyFill="true">
      <alignment horizontal="center" vertical="center"/>
    </xf>
    <xf fontId="14294" applyFont="true" borderId="8" applyBorder="true" applyNumberFormat="true" numFmtId="167" fillId="22" applyFill="true">
      <alignment horizontal="center" vertical="center"/>
    </xf>
    <xf fontId="14295" applyFont="true" borderId="8" applyBorder="true" applyNumberFormat="true" numFmtId="1" fillId="22" applyFill="true">
      <alignment horizontal="center" vertical="center"/>
    </xf>
    <xf fontId="14296" applyFont="true" borderId="8" applyBorder="true" applyNumberFormat="true" numFmtId="167" fillId="22" applyFill="true">
      <alignment horizontal="center" vertical="center"/>
    </xf>
    <xf fontId="14297" applyFont="true" borderId="8" applyBorder="true" applyNumberFormat="true" numFmtId="167" fillId="22" applyFill="true">
      <alignment horizontal="center" vertical="center"/>
    </xf>
    <xf fontId="14298" applyFont="true" borderId="8" applyBorder="true" applyNumberFormat="true" numFmtId="1" fillId="22" applyFill="true">
      <alignment horizontal="center" vertical="center"/>
    </xf>
    <xf fontId="14299" applyFont="true" borderId="8" applyBorder="true" applyNumberFormat="true" numFmtId="1" fillId="22" applyFill="true">
      <alignment horizontal="center" vertical="center"/>
    </xf>
    <xf fontId="14300" applyFont="true" borderId="8" applyBorder="true" applyNumberFormat="true" numFmtId="1" fillId="22" applyFill="true">
      <alignment horizontal="center" vertical="center"/>
    </xf>
    <xf fontId="14301" applyFont="true" borderId="8" applyBorder="true" applyNumberFormat="true" numFmtId="167" fillId="22" applyFill="true">
      <alignment horizontal="center" vertical="center"/>
    </xf>
    <xf fontId="14302" applyFont="true" borderId="8" applyBorder="true" applyNumberFormat="true" numFmtId="166" fillId="22" applyFill="true">
      <alignment horizontal="center" vertical="center"/>
    </xf>
    <xf fontId="14303" applyFont="true" borderId="8" applyBorder="true" applyNumberFormat="true" numFmtId="166" fillId="22" applyFill="true">
      <alignment horizontal="center" vertical="center"/>
    </xf>
    <xf fontId="14304" applyFont="true" borderId="8" applyBorder="true" applyNumberFormat="true" numFmtId="1" fillId="22" applyFill="true">
      <alignment horizontal="center" vertical="center"/>
    </xf>
    <xf fontId="14305" applyFont="true" borderId="8" applyBorder="true" applyNumberFormat="true" numFmtId="1" fillId="22" applyFill="true">
      <alignment horizontal="center" vertical="center"/>
    </xf>
    <xf fontId="14306" applyFont="true" borderId="8" applyBorder="true" applyNumberFormat="true" numFmtId="1" fillId="22" applyFill="true">
      <alignment horizontal="center" vertical="center"/>
    </xf>
    <xf fontId="14307" applyFont="true" borderId="8" applyBorder="true" applyNumberFormat="true" numFmtId="167" fillId="22" applyFill="true">
      <alignment horizontal="center" vertical="center"/>
    </xf>
    <xf fontId="14308" applyFont="true" borderId="8" applyBorder="true" applyNumberFormat="true" numFmtId="1" fillId="22" applyFill="true">
      <alignment horizontal="center" vertical="center"/>
    </xf>
    <xf fontId="14309" applyFont="true" borderId="8" applyBorder="true" applyNumberFormat="true" numFmtId="167" fillId="22" applyFill="true">
      <alignment horizontal="center" vertical="center"/>
    </xf>
    <xf fontId="14310" applyFont="true" borderId="8" applyBorder="true" applyNumberFormat="true" numFmtId="1" fillId="22" applyFill="true">
      <alignment horizontal="center" vertical="center"/>
    </xf>
    <xf fontId="14311" applyFont="true" borderId="8" applyBorder="true" applyNumberFormat="true" numFmtId="1" fillId="22" applyFill="true">
      <alignment horizontal="center" vertical="center"/>
    </xf>
    <xf fontId="14312" applyFont="true" borderId="8" applyBorder="true" applyNumberFormat="true" numFmtId="1" fillId="22" applyFill="true">
      <alignment horizontal="center" vertical="center"/>
    </xf>
    <xf fontId="14313" applyFont="true" borderId="8" applyBorder="true" applyNumberFormat="true" numFmtId="1" fillId="22" applyFill="true">
      <alignment horizontal="center" vertical="center"/>
    </xf>
    <xf fontId="14314" applyFont="true" borderId="8" applyBorder="true" applyNumberFormat="true" numFmtId="167" fillId="22" applyFill="true">
      <alignment horizontal="center" vertical="center"/>
    </xf>
    <xf fontId="14315" applyFont="true" borderId="8" applyBorder="true" applyNumberFormat="true" numFmtId="1" fillId="22" applyFill="true">
      <alignment horizontal="center" vertical="center"/>
    </xf>
    <xf fontId="14316" applyFont="true" borderId="8" applyBorder="true" applyNumberFormat="true" numFmtId="167" fillId="22" applyFill="true">
      <alignment horizontal="center" vertical="center"/>
    </xf>
    <xf fontId="14317" applyFont="true" borderId="8" applyBorder="true" applyNumberFormat="true" numFmtId="1" fillId="22" applyFill="true">
      <alignment horizontal="center" vertical="center"/>
    </xf>
    <xf fontId="14318" applyFont="true" borderId="8" applyBorder="true" applyNumberFormat="true" numFmtId="167" fillId="22" applyFill="true">
      <alignment horizontal="center" vertical="center"/>
    </xf>
    <xf fontId="14319" applyFont="true" borderId="8" applyBorder="true" applyNumberFormat="true" numFmtId="2" fillId="22" applyFill="true">
      <alignment horizontal="center" vertical="center"/>
    </xf>
    <xf fontId="14320" applyFont="true" borderId="8" applyBorder="true" applyNumberFormat="true" numFmtId="2" fillId="22" applyFill="true">
      <alignment horizontal="center" vertical="center"/>
    </xf>
    <xf fontId="14321" applyFont="true" borderId="8" applyBorder="true" applyNumberFormat="true" numFmtId="2" fillId="22" applyFill="true">
      <alignment horizontal="center" vertical="center"/>
    </xf>
    <xf fontId="14322" applyFont="true" borderId="8" applyBorder="true" applyNumberFormat="true" numFmtId="2" fillId="22" applyFill="true">
      <alignment horizontal="center" vertical="center"/>
    </xf>
    <xf fontId="14323" applyFont="true" borderId="8" applyBorder="true" applyNumberFormat="true" numFmtId="2" fillId="22" applyFill="true">
      <alignment horizontal="center" vertical="center"/>
    </xf>
    <xf fontId="14324" applyFont="true" borderId="8" applyBorder="true" applyNumberFormat="true" numFmtId="2" fillId="22" applyFill="true">
      <alignment horizontal="center" vertical="center"/>
    </xf>
    <xf fontId="14325" applyFont="true" borderId="8" applyBorder="true" applyNumberFormat="true" numFmtId="2" fillId="22" applyFill="true">
      <alignment horizontal="center" vertical="center"/>
    </xf>
    <xf fontId="14326" applyFont="true" borderId="8" applyBorder="true" applyNumberFormat="true" numFmtId="2" fillId="22" applyFill="true">
      <alignment horizontal="center" vertical="center"/>
    </xf>
    <xf fontId="14327" applyFont="true" borderId="8" applyBorder="true" applyNumberFormat="true" numFmtId="2" fillId="22" applyFill="true">
      <alignment horizontal="center" vertical="center"/>
    </xf>
    <xf fontId="14328" applyFont="true" borderId="8" applyBorder="true" applyNumberFormat="true" numFmtId="2" fillId="22" applyFill="true">
      <alignment horizontal="center" vertical="center"/>
    </xf>
    <xf fontId="14329" applyFont="true" borderId="8" applyBorder="true" applyNumberFormat="true" numFmtId="2" fillId="22" applyFill="true">
      <alignment horizontal="center" vertical="center"/>
    </xf>
    <xf fontId="14330" applyFont="true" borderId="8" applyBorder="true" applyNumberFormat="true" numFmtId="2" fillId="22" applyFill="true">
      <alignment horizontal="center" vertical="center"/>
    </xf>
    <xf fontId="14331" applyFont="true" borderId="8" applyBorder="true" applyNumberFormat="true" numFmtId="2" fillId="22" applyFill="true">
      <alignment horizontal="center" vertical="center"/>
    </xf>
    <xf fontId="14332" applyFont="true" borderId="8" applyBorder="true" applyNumberFormat="true" numFmtId="2" fillId="22" applyFill="true">
      <alignment horizontal="center" vertical="center"/>
    </xf>
    <xf fontId="14333" applyFont="true" borderId="8" applyBorder="true" applyNumberFormat="true" numFmtId="2" fillId="22" applyFill="true">
      <alignment horizontal="center" vertical="center"/>
    </xf>
    <xf fontId="14334" applyFont="true" borderId="8" applyBorder="true" applyNumberFormat="true" numFmtId="2" fillId="22" applyFill="true">
      <alignment horizontal="center" vertical="center"/>
    </xf>
    <xf fontId="14335" applyFont="true" borderId="8" applyBorder="true" applyNumberFormat="true" numFmtId="2" fillId="22" applyFill="true">
      <alignment horizontal="center" vertical="center"/>
    </xf>
    <xf fontId="14336" applyFont="true" borderId="8" applyBorder="true" applyNumberFormat="true" numFmtId="2" fillId="22" applyFill="true">
      <alignment horizontal="center" vertical="center"/>
    </xf>
    <xf fontId="14337" applyFont="true" borderId="8" applyBorder="true" applyNumberFormat="true" numFmtId="2" fillId="22" applyFill="true">
      <alignment horizontal="center" vertical="center"/>
    </xf>
    <xf fontId="14338" applyFont="true" borderId="8" applyBorder="true" applyNumberFormat="true" numFmtId="2" fillId="22" applyFill="true">
      <alignment horizontal="center" vertical="center"/>
    </xf>
    <xf fontId="14339" applyFont="true" borderId="8" applyBorder="true" applyNumberFormat="true" numFmtId="2" fillId="22" applyFill="true">
      <alignment horizontal="center" vertical="center"/>
    </xf>
    <xf fontId="14340" applyFont="true" borderId="8" applyBorder="true" applyNumberFormat="true" numFmtId="2" fillId="22" applyFill="true">
      <alignment horizontal="center" vertical="center"/>
    </xf>
    <xf fontId="14341" applyFont="true" borderId="8" applyBorder="true" applyNumberFormat="true" numFmtId="2" fillId="22" applyFill="true">
      <alignment horizontal="center" vertical="center"/>
    </xf>
    <xf fontId="14342" applyFont="true" borderId="8" applyBorder="true" applyNumberFormat="true" numFmtId="2" fillId="22" applyFill="true">
      <alignment horizontal="center" vertical="center"/>
    </xf>
    <xf fontId="14343" applyFont="true" borderId="8" applyBorder="true" applyNumberFormat="true" numFmtId="2" fillId="22" applyFill="true">
      <alignment horizontal="center" vertical="center"/>
    </xf>
    <xf fontId="14344" applyFont="true" borderId="8" applyBorder="true" applyNumberFormat="true" numFmtId="2" fillId="22" applyFill="true">
      <alignment horizontal="center" vertical="center"/>
    </xf>
    <xf fontId="14345" applyFont="true" borderId="8" applyBorder="true" applyNumberFormat="true" numFmtId="2" fillId="22" applyFill="true">
      <alignment horizontal="center" vertical="center"/>
    </xf>
    <xf fontId="14346" applyFont="true" borderId="8" applyBorder="true" applyNumberFormat="true" numFmtId="2" fillId="22" applyFill="true">
      <alignment horizontal="center" vertical="center"/>
    </xf>
    <xf fontId="14347" applyFont="true" borderId="8" applyBorder="true" applyNumberFormat="true" numFmtId="2" fillId="22" applyFill="true">
      <alignment horizontal="center" vertical="center"/>
    </xf>
    <xf fontId="14348" applyFont="true" borderId="8" applyBorder="true" applyNumberFormat="true" numFmtId="2" fillId="22" applyFill="true">
      <alignment horizontal="center" vertical="center"/>
    </xf>
    <xf fontId="14349" applyFont="true" borderId="8" applyBorder="true" applyNumberFormat="true" numFmtId="2" fillId="22" applyFill="true">
      <alignment horizontal="center" vertical="center"/>
    </xf>
    <xf fontId="14350" applyFont="true" borderId="8" applyBorder="true" applyNumberFormat="true" numFmtId="2" fillId="22" applyFill="true">
      <alignment horizontal="center" vertical="center"/>
    </xf>
    <xf fontId="14351" applyFont="true" borderId="8" applyBorder="true" applyNumberFormat="true" numFmtId="2" fillId="22" applyFill="true">
      <alignment horizontal="center" vertical="center"/>
    </xf>
    <xf fontId="14352" applyFont="true" borderId="8" applyBorder="true" applyNumberFormat="true" numFmtId="2" fillId="22" applyFill="true">
      <alignment horizontal="center" vertical="center"/>
    </xf>
    <xf fontId="14353" applyFont="true" borderId="8" applyBorder="true" applyNumberFormat="true" numFmtId="165" fillId="19" applyFill="true">
      <alignment horizontal="left" vertical="center"/>
    </xf>
    <xf fontId="14354" applyFont="true" borderId="8" applyBorder="true" applyNumberFormat="true" numFmtId="165" fillId="22" applyFill="true">
      <alignment horizontal="center" vertical="center"/>
    </xf>
    <xf fontId="14355" applyFont="true" borderId="8" applyBorder="true" applyNumberFormat="true" numFmtId="166" fillId="22" applyFill="true">
      <alignment horizontal="center" vertical="center"/>
    </xf>
    <xf fontId="14356" applyFont="true" borderId="8" applyBorder="true" applyNumberFormat="true" numFmtId="1" fillId="22" applyFill="true">
      <alignment horizontal="center" vertical="center"/>
    </xf>
    <xf fontId="14357" applyFont="true" borderId="8" applyBorder="true" applyNumberFormat="true" numFmtId="1" fillId="22" applyFill="true">
      <alignment horizontal="center" vertical="center"/>
    </xf>
    <xf fontId="14358" applyFont="true" borderId="8" applyBorder="true" applyNumberFormat="true" numFmtId="1" fillId="22" applyFill="true">
      <alignment horizontal="center" vertical="center"/>
    </xf>
    <xf fontId="14359" applyFont="true" borderId="8" applyBorder="true" applyNumberFormat="true" numFmtId="1" fillId="22" applyFill="true">
      <alignment horizontal="center" vertical="center"/>
    </xf>
    <xf fontId="14360" applyFont="true" borderId="8" applyBorder="true" applyNumberFormat="true" numFmtId="1" fillId="22" applyFill="true">
      <alignment horizontal="center" vertical="center"/>
    </xf>
    <xf fontId="14361" applyFont="true" borderId="8" applyBorder="true" applyNumberFormat="true" numFmtId="1" fillId="22" applyFill="true">
      <alignment horizontal="center" vertical="center"/>
    </xf>
    <xf fontId="14362" applyFont="true" borderId="8" applyBorder="true" applyNumberFormat="true" numFmtId="1" fillId="22" applyFill="true">
      <alignment horizontal="center" vertical="center"/>
    </xf>
    <xf fontId="14363" applyFont="true" borderId="8" applyBorder="true" applyNumberFormat="true" numFmtId="165" fillId="22" applyFill="true">
      <alignment horizontal="center" vertical="center"/>
    </xf>
    <xf fontId="14364" applyFont="true" borderId="8" applyBorder="true" applyNumberFormat="true" numFmtId="165" fillId="22" applyFill="true">
      <alignment horizontal="center" vertical="center"/>
    </xf>
    <xf fontId="14365" applyFont="true" borderId="8" applyBorder="true" applyNumberFormat="true" numFmtId="1" fillId="22" applyFill="true">
      <alignment horizontal="center" vertical="center"/>
    </xf>
    <xf fontId="14366" applyFont="true" borderId="8" applyBorder="true" applyNumberFormat="true" numFmtId="1" fillId="22" applyFill="true">
      <alignment horizontal="center" vertical="center"/>
    </xf>
    <xf fontId="14367" applyFont="true" borderId="8" applyBorder="true" applyNumberFormat="true" numFmtId="1" fillId="22" applyFill="true">
      <alignment horizontal="center" vertical="center"/>
    </xf>
    <xf fontId="14368" applyFont="true" borderId="8" applyBorder="true" applyNumberFormat="true" numFmtId="167" fillId="22" applyFill="true">
      <alignment horizontal="center" vertical="center"/>
    </xf>
    <xf fontId="14369" applyFont="true" borderId="8" applyBorder="true" applyNumberFormat="true" numFmtId="1" fillId="22" applyFill="true">
      <alignment horizontal="center" vertical="center"/>
    </xf>
    <xf fontId="14370" applyFont="true" borderId="8" applyBorder="true" applyNumberFormat="true" numFmtId="167" fillId="22" applyFill="true">
      <alignment horizontal="center" vertical="center"/>
    </xf>
    <xf fontId="14371" applyFont="true" borderId="8" applyBorder="true" applyNumberFormat="true" numFmtId="1" fillId="22" applyFill="true">
      <alignment horizontal="center" vertical="center"/>
    </xf>
    <xf fontId="14372" applyFont="true" borderId="8" applyBorder="true" applyNumberFormat="true" numFmtId="167" fillId="22" applyFill="true">
      <alignment horizontal="center" vertical="center"/>
    </xf>
    <xf fontId="14373" applyFont="true" borderId="8" applyBorder="true" applyNumberFormat="true" numFmtId="1" fillId="22" applyFill="true">
      <alignment horizontal="center" vertical="center"/>
    </xf>
    <xf fontId="14374" applyFont="true" borderId="8" applyBorder="true" applyNumberFormat="true" numFmtId="167" fillId="22" applyFill="true">
      <alignment horizontal="center" vertical="center"/>
    </xf>
    <xf fontId="14375" applyFont="true" borderId="8" applyBorder="true" applyNumberFormat="true" numFmtId="167" fillId="22" applyFill="true">
      <alignment horizontal="center" vertical="center"/>
    </xf>
    <xf fontId="14376" applyFont="true" borderId="8" applyBorder="true" applyNumberFormat="true" numFmtId="1" fillId="22" applyFill="true">
      <alignment horizontal="center" vertical="center"/>
    </xf>
    <xf fontId="14377" applyFont="true" borderId="8" applyBorder="true" applyNumberFormat="true" numFmtId="1" fillId="22" applyFill="true">
      <alignment horizontal="center" vertical="center"/>
    </xf>
    <xf fontId="14378" applyFont="true" borderId="8" applyBorder="true" applyNumberFormat="true" numFmtId="1" fillId="22" applyFill="true">
      <alignment horizontal="center" vertical="center"/>
    </xf>
    <xf fontId="14379" applyFont="true" borderId="8" applyBorder="true" applyNumberFormat="true" numFmtId="167" fillId="22" applyFill="true">
      <alignment horizontal="center" vertical="center"/>
    </xf>
    <xf fontId="14380" applyFont="true" borderId="8" applyBorder="true" applyNumberFormat="true" numFmtId="166" fillId="22" applyFill="true">
      <alignment horizontal="center" vertical="center"/>
    </xf>
    <xf fontId="14381" applyFont="true" borderId="8" applyBorder="true" applyNumberFormat="true" numFmtId="166" fillId="22" applyFill="true">
      <alignment horizontal="center" vertical="center"/>
    </xf>
    <xf fontId="14382" applyFont="true" borderId="8" applyBorder="true" applyNumberFormat="true" numFmtId="1" fillId="22" applyFill="true">
      <alignment horizontal="center" vertical="center"/>
    </xf>
    <xf fontId="14383" applyFont="true" borderId="8" applyBorder="true" applyNumberFormat="true" numFmtId="1" fillId="22" applyFill="true">
      <alignment horizontal="center" vertical="center"/>
    </xf>
    <xf fontId="14384" applyFont="true" borderId="8" applyBorder="true" applyNumberFormat="true" numFmtId="1" fillId="22" applyFill="true">
      <alignment horizontal="center" vertical="center"/>
    </xf>
    <xf fontId="14385" applyFont="true" borderId="8" applyBorder="true" applyNumberFormat="true" numFmtId="167" fillId="22" applyFill="true">
      <alignment horizontal="center" vertical="center"/>
    </xf>
    <xf fontId="14386" applyFont="true" borderId="8" applyBorder="true" applyNumberFormat="true" numFmtId="1" fillId="22" applyFill="true">
      <alignment horizontal="center" vertical="center"/>
    </xf>
    <xf fontId="14387" applyFont="true" borderId="8" applyBorder="true" applyNumberFormat="true" numFmtId="167" fillId="22" applyFill="true">
      <alignment horizontal="center" vertical="center"/>
    </xf>
    <xf fontId="14388" applyFont="true" borderId="8" applyBorder="true" applyNumberFormat="true" numFmtId="1" fillId="22" applyFill="true">
      <alignment horizontal="center" vertical="center"/>
    </xf>
    <xf fontId="14389" applyFont="true" borderId="8" applyBorder="true" applyNumberFormat="true" numFmtId="1" fillId="22" applyFill="true">
      <alignment horizontal="center" vertical="center"/>
    </xf>
    <xf fontId="14390" applyFont="true" borderId="8" applyBorder="true" applyNumberFormat="true" numFmtId="1" fillId="22" applyFill="true">
      <alignment horizontal="center" vertical="center"/>
    </xf>
    <xf fontId="14391" applyFont="true" borderId="8" applyBorder="true" applyNumberFormat="true" numFmtId="1" fillId="22" applyFill="true">
      <alignment horizontal="center" vertical="center"/>
    </xf>
    <xf fontId="14392" applyFont="true" borderId="8" applyBorder="true" applyNumberFormat="true" numFmtId="167" fillId="22" applyFill="true">
      <alignment horizontal="center" vertical="center"/>
    </xf>
    <xf fontId="14393" applyFont="true" borderId="8" applyBorder="true" applyNumberFormat="true" numFmtId="1" fillId="22" applyFill="true">
      <alignment horizontal="center" vertical="center"/>
    </xf>
    <xf fontId="14394" applyFont="true" borderId="8" applyBorder="true" applyNumberFormat="true" numFmtId="167" fillId="22" applyFill="true">
      <alignment horizontal="center" vertical="center"/>
    </xf>
    <xf fontId="14395" applyFont="true" borderId="8" applyBorder="true" applyNumberFormat="true" numFmtId="1" fillId="22" applyFill="true">
      <alignment horizontal="center" vertical="center"/>
    </xf>
    <xf fontId="14396" applyFont="true" borderId="8" applyBorder="true" applyNumberFormat="true" numFmtId="167" fillId="22" applyFill="true">
      <alignment horizontal="center" vertical="center"/>
    </xf>
    <xf fontId="14397" applyFont="true" borderId="8" applyBorder="true" applyNumberFormat="true" numFmtId="2" fillId="22" applyFill="true">
      <alignment horizontal="center" vertical="center"/>
    </xf>
    <xf fontId="14398" applyFont="true" borderId="8" applyBorder="true" applyNumberFormat="true" numFmtId="2" fillId="22" applyFill="true">
      <alignment horizontal="center" vertical="center"/>
    </xf>
    <xf fontId="14399" applyFont="true" borderId="8" applyBorder="true" applyNumberFormat="true" numFmtId="2" fillId="22" applyFill="true">
      <alignment horizontal="center" vertical="center"/>
    </xf>
    <xf fontId="14400" applyFont="true" borderId="8" applyBorder="true" applyNumberFormat="true" numFmtId="2" fillId="22" applyFill="true">
      <alignment horizontal="center" vertical="center"/>
    </xf>
    <xf fontId="14401" applyFont="true" borderId="8" applyBorder="true" applyNumberFormat="true" numFmtId="2" fillId="22" applyFill="true">
      <alignment horizontal="center" vertical="center"/>
    </xf>
    <xf fontId="14402" applyFont="true" borderId="8" applyBorder="true" applyNumberFormat="true" numFmtId="2" fillId="22" applyFill="true">
      <alignment horizontal="center" vertical="center"/>
    </xf>
    <xf fontId="14403" applyFont="true" borderId="8" applyBorder="true" applyNumberFormat="true" numFmtId="2" fillId="22" applyFill="true">
      <alignment horizontal="center" vertical="center"/>
    </xf>
    <xf fontId="14404" applyFont="true" borderId="8" applyBorder="true" applyNumberFormat="true" numFmtId="2" fillId="22" applyFill="true">
      <alignment horizontal="center" vertical="center"/>
    </xf>
    <xf fontId="14405" applyFont="true" borderId="8" applyBorder="true" applyNumberFormat="true" numFmtId="2" fillId="22" applyFill="true">
      <alignment horizontal="center" vertical="center"/>
    </xf>
    <xf fontId="14406" applyFont="true" borderId="8" applyBorder="true" applyNumberFormat="true" numFmtId="2" fillId="22" applyFill="true">
      <alignment horizontal="center" vertical="center"/>
    </xf>
    <xf fontId="14407" applyFont="true" borderId="8" applyBorder="true" applyNumberFormat="true" numFmtId="2" fillId="22" applyFill="true">
      <alignment horizontal="center" vertical="center"/>
    </xf>
    <xf fontId="14408" applyFont="true" borderId="8" applyBorder="true" applyNumberFormat="true" numFmtId="2" fillId="22" applyFill="true">
      <alignment horizontal="center" vertical="center"/>
    </xf>
    <xf fontId="14409" applyFont="true" borderId="8" applyBorder="true" applyNumberFormat="true" numFmtId="2" fillId="22" applyFill="true">
      <alignment horizontal="center" vertical="center"/>
    </xf>
    <xf fontId="14410" applyFont="true" borderId="8" applyBorder="true" applyNumberFormat="true" numFmtId="2" fillId="22" applyFill="true">
      <alignment horizontal="center" vertical="center"/>
    </xf>
    <xf fontId="14411" applyFont="true" borderId="8" applyBorder="true" applyNumberFormat="true" numFmtId="2" fillId="22" applyFill="true">
      <alignment horizontal="center" vertical="center"/>
    </xf>
    <xf fontId="14412" applyFont="true" borderId="8" applyBorder="true" applyNumberFormat="true" numFmtId="2" fillId="22" applyFill="true">
      <alignment horizontal="center" vertical="center"/>
    </xf>
    <xf fontId="14413" applyFont="true" borderId="8" applyBorder="true" applyNumberFormat="true" numFmtId="2" fillId="22" applyFill="true">
      <alignment horizontal="center" vertical="center"/>
    </xf>
    <xf fontId="14414" applyFont="true" borderId="8" applyBorder="true" applyNumberFormat="true" numFmtId="2" fillId="22" applyFill="true">
      <alignment horizontal="center" vertical="center"/>
    </xf>
    <xf fontId="14415" applyFont="true" borderId="8" applyBorder="true" applyNumberFormat="true" numFmtId="2" fillId="22" applyFill="true">
      <alignment horizontal="center" vertical="center"/>
    </xf>
    <xf fontId="14416" applyFont="true" borderId="8" applyBorder="true" applyNumberFormat="true" numFmtId="2" fillId="22" applyFill="true">
      <alignment horizontal="center" vertical="center"/>
    </xf>
    <xf fontId="14417" applyFont="true" borderId="8" applyBorder="true" applyNumberFormat="true" numFmtId="2" fillId="22" applyFill="true">
      <alignment horizontal="center" vertical="center"/>
    </xf>
    <xf fontId="14418" applyFont="true" borderId="8" applyBorder="true" applyNumberFormat="true" numFmtId="2" fillId="22" applyFill="true">
      <alignment horizontal="center" vertical="center"/>
    </xf>
    <xf fontId="14419" applyFont="true" borderId="8" applyBorder="true" applyNumberFormat="true" numFmtId="2" fillId="22" applyFill="true">
      <alignment horizontal="center" vertical="center"/>
    </xf>
    <xf fontId="14420" applyFont="true" borderId="8" applyBorder="true" applyNumberFormat="true" numFmtId="2" fillId="22" applyFill="true">
      <alignment horizontal="center" vertical="center"/>
    </xf>
    <xf fontId="14421" applyFont="true" borderId="8" applyBorder="true" applyNumberFormat="true" numFmtId="2" fillId="22" applyFill="true">
      <alignment horizontal="center" vertical="center"/>
    </xf>
    <xf fontId="14422" applyFont="true" borderId="8" applyBorder="true" applyNumberFormat="true" numFmtId="2" fillId="22" applyFill="true">
      <alignment horizontal="center" vertical="center"/>
    </xf>
    <xf fontId="14423" applyFont="true" borderId="8" applyBorder="true" applyNumberFormat="true" numFmtId="2" fillId="22" applyFill="true">
      <alignment horizontal="center" vertical="center"/>
    </xf>
    <xf fontId="14424" applyFont="true" borderId="8" applyBorder="true" applyNumberFormat="true" numFmtId="2" fillId="22" applyFill="true">
      <alignment horizontal="center" vertical="center"/>
    </xf>
    <xf fontId="14425" applyFont="true" borderId="8" applyBorder="true" applyNumberFormat="true" numFmtId="2" fillId="22" applyFill="true">
      <alignment horizontal="center" vertical="center"/>
    </xf>
    <xf fontId="14426" applyFont="true" borderId="8" applyBorder="true" applyNumberFormat="true" numFmtId="2" fillId="22" applyFill="true">
      <alignment horizontal="center" vertical="center"/>
    </xf>
    <xf fontId="14427" applyFont="true" borderId="8" applyBorder="true" applyNumberFormat="true" numFmtId="2" fillId="22" applyFill="true">
      <alignment horizontal="center" vertical="center"/>
    </xf>
    <xf fontId="14428" applyFont="true" borderId="8" applyBorder="true" applyNumberFormat="true" numFmtId="2" fillId="22" applyFill="true">
      <alignment horizontal="center" vertical="center"/>
    </xf>
    <xf fontId="14429" applyFont="true" borderId="8" applyBorder="true" applyNumberFormat="true" numFmtId="2" fillId="22" applyFill="true">
      <alignment horizontal="center" vertical="center"/>
    </xf>
    <xf fontId="14430" applyFont="true" borderId="8" applyBorder="true" applyNumberFormat="true" numFmtId="2" fillId="22" applyFill="true">
      <alignment horizontal="center" vertical="center"/>
    </xf>
    <xf fontId="14431" applyFont="true" borderId="8" applyBorder="true" applyNumberFormat="true" numFmtId="165" fillId="19" applyFill="true">
      <alignment horizontal="left" vertical="center"/>
    </xf>
    <xf fontId="14432" applyFont="true" borderId="8" applyBorder="true" applyNumberFormat="true" numFmtId="165" fillId="22" applyFill="true">
      <alignment horizontal="center" vertical="center"/>
    </xf>
    <xf fontId="14433" applyFont="true" borderId="8" applyBorder="true" applyNumberFormat="true" numFmtId="166" fillId="22" applyFill="true">
      <alignment horizontal="center" vertical="center"/>
    </xf>
    <xf fontId="14434" applyFont="true" borderId="8" applyBorder="true" applyNumberFormat="true" numFmtId="1" fillId="22" applyFill="true">
      <alignment horizontal="center" vertical="center"/>
    </xf>
    <xf fontId="14435" applyFont="true" borderId="8" applyBorder="true" applyNumberFormat="true" numFmtId="1" fillId="22" applyFill="true">
      <alignment horizontal="center" vertical="center"/>
    </xf>
    <xf fontId="14436" applyFont="true" borderId="8" applyBorder="true" applyNumberFormat="true" numFmtId="1" fillId="22" applyFill="true">
      <alignment horizontal="center" vertical="center"/>
    </xf>
    <xf fontId="14437" applyFont="true" borderId="8" applyBorder="true" applyNumberFormat="true" numFmtId="1" fillId="22" applyFill="true">
      <alignment horizontal="center" vertical="center"/>
    </xf>
    <xf fontId="14438" applyFont="true" borderId="8" applyBorder="true" applyNumberFormat="true" numFmtId="1" fillId="22" applyFill="true">
      <alignment horizontal="center" vertical="center"/>
    </xf>
    <xf fontId="14439" applyFont="true" borderId="8" applyBorder="true" applyNumberFormat="true" numFmtId="1" fillId="22" applyFill="true">
      <alignment horizontal="center" vertical="center"/>
    </xf>
    <xf fontId="14440" applyFont="true" borderId="8" applyBorder="true" applyNumberFormat="true" numFmtId="1" fillId="22" applyFill="true">
      <alignment horizontal="center" vertical="center"/>
    </xf>
    <xf fontId="14441" applyFont="true" borderId="8" applyBorder="true" applyNumberFormat="true" numFmtId="165" fillId="22" applyFill="true">
      <alignment horizontal="center" vertical="center"/>
    </xf>
    <xf fontId="14442" applyFont="true" borderId="8" applyBorder="true" applyNumberFormat="true" numFmtId="165" fillId="22" applyFill="true">
      <alignment horizontal="center" vertical="center"/>
    </xf>
    <xf fontId="14443" applyFont="true" borderId="8" applyBorder="true" applyNumberFormat="true" numFmtId="1" fillId="22" applyFill="true">
      <alignment horizontal="center" vertical="center"/>
    </xf>
    <xf fontId="14444" applyFont="true" borderId="8" applyBorder="true" applyNumberFormat="true" numFmtId="1" fillId="22" applyFill="true">
      <alignment horizontal="center" vertical="center"/>
    </xf>
    <xf fontId="14445" applyFont="true" borderId="8" applyBorder="true" applyNumberFormat="true" numFmtId="1" fillId="22" applyFill="true">
      <alignment horizontal="center" vertical="center"/>
    </xf>
    <xf fontId="14446" applyFont="true" borderId="8" applyBorder="true" applyNumberFormat="true" numFmtId="167" fillId="22" applyFill="true">
      <alignment horizontal="center" vertical="center"/>
    </xf>
    <xf fontId="14447" applyFont="true" borderId="8" applyBorder="true" applyNumberFormat="true" numFmtId="1" fillId="22" applyFill="true">
      <alignment horizontal="center" vertical="center"/>
    </xf>
    <xf fontId="14448" applyFont="true" borderId="8" applyBorder="true" applyNumberFormat="true" numFmtId="167" fillId="22" applyFill="true">
      <alignment horizontal="center" vertical="center"/>
    </xf>
    <xf fontId="14449" applyFont="true" borderId="8" applyBorder="true" applyNumberFormat="true" numFmtId="1" fillId="22" applyFill="true">
      <alignment horizontal="center" vertical="center"/>
    </xf>
    <xf fontId="14450" applyFont="true" borderId="8" applyBorder="true" applyNumberFormat="true" numFmtId="167" fillId="22" applyFill="true">
      <alignment horizontal="center" vertical="center"/>
    </xf>
    <xf fontId="14451" applyFont="true" borderId="8" applyBorder="true" applyNumberFormat="true" numFmtId="1" fillId="22" applyFill="true">
      <alignment horizontal="center" vertical="center"/>
    </xf>
    <xf fontId="14452" applyFont="true" borderId="8" applyBorder="true" applyNumberFormat="true" numFmtId="167" fillId="22" applyFill="true">
      <alignment horizontal="center" vertical="center"/>
    </xf>
    <xf fontId="14453" applyFont="true" borderId="8" applyBorder="true" applyNumberFormat="true" numFmtId="167" fillId="22" applyFill="true">
      <alignment horizontal="center" vertical="center"/>
    </xf>
    <xf fontId="14454" applyFont="true" borderId="8" applyBorder="true" applyNumberFormat="true" numFmtId="1" fillId="22" applyFill="true">
      <alignment horizontal="center" vertical="center"/>
    </xf>
    <xf fontId="14455" applyFont="true" borderId="8" applyBorder="true" applyNumberFormat="true" numFmtId="1" fillId="22" applyFill="true">
      <alignment horizontal="center" vertical="center"/>
    </xf>
    <xf fontId="14456" applyFont="true" borderId="8" applyBorder="true" applyNumberFormat="true" numFmtId="1" fillId="22" applyFill="true">
      <alignment horizontal="center" vertical="center"/>
    </xf>
    <xf fontId="14457" applyFont="true" borderId="8" applyBorder="true" applyNumberFormat="true" numFmtId="167" fillId="22" applyFill="true">
      <alignment horizontal="center" vertical="center"/>
    </xf>
    <xf fontId="14458" applyFont="true" borderId="8" applyBorder="true" applyNumberFormat="true" numFmtId="166" fillId="22" applyFill="true">
      <alignment horizontal="center" vertical="center"/>
    </xf>
    <xf fontId="14459" applyFont="true" borderId="8" applyBorder="true" applyNumberFormat="true" numFmtId="166" fillId="22" applyFill="true">
      <alignment horizontal="center" vertical="center"/>
    </xf>
    <xf fontId="14460" applyFont="true" borderId="8" applyBorder="true" applyNumberFormat="true" numFmtId="1" fillId="22" applyFill="true">
      <alignment horizontal="center" vertical="center"/>
    </xf>
    <xf fontId="14461" applyFont="true" borderId="8" applyBorder="true" applyNumberFormat="true" numFmtId="1" fillId="22" applyFill="true">
      <alignment horizontal="center" vertical="center"/>
    </xf>
    <xf fontId="14462" applyFont="true" borderId="8" applyBorder="true" applyNumberFormat="true" numFmtId="1" fillId="22" applyFill="true">
      <alignment horizontal="center" vertical="center"/>
    </xf>
    <xf fontId="14463" applyFont="true" borderId="8" applyBorder="true" applyNumberFormat="true" numFmtId="167" fillId="22" applyFill="true">
      <alignment horizontal="center" vertical="center"/>
    </xf>
    <xf fontId="14464" applyFont="true" borderId="8" applyBorder="true" applyNumberFormat="true" numFmtId="1" fillId="22" applyFill="true">
      <alignment horizontal="center" vertical="center"/>
    </xf>
    <xf fontId="14465" applyFont="true" borderId="8" applyBorder="true" applyNumberFormat="true" numFmtId="167" fillId="22" applyFill="true">
      <alignment horizontal="center" vertical="center"/>
    </xf>
    <xf fontId="14466" applyFont="true" borderId="8" applyBorder="true" applyNumberFormat="true" numFmtId="1" fillId="22" applyFill="true">
      <alignment horizontal="center" vertical="center"/>
    </xf>
    <xf fontId="14467" applyFont="true" borderId="8" applyBorder="true" applyNumberFormat="true" numFmtId="1" fillId="22" applyFill="true">
      <alignment horizontal="center" vertical="center"/>
    </xf>
    <xf fontId="14468" applyFont="true" borderId="8" applyBorder="true" applyNumberFormat="true" numFmtId="1" fillId="22" applyFill="true">
      <alignment horizontal="center" vertical="center"/>
    </xf>
    <xf fontId="14469" applyFont="true" borderId="8" applyBorder="true" applyNumberFormat="true" numFmtId="1" fillId="22" applyFill="true">
      <alignment horizontal="center" vertical="center"/>
    </xf>
    <xf fontId="14470" applyFont="true" borderId="8" applyBorder="true" applyNumberFormat="true" numFmtId="167" fillId="22" applyFill="true">
      <alignment horizontal="center" vertical="center"/>
    </xf>
    <xf fontId="14471" applyFont="true" borderId="8" applyBorder="true" applyNumberFormat="true" numFmtId="1" fillId="22" applyFill="true">
      <alignment horizontal="center" vertical="center"/>
    </xf>
    <xf fontId="14472" applyFont="true" borderId="8" applyBorder="true" applyNumberFormat="true" numFmtId="167" fillId="22" applyFill="true">
      <alignment horizontal="center" vertical="center"/>
    </xf>
    <xf fontId="14473" applyFont="true" borderId="8" applyBorder="true" applyNumberFormat="true" numFmtId="1" fillId="22" applyFill="true">
      <alignment horizontal="center" vertical="center"/>
    </xf>
    <xf fontId="14474" applyFont="true" borderId="8" applyBorder="true" applyNumberFormat="true" numFmtId="167" fillId="22" applyFill="true">
      <alignment horizontal="center" vertical="center"/>
    </xf>
    <xf fontId="14475" applyFont="true" borderId="8" applyBorder="true" applyNumberFormat="true" numFmtId="2" fillId="22" applyFill="true">
      <alignment horizontal="center" vertical="center"/>
    </xf>
    <xf fontId="14476" applyFont="true" borderId="8" applyBorder="true" applyNumberFormat="true" numFmtId="2" fillId="22" applyFill="true">
      <alignment horizontal="center" vertical="center"/>
    </xf>
    <xf fontId="14477" applyFont="true" borderId="8" applyBorder="true" applyNumberFormat="true" numFmtId="2" fillId="22" applyFill="true">
      <alignment horizontal="center" vertical="center"/>
    </xf>
    <xf fontId="14478" applyFont="true" borderId="8" applyBorder="true" applyNumberFormat="true" numFmtId="2" fillId="22" applyFill="true">
      <alignment horizontal="center" vertical="center"/>
    </xf>
    <xf fontId="14479" applyFont="true" borderId="8" applyBorder="true" applyNumberFormat="true" numFmtId="2" fillId="22" applyFill="true">
      <alignment horizontal="center" vertical="center"/>
    </xf>
    <xf fontId="14480" applyFont="true" borderId="8" applyBorder="true" applyNumberFormat="true" numFmtId="2" fillId="22" applyFill="true">
      <alignment horizontal="center" vertical="center"/>
    </xf>
    <xf fontId="14481" applyFont="true" borderId="8" applyBorder="true" applyNumberFormat="true" numFmtId="2" fillId="22" applyFill="true">
      <alignment horizontal="center" vertical="center"/>
    </xf>
    <xf fontId="14482" applyFont="true" borderId="8" applyBorder="true" applyNumberFormat="true" numFmtId="2" fillId="22" applyFill="true">
      <alignment horizontal="center" vertical="center"/>
    </xf>
    <xf fontId="14483" applyFont="true" borderId="8" applyBorder="true" applyNumberFormat="true" numFmtId="2" fillId="22" applyFill="true">
      <alignment horizontal="center" vertical="center"/>
    </xf>
    <xf fontId="14484" applyFont="true" borderId="8" applyBorder="true" applyNumberFormat="true" numFmtId="2" fillId="22" applyFill="true">
      <alignment horizontal="center" vertical="center"/>
    </xf>
    <xf fontId="14485" applyFont="true" borderId="8" applyBorder="true" applyNumberFormat="true" numFmtId="2" fillId="22" applyFill="true">
      <alignment horizontal="center" vertical="center"/>
    </xf>
    <xf fontId="14486" applyFont="true" borderId="8" applyBorder="true" applyNumberFormat="true" numFmtId="2" fillId="22" applyFill="true">
      <alignment horizontal="center" vertical="center"/>
    </xf>
    <xf fontId="14487" applyFont="true" borderId="8" applyBorder="true" applyNumberFormat="true" numFmtId="2" fillId="22" applyFill="true">
      <alignment horizontal="center" vertical="center"/>
    </xf>
    <xf fontId="14488" applyFont="true" borderId="8" applyBorder="true" applyNumberFormat="true" numFmtId="2" fillId="22" applyFill="true">
      <alignment horizontal="center" vertical="center"/>
    </xf>
    <xf fontId="14489" applyFont="true" borderId="8" applyBorder="true" applyNumberFormat="true" numFmtId="2" fillId="22" applyFill="true">
      <alignment horizontal="center" vertical="center"/>
    </xf>
    <xf fontId="14490" applyFont="true" borderId="8" applyBorder="true" applyNumberFormat="true" numFmtId="2" fillId="22" applyFill="true">
      <alignment horizontal="center" vertical="center"/>
    </xf>
    <xf fontId="14491" applyFont="true" borderId="8" applyBorder="true" applyNumberFormat="true" numFmtId="2" fillId="22" applyFill="true">
      <alignment horizontal="center" vertical="center"/>
    </xf>
    <xf fontId="14492" applyFont="true" borderId="8" applyBorder="true" applyNumberFormat="true" numFmtId="2" fillId="22" applyFill="true">
      <alignment horizontal="center" vertical="center"/>
    </xf>
    <xf fontId="14493" applyFont="true" borderId="8" applyBorder="true" applyNumberFormat="true" numFmtId="2" fillId="22" applyFill="true">
      <alignment horizontal="center" vertical="center"/>
    </xf>
    <xf fontId="14494" applyFont="true" borderId="8" applyBorder="true" applyNumberFormat="true" numFmtId="2" fillId="22" applyFill="true">
      <alignment horizontal="center" vertical="center"/>
    </xf>
    <xf fontId="14495" applyFont="true" borderId="8" applyBorder="true" applyNumberFormat="true" numFmtId="2" fillId="22" applyFill="true">
      <alignment horizontal="center" vertical="center"/>
    </xf>
    <xf fontId="14496" applyFont="true" borderId="8" applyBorder="true" applyNumberFormat="true" numFmtId="2" fillId="22" applyFill="true">
      <alignment horizontal="center" vertical="center"/>
    </xf>
    <xf fontId="14497" applyFont="true" borderId="8" applyBorder="true" applyNumberFormat="true" numFmtId="2" fillId="22" applyFill="true">
      <alignment horizontal="center" vertical="center"/>
    </xf>
    <xf fontId="14498" applyFont="true" borderId="8" applyBorder="true" applyNumberFormat="true" numFmtId="2" fillId="22" applyFill="true">
      <alignment horizontal="center" vertical="center"/>
    </xf>
    <xf fontId="14499" applyFont="true" borderId="8" applyBorder="true" applyNumberFormat="true" numFmtId="2" fillId="22" applyFill="true">
      <alignment horizontal="center" vertical="center"/>
    </xf>
    <xf fontId="14500" applyFont="true" borderId="8" applyBorder="true" applyNumberFormat="true" numFmtId="2" fillId="22" applyFill="true">
      <alignment horizontal="center" vertical="center"/>
    </xf>
    <xf fontId="14501" applyFont="true" borderId="8" applyBorder="true" applyNumberFormat="true" numFmtId="2" fillId="22" applyFill="true">
      <alignment horizontal="center" vertical="center"/>
    </xf>
    <xf fontId="14502" applyFont="true" borderId="8" applyBorder="true" applyNumberFormat="true" numFmtId="2" fillId="22" applyFill="true">
      <alignment horizontal="center" vertical="center"/>
    </xf>
    <xf fontId="14503" applyFont="true" borderId="8" applyBorder="true" applyNumberFormat="true" numFmtId="2" fillId="22" applyFill="true">
      <alignment horizontal="center" vertical="center"/>
    </xf>
    <xf fontId="14504" applyFont="true" borderId="8" applyBorder="true" applyNumberFormat="true" numFmtId="2" fillId="22" applyFill="true">
      <alignment horizontal="center" vertical="center"/>
    </xf>
    <xf fontId="14505" applyFont="true" borderId="8" applyBorder="true" applyNumberFormat="true" numFmtId="2" fillId="22" applyFill="true">
      <alignment horizontal="center" vertical="center"/>
    </xf>
    <xf fontId="14506" applyFont="true" borderId="8" applyBorder="true" applyNumberFormat="true" numFmtId="2" fillId="22" applyFill="true">
      <alignment horizontal="center" vertical="center"/>
    </xf>
    <xf fontId="14507" applyFont="true" borderId="8" applyBorder="true" applyNumberFormat="true" numFmtId="2" fillId="22" applyFill="true">
      <alignment horizontal="center" vertical="center"/>
    </xf>
    <xf fontId="14508" applyFont="true" borderId="8" applyBorder="true" applyNumberFormat="true" numFmtId="2" fillId="22" applyFill="true">
      <alignment horizontal="center" vertical="center"/>
    </xf>
    <xf fontId="14509" applyFont="true" borderId="8" applyBorder="true" applyNumberFormat="true" numFmtId="165" fillId="19" applyFill="true">
      <alignment horizontal="left" vertical="center"/>
    </xf>
    <xf fontId="14510" applyFont="true" borderId="8" applyBorder="true" applyNumberFormat="true" numFmtId="165" fillId="22" applyFill="true">
      <alignment horizontal="center" vertical="center"/>
    </xf>
    <xf fontId="14511" applyFont="true" borderId="8" applyBorder="true" applyNumberFormat="true" numFmtId="166" fillId="22" applyFill="true">
      <alignment horizontal="center" vertical="center"/>
    </xf>
    <xf fontId="14512" applyFont="true" borderId="8" applyBorder="true" applyNumberFormat="true" numFmtId="1" fillId="22" applyFill="true">
      <alignment horizontal="center" vertical="center"/>
    </xf>
    <xf fontId="14513" applyFont="true" borderId="8" applyBorder="true" applyNumberFormat="true" numFmtId="1" fillId="22" applyFill="true">
      <alignment horizontal="center" vertical="center"/>
    </xf>
    <xf fontId="14514" applyFont="true" borderId="8" applyBorder="true" applyNumberFormat="true" numFmtId="1" fillId="22" applyFill="true">
      <alignment horizontal="center" vertical="center"/>
    </xf>
    <xf fontId="14515" applyFont="true" borderId="8" applyBorder="true" applyNumberFormat="true" numFmtId="1" fillId="22" applyFill="true">
      <alignment horizontal="center" vertical="center"/>
    </xf>
    <xf fontId="14516" applyFont="true" borderId="8" applyBorder="true" applyNumberFormat="true" numFmtId="1" fillId="22" applyFill="true">
      <alignment horizontal="center" vertical="center"/>
    </xf>
    <xf fontId="14517" applyFont="true" borderId="8" applyBorder="true" applyNumberFormat="true" numFmtId="1" fillId="22" applyFill="true">
      <alignment horizontal="center" vertical="center"/>
    </xf>
    <xf fontId="14518" applyFont="true" borderId="8" applyBorder="true" applyNumberFormat="true" numFmtId="1" fillId="22" applyFill="true">
      <alignment horizontal="center" vertical="center"/>
    </xf>
    <xf fontId="14519" applyFont="true" borderId="8" applyBorder="true" applyNumberFormat="true" numFmtId="165" fillId="22" applyFill="true">
      <alignment horizontal="center" vertical="center"/>
    </xf>
    <xf fontId="14520" applyFont="true" borderId="8" applyBorder="true" applyNumberFormat="true" numFmtId="165" fillId="22" applyFill="true">
      <alignment horizontal="center" vertical="center"/>
    </xf>
    <xf fontId="14521" applyFont="true" borderId="8" applyBorder="true" applyNumberFormat="true" numFmtId="1" fillId="22" applyFill="true">
      <alignment horizontal="center" vertical="center"/>
    </xf>
    <xf fontId="14522" applyFont="true" borderId="8" applyBorder="true" applyNumberFormat="true" numFmtId="1" fillId="22" applyFill="true">
      <alignment horizontal="center" vertical="center"/>
    </xf>
    <xf fontId="14523" applyFont="true" borderId="8" applyBorder="true" applyNumberFormat="true" numFmtId="1" fillId="22" applyFill="true">
      <alignment horizontal="center" vertical="center"/>
    </xf>
    <xf fontId="14524" applyFont="true" borderId="8" applyBorder="true" applyNumberFormat="true" numFmtId="167" fillId="22" applyFill="true">
      <alignment horizontal="center" vertical="center"/>
    </xf>
    <xf fontId="14525" applyFont="true" borderId="8" applyBorder="true" applyNumberFormat="true" numFmtId="1" fillId="22" applyFill="true">
      <alignment horizontal="center" vertical="center"/>
    </xf>
    <xf fontId="14526" applyFont="true" borderId="8" applyBorder="true" applyNumberFormat="true" numFmtId="167" fillId="22" applyFill="true">
      <alignment horizontal="center" vertical="center"/>
    </xf>
    <xf fontId="14527" applyFont="true" borderId="8" applyBorder="true" applyNumberFormat="true" numFmtId="1" fillId="22" applyFill="true">
      <alignment horizontal="center" vertical="center"/>
    </xf>
    <xf fontId="14528" applyFont="true" borderId="8" applyBorder="true" applyNumberFormat="true" numFmtId="167" fillId="22" applyFill="true">
      <alignment horizontal="center" vertical="center"/>
    </xf>
    <xf fontId="14529" applyFont="true" borderId="8" applyBorder="true" applyNumberFormat="true" numFmtId="1" fillId="22" applyFill="true">
      <alignment horizontal="center" vertical="center"/>
    </xf>
    <xf fontId="14530" applyFont="true" borderId="8" applyBorder="true" applyNumberFormat="true" numFmtId="167" fillId="22" applyFill="true">
      <alignment horizontal="center" vertical="center"/>
    </xf>
    <xf fontId="14531" applyFont="true" borderId="8" applyBorder="true" applyNumberFormat="true" numFmtId="167" fillId="22" applyFill="true">
      <alignment horizontal="center" vertical="center"/>
    </xf>
    <xf fontId="14532" applyFont="true" borderId="8" applyBorder="true" applyNumberFormat="true" numFmtId="1" fillId="22" applyFill="true">
      <alignment horizontal="center" vertical="center"/>
    </xf>
    <xf fontId="14533" applyFont="true" borderId="8" applyBorder="true" applyNumberFormat="true" numFmtId="1" fillId="22" applyFill="true">
      <alignment horizontal="center" vertical="center"/>
    </xf>
    <xf fontId="14534" applyFont="true" borderId="8" applyBorder="true" applyNumberFormat="true" numFmtId="1" fillId="22" applyFill="true">
      <alignment horizontal="center" vertical="center"/>
    </xf>
    <xf fontId="14535" applyFont="true" borderId="8" applyBorder="true" applyNumberFormat="true" numFmtId="167" fillId="22" applyFill="true">
      <alignment horizontal="center" vertical="center"/>
    </xf>
    <xf fontId="14536" applyFont="true" borderId="8" applyBorder="true" applyNumberFormat="true" numFmtId="166" fillId="22" applyFill="true">
      <alignment horizontal="center" vertical="center"/>
    </xf>
    <xf fontId="14537" applyFont="true" borderId="8" applyBorder="true" applyNumberFormat="true" numFmtId="166" fillId="22" applyFill="true">
      <alignment horizontal="center" vertical="center"/>
    </xf>
    <xf fontId="14538" applyFont="true" borderId="8" applyBorder="true" applyNumberFormat="true" numFmtId="1" fillId="22" applyFill="true">
      <alignment horizontal="center" vertical="center"/>
    </xf>
    <xf fontId="14539" applyFont="true" borderId="8" applyBorder="true" applyNumberFormat="true" numFmtId="1" fillId="22" applyFill="true">
      <alignment horizontal="center" vertical="center"/>
    </xf>
    <xf fontId="14540" applyFont="true" borderId="8" applyBorder="true" applyNumberFormat="true" numFmtId="1" fillId="22" applyFill="true">
      <alignment horizontal="center" vertical="center"/>
    </xf>
    <xf fontId="14541" applyFont="true" borderId="8" applyBorder="true" applyNumberFormat="true" numFmtId="167" fillId="22" applyFill="true">
      <alignment horizontal="center" vertical="center"/>
    </xf>
    <xf fontId="14542" applyFont="true" borderId="8" applyBorder="true" applyNumberFormat="true" numFmtId="1" fillId="22" applyFill="true">
      <alignment horizontal="center" vertical="center"/>
    </xf>
    <xf fontId="14543" applyFont="true" borderId="8" applyBorder="true" applyNumberFormat="true" numFmtId="167" fillId="22" applyFill="true">
      <alignment horizontal="center" vertical="center"/>
    </xf>
    <xf fontId="14544" applyFont="true" borderId="8" applyBorder="true" applyNumberFormat="true" numFmtId="1" fillId="22" applyFill="true">
      <alignment horizontal="center" vertical="center"/>
    </xf>
    <xf fontId="14545" applyFont="true" borderId="8" applyBorder="true" applyNumberFormat="true" numFmtId="1" fillId="22" applyFill="true">
      <alignment horizontal="center" vertical="center"/>
    </xf>
    <xf fontId="14546" applyFont="true" borderId="8" applyBorder="true" applyNumberFormat="true" numFmtId="1" fillId="22" applyFill="true">
      <alignment horizontal="center" vertical="center"/>
    </xf>
    <xf fontId="14547" applyFont="true" borderId="8" applyBorder="true" applyNumberFormat="true" numFmtId="1" fillId="22" applyFill="true">
      <alignment horizontal="center" vertical="center"/>
    </xf>
    <xf fontId="14548" applyFont="true" borderId="8" applyBorder="true" applyNumberFormat="true" numFmtId="167" fillId="22" applyFill="true">
      <alignment horizontal="center" vertical="center"/>
    </xf>
    <xf fontId="14549" applyFont="true" borderId="8" applyBorder="true" applyNumberFormat="true" numFmtId="1" fillId="22" applyFill="true">
      <alignment horizontal="center" vertical="center"/>
    </xf>
    <xf fontId="14550" applyFont="true" borderId="8" applyBorder="true" applyNumberFormat="true" numFmtId="167" fillId="22" applyFill="true">
      <alignment horizontal="center" vertical="center"/>
    </xf>
    <xf fontId="14551" applyFont="true" borderId="8" applyBorder="true" applyNumberFormat="true" numFmtId="1" fillId="22" applyFill="true">
      <alignment horizontal="center" vertical="center"/>
    </xf>
    <xf fontId="14552" applyFont="true" borderId="8" applyBorder="true" applyNumberFormat="true" numFmtId="167" fillId="22" applyFill="true">
      <alignment horizontal="center" vertical="center"/>
    </xf>
    <xf fontId="14553" applyFont="true" borderId="8" applyBorder="true" applyNumberFormat="true" numFmtId="2" fillId="22" applyFill="true">
      <alignment horizontal="center" vertical="center"/>
    </xf>
    <xf fontId="14554" applyFont="true" borderId="8" applyBorder="true" applyNumberFormat="true" numFmtId="2" fillId="22" applyFill="true">
      <alignment horizontal="center" vertical="center"/>
    </xf>
    <xf fontId="14555" applyFont="true" borderId="8" applyBorder="true" applyNumberFormat="true" numFmtId="2" fillId="22" applyFill="true">
      <alignment horizontal="center" vertical="center"/>
    </xf>
    <xf fontId="14556" applyFont="true" borderId="8" applyBorder="true" applyNumberFormat="true" numFmtId="2" fillId="22" applyFill="true">
      <alignment horizontal="center" vertical="center"/>
    </xf>
    <xf fontId="14557" applyFont="true" borderId="8" applyBorder="true" applyNumberFormat="true" numFmtId="2" fillId="22" applyFill="true">
      <alignment horizontal="center" vertical="center"/>
    </xf>
    <xf fontId="14558" applyFont="true" borderId="8" applyBorder="true" applyNumberFormat="true" numFmtId="2" fillId="22" applyFill="true">
      <alignment horizontal="center" vertical="center"/>
    </xf>
    <xf fontId="14559" applyFont="true" borderId="8" applyBorder="true" applyNumberFormat="true" numFmtId="2" fillId="22" applyFill="true">
      <alignment horizontal="center" vertical="center"/>
    </xf>
    <xf fontId="14560" applyFont="true" borderId="8" applyBorder="true" applyNumberFormat="true" numFmtId="2" fillId="22" applyFill="true">
      <alignment horizontal="center" vertical="center"/>
    </xf>
    <xf fontId="14561" applyFont="true" borderId="8" applyBorder="true" applyNumberFormat="true" numFmtId="2" fillId="22" applyFill="true">
      <alignment horizontal="center" vertical="center"/>
    </xf>
    <xf fontId="14562" applyFont="true" borderId="8" applyBorder="true" applyNumberFormat="true" numFmtId="2" fillId="22" applyFill="true">
      <alignment horizontal="center" vertical="center"/>
    </xf>
    <xf fontId="14563" applyFont="true" borderId="8" applyBorder="true" applyNumberFormat="true" numFmtId="2" fillId="22" applyFill="true">
      <alignment horizontal="center" vertical="center"/>
    </xf>
    <xf fontId="14564" applyFont="true" borderId="8" applyBorder="true" applyNumberFormat="true" numFmtId="2" fillId="22" applyFill="true">
      <alignment horizontal="center" vertical="center"/>
    </xf>
    <xf fontId="14565" applyFont="true" borderId="8" applyBorder="true" applyNumberFormat="true" numFmtId="2" fillId="22" applyFill="true">
      <alignment horizontal="center" vertical="center"/>
    </xf>
    <xf fontId="14566" applyFont="true" borderId="8" applyBorder="true" applyNumberFormat="true" numFmtId="2" fillId="22" applyFill="true">
      <alignment horizontal="center" vertical="center"/>
    </xf>
    <xf fontId="14567" applyFont="true" borderId="8" applyBorder="true" applyNumberFormat="true" numFmtId="2" fillId="22" applyFill="true">
      <alignment horizontal="center" vertical="center"/>
    </xf>
    <xf fontId="14568" applyFont="true" borderId="8" applyBorder="true" applyNumberFormat="true" numFmtId="2" fillId="22" applyFill="true">
      <alignment horizontal="center" vertical="center"/>
    </xf>
    <xf fontId="14569" applyFont="true" borderId="8" applyBorder="true" applyNumberFormat="true" numFmtId="2" fillId="22" applyFill="true">
      <alignment horizontal="center" vertical="center"/>
    </xf>
    <xf fontId="14570" applyFont="true" borderId="8" applyBorder="true" applyNumberFormat="true" numFmtId="2" fillId="22" applyFill="true">
      <alignment horizontal="center" vertical="center"/>
    </xf>
    <xf fontId="14571" applyFont="true" borderId="8" applyBorder="true" applyNumberFormat="true" numFmtId="2" fillId="22" applyFill="true">
      <alignment horizontal="center" vertical="center"/>
    </xf>
    <xf fontId="14572" applyFont="true" borderId="8" applyBorder="true" applyNumberFormat="true" numFmtId="2" fillId="22" applyFill="true">
      <alignment horizontal="center" vertical="center"/>
    </xf>
    <xf fontId="14573" applyFont="true" borderId="8" applyBorder="true" applyNumberFormat="true" numFmtId="2" fillId="22" applyFill="true">
      <alignment horizontal="center" vertical="center"/>
    </xf>
    <xf fontId="14574" applyFont="true" borderId="8" applyBorder="true" applyNumberFormat="true" numFmtId="2" fillId="22" applyFill="true">
      <alignment horizontal="center" vertical="center"/>
    </xf>
    <xf fontId="14575" applyFont="true" borderId="8" applyBorder="true" applyNumberFormat="true" numFmtId="2" fillId="22" applyFill="true">
      <alignment horizontal="center" vertical="center"/>
    </xf>
    <xf fontId="14576" applyFont="true" borderId="8" applyBorder="true" applyNumberFormat="true" numFmtId="2" fillId="22" applyFill="true">
      <alignment horizontal="center" vertical="center"/>
    </xf>
    <xf fontId="14577" applyFont="true" borderId="8" applyBorder="true" applyNumberFormat="true" numFmtId="2" fillId="22" applyFill="true">
      <alignment horizontal="center" vertical="center"/>
    </xf>
    <xf fontId="14578" applyFont="true" borderId="8" applyBorder="true" applyNumberFormat="true" numFmtId="2" fillId="22" applyFill="true">
      <alignment horizontal="center" vertical="center"/>
    </xf>
    <xf fontId="14579" applyFont="true" borderId="8" applyBorder="true" applyNumberFormat="true" numFmtId="2" fillId="22" applyFill="true">
      <alignment horizontal="center" vertical="center"/>
    </xf>
    <xf fontId="14580" applyFont="true" borderId="8" applyBorder="true" applyNumberFormat="true" numFmtId="2" fillId="22" applyFill="true">
      <alignment horizontal="center" vertical="center"/>
    </xf>
    <xf fontId="14581" applyFont="true" borderId="8" applyBorder="true" applyNumberFormat="true" numFmtId="2" fillId="22" applyFill="true">
      <alignment horizontal="center" vertical="center"/>
    </xf>
    <xf fontId="14582" applyFont="true" borderId="8" applyBorder="true" applyNumberFormat="true" numFmtId="2" fillId="22" applyFill="true">
      <alignment horizontal="center" vertical="center"/>
    </xf>
    <xf fontId="14583" applyFont="true" borderId="8" applyBorder="true" applyNumberFormat="true" numFmtId="2" fillId="22" applyFill="true">
      <alignment horizontal="center" vertical="center"/>
    </xf>
    <xf fontId="14584" applyFont="true" borderId="8" applyBorder="true" applyNumberFormat="true" numFmtId="2" fillId="22" applyFill="true">
      <alignment horizontal="center" vertical="center"/>
    </xf>
    <xf fontId="14585" applyFont="true" borderId="8" applyBorder="true" applyNumberFormat="true" numFmtId="2" fillId="22" applyFill="true">
      <alignment horizontal="center" vertical="center"/>
    </xf>
    <xf fontId="14586" applyFont="true" borderId="8" applyBorder="true" applyNumberFormat="true" numFmtId="2" fillId="22" applyFill="true">
      <alignment horizontal="center" vertical="center"/>
    </xf>
    <xf fontId="14587" applyFont="true" borderId="8" applyBorder="true" applyNumberFormat="true" numFmtId="165" fillId="19" applyFill="true">
      <alignment horizontal="left" vertical="center"/>
    </xf>
    <xf fontId="14588" applyFont="true" borderId="8" applyBorder="true" applyNumberFormat="true" numFmtId="165" fillId="22" applyFill="true">
      <alignment horizontal="center" vertical="center"/>
    </xf>
    <xf fontId="14589" applyFont="true" borderId="8" applyBorder="true" applyNumberFormat="true" numFmtId="166" fillId="22" applyFill="true">
      <alignment horizontal="center" vertical="center"/>
    </xf>
    <xf fontId="14590" applyFont="true" borderId="8" applyBorder="true" applyNumberFormat="true" numFmtId="1" fillId="22" applyFill="true">
      <alignment horizontal="center" vertical="center"/>
    </xf>
    <xf fontId="14591" applyFont="true" borderId="8" applyBorder="true" applyNumberFormat="true" numFmtId="1" fillId="22" applyFill="true">
      <alignment horizontal="center" vertical="center"/>
    </xf>
    <xf fontId="14592" applyFont="true" borderId="8" applyBorder="true" applyNumberFormat="true" numFmtId="1" fillId="22" applyFill="true">
      <alignment horizontal="center" vertical="center"/>
    </xf>
    <xf fontId="14593" applyFont="true" borderId="8" applyBorder="true" applyNumberFormat="true" numFmtId="1" fillId="22" applyFill="true">
      <alignment horizontal="center" vertical="center"/>
    </xf>
    <xf fontId="14594" applyFont="true" borderId="8" applyBorder="true" applyNumberFormat="true" numFmtId="1" fillId="22" applyFill="true">
      <alignment horizontal="center" vertical="center"/>
    </xf>
    <xf fontId="14595" applyFont="true" borderId="8" applyBorder="true" applyNumberFormat="true" numFmtId="1" fillId="22" applyFill="true">
      <alignment horizontal="center" vertical="center"/>
    </xf>
    <xf fontId="14596" applyFont="true" borderId="8" applyBorder="true" applyNumberFormat="true" numFmtId="1" fillId="22" applyFill="true">
      <alignment horizontal="center" vertical="center"/>
    </xf>
    <xf fontId="14597" applyFont="true" borderId="8" applyBorder="true" applyNumberFormat="true" numFmtId="165" fillId="22" applyFill="true">
      <alignment horizontal="center" vertical="center"/>
    </xf>
    <xf fontId="14598" applyFont="true" borderId="8" applyBorder="true" applyNumberFormat="true" numFmtId="165" fillId="22" applyFill="true">
      <alignment horizontal="center" vertical="center"/>
    </xf>
    <xf fontId="14599" applyFont="true" borderId="8" applyBorder="true" applyNumberFormat="true" numFmtId="1" fillId="22" applyFill="true">
      <alignment horizontal="center" vertical="center"/>
    </xf>
    <xf fontId="14600" applyFont="true" borderId="8" applyBorder="true" applyNumberFormat="true" numFmtId="1" fillId="22" applyFill="true">
      <alignment horizontal="center" vertical="center"/>
    </xf>
    <xf fontId="14601" applyFont="true" borderId="8" applyBorder="true" applyNumberFormat="true" numFmtId="1" fillId="22" applyFill="true">
      <alignment horizontal="center" vertical="center"/>
    </xf>
    <xf fontId="14602" applyFont="true" borderId="8" applyBorder="true" applyNumberFormat="true" numFmtId="167" fillId="22" applyFill="true">
      <alignment horizontal="center" vertical="center"/>
    </xf>
    <xf fontId="14603" applyFont="true" borderId="8" applyBorder="true" applyNumberFormat="true" numFmtId="1" fillId="22" applyFill="true">
      <alignment horizontal="center" vertical="center"/>
    </xf>
    <xf fontId="14604" applyFont="true" borderId="8" applyBorder="true" applyNumberFormat="true" numFmtId="167" fillId="22" applyFill="true">
      <alignment horizontal="center" vertical="center"/>
    </xf>
    <xf fontId="14605" applyFont="true" borderId="8" applyBorder="true" applyNumberFormat="true" numFmtId="1" fillId="22" applyFill="true">
      <alignment horizontal="center" vertical="center"/>
    </xf>
    <xf fontId="14606" applyFont="true" borderId="8" applyBorder="true" applyNumberFormat="true" numFmtId="167" fillId="22" applyFill="true">
      <alignment horizontal="center" vertical="center"/>
    </xf>
    <xf fontId="14607" applyFont="true" borderId="8" applyBorder="true" applyNumberFormat="true" numFmtId="1" fillId="22" applyFill="true">
      <alignment horizontal="center" vertical="center"/>
    </xf>
    <xf fontId="14608" applyFont="true" borderId="8" applyBorder="true" applyNumberFormat="true" numFmtId="167" fillId="22" applyFill="true">
      <alignment horizontal="center" vertical="center"/>
    </xf>
    <xf fontId="14609" applyFont="true" borderId="8" applyBorder="true" applyNumberFormat="true" numFmtId="167" fillId="22" applyFill="true">
      <alignment horizontal="center" vertical="center"/>
    </xf>
    <xf fontId="14610" applyFont="true" borderId="8" applyBorder="true" applyNumberFormat="true" numFmtId="1" fillId="22" applyFill="true">
      <alignment horizontal="center" vertical="center"/>
    </xf>
    <xf fontId="14611" applyFont="true" borderId="8" applyBorder="true" applyNumberFormat="true" numFmtId="1" fillId="22" applyFill="true">
      <alignment horizontal="center" vertical="center"/>
    </xf>
    <xf fontId="14612" applyFont="true" borderId="8" applyBorder="true" applyNumberFormat="true" numFmtId="1" fillId="22" applyFill="true">
      <alignment horizontal="center" vertical="center"/>
    </xf>
    <xf fontId="14613" applyFont="true" borderId="8" applyBorder="true" applyNumberFormat="true" numFmtId="167" fillId="22" applyFill="true">
      <alignment horizontal="center" vertical="center"/>
    </xf>
    <xf fontId="14614" applyFont="true" borderId="8" applyBorder="true" applyNumberFormat="true" numFmtId="166" fillId="22" applyFill="true">
      <alignment horizontal="center" vertical="center"/>
    </xf>
    <xf fontId="14615" applyFont="true" borderId="8" applyBorder="true" applyNumberFormat="true" numFmtId="166" fillId="22" applyFill="true">
      <alignment horizontal="center" vertical="center"/>
    </xf>
    <xf fontId="14616" applyFont="true" borderId="8" applyBorder="true" applyNumberFormat="true" numFmtId="1" fillId="22" applyFill="true">
      <alignment horizontal="center" vertical="center"/>
    </xf>
    <xf fontId="14617" applyFont="true" borderId="8" applyBorder="true" applyNumberFormat="true" numFmtId="1" fillId="22" applyFill="true">
      <alignment horizontal="center" vertical="center"/>
    </xf>
    <xf fontId="14618" applyFont="true" borderId="8" applyBorder="true" applyNumberFormat="true" numFmtId="1" fillId="22" applyFill="true">
      <alignment horizontal="center" vertical="center"/>
    </xf>
    <xf fontId="14619" applyFont="true" borderId="8" applyBorder="true" applyNumberFormat="true" numFmtId="167" fillId="22" applyFill="true">
      <alignment horizontal="center" vertical="center"/>
    </xf>
    <xf fontId="14620" applyFont="true" borderId="8" applyBorder="true" applyNumberFormat="true" numFmtId="1" fillId="22" applyFill="true">
      <alignment horizontal="center" vertical="center"/>
    </xf>
    <xf fontId="14621" applyFont="true" borderId="8" applyBorder="true" applyNumberFormat="true" numFmtId="167" fillId="22" applyFill="true">
      <alignment horizontal="center" vertical="center"/>
    </xf>
    <xf fontId="14622" applyFont="true" borderId="8" applyBorder="true" applyNumberFormat="true" numFmtId="1" fillId="22" applyFill="true">
      <alignment horizontal="center" vertical="center"/>
    </xf>
    <xf fontId="14623" applyFont="true" borderId="8" applyBorder="true" applyNumberFormat="true" numFmtId="1" fillId="22" applyFill="true">
      <alignment horizontal="center" vertical="center"/>
    </xf>
    <xf fontId="14624" applyFont="true" borderId="8" applyBorder="true" applyNumberFormat="true" numFmtId="1" fillId="22" applyFill="true">
      <alignment horizontal="center" vertical="center"/>
    </xf>
    <xf fontId="14625" applyFont="true" borderId="8" applyBorder="true" applyNumberFormat="true" numFmtId="1" fillId="22" applyFill="true">
      <alignment horizontal="center" vertical="center"/>
    </xf>
    <xf fontId="14626" applyFont="true" borderId="8" applyBorder="true" applyNumberFormat="true" numFmtId="167" fillId="22" applyFill="true">
      <alignment horizontal="center" vertical="center"/>
    </xf>
    <xf fontId="14627" applyFont="true" borderId="8" applyBorder="true" applyNumberFormat="true" numFmtId="1" fillId="22" applyFill="true">
      <alignment horizontal="center" vertical="center"/>
    </xf>
    <xf fontId="14628" applyFont="true" borderId="8" applyBorder="true" applyNumberFormat="true" numFmtId="167" fillId="22" applyFill="true">
      <alignment horizontal="center" vertical="center"/>
    </xf>
    <xf fontId="14629" applyFont="true" borderId="8" applyBorder="true" applyNumberFormat="true" numFmtId="1" fillId="22" applyFill="true">
      <alignment horizontal="center" vertical="center"/>
    </xf>
    <xf fontId="14630" applyFont="true" borderId="8" applyBorder="true" applyNumberFormat="true" numFmtId="167" fillId="22" applyFill="true">
      <alignment horizontal="center" vertical="center"/>
    </xf>
    <xf fontId="14631" applyFont="true" borderId="8" applyBorder="true" applyNumberFormat="true" numFmtId="2" fillId="22" applyFill="true">
      <alignment horizontal="center" vertical="center"/>
    </xf>
    <xf fontId="14632" applyFont="true" borderId="8" applyBorder="true" applyNumberFormat="true" numFmtId="2" fillId="22" applyFill="true">
      <alignment horizontal="center" vertical="center"/>
    </xf>
    <xf fontId="14633" applyFont="true" borderId="8" applyBorder="true" applyNumberFormat="true" numFmtId="2" fillId="22" applyFill="true">
      <alignment horizontal="center" vertical="center"/>
    </xf>
    <xf fontId="14634" applyFont="true" borderId="8" applyBorder="true" applyNumberFormat="true" numFmtId="2" fillId="22" applyFill="true">
      <alignment horizontal="center" vertical="center"/>
    </xf>
    <xf fontId="14635" applyFont="true" borderId="8" applyBorder="true" applyNumberFormat="true" numFmtId="2" fillId="22" applyFill="true">
      <alignment horizontal="center" vertical="center"/>
    </xf>
    <xf fontId="14636" applyFont="true" borderId="8" applyBorder="true" applyNumberFormat="true" numFmtId="2" fillId="22" applyFill="true">
      <alignment horizontal="center" vertical="center"/>
    </xf>
    <xf fontId="14637" applyFont="true" borderId="8" applyBorder="true" applyNumberFormat="true" numFmtId="2" fillId="22" applyFill="true">
      <alignment horizontal="center" vertical="center"/>
    </xf>
    <xf fontId="14638" applyFont="true" borderId="8" applyBorder="true" applyNumberFormat="true" numFmtId="2" fillId="22" applyFill="true">
      <alignment horizontal="center" vertical="center"/>
    </xf>
    <xf fontId="14639" applyFont="true" borderId="8" applyBorder="true" applyNumberFormat="true" numFmtId="2" fillId="22" applyFill="true">
      <alignment horizontal="center" vertical="center"/>
    </xf>
    <xf fontId="14640" applyFont="true" borderId="8" applyBorder="true" applyNumberFormat="true" numFmtId="2" fillId="22" applyFill="true">
      <alignment horizontal="center" vertical="center"/>
    </xf>
    <xf fontId="14641" applyFont="true" borderId="8" applyBorder="true" applyNumberFormat="true" numFmtId="2" fillId="22" applyFill="true">
      <alignment horizontal="center" vertical="center"/>
    </xf>
    <xf fontId="14642" applyFont="true" borderId="8" applyBorder="true" applyNumberFormat="true" numFmtId="2" fillId="22" applyFill="true">
      <alignment horizontal="center" vertical="center"/>
    </xf>
    <xf fontId="14643" applyFont="true" borderId="8" applyBorder="true" applyNumberFormat="true" numFmtId="2" fillId="22" applyFill="true">
      <alignment horizontal="center" vertical="center"/>
    </xf>
    <xf fontId="14644" applyFont="true" borderId="8" applyBorder="true" applyNumberFormat="true" numFmtId="2" fillId="22" applyFill="true">
      <alignment horizontal="center" vertical="center"/>
    </xf>
    <xf fontId="14645" applyFont="true" borderId="8" applyBorder="true" applyNumberFormat="true" numFmtId="2" fillId="22" applyFill="true">
      <alignment horizontal="center" vertical="center"/>
    </xf>
    <xf fontId="14646" applyFont="true" borderId="8" applyBorder="true" applyNumberFormat="true" numFmtId="2" fillId="22" applyFill="true">
      <alignment horizontal="center" vertical="center"/>
    </xf>
    <xf fontId="14647" applyFont="true" borderId="8" applyBorder="true" applyNumberFormat="true" numFmtId="2" fillId="22" applyFill="true">
      <alignment horizontal="center" vertical="center"/>
    </xf>
    <xf fontId="14648" applyFont="true" borderId="8" applyBorder="true" applyNumberFormat="true" numFmtId="2" fillId="22" applyFill="true">
      <alignment horizontal="center" vertical="center"/>
    </xf>
    <xf fontId="14649" applyFont="true" borderId="8" applyBorder="true" applyNumberFormat="true" numFmtId="2" fillId="22" applyFill="true">
      <alignment horizontal="center" vertical="center"/>
    </xf>
    <xf fontId="14650" applyFont="true" borderId="8" applyBorder="true" applyNumberFormat="true" numFmtId="2" fillId="22" applyFill="true">
      <alignment horizontal="center" vertical="center"/>
    </xf>
    <xf fontId="14651" applyFont="true" borderId="8" applyBorder="true" applyNumberFormat="true" numFmtId="2" fillId="22" applyFill="true">
      <alignment horizontal="center" vertical="center"/>
    </xf>
    <xf fontId="14652" applyFont="true" borderId="8" applyBorder="true" applyNumberFormat="true" numFmtId="2" fillId="22" applyFill="true">
      <alignment horizontal="center" vertical="center"/>
    </xf>
    <xf fontId="14653" applyFont="true" borderId="8" applyBorder="true" applyNumberFormat="true" numFmtId="2" fillId="22" applyFill="true">
      <alignment horizontal="center" vertical="center"/>
    </xf>
    <xf fontId="14654" applyFont="true" borderId="8" applyBorder="true" applyNumberFormat="true" numFmtId="2" fillId="22" applyFill="true">
      <alignment horizontal="center" vertical="center"/>
    </xf>
    <xf fontId="14655" applyFont="true" borderId="8" applyBorder="true" applyNumberFormat="true" numFmtId="2" fillId="22" applyFill="true">
      <alignment horizontal="center" vertical="center"/>
    </xf>
    <xf fontId="14656" applyFont="true" borderId="8" applyBorder="true" applyNumberFormat="true" numFmtId="2" fillId="22" applyFill="true">
      <alignment horizontal="center" vertical="center"/>
    </xf>
    <xf fontId="14657" applyFont="true" borderId="8" applyBorder="true" applyNumberFormat="true" numFmtId="2" fillId="22" applyFill="true">
      <alignment horizontal="center" vertical="center"/>
    </xf>
    <xf fontId="14658" applyFont="true" borderId="8" applyBorder="true" applyNumberFormat="true" numFmtId="2" fillId="22" applyFill="true">
      <alignment horizontal="center" vertical="center"/>
    </xf>
    <xf fontId="14659" applyFont="true" borderId="8" applyBorder="true" applyNumberFormat="true" numFmtId="2" fillId="22" applyFill="true">
      <alignment horizontal="center" vertical="center"/>
    </xf>
    <xf fontId="14660" applyFont="true" borderId="8" applyBorder="true" applyNumberFormat="true" numFmtId="2" fillId="22" applyFill="true">
      <alignment horizontal="center" vertical="center"/>
    </xf>
    <xf fontId="14661" applyFont="true" borderId="8" applyBorder="true" applyNumberFormat="true" numFmtId="2" fillId="22" applyFill="true">
      <alignment horizontal="center" vertical="center"/>
    </xf>
    <xf fontId="14662" applyFont="true" borderId="8" applyBorder="true" applyNumberFormat="true" numFmtId="2" fillId="22" applyFill="true">
      <alignment horizontal="center" vertical="center"/>
    </xf>
    <xf fontId="14663" applyFont="true" borderId="8" applyBorder="true" applyNumberFormat="true" numFmtId="2" fillId="22" applyFill="true">
      <alignment horizontal="center" vertical="center"/>
    </xf>
    <xf fontId="14664" applyFont="true" borderId="8" applyBorder="true" applyNumberFormat="true" numFmtId="2" fillId="22" applyFill="true">
      <alignment horizontal="center" vertical="center"/>
    </xf>
    <xf fontId="14665" applyFont="true" borderId="8" applyBorder="true" applyNumberFormat="true" numFmtId="165" fillId="19" applyFill="true">
      <alignment horizontal="left" vertical="center"/>
    </xf>
    <xf fontId="14666" applyFont="true" borderId="8" applyBorder="true" applyNumberFormat="true" numFmtId="165" fillId="22" applyFill="true">
      <alignment horizontal="center" vertical="center"/>
    </xf>
    <xf fontId="14667" applyFont="true" borderId="8" applyBorder="true" applyNumberFormat="true" numFmtId="166" fillId="22" applyFill="true">
      <alignment horizontal="center" vertical="center"/>
    </xf>
    <xf fontId="14668" applyFont="true" borderId="8" applyBorder="true" applyNumberFormat="true" numFmtId="1" fillId="22" applyFill="true">
      <alignment horizontal="center" vertical="center"/>
    </xf>
    <xf fontId="14669" applyFont="true" borderId="8" applyBorder="true" applyNumberFormat="true" numFmtId="1" fillId="22" applyFill="true">
      <alignment horizontal="center" vertical="center"/>
    </xf>
    <xf fontId="14670" applyFont="true" borderId="8" applyBorder="true" applyNumberFormat="true" numFmtId="1" fillId="22" applyFill="true">
      <alignment horizontal="center" vertical="center"/>
    </xf>
    <xf fontId="14671" applyFont="true" borderId="8" applyBorder="true" applyNumberFormat="true" numFmtId="1" fillId="22" applyFill="true">
      <alignment horizontal="center" vertical="center"/>
    </xf>
    <xf fontId="14672" applyFont="true" borderId="8" applyBorder="true" applyNumberFormat="true" numFmtId="1" fillId="22" applyFill="true">
      <alignment horizontal="center" vertical="center"/>
    </xf>
    <xf fontId="14673" applyFont="true" borderId="8" applyBorder="true" applyNumberFormat="true" numFmtId="1" fillId="22" applyFill="true">
      <alignment horizontal="center" vertical="center"/>
    </xf>
    <xf fontId="14674" applyFont="true" borderId="8" applyBorder="true" applyNumberFormat="true" numFmtId="1" fillId="22" applyFill="true">
      <alignment horizontal="center" vertical="center"/>
    </xf>
    <xf fontId="14675" applyFont="true" borderId="8" applyBorder="true" applyNumberFormat="true" numFmtId="165" fillId="22" applyFill="true">
      <alignment horizontal="center" vertical="center"/>
    </xf>
    <xf fontId="14676" applyFont="true" borderId="8" applyBorder="true" applyNumberFormat="true" numFmtId="165" fillId="22" applyFill="true">
      <alignment horizontal="center" vertical="center"/>
    </xf>
    <xf fontId="14677" applyFont="true" borderId="8" applyBorder="true" applyNumberFormat="true" numFmtId="1" fillId="22" applyFill="true">
      <alignment horizontal="center" vertical="center"/>
    </xf>
    <xf fontId="14678" applyFont="true" borderId="8" applyBorder="true" applyNumberFormat="true" numFmtId="1" fillId="22" applyFill="true">
      <alignment horizontal="center" vertical="center"/>
    </xf>
    <xf fontId="14679" applyFont="true" borderId="8" applyBorder="true" applyNumberFormat="true" numFmtId="1" fillId="22" applyFill="true">
      <alignment horizontal="center" vertical="center"/>
    </xf>
    <xf fontId="14680" applyFont="true" borderId="8" applyBorder="true" applyNumberFormat="true" numFmtId="167" fillId="22" applyFill="true">
      <alignment horizontal="center" vertical="center"/>
    </xf>
    <xf fontId="14681" applyFont="true" borderId="8" applyBorder="true" applyNumberFormat="true" numFmtId="1" fillId="22" applyFill="true">
      <alignment horizontal="center" vertical="center"/>
    </xf>
    <xf fontId="14682" applyFont="true" borderId="8" applyBorder="true" applyNumberFormat="true" numFmtId="167" fillId="22" applyFill="true">
      <alignment horizontal="center" vertical="center"/>
    </xf>
    <xf fontId="14683" applyFont="true" borderId="8" applyBorder="true" applyNumberFormat="true" numFmtId="1" fillId="22" applyFill="true">
      <alignment horizontal="center" vertical="center"/>
    </xf>
    <xf fontId="14684" applyFont="true" borderId="8" applyBorder="true" applyNumberFormat="true" numFmtId="167" fillId="22" applyFill="true">
      <alignment horizontal="center" vertical="center"/>
    </xf>
    <xf fontId="14685" applyFont="true" borderId="8" applyBorder="true" applyNumberFormat="true" numFmtId="1" fillId="22" applyFill="true">
      <alignment horizontal="center" vertical="center"/>
    </xf>
    <xf fontId="14686" applyFont="true" borderId="8" applyBorder="true" applyNumberFormat="true" numFmtId="167" fillId="22" applyFill="true">
      <alignment horizontal="center" vertical="center"/>
    </xf>
    <xf fontId="14687" applyFont="true" borderId="8" applyBorder="true" applyNumberFormat="true" numFmtId="167" fillId="22" applyFill="true">
      <alignment horizontal="center" vertical="center"/>
    </xf>
    <xf fontId="14688" applyFont="true" borderId="8" applyBorder="true" applyNumberFormat="true" numFmtId="1" fillId="22" applyFill="true">
      <alignment horizontal="center" vertical="center"/>
    </xf>
    <xf fontId="14689" applyFont="true" borderId="8" applyBorder="true" applyNumberFormat="true" numFmtId="1" fillId="22" applyFill="true">
      <alignment horizontal="center" vertical="center"/>
    </xf>
    <xf fontId="14690" applyFont="true" borderId="8" applyBorder="true" applyNumberFormat="true" numFmtId="1" fillId="22" applyFill="true">
      <alignment horizontal="center" vertical="center"/>
    </xf>
    <xf fontId="14691" applyFont="true" borderId="8" applyBorder="true" applyNumberFormat="true" numFmtId="167" fillId="22" applyFill="true">
      <alignment horizontal="center" vertical="center"/>
    </xf>
    <xf fontId="14692" applyFont="true" borderId="8" applyBorder="true" applyNumberFormat="true" numFmtId="166" fillId="22" applyFill="true">
      <alignment horizontal="center" vertical="center"/>
    </xf>
    <xf fontId="14693" applyFont="true" borderId="8" applyBorder="true" applyNumberFormat="true" numFmtId="166" fillId="22" applyFill="true">
      <alignment horizontal="center" vertical="center"/>
    </xf>
    <xf fontId="14694" applyFont="true" borderId="8" applyBorder="true" applyNumberFormat="true" numFmtId="1" fillId="22" applyFill="true">
      <alignment horizontal="center" vertical="center"/>
    </xf>
    <xf fontId="14695" applyFont="true" borderId="8" applyBorder="true" applyNumberFormat="true" numFmtId="1" fillId="22" applyFill="true">
      <alignment horizontal="center" vertical="center"/>
    </xf>
    <xf fontId="14696" applyFont="true" borderId="8" applyBorder="true" applyNumberFormat="true" numFmtId="1" fillId="22" applyFill="true">
      <alignment horizontal="center" vertical="center"/>
    </xf>
    <xf fontId="14697" applyFont="true" borderId="8" applyBorder="true" applyNumberFormat="true" numFmtId="167" fillId="22" applyFill="true">
      <alignment horizontal="center" vertical="center"/>
    </xf>
    <xf fontId="14698" applyFont="true" borderId="8" applyBorder="true" applyNumberFormat="true" numFmtId="1" fillId="22" applyFill="true">
      <alignment horizontal="center" vertical="center"/>
    </xf>
    <xf fontId="14699" applyFont="true" borderId="8" applyBorder="true" applyNumberFormat="true" numFmtId="167" fillId="22" applyFill="true">
      <alignment horizontal="center" vertical="center"/>
    </xf>
    <xf fontId="14700" applyFont="true" borderId="8" applyBorder="true" applyNumberFormat="true" numFmtId="1" fillId="22" applyFill="true">
      <alignment horizontal="center" vertical="center"/>
    </xf>
    <xf fontId="14701" applyFont="true" borderId="8" applyBorder="true" applyNumberFormat="true" numFmtId="1" fillId="22" applyFill="true">
      <alignment horizontal="center" vertical="center"/>
    </xf>
    <xf fontId="14702" applyFont="true" borderId="8" applyBorder="true" applyNumberFormat="true" numFmtId="1" fillId="22" applyFill="true">
      <alignment horizontal="center" vertical="center"/>
    </xf>
    <xf fontId="14703" applyFont="true" borderId="8" applyBorder="true" applyNumberFormat="true" numFmtId="1" fillId="22" applyFill="true">
      <alignment horizontal="center" vertical="center"/>
    </xf>
    <xf fontId="14704" applyFont="true" borderId="8" applyBorder="true" applyNumberFormat="true" numFmtId="167" fillId="22" applyFill="true">
      <alignment horizontal="center" vertical="center"/>
    </xf>
    <xf fontId="14705" applyFont="true" borderId="8" applyBorder="true" applyNumberFormat="true" numFmtId="1" fillId="22" applyFill="true">
      <alignment horizontal="center" vertical="center"/>
    </xf>
    <xf fontId="14706" applyFont="true" borderId="8" applyBorder="true" applyNumberFormat="true" numFmtId="167" fillId="22" applyFill="true">
      <alignment horizontal="center" vertical="center"/>
    </xf>
    <xf fontId="14707" applyFont="true" borderId="8" applyBorder="true" applyNumberFormat="true" numFmtId="1" fillId="22" applyFill="true">
      <alignment horizontal="center" vertical="center"/>
    </xf>
    <xf fontId="14708" applyFont="true" borderId="8" applyBorder="true" applyNumberFormat="true" numFmtId="167" fillId="22" applyFill="true">
      <alignment horizontal="center" vertical="center"/>
    </xf>
    <xf fontId="14709" applyFont="true" borderId="8" applyBorder="true" applyNumberFormat="true" numFmtId="2" fillId="22" applyFill="true">
      <alignment horizontal="center" vertical="center"/>
    </xf>
    <xf fontId="14710" applyFont="true" borderId="8" applyBorder="true" applyNumberFormat="true" numFmtId="2" fillId="22" applyFill="true">
      <alignment horizontal="center" vertical="center"/>
    </xf>
    <xf fontId="14711" applyFont="true" borderId="8" applyBorder="true" applyNumberFormat="true" numFmtId="2" fillId="22" applyFill="true">
      <alignment horizontal="center" vertical="center"/>
    </xf>
    <xf fontId="14712" applyFont="true" borderId="8" applyBorder="true" applyNumberFormat="true" numFmtId="2" fillId="22" applyFill="true">
      <alignment horizontal="center" vertical="center"/>
    </xf>
    <xf fontId="14713" applyFont="true" borderId="8" applyBorder="true" applyNumberFormat="true" numFmtId="2" fillId="22" applyFill="true">
      <alignment horizontal="center" vertical="center"/>
    </xf>
    <xf fontId="14714" applyFont="true" borderId="8" applyBorder="true" applyNumberFormat="true" numFmtId="2" fillId="22" applyFill="true">
      <alignment horizontal="center" vertical="center"/>
    </xf>
    <xf fontId="14715" applyFont="true" borderId="8" applyBorder="true" applyNumberFormat="true" numFmtId="2" fillId="22" applyFill="true">
      <alignment horizontal="center" vertical="center"/>
    </xf>
    <xf fontId="14716" applyFont="true" borderId="8" applyBorder="true" applyNumberFormat="true" numFmtId="2" fillId="22" applyFill="true">
      <alignment horizontal="center" vertical="center"/>
    </xf>
    <xf fontId="14717" applyFont="true" borderId="8" applyBorder="true" applyNumberFormat="true" numFmtId="2" fillId="22" applyFill="true">
      <alignment horizontal="center" vertical="center"/>
    </xf>
    <xf fontId="14718" applyFont="true" borderId="8" applyBorder="true" applyNumberFormat="true" numFmtId="2" fillId="22" applyFill="true">
      <alignment horizontal="center" vertical="center"/>
    </xf>
    <xf fontId="14719" applyFont="true" borderId="8" applyBorder="true" applyNumberFormat="true" numFmtId="2" fillId="22" applyFill="true">
      <alignment horizontal="center" vertical="center"/>
    </xf>
    <xf fontId="14720" applyFont="true" borderId="8" applyBorder="true" applyNumberFormat="true" numFmtId="2" fillId="22" applyFill="true">
      <alignment horizontal="center" vertical="center"/>
    </xf>
    <xf fontId="14721" applyFont="true" borderId="8" applyBorder="true" applyNumberFormat="true" numFmtId="2" fillId="22" applyFill="true">
      <alignment horizontal="center" vertical="center"/>
    </xf>
    <xf fontId="14722" applyFont="true" borderId="8" applyBorder="true" applyNumberFormat="true" numFmtId="2" fillId="22" applyFill="true">
      <alignment horizontal="center" vertical="center"/>
    </xf>
    <xf fontId="14723" applyFont="true" borderId="8" applyBorder="true" applyNumberFormat="true" numFmtId="2" fillId="22" applyFill="true">
      <alignment horizontal="center" vertical="center"/>
    </xf>
    <xf fontId="14724" applyFont="true" borderId="8" applyBorder="true" applyNumberFormat="true" numFmtId="2" fillId="22" applyFill="true">
      <alignment horizontal="center" vertical="center"/>
    </xf>
    <xf fontId="14725" applyFont="true" borderId="8" applyBorder="true" applyNumberFormat="true" numFmtId="2" fillId="22" applyFill="true">
      <alignment horizontal="center" vertical="center"/>
    </xf>
    <xf fontId="14726" applyFont="true" borderId="8" applyBorder="true" applyNumberFormat="true" numFmtId="2" fillId="22" applyFill="true">
      <alignment horizontal="center" vertical="center"/>
    </xf>
    <xf fontId="14727" applyFont="true" borderId="8" applyBorder="true" applyNumberFormat="true" numFmtId="2" fillId="22" applyFill="true">
      <alignment horizontal="center" vertical="center"/>
    </xf>
    <xf fontId="14728" applyFont="true" borderId="8" applyBorder="true" applyNumberFormat="true" numFmtId="2" fillId="22" applyFill="true">
      <alignment horizontal="center" vertical="center"/>
    </xf>
    <xf fontId="14729" applyFont="true" borderId="8" applyBorder="true" applyNumberFormat="true" numFmtId="2" fillId="22" applyFill="true">
      <alignment horizontal="center" vertical="center"/>
    </xf>
    <xf fontId="14730" applyFont="true" borderId="8" applyBorder="true" applyNumberFormat="true" numFmtId="2" fillId="22" applyFill="true">
      <alignment horizontal="center" vertical="center"/>
    </xf>
    <xf fontId="14731" applyFont="true" borderId="8" applyBorder="true" applyNumberFormat="true" numFmtId="2" fillId="22" applyFill="true">
      <alignment horizontal="center" vertical="center"/>
    </xf>
    <xf fontId="14732" applyFont="true" borderId="8" applyBorder="true" applyNumberFormat="true" numFmtId="2" fillId="22" applyFill="true">
      <alignment horizontal="center" vertical="center"/>
    </xf>
    <xf fontId="14733" applyFont="true" borderId="8" applyBorder="true" applyNumberFormat="true" numFmtId="2" fillId="22" applyFill="true">
      <alignment horizontal="center" vertical="center"/>
    </xf>
    <xf fontId="14734" applyFont="true" borderId="8" applyBorder="true" applyNumberFormat="true" numFmtId="2" fillId="22" applyFill="true">
      <alignment horizontal="center" vertical="center"/>
    </xf>
    <xf fontId="14735" applyFont="true" borderId="8" applyBorder="true" applyNumberFormat="true" numFmtId="2" fillId="22" applyFill="true">
      <alignment horizontal="center" vertical="center"/>
    </xf>
    <xf fontId="14736" applyFont="true" borderId="8" applyBorder="true" applyNumberFormat="true" numFmtId="2" fillId="22" applyFill="true">
      <alignment horizontal="center" vertical="center"/>
    </xf>
    <xf fontId="14737" applyFont="true" borderId="8" applyBorder="true" applyNumberFormat="true" numFmtId="2" fillId="22" applyFill="true">
      <alignment horizontal="center" vertical="center"/>
    </xf>
    <xf fontId="14738" applyFont="true" borderId="8" applyBorder="true" applyNumberFormat="true" numFmtId="2" fillId="22" applyFill="true">
      <alignment horizontal="center" vertical="center"/>
    </xf>
    <xf fontId="14739" applyFont="true" borderId="8" applyBorder="true" applyNumberFormat="true" numFmtId="2" fillId="22" applyFill="true">
      <alignment horizontal="center" vertical="center"/>
    </xf>
    <xf fontId="14740" applyFont="true" borderId="8" applyBorder="true" applyNumberFormat="true" numFmtId="2" fillId="22" applyFill="true">
      <alignment horizontal="center" vertical="center"/>
    </xf>
    <xf fontId="14741" applyFont="true" borderId="8" applyBorder="true" applyNumberFormat="true" numFmtId="2" fillId="22" applyFill="true">
      <alignment horizontal="center" vertical="center"/>
    </xf>
    <xf fontId="14742" applyFont="true" borderId="8" applyBorder="true" applyNumberFormat="true" numFmtId="2" fillId="22" applyFill="true">
      <alignment horizontal="center" vertical="center"/>
    </xf>
    <xf fontId="14743" applyFont="true" borderId="8" applyBorder="true" applyNumberFormat="true" numFmtId="165" fillId="19" applyFill="true">
      <alignment horizontal="left" vertical="center"/>
    </xf>
    <xf fontId="14744" applyFont="true" borderId="8" applyBorder="true" applyNumberFormat="true" numFmtId="165" fillId="22" applyFill="true">
      <alignment horizontal="center" vertical="center"/>
    </xf>
    <xf fontId="14745" applyFont="true" borderId="8" applyBorder="true" applyNumberFormat="true" numFmtId="166" fillId="22" applyFill="true">
      <alignment horizontal="center" vertical="center"/>
    </xf>
    <xf fontId="14746" applyFont="true" borderId="8" applyBorder="true" applyNumberFormat="true" numFmtId="1" fillId="22" applyFill="true">
      <alignment horizontal="center" vertical="center"/>
    </xf>
    <xf fontId="14747" applyFont="true" borderId="8" applyBorder="true" applyNumberFormat="true" numFmtId="1" fillId="22" applyFill="true">
      <alignment horizontal="center" vertical="center"/>
    </xf>
    <xf fontId="14748" applyFont="true" borderId="8" applyBorder="true" applyNumberFormat="true" numFmtId="1" fillId="22" applyFill="true">
      <alignment horizontal="center" vertical="center"/>
    </xf>
    <xf fontId="14749" applyFont="true" borderId="8" applyBorder="true" applyNumberFormat="true" numFmtId="1" fillId="22" applyFill="true">
      <alignment horizontal="center" vertical="center"/>
    </xf>
    <xf fontId="14750" applyFont="true" borderId="8" applyBorder="true" applyNumberFormat="true" numFmtId="1" fillId="22" applyFill="true">
      <alignment horizontal="center" vertical="center"/>
    </xf>
    <xf fontId="14751" applyFont="true" borderId="8" applyBorder="true" applyNumberFormat="true" numFmtId="1" fillId="22" applyFill="true">
      <alignment horizontal="center" vertical="center"/>
    </xf>
    <xf fontId="14752" applyFont="true" borderId="8" applyBorder="true" applyNumberFormat="true" numFmtId="1" fillId="22" applyFill="true">
      <alignment horizontal="center" vertical="center"/>
    </xf>
    <xf fontId="14753" applyFont="true" borderId="8" applyBorder="true" applyNumberFormat="true" numFmtId="165" fillId="22" applyFill="true">
      <alignment horizontal="center" vertical="center"/>
    </xf>
    <xf fontId="14754" applyFont="true" borderId="8" applyBorder="true" applyNumberFormat="true" numFmtId="165" fillId="22" applyFill="true">
      <alignment horizontal="center" vertical="center"/>
    </xf>
    <xf fontId="14755" applyFont="true" borderId="8" applyBorder="true" applyNumberFormat="true" numFmtId="1" fillId="22" applyFill="true">
      <alignment horizontal="center" vertical="center"/>
    </xf>
    <xf fontId="14756" applyFont="true" borderId="8" applyBorder="true" applyNumberFormat="true" numFmtId="1" fillId="22" applyFill="true">
      <alignment horizontal="center" vertical="center"/>
    </xf>
    <xf fontId="14757" applyFont="true" borderId="8" applyBorder="true" applyNumberFormat="true" numFmtId="1" fillId="22" applyFill="true">
      <alignment horizontal="center" vertical="center"/>
    </xf>
    <xf fontId="14758" applyFont="true" borderId="8" applyBorder="true" applyNumberFormat="true" numFmtId="167" fillId="22" applyFill="true">
      <alignment horizontal="center" vertical="center"/>
    </xf>
    <xf fontId="14759" applyFont="true" borderId="8" applyBorder="true" applyNumberFormat="true" numFmtId="1" fillId="22" applyFill="true">
      <alignment horizontal="center" vertical="center"/>
    </xf>
    <xf fontId="14760" applyFont="true" borderId="8" applyBorder="true" applyNumberFormat="true" numFmtId="167" fillId="22" applyFill="true">
      <alignment horizontal="center" vertical="center"/>
    </xf>
    <xf fontId="14761" applyFont="true" borderId="8" applyBorder="true" applyNumberFormat="true" numFmtId="1" fillId="22" applyFill="true">
      <alignment horizontal="center" vertical="center"/>
    </xf>
    <xf fontId="14762" applyFont="true" borderId="8" applyBorder="true" applyNumberFormat="true" numFmtId="167" fillId="22" applyFill="true">
      <alignment horizontal="center" vertical="center"/>
    </xf>
    <xf fontId="14763" applyFont="true" borderId="8" applyBorder="true" applyNumberFormat="true" numFmtId="1" fillId="22" applyFill="true">
      <alignment horizontal="center" vertical="center"/>
    </xf>
    <xf fontId="14764" applyFont="true" borderId="8" applyBorder="true" applyNumberFormat="true" numFmtId="167" fillId="22" applyFill="true">
      <alignment horizontal="center" vertical="center"/>
    </xf>
    <xf fontId="14765" applyFont="true" borderId="8" applyBorder="true" applyNumberFormat="true" numFmtId="167" fillId="22" applyFill="true">
      <alignment horizontal="center" vertical="center"/>
    </xf>
    <xf fontId="14766" applyFont="true" borderId="8" applyBorder="true" applyNumberFormat="true" numFmtId="1" fillId="22" applyFill="true">
      <alignment horizontal="center" vertical="center"/>
    </xf>
    <xf fontId="14767" applyFont="true" borderId="8" applyBorder="true" applyNumberFormat="true" numFmtId="1" fillId="22" applyFill="true">
      <alignment horizontal="center" vertical="center"/>
    </xf>
    <xf fontId="14768" applyFont="true" borderId="8" applyBorder="true" applyNumberFormat="true" numFmtId="1" fillId="22" applyFill="true">
      <alignment horizontal="center" vertical="center"/>
    </xf>
    <xf fontId="14769" applyFont="true" borderId="8" applyBorder="true" applyNumberFormat="true" numFmtId="167" fillId="22" applyFill="true">
      <alignment horizontal="center" vertical="center"/>
    </xf>
    <xf fontId="14770" applyFont="true" borderId="8" applyBorder="true" applyNumberFormat="true" numFmtId="166" fillId="22" applyFill="true">
      <alignment horizontal="center" vertical="center"/>
    </xf>
    <xf fontId="14771" applyFont="true" borderId="8" applyBorder="true" applyNumberFormat="true" numFmtId="166" fillId="22" applyFill="true">
      <alignment horizontal="center" vertical="center"/>
    </xf>
    <xf fontId="14772" applyFont="true" borderId="8" applyBorder="true" applyNumberFormat="true" numFmtId="1" fillId="22" applyFill="true">
      <alignment horizontal="center" vertical="center"/>
    </xf>
    <xf fontId="14773" applyFont="true" borderId="8" applyBorder="true" applyNumberFormat="true" numFmtId="1" fillId="22" applyFill="true">
      <alignment horizontal="center" vertical="center"/>
    </xf>
    <xf fontId="14774" applyFont="true" borderId="8" applyBorder="true" applyNumberFormat="true" numFmtId="1" fillId="22" applyFill="true">
      <alignment horizontal="center" vertical="center"/>
    </xf>
    <xf fontId="14775" applyFont="true" borderId="8" applyBorder="true" applyNumberFormat="true" numFmtId="167" fillId="22" applyFill="true">
      <alignment horizontal="center" vertical="center"/>
    </xf>
    <xf fontId="14776" applyFont="true" borderId="8" applyBorder="true" applyNumberFormat="true" numFmtId="1" fillId="22" applyFill="true">
      <alignment horizontal="center" vertical="center"/>
    </xf>
    <xf fontId="14777" applyFont="true" borderId="8" applyBorder="true" applyNumberFormat="true" numFmtId="167" fillId="22" applyFill="true">
      <alignment horizontal="center" vertical="center"/>
    </xf>
    <xf fontId="14778" applyFont="true" borderId="8" applyBorder="true" applyNumberFormat="true" numFmtId="1" fillId="22" applyFill="true">
      <alignment horizontal="center" vertical="center"/>
    </xf>
    <xf fontId="14779" applyFont="true" borderId="8" applyBorder="true" applyNumberFormat="true" numFmtId="1" fillId="22" applyFill="true">
      <alignment horizontal="center" vertical="center"/>
    </xf>
    <xf fontId="14780" applyFont="true" borderId="8" applyBorder="true" applyNumberFormat="true" numFmtId="1" fillId="22" applyFill="true">
      <alignment horizontal="center" vertical="center"/>
    </xf>
    <xf fontId="14781" applyFont="true" borderId="8" applyBorder="true" applyNumberFormat="true" numFmtId="1" fillId="22" applyFill="true">
      <alignment horizontal="center" vertical="center"/>
    </xf>
    <xf fontId="14782" applyFont="true" borderId="8" applyBorder="true" applyNumberFormat="true" numFmtId="167" fillId="22" applyFill="true">
      <alignment horizontal="center" vertical="center"/>
    </xf>
    <xf fontId="14783" applyFont="true" borderId="8" applyBorder="true" applyNumberFormat="true" numFmtId="1" fillId="22" applyFill="true">
      <alignment horizontal="center" vertical="center"/>
    </xf>
    <xf fontId="14784" applyFont="true" borderId="8" applyBorder="true" applyNumberFormat="true" numFmtId="167" fillId="22" applyFill="true">
      <alignment horizontal="center" vertical="center"/>
    </xf>
    <xf fontId="14785" applyFont="true" borderId="8" applyBorder="true" applyNumberFormat="true" numFmtId="1" fillId="22" applyFill="true">
      <alignment horizontal="center" vertical="center"/>
    </xf>
    <xf fontId="14786" applyFont="true" borderId="8" applyBorder="true" applyNumberFormat="true" numFmtId="167" fillId="22" applyFill="true">
      <alignment horizontal="center" vertical="center"/>
    </xf>
    <xf fontId="14787" applyFont="true" borderId="8" applyBorder="true" applyNumberFormat="true" numFmtId="2" fillId="22" applyFill="true">
      <alignment horizontal="center" vertical="center"/>
    </xf>
    <xf fontId="14788" applyFont="true" borderId="8" applyBorder="true" applyNumberFormat="true" numFmtId="2" fillId="22" applyFill="true">
      <alignment horizontal="center" vertical="center"/>
    </xf>
    <xf fontId="14789" applyFont="true" borderId="8" applyBorder="true" applyNumberFormat="true" numFmtId="2" fillId="22" applyFill="true">
      <alignment horizontal="center" vertical="center"/>
    </xf>
    <xf fontId="14790" applyFont="true" borderId="8" applyBorder="true" applyNumberFormat="true" numFmtId="2" fillId="22" applyFill="true">
      <alignment horizontal="center" vertical="center"/>
    </xf>
    <xf fontId="14791" applyFont="true" borderId="8" applyBorder="true" applyNumberFormat="true" numFmtId="2" fillId="22" applyFill="true">
      <alignment horizontal="center" vertical="center"/>
    </xf>
    <xf fontId="14792" applyFont="true" borderId="8" applyBorder="true" applyNumberFormat="true" numFmtId="2" fillId="22" applyFill="true">
      <alignment horizontal="center" vertical="center"/>
    </xf>
    <xf fontId="14793" applyFont="true" borderId="8" applyBorder="true" applyNumberFormat="true" numFmtId="2" fillId="22" applyFill="true">
      <alignment horizontal="center" vertical="center"/>
    </xf>
    <xf fontId="14794" applyFont="true" borderId="8" applyBorder="true" applyNumberFormat="true" numFmtId="2" fillId="22" applyFill="true">
      <alignment horizontal="center" vertical="center"/>
    </xf>
    <xf fontId="14795" applyFont="true" borderId="8" applyBorder="true" applyNumberFormat="true" numFmtId="2" fillId="22" applyFill="true">
      <alignment horizontal="center" vertical="center"/>
    </xf>
    <xf fontId="14796" applyFont="true" borderId="8" applyBorder="true" applyNumberFormat="true" numFmtId="2" fillId="22" applyFill="true">
      <alignment horizontal="center" vertical="center"/>
    </xf>
    <xf fontId="14797" applyFont="true" borderId="8" applyBorder="true" applyNumberFormat="true" numFmtId="2" fillId="22" applyFill="true">
      <alignment horizontal="center" vertical="center"/>
    </xf>
    <xf fontId="14798" applyFont="true" borderId="8" applyBorder="true" applyNumberFormat="true" numFmtId="2" fillId="22" applyFill="true">
      <alignment horizontal="center" vertical="center"/>
    </xf>
    <xf fontId="14799" applyFont="true" borderId="8" applyBorder="true" applyNumberFormat="true" numFmtId="2" fillId="22" applyFill="true">
      <alignment horizontal="center" vertical="center"/>
    </xf>
    <xf fontId="14800" applyFont="true" borderId="8" applyBorder="true" applyNumberFormat="true" numFmtId="2" fillId="22" applyFill="true">
      <alignment horizontal="center" vertical="center"/>
    </xf>
    <xf fontId="14801" applyFont="true" borderId="8" applyBorder="true" applyNumberFormat="true" numFmtId="2" fillId="22" applyFill="true">
      <alignment horizontal="center" vertical="center"/>
    </xf>
    <xf fontId="14802" applyFont="true" borderId="8" applyBorder="true" applyNumberFormat="true" numFmtId="2" fillId="22" applyFill="true">
      <alignment horizontal="center" vertical="center"/>
    </xf>
    <xf fontId="14803" applyFont="true" borderId="8" applyBorder="true" applyNumberFormat="true" numFmtId="2" fillId="22" applyFill="true">
      <alignment horizontal="center" vertical="center"/>
    </xf>
    <xf fontId="14804" applyFont="true" borderId="8" applyBorder="true" applyNumberFormat="true" numFmtId="2" fillId="22" applyFill="true">
      <alignment horizontal="center" vertical="center"/>
    </xf>
    <xf fontId="14805" applyFont="true" borderId="8" applyBorder="true" applyNumberFormat="true" numFmtId="2" fillId="22" applyFill="true">
      <alignment horizontal="center" vertical="center"/>
    </xf>
    <xf fontId="14806" applyFont="true" borderId="8" applyBorder="true" applyNumberFormat="true" numFmtId="2" fillId="22" applyFill="true">
      <alignment horizontal="center" vertical="center"/>
    </xf>
    <xf fontId="14807" applyFont="true" borderId="8" applyBorder="true" applyNumberFormat="true" numFmtId="2" fillId="22" applyFill="true">
      <alignment horizontal="center" vertical="center"/>
    </xf>
    <xf fontId="14808" applyFont="true" borderId="8" applyBorder="true" applyNumberFormat="true" numFmtId="2" fillId="22" applyFill="true">
      <alignment horizontal="center" vertical="center"/>
    </xf>
    <xf fontId="14809" applyFont="true" borderId="8" applyBorder="true" applyNumberFormat="true" numFmtId="2" fillId="22" applyFill="true">
      <alignment horizontal="center" vertical="center"/>
    </xf>
    <xf fontId="14810" applyFont="true" borderId="8" applyBorder="true" applyNumberFormat="true" numFmtId="2" fillId="22" applyFill="true">
      <alignment horizontal="center" vertical="center"/>
    </xf>
    <xf fontId="14811" applyFont="true" borderId="8" applyBorder="true" applyNumberFormat="true" numFmtId="2" fillId="22" applyFill="true">
      <alignment horizontal="center" vertical="center"/>
    </xf>
    <xf fontId="14812" applyFont="true" borderId="8" applyBorder="true" applyNumberFormat="true" numFmtId="2" fillId="22" applyFill="true">
      <alignment horizontal="center" vertical="center"/>
    </xf>
    <xf fontId="14813" applyFont="true" borderId="8" applyBorder="true" applyNumberFormat="true" numFmtId="2" fillId="22" applyFill="true">
      <alignment horizontal="center" vertical="center"/>
    </xf>
    <xf fontId="14814" applyFont="true" borderId="8" applyBorder="true" applyNumberFormat="true" numFmtId="2" fillId="22" applyFill="true">
      <alignment horizontal="center" vertical="center"/>
    </xf>
    <xf fontId="14815" applyFont="true" borderId="8" applyBorder="true" applyNumberFormat="true" numFmtId="2" fillId="22" applyFill="true">
      <alignment horizontal="center" vertical="center"/>
    </xf>
    <xf fontId="14816" applyFont="true" borderId="8" applyBorder="true" applyNumberFormat="true" numFmtId="2" fillId="22" applyFill="true">
      <alignment horizontal="center" vertical="center"/>
    </xf>
    <xf fontId="14817" applyFont="true" borderId="8" applyBorder="true" applyNumberFormat="true" numFmtId="2" fillId="22" applyFill="true">
      <alignment horizontal="center" vertical="center"/>
    </xf>
    <xf fontId="14818" applyFont="true" borderId="8" applyBorder="true" applyNumberFormat="true" numFmtId="2" fillId="22" applyFill="true">
      <alignment horizontal="center" vertical="center"/>
    </xf>
    <xf fontId="14819" applyFont="true" borderId="8" applyBorder="true" applyNumberFormat="true" numFmtId="2" fillId="22" applyFill="true">
      <alignment horizontal="center" vertical="center"/>
    </xf>
    <xf fontId="14820" applyFont="true" borderId="8" applyBorder="true" applyNumberFormat="true" numFmtId="2" fillId="22" applyFill="true">
      <alignment horizontal="center" vertical="center"/>
    </xf>
    <xf fontId="14821" applyFont="true" borderId="8" applyBorder="true" applyNumberFormat="true" numFmtId="165" fillId="19" applyFill="true">
      <alignment horizontal="left" vertical="center"/>
    </xf>
    <xf fontId="14822" applyFont="true" borderId="8" applyBorder="true" applyNumberFormat="true" numFmtId="165" fillId="22" applyFill="true">
      <alignment horizontal="center" vertical="center"/>
    </xf>
    <xf fontId="14823" applyFont="true" borderId="8" applyBorder="true" applyNumberFormat="true" numFmtId="166" fillId="22" applyFill="true">
      <alignment horizontal="center" vertical="center"/>
    </xf>
    <xf fontId="14824" applyFont="true" borderId="8" applyBorder="true" applyNumberFormat="true" numFmtId="1" fillId="22" applyFill="true">
      <alignment horizontal="center" vertical="center"/>
    </xf>
    <xf fontId="14825" applyFont="true" borderId="8" applyBorder="true" applyNumberFormat="true" numFmtId="1" fillId="22" applyFill="true">
      <alignment horizontal="center" vertical="center"/>
    </xf>
    <xf fontId="14826" applyFont="true" borderId="8" applyBorder="true" applyNumberFormat="true" numFmtId="1" fillId="22" applyFill="true">
      <alignment horizontal="center" vertical="center"/>
    </xf>
    <xf fontId="14827" applyFont="true" borderId="8" applyBorder="true" applyNumberFormat="true" numFmtId="1" fillId="22" applyFill="true">
      <alignment horizontal="center" vertical="center"/>
    </xf>
    <xf fontId="14828" applyFont="true" borderId="8" applyBorder="true" applyNumberFormat="true" numFmtId="1" fillId="22" applyFill="true">
      <alignment horizontal="center" vertical="center"/>
    </xf>
    <xf fontId="14829" applyFont="true" borderId="8" applyBorder="true" applyNumberFormat="true" numFmtId="1" fillId="22" applyFill="true">
      <alignment horizontal="center" vertical="center"/>
    </xf>
    <xf fontId="14830" applyFont="true" borderId="8" applyBorder="true" applyNumberFormat="true" numFmtId="1" fillId="22" applyFill="true">
      <alignment horizontal="center" vertical="center"/>
    </xf>
    <xf fontId="14831" applyFont="true" borderId="8" applyBorder="true" applyNumberFormat="true" numFmtId="165" fillId="22" applyFill="true">
      <alignment horizontal="center" vertical="center"/>
    </xf>
    <xf fontId="14832" applyFont="true" borderId="8" applyBorder="true" applyNumberFormat="true" numFmtId="165" fillId="22" applyFill="true">
      <alignment horizontal="center" vertical="center"/>
    </xf>
    <xf fontId="14833" applyFont="true" borderId="8" applyBorder="true" applyNumberFormat="true" numFmtId="1" fillId="22" applyFill="true">
      <alignment horizontal="center" vertical="center"/>
    </xf>
    <xf fontId="14834" applyFont="true" borderId="8" applyBorder="true" applyNumberFormat="true" numFmtId="1" fillId="22" applyFill="true">
      <alignment horizontal="center" vertical="center"/>
    </xf>
    <xf fontId="14835" applyFont="true" borderId="8" applyBorder="true" applyNumberFormat="true" numFmtId="1" fillId="22" applyFill="true">
      <alignment horizontal="center" vertical="center"/>
    </xf>
    <xf fontId="14836" applyFont="true" borderId="8" applyBorder="true" applyNumberFormat="true" numFmtId="167" fillId="22" applyFill="true">
      <alignment horizontal="center" vertical="center"/>
    </xf>
    <xf fontId="14837" applyFont="true" borderId="8" applyBorder="true" applyNumberFormat="true" numFmtId="1" fillId="22" applyFill="true">
      <alignment horizontal="center" vertical="center"/>
    </xf>
    <xf fontId="14838" applyFont="true" borderId="8" applyBorder="true" applyNumberFormat="true" numFmtId="167" fillId="22" applyFill="true">
      <alignment horizontal="center" vertical="center"/>
    </xf>
    <xf fontId="14839" applyFont="true" borderId="8" applyBorder="true" applyNumberFormat="true" numFmtId="1" fillId="22" applyFill="true">
      <alignment horizontal="center" vertical="center"/>
    </xf>
    <xf fontId="14840" applyFont="true" borderId="8" applyBorder="true" applyNumberFormat="true" numFmtId="167" fillId="22" applyFill="true">
      <alignment horizontal="center" vertical="center"/>
    </xf>
    <xf fontId="14841" applyFont="true" borderId="8" applyBorder="true" applyNumberFormat="true" numFmtId="1" fillId="22" applyFill="true">
      <alignment horizontal="center" vertical="center"/>
    </xf>
    <xf fontId="14842" applyFont="true" borderId="8" applyBorder="true" applyNumberFormat="true" numFmtId="167" fillId="22" applyFill="true">
      <alignment horizontal="center" vertical="center"/>
    </xf>
    <xf fontId="14843" applyFont="true" borderId="8" applyBorder="true" applyNumberFormat="true" numFmtId="167" fillId="22" applyFill="true">
      <alignment horizontal="center" vertical="center"/>
    </xf>
    <xf fontId="14844" applyFont="true" borderId="8" applyBorder="true" applyNumberFormat="true" numFmtId="1" fillId="22" applyFill="true">
      <alignment horizontal="center" vertical="center"/>
    </xf>
    <xf fontId="14845" applyFont="true" borderId="8" applyBorder="true" applyNumberFormat="true" numFmtId="1" fillId="22" applyFill="true">
      <alignment horizontal="center" vertical="center"/>
    </xf>
    <xf fontId="14846" applyFont="true" borderId="8" applyBorder="true" applyNumberFormat="true" numFmtId="1" fillId="22" applyFill="true">
      <alignment horizontal="center" vertical="center"/>
    </xf>
    <xf fontId="14847" applyFont="true" borderId="8" applyBorder="true" applyNumberFormat="true" numFmtId="167" fillId="22" applyFill="true">
      <alignment horizontal="center" vertical="center"/>
    </xf>
    <xf fontId="14848" applyFont="true" borderId="8" applyBorder="true" applyNumberFormat="true" numFmtId="166" fillId="22" applyFill="true">
      <alignment horizontal="center" vertical="center"/>
    </xf>
    <xf fontId="14849" applyFont="true" borderId="8" applyBorder="true" applyNumberFormat="true" numFmtId="166" fillId="22" applyFill="true">
      <alignment horizontal="center" vertical="center"/>
    </xf>
    <xf fontId="14850" applyFont="true" borderId="8" applyBorder="true" applyNumberFormat="true" numFmtId="1" fillId="22" applyFill="true">
      <alignment horizontal="center" vertical="center"/>
    </xf>
    <xf fontId="14851" applyFont="true" borderId="8" applyBorder="true" applyNumberFormat="true" numFmtId="1" fillId="22" applyFill="true">
      <alignment horizontal="center" vertical="center"/>
    </xf>
    <xf fontId="14852" applyFont="true" borderId="8" applyBorder="true" applyNumberFormat="true" numFmtId="1" fillId="22" applyFill="true">
      <alignment horizontal="center" vertical="center"/>
    </xf>
    <xf fontId="14853" applyFont="true" borderId="8" applyBorder="true" applyNumberFormat="true" numFmtId="167" fillId="22" applyFill="true">
      <alignment horizontal="center" vertical="center"/>
    </xf>
    <xf fontId="14854" applyFont="true" borderId="8" applyBorder="true" applyNumberFormat="true" numFmtId="1" fillId="22" applyFill="true">
      <alignment horizontal="center" vertical="center"/>
    </xf>
    <xf fontId="14855" applyFont="true" borderId="8" applyBorder="true" applyNumberFormat="true" numFmtId="167" fillId="22" applyFill="true">
      <alignment horizontal="center" vertical="center"/>
    </xf>
    <xf fontId="14856" applyFont="true" borderId="8" applyBorder="true" applyNumberFormat="true" numFmtId="1" fillId="22" applyFill="true">
      <alignment horizontal="center" vertical="center"/>
    </xf>
    <xf fontId="14857" applyFont="true" borderId="8" applyBorder="true" applyNumberFormat="true" numFmtId="1" fillId="22" applyFill="true">
      <alignment horizontal="center" vertical="center"/>
    </xf>
    <xf fontId="14858" applyFont="true" borderId="8" applyBorder="true" applyNumberFormat="true" numFmtId="1" fillId="22" applyFill="true">
      <alignment horizontal="center" vertical="center"/>
    </xf>
    <xf fontId="14859" applyFont="true" borderId="8" applyBorder="true" applyNumberFormat="true" numFmtId="1" fillId="22" applyFill="true">
      <alignment horizontal="center" vertical="center"/>
    </xf>
    <xf fontId="14860" applyFont="true" borderId="8" applyBorder="true" applyNumberFormat="true" numFmtId="167" fillId="22" applyFill="true">
      <alignment horizontal="center" vertical="center"/>
    </xf>
    <xf fontId="14861" applyFont="true" borderId="8" applyBorder="true" applyNumberFormat="true" numFmtId="1" fillId="22" applyFill="true">
      <alignment horizontal="center" vertical="center"/>
    </xf>
    <xf fontId="14862" applyFont="true" borderId="8" applyBorder="true" applyNumberFormat="true" numFmtId="167" fillId="22" applyFill="true">
      <alignment horizontal="center" vertical="center"/>
    </xf>
    <xf fontId="14863" applyFont="true" borderId="8" applyBorder="true" applyNumberFormat="true" numFmtId="1" fillId="22" applyFill="true">
      <alignment horizontal="center" vertical="center"/>
    </xf>
    <xf fontId="14864" applyFont="true" borderId="8" applyBorder="true" applyNumberFormat="true" numFmtId="167" fillId="22" applyFill="true">
      <alignment horizontal="center" vertical="center"/>
    </xf>
    <xf fontId="14865" applyFont="true" borderId="8" applyBorder="true" applyNumberFormat="true" numFmtId="2" fillId="22" applyFill="true">
      <alignment horizontal="center" vertical="center"/>
    </xf>
    <xf fontId="14866" applyFont="true" borderId="8" applyBorder="true" applyNumberFormat="true" numFmtId="2" fillId="22" applyFill="true">
      <alignment horizontal="center" vertical="center"/>
    </xf>
    <xf fontId="14867" applyFont="true" borderId="8" applyBorder="true" applyNumberFormat="true" numFmtId="2" fillId="22" applyFill="true">
      <alignment horizontal="center" vertical="center"/>
    </xf>
    <xf fontId="14868" applyFont="true" borderId="8" applyBorder="true" applyNumberFormat="true" numFmtId="2" fillId="22" applyFill="true">
      <alignment horizontal="center" vertical="center"/>
    </xf>
    <xf fontId="14869" applyFont="true" borderId="8" applyBorder="true" applyNumberFormat="true" numFmtId="2" fillId="22" applyFill="true">
      <alignment horizontal="center" vertical="center"/>
    </xf>
    <xf fontId="14870" applyFont="true" borderId="8" applyBorder="true" applyNumberFormat="true" numFmtId="2" fillId="22" applyFill="true">
      <alignment horizontal="center" vertical="center"/>
    </xf>
    <xf fontId="14871" applyFont="true" borderId="8" applyBorder="true" applyNumberFormat="true" numFmtId="2" fillId="22" applyFill="true">
      <alignment horizontal="center" vertical="center"/>
    </xf>
    <xf fontId="14872" applyFont="true" borderId="8" applyBorder="true" applyNumberFormat="true" numFmtId="2" fillId="22" applyFill="true">
      <alignment horizontal="center" vertical="center"/>
    </xf>
    <xf fontId="14873" applyFont="true" borderId="8" applyBorder="true" applyNumberFormat="true" numFmtId="2" fillId="22" applyFill="true">
      <alignment horizontal="center" vertical="center"/>
    </xf>
    <xf fontId="14874" applyFont="true" borderId="8" applyBorder="true" applyNumberFormat="true" numFmtId="2" fillId="22" applyFill="true">
      <alignment horizontal="center" vertical="center"/>
    </xf>
    <xf fontId="14875" applyFont="true" borderId="8" applyBorder="true" applyNumberFormat="true" numFmtId="2" fillId="22" applyFill="true">
      <alignment horizontal="center" vertical="center"/>
    </xf>
    <xf fontId="14876" applyFont="true" borderId="8" applyBorder="true" applyNumberFormat="true" numFmtId="2" fillId="22" applyFill="true">
      <alignment horizontal="center" vertical="center"/>
    </xf>
    <xf fontId="14877" applyFont="true" borderId="8" applyBorder="true" applyNumberFormat="true" numFmtId="2" fillId="22" applyFill="true">
      <alignment horizontal="center" vertical="center"/>
    </xf>
    <xf fontId="14878" applyFont="true" borderId="8" applyBorder="true" applyNumberFormat="true" numFmtId="2" fillId="22" applyFill="true">
      <alignment horizontal="center" vertical="center"/>
    </xf>
    <xf fontId="14879" applyFont="true" borderId="8" applyBorder="true" applyNumberFormat="true" numFmtId="2" fillId="22" applyFill="true">
      <alignment horizontal="center" vertical="center"/>
    </xf>
    <xf fontId="14880" applyFont="true" borderId="8" applyBorder="true" applyNumberFormat="true" numFmtId="2" fillId="22" applyFill="true">
      <alignment horizontal="center" vertical="center"/>
    </xf>
    <xf fontId="14881" applyFont="true" borderId="8" applyBorder="true" applyNumberFormat="true" numFmtId="2" fillId="22" applyFill="true">
      <alignment horizontal="center" vertical="center"/>
    </xf>
    <xf fontId="14882" applyFont="true" borderId="8" applyBorder="true" applyNumberFormat="true" numFmtId="2" fillId="22" applyFill="true">
      <alignment horizontal="center" vertical="center"/>
    </xf>
    <xf fontId="14883" applyFont="true" borderId="8" applyBorder="true" applyNumberFormat="true" numFmtId="2" fillId="22" applyFill="true">
      <alignment horizontal="center" vertical="center"/>
    </xf>
    <xf fontId="14884" applyFont="true" borderId="8" applyBorder="true" applyNumberFormat="true" numFmtId="2" fillId="22" applyFill="true">
      <alignment horizontal="center" vertical="center"/>
    </xf>
    <xf fontId="14885" applyFont="true" borderId="8" applyBorder="true" applyNumberFormat="true" numFmtId="2" fillId="22" applyFill="true">
      <alignment horizontal="center" vertical="center"/>
    </xf>
    <xf fontId="14886" applyFont="true" borderId="8" applyBorder="true" applyNumberFormat="true" numFmtId="2" fillId="22" applyFill="true">
      <alignment horizontal="center" vertical="center"/>
    </xf>
    <xf fontId="14887" applyFont="true" borderId="8" applyBorder="true" applyNumberFormat="true" numFmtId="2" fillId="22" applyFill="true">
      <alignment horizontal="center" vertical="center"/>
    </xf>
    <xf fontId="14888" applyFont="true" borderId="8" applyBorder="true" applyNumberFormat="true" numFmtId="2" fillId="22" applyFill="true">
      <alignment horizontal="center" vertical="center"/>
    </xf>
    <xf fontId="14889" applyFont="true" borderId="8" applyBorder="true" applyNumberFormat="true" numFmtId="2" fillId="22" applyFill="true">
      <alignment horizontal="center" vertical="center"/>
    </xf>
    <xf fontId="14890" applyFont="true" borderId="8" applyBorder="true" applyNumberFormat="true" numFmtId="2" fillId="22" applyFill="true">
      <alignment horizontal="center" vertical="center"/>
    </xf>
    <xf fontId="14891" applyFont="true" borderId="8" applyBorder="true" applyNumberFormat="true" numFmtId="2" fillId="22" applyFill="true">
      <alignment horizontal="center" vertical="center"/>
    </xf>
    <xf fontId="14892" applyFont="true" borderId="8" applyBorder="true" applyNumberFormat="true" numFmtId="2" fillId="22" applyFill="true">
      <alignment horizontal="center" vertical="center"/>
    </xf>
    <xf fontId="14893" applyFont="true" borderId="8" applyBorder="true" applyNumberFormat="true" numFmtId="2" fillId="22" applyFill="true">
      <alignment horizontal="center" vertical="center"/>
    </xf>
    <xf fontId="14894" applyFont="true" borderId="8" applyBorder="true" applyNumberFormat="true" numFmtId="2" fillId="22" applyFill="true">
      <alignment horizontal="center" vertical="center"/>
    </xf>
    <xf fontId="14895" applyFont="true" borderId="8" applyBorder="true" applyNumberFormat="true" numFmtId="2" fillId="22" applyFill="true">
      <alignment horizontal="center" vertical="center"/>
    </xf>
    <xf fontId="14896" applyFont="true" borderId="8" applyBorder="true" applyNumberFormat="true" numFmtId="2" fillId="22" applyFill="true">
      <alignment horizontal="center" vertical="center"/>
    </xf>
    <xf fontId="14897" applyFont="true" borderId="8" applyBorder="true" applyNumberFormat="true" numFmtId="2" fillId="22" applyFill="true">
      <alignment horizontal="center" vertical="center"/>
    </xf>
    <xf fontId="14898" applyFont="true" borderId="8" applyBorder="true" applyNumberFormat="true" numFmtId="2" fillId="22" applyFill="true">
      <alignment horizontal="center" vertical="center"/>
    </xf>
    <xf fontId="14899" applyFont="true" borderId="8" applyBorder="true" applyNumberFormat="true" numFmtId="165" fillId="19" applyFill="true">
      <alignment horizontal="left" vertical="center"/>
    </xf>
    <xf fontId="14900" applyFont="true" borderId="8" applyBorder="true" applyNumberFormat="true" numFmtId="165" fillId="22" applyFill="true">
      <alignment horizontal="center" vertical="center"/>
    </xf>
    <xf fontId="14901" applyFont="true" borderId="8" applyBorder="true" applyNumberFormat="true" numFmtId="166" fillId="22" applyFill="true">
      <alignment horizontal="center" vertical="center"/>
    </xf>
    <xf fontId="14902" applyFont="true" borderId="8" applyBorder="true" applyNumberFormat="true" numFmtId="1" fillId="22" applyFill="true">
      <alignment horizontal="center" vertical="center"/>
    </xf>
    <xf fontId="14903" applyFont="true" borderId="8" applyBorder="true" applyNumberFormat="true" numFmtId="1" fillId="22" applyFill="true">
      <alignment horizontal="center" vertical="center"/>
    </xf>
    <xf fontId="14904" applyFont="true" borderId="8" applyBorder="true" applyNumberFormat="true" numFmtId="1" fillId="22" applyFill="true">
      <alignment horizontal="center" vertical="center"/>
    </xf>
    <xf fontId="14905" applyFont="true" borderId="8" applyBorder="true" applyNumberFormat="true" numFmtId="1" fillId="22" applyFill="true">
      <alignment horizontal="center" vertical="center"/>
    </xf>
    <xf fontId="14906" applyFont="true" borderId="8" applyBorder="true" applyNumberFormat="true" numFmtId="1" fillId="22" applyFill="true">
      <alignment horizontal="center" vertical="center"/>
    </xf>
    <xf fontId="14907" applyFont="true" borderId="8" applyBorder="true" applyNumberFormat="true" numFmtId="1" fillId="22" applyFill="true">
      <alignment horizontal="center" vertical="center"/>
    </xf>
    <xf fontId="14908" applyFont="true" borderId="8" applyBorder="true" applyNumberFormat="true" numFmtId="1" fillId="22" applyFill="true">
      <alignment horizontal="center" vertical="center"/>
    </xf>
    <xf fontId="14909" applyFont="true" borderId="8" applyBorder="true" applyNumberFormat="true" numFmtId="165" fillId="22" applyFill="true">
      <alignment horizontal="center" vertical="center"/>
    </xf>
    <xf fontId="14910" applyFont="true" borderId="8" applyBorder="true" applyNumberFormat="true" numFmtId="165" fillId="22" applyFill="true">
      <alignment horizontal="center" vertical="center"/>
    </xf>
    <xf fontId="14911" applyFont="true" borderId="8" applyBorder="true" applyNumberFormat="true" numFmtId="1" fillId="22" applyFill="true">
      <alignment horizontal="center" vertical="center"/>
    </xf>
    <xf fontId="14912" applyFont="true" borderId="8" applyBorder="true" applyNumberFormat="true" numFmtId="1" fillId="22" applyFill="true">
      <alignment horizontal="center" vertical="center"/>
    </xf>
    <xf fontId="14913" applyFont="true" borderId="8" applyBorder="true" applyNumberFormat="true" numFmtId="1" fillId="22" applyFill="true">
      <alignment horizontal="center" vertical="center"/>
    </xf>
    <xf fontId="14914" applyFont="true" borderId="8" applyBorder="true" applyNumberFormat="true" numFmtId="167" fillId="22" applyFill="true">
      <alignment horizontal="center" vertical="center"/>
    </xf>
    <xf fontId="14915" applyFont="true" borderId="8" applyBorder="true" applyNumberFormat="true" numFmtId="1" fillId="22" applyFill="true">
      <alignment horizontal="center" vertical="center"/>
    </xf>
    <xf fontId="14916" applyFont="true" borderId="8" applyBorder="true" applyNumberFormat="true" numFmtId="167" fillId="22" applyFill="true">
      <alignment horizontal="center" vertical="center"/>
    </xf>
    <xf fontId="14917" applyFont="true" borderId="8" applyBorder="true" applyNumberFormat="true" numFmtId="1" fillId="22" applyFill="true">
      <alignment horizontal="center" vertical="center"/>
    </xf>
    <xf fontId="14918" applyFont="true" borderId="8" applyBorder="true" applyNumberFormat="true" numFmtId="167" fillId="22" applyFill="true">
      <alignment horizontal="center" vertical="center"/>
    </xf>
    <xf fontId="14919" applyFont="true" borderId="8" applyBorder="true" applyNumberFormat="true" numFmtId="1" fillId="22" applyFill="true">
      <alignment horizontal="center" vertical="center"/>
    </xf>
    <xf fontId="14920" applyFont="true" borderId="8" applyBorder="true" applyNumberFormat="true" numFmtId="167" fillId="22" applyFill="true">
      <alignment horizontal="center" vertical="center"/>
    </xf>
    <xf fontId="14921" applyFont="true" borderId="8" applyBorder="true" applyNumberFormat="true" numFmtId="167" fillId="22" applyFill="true">
      <alignment horizontal="center" vertical="center"/>
    </xf>
    <xf fontId="14922" applyFont="true" borderId="8" applyBorder="true" applyNumberFormat="true" numFmtId="1" fillId="22" applyFill="true">
      <alignment horizontal="center" vertical="center"/>
    </xf>
    <xf fontId="14923" applyFont="true" borderId="8" applyBorder="true" applyNumberFormat="true" numFmtId="1" fillId="22" applyFill="true">
      <alignment horizontal="center" vertical="center"/>
    </xf>
    <xf fontId="14924" applyFont="true" borderId="8" applyBorder="true" applyNumberFormat="true" numFmtId="1" fillId="22" applyFill="true">
      <alignment horizontal="center" vertical="center"/>
    </xf>
    <xf fontId="14925" applyFont="true" borderId="8" applyBorder="true" applyNumberFormat="true" numFmtId="167" fillId="22" applyFill="true">
      <alignment horizontal="center" vertical="center"/>
    </xf>
    <xf fontId="14926" applyFont="true" borderId="8" applyBorder="true" applyNumberFormat="true" numFmtId="166" fillId="22" applyFill="true">
      <alignment horizontal="center" vertical="center"/>
    </xf>
    <xf fontId="14927" applyFont="true" borderId="8" applyBorder="true" applyNumberFormat="true" numFmtId="166" fillId="22" applyFill="true">
      <alignment horizontal="center" vertical="center"/>
    </xf>
    <xf fontId="14928" applyFont="true" borderId="8" applyBorder="true" applyNumberFormat="true" numFmtId="1" fillId="22" applyFill="true">
      <alignment horizontal="center" vertical="center"/>
    </xf>
    <xf fontId="14929" applyFont="true" borderId="8" applyBorder="true" applyNumberFormat="true" numFmtId="1" fillId="22" applyFill="true">
      <alignment horizontal="center" vertical="center"/>
    </xf>
    <xf fontId="14930" applyFont="true" borderId="8" applyBorder="true" applyNumberFormat="true" numFmtId="1" fillId="22" applyFill="true">
      <alignment horizontal="center" vertical="center"/>
    </xf>
    <xf fontId="14931" applyFont="true" borderId="8" applyBorder="true" applyNumberFormat="true" numFmtId="167" fillId="22" applyFill="true">
      <alignment horizontal="center" vertical="center"/>
    </xf>
    <xf fontId="14932" applyFont="true" borderId="8" applyBorder="true" applyNumberFormat="true" numFmtId="1" fillId="22" applyFill="true">
      <alignment horizontal="center" vertical="center"/>
    </xf>
    <xf fontId="14933" applyFont="true" borderId="8" applyBorder="true" applyNumberFormat="true" numFmtId="167" fillId="22" applyFill="true">
      <alignment horizontal="center" vertical="center"/>
    </xf>
    <xf fontId="14934" applyFont="true" borderId="8" applyBorder="true" applyNumberFormat="true" numFmtId="1" fillId="22" applyFill="true">
      <alignment horizontal="center" vertical="center"/>
    </xf>
    <xf fontId="14935" applyFont="true" borderId="8" applyBorder="true" applyNumberFormat="true" numFmtId="1" fillId="22" applyFill="true">
      <alignment horizontal="center" vertical="center"/>
    </xf>
    <xf fontId="14936" applyFont="true" borderId="8" applyBorder="true" applyNumberFormat="true" numFmtId="1" fillId="22" applyFill="true">
      <alignment horizontal="center" vertical="center"/>
    </xf>
    <xf fontId="14937" applyFont="true" borderId="8" applyBorder="true" applyNumberFormat="true" numFmtId="1" fillId="22" applyFill="true">
      <alignment horizontal="center" vertical="center"/>
    </xf>
    <xf fontId="14938" applyFont="true" borderId="8" applyBorder="true" applyNumberFormat="true" numFmtId="167" fillId="22" applyFill="true">
      <alignment horizontal="center" vertical="center"/>
    </xf>
    <xf fontId="14939" applyFont="true" borderId="8" applyBorder="true" applyNumberFormat="true" numFmtId="1" fillId="22" applyFill="true">
      <alignment horizontal="center" vertical="center"/>
    </xf>
    <xf fontId="14940" applyFont="true" borderId="8" applyBorder="true" applyNumberFormat="true" numFmtId="167" fillId="22" applyFill="true">
      <alignment horizontal="center" vertical="center"/>
    </xf>
    <xf fontId="14941" applyFont="true" borderId="8" applyBorder="true" applyNumberFormat="true" numFmtId="1" fillId="22" applyFill="true">
      <alignment horizontal="center" vertical="center"/>
    </xf>
    <xf fontId="14942" applyFont="true" borderId="8" applyBorder="true" applyNumberFormat="true" numFmtId="167" fillId="22" applyFill="true">
      <alignment horizontal="center" vertical="center"/>
    </xf>
    <xf fontId="14943" applyFont="true" borderId="8" applyBorder="true" applyNumberFormat="true" numFmtId="2" fillId="22" applyFill="true">
      <alignment horizontal="center" vertical="center"/>
    </xf>
    <xf fontId="14944" applyFont="true" borderId="8" applyBorder="true" applyNumberFormat="true" numFmtId="2" fillId="22" applyFill="true">
      <alignment horizontal="center" vertical="center"/>
    </xf>
    <xf fontId="14945" applyFont="true" borderId="8" applyBorder="true" applyNumberFormat="true" numFmtId="2" fillId="22" applyFill="true">
      <alignment horizontal="center" vertical="center"/>
    </xf>
    <xf fontId="14946" applyFont="true" borderId="8" applyBorder="true" applyNumberFormat="true" numFmtId="2" fillId="22" applyFill="true">
      <alignment horizontal="center" vertical="center"/>
    </xf>
    <xf fontId="14947" applyFont="true" borderId="8" applyBorder="true" applyNumberFormat="true" numFmtId="2" fillId="22" applyFill="true">
      <alignment horizontal="center" vertical="center"/>
    </xf>
    <xf fontId="14948" applyFont="true" borderId="8" applyBorder="true" applyNumberFormat="true" numFmtId="2" fillId="22" applyFill="true">
      <alignment horizontal="center" vertical="center"/>
    </xf>
    <xf fontId="14949" applyFont="true" borderId="8" applyBorder="true" applyNumberFormat="true" numFmtId="2" fillId="22" applyFill="true">
      <alignment horizontal="center" vertical="center"/>
    </xf>
    <xf fontId="14950" applyFont="true" borderId="8" applyBorder="true" applyNumberFormat="true" numFmtId="2" fillId="22" applyFill="true">
      <alignment horizontal="center" vertical="center"/>
    </xf>
    <xf fontId="14951" applyFont="true" borderId="8" applyBorder="true" applyNumberFormat="true" numFmtId="2" fillId="22" applyFill="true">
      <alignment horizontal="center" vertical="center"/>
    </xf>
    <xf fontId="14952" applyFont="true" borderId="8" applyBorder="true" applyNumberFormat="true" numFmtId="2" fillId="22" applyFill="true">
      <alignment horizontal="center" vertical="center"/>
    </xf>
    <xf fontId="14953" applyFont="true" borderId="8" applyBorder="true" applyNumberFormat="true" numFmtId="2" fillId="22" applyFill="true">
      <alignment horizontal="center" vertical="center"/>
    </xf>
    <xf fontId="14954" applyFont="true" borderId="8" applyBorder="true" applyNumberFormat="true" numFmtId="2" fillId="22" applyFill="true">
      <alignment horizontal="center" vertical="center"/>
    </xf>
    <xf fontId="14955" applyFont="true" borderId="8" applyBorder="true" applyNumberFormat="true" numFmtId="2" fillId="22" applyFill="true">
      <alignment horizontal="center" vertical="center"/>
    </xf>
    <xf fontId="14956" applyFont="true" borderId="8" applyBorder="true" applyNumberFormat="true" numFmtId="2" fillId="22" applyFill="true">
      <alignment horizontal="center" vertical="center"/>
    </xf>
    <xf fontId="14957" applyFont="true" borderId="8" applyBorder="true" applyNumberFormat="true" numFmtId="2" fillId="22" applyFill="true">
      <alignment horizontal="center" vertical="center"/>
    </xf>
    <xf fontId="14958" applyFont="true" borderId="8" applyBorder="true" applyNumberFormat="true" numFmtId="2" fillId="22" applyFill="true">
      <alignment horizontal="center" vertical="center"/>
    </xf>
    <xf fontId="14959" applyFont="true" borderId="8" applyBorder="true" applyNumberFormat="true" numFmtId="2" fillId="22" applyFill="true">
      <alignment horizontal="center" vertical="center"/>
    </xf>
    <xf fontId="14960" applyFont="true" borderId="8" applyBorder="true" applyNumberFormat="true" numFmtId="2" fillId="22" applyFill="true">
      <alignment horizontal="center" vertical="center"/>
    </xf>
    <xf fontId="14961" applyFont="true" borderId="8" applyBorder="true" applyNumberFormat="true" numFmtId="2" fillId="22" applyFill="true">
      <alignment horizontal="center" vertical="center"/>
    </xf>
    <xf fontId="14962" applyFont="true" borderId="8" applyBorder="true" applyNumberFormat="true" numFmtId="2" fillId="22" applyFill="true">
      <alignment horizontal="center" vertical="center"/>
    </xf>
    <xf fontId="14963" applyFont="true" borderId="8" applyBorder="true" applyNumberFormat="true" numFmtId="2" fillId="22" applyFill="true">
      <alignment horizontal="center" vertical="center"/>
    </xf>
    <xf fontId="14964" applyFont="true" borderId="8" applyBorder="true" applyNumberFormat="true" numFmtId="2" fillId="22" applyFill="true">
      <alignment horizontal="center" vertical="center"/>
    </xf>
    <xf fontId="14965" applyFont="true" borderId="8" applyBorder="true" applyNumberFormat="true" numFmtId="2" fillId="22" applyFill="true">
      <alignment horizontal="center" vertical="center"/>
    </xf>
    <xf fontId="14966" applyFont="true" borderId="8" applyBorder="true" applyNumberFormat="true" numFmtId="2" fillId="22" applyFill="true">
      <alignment horizontal="center" vertical="center"/>
    </xf>
    <xf fontId="14967" applyFont="true" borderId="8" applyBorder="true" applyNumberFormat="true" numFmtId="2" fillId="22" applyFill="true">
      <alignment horizontal="center" vertical="center"/>
    </xf>
    <xf fontId="14968" applyFont="true" borderId="8" applyBorder="true" applyNumberFormat="true" numFmtId="2" fillId="22" applyFill="true">
      <alignment horizontal="center" vertical="center"/>
    </xf>
    <xf fontId="14969" applyFont="true" borderId="8" applyBorder="true" applyNumberFormat="true" numFmtId="2" fillId="22" applyFill="true">
      <alignment horizontal="center" vertical="center"/>
    </xf>
    <xf fontId="14970" applyFont="true" borderId="8" applyBorder="true" applyNumberFormat="true" numFmtId="2" fillId="22" applyFill="true">
      <alignment horizontal="center" vertical="center"/>
    </xf>
    <xf fontId="14971" applyFont="true" borderId="8" applyBorder="true" applyNumberFormat="true" numFmtId="2" fillId="22" applyFill="true">
      <alignment horizontal="center" vertical="center"/>
    </xf>
    <xf fontId="14972" applyFont="true" borderId="8" applyBorder="true" applyNumberFormat="true" numFmtId="2" fillId="22" applyFill="true">
      <alignment horizontal="center" vertical="center"/>
    </xf>
    <xf fontId="14973" applyFont="true" borderId="8" applyBorder="true" applyNumberFormat="true" numFmtId="2" fillId="22" applyFill="true">
      <alignment horizontal="center" vertical="center"/>
    </xf>
    <xf fontId="14974" applyFont="true" borderId="8" applyBorder="true" applyNumberFormat="true" numFmtId="2" fillId="22" applyFill="true">
      <alignment horizontal="center" vertical="center"/>
    </xf>
    <xf fontId="14975" applyFont="true" borderId="8" applyBorder="true" applyNumberFormat="true" numFmtId="2" fillId="22" applyFill="true">
      <alignment horizontal="center" vertical="center"/>
    </xf>
    <xf fontId="14976" applyFont="true" borderId="8" applyBorder="true" applyNumberFormat="true" numFmtId="2" fillId="22" applyFill="true">
      <alignment horizontal="center" vertical="center"/>
    </xf>
    <xf fontId="14977" applyFont="true" borderId="8" applyBorder="true" applyNumberFormat="true" numFmtId="165" fillId="19" applyFill="true">
      <alignment horizontal="left" vertical="center"/>
    </xf>
    <xf fontId="14978" applyFont="true" borderId="8" applyBorder="true" applyNumberFormat="true" numFmtId="165" fillId="22" applyFill="true">
      <alignment horizontal="center" vertical="center"/>
    </xf>
    <xf fontId="14979" applyFont="true" borderId="8" applyBorder="true" applyNumberFormat="true" numFmtId="166" fillId="22" applyFill="true">
      <alignment horizontal="center" vertical="center"/>
    </xf>
    <xf fontId="14980" applyFont="true" borderId="8" applyBorder="true" applyNumberFormat="true" numFmtId="1" fillId="22" applyFill="true">
      <alignment horizontal="center" vertical="center"/>
    </xf>
    <xf fontId="14981" applyFont="true" borderId="8" applyBorder="true" applyNumberFormat="true" numFmtId="1" fillId="22" applyFill="true">
      <alignment horizontal="center" vertical="center"/>
    </xf>
    <xf fontId="14982" applyFont="true" borderId="8" applyBorder="true" applyNumberFormat="true" numFmtId="1" fillId="22" applyFill="true">
      <alignment horizontal="center" vertical="center"/>
    </xf>
    <xf fontId="14983" applyFont="true" borderId="8" applyBorder="true" applyNumberFormat="true" numFmtId="1" fillId="22" applyFill="true">
      <alignment horizontal="center" vertical="center"/>
    </xf>
    <xf fontId="14984" applyFont="true" borderId="8" applyBorder="true" applyNumberFormat="true" numFmtId="1" fillId="22" applyFill="true">
      <alignment horizontal="center" vertical="center"/>
    </xf>
    <xf fontId="14985" applyFont="true" borderId="8" applyBorder="true" applyNumberFormat="true" numFmtId="1" fillId="22" applyFill="true">
      <alignment horizontal="center" vertical="center"/>
    </xf>
    <xf fontId="14986" applyFont="true" borderId="8" applyBorder="true" applyNumberFormat="true" numFmtId="1" fillId="22" applyFill="true">
      <alignment horizontal="center" vertical="center"/>
    </xf>
    <xf fontId="14987" applyFont="true" borderId="8" applyBorder="true" applyNumberFormat="true" numFmtId="165" fillId="22" applyFill="true">
      <alignment horizontal="center" vertical="center"/>
    </xf>
    <xf fontId="14988" applyFont="true" borderId="8" applyBorder="true" applyNumberFormat="true" numFmtId="165" fillId="22" applyFill="true">
      <alignment horizontal="center" vertical="center"/>
    </xf>
    <xf fontId="14989" applyFont="true" borderId="8" applyBorder="true" applyNumberFormat="true" numFmtId="1" fillId="22" applyFill="true">
      <alignment horizontal="center" vertical="center"/>
    </xf>
    <xf fontId="14990" applyFont="true" borderId="8" applyBorder="true" applyNumberFormat="true" numFmtId="1" fillId="22" applyFill="true">
      <alignment horizontal="center" vertical="center"/>
    </xf>
    <xf fontId="14991" applyFont="true" borderId="8" applyBorder="true" applyNumberFormat="true" numFmtId="1" fillId="22" applyFill="true">
      <alignment horizontal="center" vertical="center"/>
    </xf>
    <xf fontId="14992" applyFont="true" borderId="8" applyBorder="true" applyNumberFormat="true" numFmtId="167" fillId="22" applyFill="true">
      <alignment horizontal="center" vertical="center"/>
    </xf>
    <xf fontId="14993" applyFont="true" borderId="8" applyBorder="true" applyNumberFormat="true" numFmtId="1" fillId="22" applyFill="true">
      <alignment horizontal="center" vertical="center"/>
    </xf>
    <xf fontId="14994" applyFont="true" borderId="8" applyBorder="true" applyNumberFormat="true" numFmtId="167" fillId="22" applyFill="true">
      <alignment horizontal="center" vertical="center"/>
    </xf>
    <xf fontId="14995" applyFont="true" borderId="8" applyBorder="true" applyNumberFormat="true" numFmtId="1" fillId="22" applyFill="true">
      <alignment horizontal="center" vertical="center"/>
    </xf>
    <xf fontId="14996" applyFont="true" borderId="8" applyBorder="true" applyNumberFormat="true" numFmtId="167" fillId="22" applyFill="true">
      <alignment horizontal="center" vertical="center"/>
    </xf>
    <xf fontId="14997" applyFont="true" borderId="8" applyBorder="true" applyNumberFormat="true" numFmtId="1" fillId="22" applyFill="true">
      <alignment horizontal="center" vertical="center"/>
    </xf>
    <xf fontId="14998" applyFont="true" borderId="8" applyBorder="true" applyNumberFormat="true" numFmtId="167" fillId="22" applyFill="true">
      <alignment horizontal="center" vertical="center"/>
    </xf>
    <xf fontId="14999" applyFont="true" borderId="8" applyBorder="true" applyNumberFormat="true" numFmtId="167" fillId="22" applyFill="true">
      <alignment horizontal="center" vertical="center"/>
    </xf>
    <xf fontId="15000" applyFont="true" borderId="8" applyBorder="true" applyNumberFormat="true" numFmtId="1" fillId="22" applyFill="true">
      <alignment horizontal="center" vertical="center"/>
    </xf>
    <xf fontId="15001" applyFont="true" borderId="8" applyBorder="true" applyNumberFormat="true" numFmtId="1" fillId="22" applyFill="true">
      <alignment horizontal="center" vertical="center"/>
    </xf>
    <xf fontId="15002" applyFont="true" borderId="8" applyBorder="true" applyNumberFormat="true" numFmtId="1" fillId="22" applyFill="true">
      <alignment horizontal="center" vertical="center"/>
    </xf>
    <xf fontId="15003" applyFont="true" borderId="8" applyBorder="true" applyNumberFormat="true" numFmtId="167" fillId="22" applyFill="true">
      <alignment horizontal="center" vertical="center"/>
    </xf>
    <xf fontId="15004" applyFont="true" borderId="8" applyBorder="true" applyNumberFormat="true" numFmtId="166" fillId="22" applyFill="true">
      <alignment horizontal="center" vertical="center"/>
    </xf>
    <xf fontId="15005" applyFont="true" borderId="8" applyBorder="true" applyNumberFormat="true" numFmtId="166" fillId="22" applyFill="true">
      <alignment horizontal="center" vertical="center"/>
    </xf>
    <xf fontId="15006" applyFont="true" borderId="8" applyBorder="true" applyNumberFormat="true" numFmtId="1" fillId="22" applyFill="true">
      <alignment horizontal="center" vertical="center"/>
    </xf>
    <xf fontId="15007" applyFont="true" borderId="8" applyBorder="true" applyNumberFormat="true" numFmtId="1" fillId="22" applyFill="true">
      <alignment horizontal="center" vertical="center"/>
    </xf>
    <xf fontId="15008" applyFont="true" borderId="8" applyBorder="true" applyNumberFormat="true" numFmtId="1" fillId="22" applyFill="true">
      <alignment horizontal="center" vertical="center"/>
    </xf>
    <xf fontId="15009" applyFont="true" borderId="8" applyBorder="true" applyNumberFormat="true" numFmtId="167" fillId="22" applyFill="true">
      <alignment horizontal="center" vertical="center"/>
    </xf>
    <xf fontId="15010" applyFont="true" borderId="8" applyBorder="true" applyNumberFormat="true" numFmtId="1" fillId="22" applyFill="true">
      <alignment horizontal="center" vertical="center"/>
    </xf>
    <xf fontId="15011" applyFont="true" borderId="8" applyBorder="true" applyNumberFormat="true" numFmtId="167" fillId="22" applyFill="true">
      <alignment horizontal="center" vertical="center"/>
    </xf>
    <xf fontId="15012" applyFont="true" borderId="8" applyBorder="true" applyNumberFormat="true" numFmtId="1" fillId="22" applyFill="true">
      <alignment horizontal="center" vertical="center"/>
    </xf>
    <xf fontId="15013" applyFont="true" borderId="8" applyBorder="true" applyNumberFormat="true" numFmtId="1" fillId="22" applyFill="true">
      <alignment horizontal="center" vertical="center"/>
    </xf>
    <xf fontId="15014" applyFont="true" borderId="8" applyBorder="true" applyNumberFormat="true" numFmtId="1" fillId="22" applyFill="true">
      <alignment horizontal="center" vertical="center"/>
    </xf>
    <xf fontId="15015" applyFont="true" borderId="8" applyBorder="true" applyNumberFormat="true" numFmtId="1" fillId="22" applyFill="true">
      <alignment horizontal="center" vertical="center"/>
    </xf>
    <xf fontId="15016" applyFont="true" borderId="8" applyBorder="true" applyNumberFormat="true" numFmtId="167" fillId="22" applyFill="true">
      <alignment horizontal="center" vertical="center"/>
    </xf>
    <xf fontId="15017" applyFont="true" borderId="8" applyBorder="true" applyNumberFormat="true" numFmtId="1" fillId="22" applyFill="true">
      <alignment horizontal="center" vertical="center"/>
    </xf>
    <xf fontId="15018" applyFont="true" borderId="8" applyBorder="true" applyNumberFormat="true" numFmtId="167" fillId="22" applyFill="true">
      <alignment horizontal="center" vertical="center"/>
    </xf>
    <xf fontId="15019" applyFont="true" borderId="8" applyBorder="true" applyNumberFormat="true" numFmtId="1" fillId="22" applyFill="true">
      <alignment horizontal="center" vertical="center"/>
    </xf>
    <xf fontId="15020" applyFont="true" borderId="8" applyBorder="true" applyNumberFormat="true" numFmtId="167" fillId="22" applyFill="true">
      <alignment horizontal="center" vertical="center"/>
    </xf>
    <xf fontId="15021" applyFont="true" borderId="8" applyBorder="true" applyNumberFormat="true" numFmtId="2" fillId="22" applyFill="true">
      <alignment horizontal="center" vertical="center"/>
    </xf>
    <xf fontId="15022" applyFont="true" borderId="8" applyBorder="true" applyNumberFormat="true" numFmtId="2" fillId="22" applyFill="true">
      <alignment horizontal="center" vertical="center"/>
    </xf>
    <xf fontId="15023" applyFont="true" borderId="8" applyBorder="true" applyNumberFormat="true" numFmtId="2" fillId="22" applyFill="true">
      <alignment horizontal="center" vertical="center"/>
    </xf>
    <xf fontId="15024" applyFont="true" borderId="8" applyBorder="true" applyNumberFormat="true" numFmtId="2" fillId="22" applyFill="true">
      <alignment horizontal="center" vertical="center"/>
    </xf>
    <xf fontId="15025" applyFont="true" borderId="8" applyBorder="true" applyNumberFormat="true" numFmtId="2" fillId="22" applyFill="true">
      <alignment horizontal="center" vertical="center"/>
    </xf>
    <xf fontId="15026" applyFont="true" borderId="8" applyBorder="true" applyNumberFormat="true" numFmtId="2" fillId="22" applyFill="true">
      <alignment horizontal="center" vertical="center"/>
    </xf>
    <xf fontId="15027" applyFont="true" borderId="8" applyBorder="true" applyNumberFormat="true" numFmtId="2" fillId="22" applyFill="true">
      <alignment horizontal="center" vertical="center"/>
    </xf>
    <xf fontId="15028" applyFont="true" borderId="8" applyBorder="true" applyNumberFormat="true" numFmtId="2" fillId="22" applyFill="true">
      <alignment horizontal="center" vertical="center"/>
    </xf>
    <xf fontId="15029" applyFont="true" borderId="8" applyBorder="true" applyNumberFormat="true" numFmtId="2" fillId="22" applyFill="true">
      <alignment horizontal="center" vertical="center"/>
    </xf>
    <xf fontId="15030" applyFont="true" borderId="8" applyBorder="true" applyNumberFormat="true" numFmtId="2" fillId="22" applyFill="true">
      <alignment horizontal="center" vertical="center"/>
    </xf>
    <xf fontId="15031" applyFont="true" borderId="8" applyBorder="true" applyNumberFormat="true" numFmtId="2" fillId="22" applyFill="true">
      <alignment horizontal="center" vertical="center"/>
    </xf>
    <xf fontId="15032" applyFont="true" borderId="8" applyBorder="true" applyNumberFormat="true" numFmtId="2" fillId="22" applyFill="true">
      <alignment horizontal="center" vertical="center"/>
    </xf>
    <xf fontId="15033" applyFont="true" borderId="8" applyBorder="true" applyNumberFormat="true" numFmtId="2" fillId="22" applyFill="true">
      <alignment horizontal="center" vertical="center"/>
    </xf>
    <xf fontId="15034" applyFont="true" borderId="8" applyBorder="true" applyNumberFormat="true" numFmtId="2" fillId="22" applyFill="true">
      <alignment horizontal="center" vertical="center"/>
    </xf>
    <xf fontId="15035" applyFont="true" borderId="8" applyBorder="true" applyNumberFormat="true" numFmtId="2" fillId="22" applyFill="true">
      <alignment horizontal="center" vertical="center"/>
    </xf>
    <xf fontId="15036" applyFont="true" borderId="8" applyBorder="true" applyNumberFormat="true" numFmtId="2" fillId="22" applyFill="true">
      <alignment horizontal="center" vertical="center"/>
    </xf>
    <xf fontId="15037" applyFont="true" borderId="8" applyBorder="true" applyNumberFormat="true" numFmtId="2" fillId="22" applyFill="true">
      <alignment horizontal="center" vertical="center"/>
    </xf>
    <xf fontId="15038" applyFont="true" borderId="8" applyBorder="true" applyNumberFormat="true" numFmtId="2" fillId="22" applyFill="true">
      <alignment horizontal="center" vertical="center"/>
    </xf>
    <xf fontId="15039" applyFont="true" borderId="8" applyBorder="true" applyNumberFormat="true" numFmtId="2" fillId="22" applyFill="true">
      <alignment horizontal="center" vertical="center"/>
    </xf>
    <xf fontId="15040" applyFont="true" borderId="8" applyBorder="true" applyNumberFormat="true" numFmtId="2" fillId="22" applyFill="true">
      <alignment horizontal="center" vertical="center"/>
    </xf>
    <xf fontId="15041" applyFont="true" borderId="8" applyBorder="true" applyNumberFormat="true" numFmtId="2" fillId="22" applyFill="true">
      <alignment horizontal="center" vertical="center"/>
    </xf>
    <xf fontId="15042" applyFont="true" borderId="8" applyBorder="true" applyNumberFormat="true" numFmtId="2" fillId="22" applyFill="true">
      <alignment horizontal="center" vertical="center"/>
    </xf>
    <xf fontId="15043" applyFont="true" borderId="8" applyBorder="true" applyNumberFormat="true" numFmtId="2" fillId="22" applyFill="true">
      <alignment horizontal="center" vertical="center"/>
    </xf>
    <xf fontId="15044" applyFont="true" borderId="8" applyBorder="true" applyNumberFormat="true" numFmtId="2" fillId="22" applyFill="true">
      <alignment horizontal="center" vertical="center"/>
    </xf>
    <xf fontId="15045" applyFont="true" borderId="8" applyBorder="true" applyNumberFormat="true" numFmtId="2" fillId="22" applyFill="true">
      <alignment horizontal="center" vertical="center"/>
    </xf>
    <xf fontId="15046" applyFont="true" borderId="8" applyBorder="true" applyNumberFormat="true" numFmtId="2" fillId="22" applyFill="true">
      <alignment horizontal="center" vertical="center"/>
    </xf>
    <xf fontId="15047" applyFont="true" borderId="8" applyBorder="true" applyNumberFormat="true" numFmtId="2" fillId="22" applyFill="true">
      <alignment horizontal="center" vertical="center"/>
    </xf>
    <xf fontId="15048" applyFont="true" borderId="8" applyBorder="true" applyNumberFormat="true" numFmtId="2" fillId="22" applyFill="true">
      <alignment horizontal="center" vertical="center"/>
    </xf>
    <xf fontId="15049" applyFont="true" borderId="8" applyBorder="true" applyNumberFormat="true" numFmtId="2" fillId="22" applyFill="true">
      <alignment horizontal="center" vertical="center"/>
    </xf>
    <xf fontId="15050" applyFont="true" borderId="8" applyBorder="true" applyNumberFormat="true" numFmtId="2" fillId="22" applyFill="true">
      <alignment horizontal="center" vertical="center"/>
    </xf>
    <xf fontId="15051" applyFont="true" borderId="8" applyBorder="true" applyNumberFormat="true" numFmtId="2" fillId="22" applyFill="true">
      <alignment horizontal="center" vertical="center"/>
    </xf>
    <xf fontId="15052" applyFont="true" borderId="8" applyBorder="true" applyNumberFormat="true" numFmtId="2" fillId="22" applyFill="true">
      <alignment horizontal="center" vertical="center"/>
    </xf>
    <xf fontId="15053" applyFont="true" borderId="8" applyBorder="true" applyNumberFormat="true" numFmtId="2" fillId="22" applyFill="true">
      <alignment horizontal="center" vertical="center"/>
    </xf>
    <xf fontId="15054" applyFont="true" borderId="8" applyBorder="true" applyNumberFormat="true" numFmtId="2" fillId="22" applyFill="true">
      <alignment horizontal="center" vertical="center"/>
    </xf>
    <xf fontId="15055" applyFont="true" borderId="8" applyBorder="true" applyNumberFormat="true" numFmtId="165" fillId="19" applyFill="true">
      <alignment horizontal="left" vertical="center"/>
    </xf>
    <xf fontId="15056" applyFont="true" borderId="8" applyBorder="true" applyNumberFormat="true" numFmtId="165" fillId="22" applyFill="true">
      <alignment horizontal="center" vertical="center"/>
    </xf>
    <xf fontId="15057" applyFont="true" borderId="8" applyBorder="true" applyNumberFormat="true" numFmtId="166" fillId="22" applyFill="true">
      <alignment horizontal="center" vertical="center"/>
    </xf>
    <xf fontId="15058" applyFont="true" borderId="8" applyBorder="true" applyNumberFormat="true" numFmtId="1" fillId="22" applyFill="true">
      <alignment horizontal="center" vertical="center"/>
    </xf>
    <xf fontId="15059" applyFont="true" borderId="8" applyBorder="true" applyNumberFormat="true" numFmtId="1" fillId="22" applyFill="true">
      <alignment horizontal="center" vertical="center"/>
    </xf>
    <xf fontId="15060" applyFont="true" borderId="8" applyBorder="true" applyNumberFormat="true" numFmtId="1" fillId="22" applyFill="true">
      <alignment horizontal="center" vertical="center"/>
    </xf>
    <xf fontId="15061" applyFont="true" borderId="8" applyBorder="true" applyNumberFormat="true" numFmtId="1" fillId="22" applyFill="true">
      <alignment horizontal="center" vertical="center"/>
    </xf>
    <xf fontId="15062" applyFont="true" borderId="8" applyBorder="true" applyNumberFormat="true" numFmtId="1" fillId="22" applyFill="true">
      <alignment horizontal="center" vertical="center"/>
    </xf>
    <xf fontId="15063" applyFont="true" borderId="8" applyBorder="true" applyNumberFormat="true" numFmtId="1" fillId="22" applyFill="true">
      <alignment horizontal="center" vertical="center"/>
    </xf>
    <xf fontId="15064" applyFont="true" borderId="8" applyBorder="true" applyNumberFormat="true" numFmtId="1" fillId="22" applyFill="true">
      <alignment horizontal="center" vertical="center"/>
    </xf>
    <xf fontId="15065" applyFont="true" borderId="8" applyBorder="true" applyNumberFormat="true" numFmtId="165" fillId="22" applyFill="true">
      <alignment horizontal="center" vertical="center"/>
    </xf>
    <xf fontId="15066" applyFont="true" borderId="8" applyBorder="true" applyNumberFormat="true" numFmtId="165" fillId="22" applyFill="true">
      <alignment horizontal="center" vertical="center"/>
    </xf>
    <xf fontId="15067" applyFont="true" borderId="8" applyBorder="true" applyNumberFormat="true" numFmtId="1" fillId="22" applyFill="true">
      <alignment horizontal="center" vertical="center"/>
    </xf>
    <xf fontId="15068" applyFont="true" borderId="8" applyBorder="true" applyNumberFormat="true" numFmtId="1" fillId="22" applyFill="true">
      <alignment horizontal="center" vertical="center"/>
    </xf>
    <xf fontId="15069" applyFont="true" borderId="8" applyBorder="true" applyNumberFormat="true" numFmtId="1" fillId="22" applyFill="true">
      <alignment horizontal="center" vertical="center"/>
    </xf>
    <xf fontId="15070" applyFont="true" borderId="8" applyBorder="true" applyNumberFormat="true" numFmtId="167" fillId="22" applyFill="true">
      <alignment horizontal="center" vertical="center"/>
    </xf>
    <xf fontId="15071" applyFont="true" borderId="8" applyBorder="true" applyNumberFormat="true" numFmtId="1" fillId="22" applyFill="true">
      <alignment horizontal="center" vertical="center"/>
    </xf>
    <xf fontId="15072" applyFont="true" borderId="8" applyBorder="true" applyNumberFormat="true" numFmtId="167" fillId="22" applyFill="true">
      <alignment horizontal="center" vertical="center"/>
    </xf>
    <xf fontId="15073" applyFont="true" borderId="8" applyBorder="true" applyNumberFormat="true" numFmtId="1" fillId="22" applyFill="true">
      <alignment horizontal="center" vertical="center"/>
    </xf>
    <xf fontId="15074" applyFont="true" borderId="8" applyBorder="true" applyNumberFormat="true" numFmtId="167" fillId="22" applyFill="true">
      <alignment horizontal="center" vertical="center"/>
    </xf>
    <xf fontId="15075" applyFont="true" borderId="8" applyBorder="true" applyNumberFormat="true" numFmtId="1" fillId="22" applyFill="true">
      <alignment horizontal="center" vertical="center"/>
    </xf>
    <xf fontId="15076" applyFont="true" borderId="8" applyBorder="true" applyNumberFormat="true" numFmtId="167" fillId="22" applyFill="true">
      <alignment horizontal="center" vertical="center"/>
    </xf>
    <xf fontId="15077" applyFont="true" borderId="8" applyBorder="true" applyNumberFormat="true" numFmtId="167" fillId="22" applyFill="true">
      <alignment horizontal="center" vertical="center"/>
    </xf>
    <xf fontId="15078" applyFont="true" borderId="8" applyBorder="true" applyNumberFormat="true" numFmtId="1" fillId="22" applyFill="true">
      <alignment horizontal="center" vertical="center"/>
    </xf>
    <xf fontId="15079" applyFont="true" borderId="8" applyBorder="true" applyNumberFormat="true" numFmtId="1" fillId="22" applyFill="true">
      <alignment horizontal="center" vertical="center"/>
    </xf>
    <xf fontId="15080" applyFont="true" borderId="8" applyBorder="true" applyNumberFormat="true" numFmtId="1" fillId="22" applyFill="true">
      <alignment horizontal="center" vertical="center"/>
    </xf>
    <xf fontId="15081" applyFont="true" borderId="8" applyBorder="true" applyNumberFormat="true" numFmtId="167" fillId="22" applyFill="true">
      <alignment horizontal="center" vertical="center"/>
    </xf>
    <xf fontId="15082" applyFont="true" borderId="8" applyBorder="true" applyNumberFormat="true" numFmtId="166" fillId="22" applyFill="true">
      <alignment horizontal="center" vertical="center"/>
    </xf>
    <xf fontId="15083" applyFont="true" borderId="8" applyBorder="true" applyNumberFormat="true" numFmtId="166" fillId="22" applyFill="true">
      <alignment horizontal="center" vertical="center"/>
    </xf>
    <xf fontId="15084" applyFont="true" borderId="8" applyBorder="true" applyNumberFormat="true" numFmtId="1" fillId="22" applyFill="true">
      <alignment horizontal="center" vertical="center"/>
    </xf>
    <xf fontId="15085" applyFont="true" borderId="8" applyBorder="true" applyNumberFormat="true" numFmtId="1" fillId="22" applyFill="true">
      <alignment horizontal="center" vertical="center"/>
    </xf>
    <xf fontId="15086" applyFont="true" borderId="8" applyBorder="true" applyNumberFormat="true" numFmtId="1" fillId="22" applyFill="true">
      <alignment horizontal="center" vertical="center"/>
    </xf>
    <xf fontId="15087" applyFont="true" borderId="8" applyBorder="true" applyNumberFormat="true" numFmtId="167" fillId="22" applyFill="true">
      <alignment horizontal="center" vertical="center"/>
    </xf>
    <xf fontId="15088" applyFont="true" borderId="8" applyBorder="true" applyNumberFormat="true" numFmtId="1" fillId="22" applyFill="true">
      <alignment horizontal="center" vertical="center"/>
    </xf>
    <xf fontId="15089" applyFont="true" borderId="8" applyBorder="true" applyNumberFormat="true" numFmtId="167" fillId="22" applyFill="true">
      <alignment horizontal="center" vertical="center"/>
    </xf>
    <xf fontId="15090" applyFont="true" borderId="8" applyBorder="true" applyNumberFormat="true" numFmtId="1" fillId="22" applyFill="true">
      <alignment horizontal="center" vertical="center"/>
    </xf>
    <xf fontId="15091" applyFont="true" borderId="8" applyBorder="true" applyNumberFormat="true" numFmtId="1" fillId="22" applyFill="true">
      <alignment horizontal="center" vertical="center"/>
    </xf>
    <xf fontId="15092" applyFont="true" borderId="8" applyBorder="true" applyNumberFormat="true" numFmtId="1" fillId="22" applyFill="true">
      <alignment horizontal="center" vertical="center"/>
    </xf>
    <xf fontId="15093" applyFont="true" borderId="8" applyBorder="true" applyNumberFormat="true" numFmtId="1" fillId="22" applyFill="true">
      <alignment horizontal="center" vertical="center"/>
    </xf>
    <xf fontId="15094" applyFont="true" borderId="8" applyBorder="true" applyNumberFormat="true" numFmtId="167" fillId="22" applyFill="true">
      <alignment horizontal="center" vertical="center"/>
    </xf>
    <xf fontId="15095" applyFont="true" borderId="8" applyBorder="true" applyNumberFormat="true" numFmtId="1" fillId="22" applyFill="true">
      <alignment horizontal="center" vertical="center"/>
    </xf>
    <xf fontId="15096" applyFont="true" borderId="8" applyBorder="true" applyNumberFormat="true" numFmtId="167" fillId="22" applyFill="true">
      <alignment horizontal="center" vertical="center"/>
    </xf>
    <xf fontId="15097" applyFont="true" borderId="8" applyBorder="true" applyNumberFormat="true" numFmtId="1" fillId="22" applyFill="true">
      <alignment horizontal="center" vertical="center"/>
    </xf>
    <xf fontId="15098" applyFont="true" borderId="8" applyBorder="true" applyNumberFormat="true" numFmtId="167" fillId="22" applyFill="true">
      <alignment horizontal="center" vertical="center"/>
    </xf>
    <xf fontId="15099" applyFont="true" borderId="8" applyBorder="true" applyNumberFormat="true" numFmtId="2" fillId="22" applyFill="true">
      <alignment horizontal="center" vertical="center"/>
    </xf>
    <xf fontId="15100" applyFont="true" borderId="8" applyBorder="true" applyNumberFormat="true" numFmtId="2" fillId="22" applyFill="true">
      <alignment horizontal="center" vertical="center"/>
    </xf>
    <xf fontId="15101" applyFont="true" borderId="8" applyBorder="true" applyNumberFormat="true" numFmtId="2" fillId="22" applyFill="true">
      <alignment horizontal="center" vertical="center"/>
    </xf>
    <xf fontId="15102" applyFont="true" borderId="8" applyBorder="true" applyNumberFormat="true" numFmtId="2" fillId="22" applyFill="true">
      <alignment horizontal="center" vertical="center"/>
    </xf>
    <xf fontId="15103" applyFont="true" borderId="8" applyBorder="true" applyNumberFormat="true" numFmtId="2" fillId="22" applyFill="true">
      <alignment horizontal="center" vertical="center"/>
    </xf>
    <xf fontId="15104" applyFont="true" borderId="8" applyBorder="true" applyNumberFormat="true" numFmtId="2" fillId="22" applyFill="true">
      <alignment horizontal="center" vertical="center"/>
    </xf>
    <xf fontId="15105" applyFont="true" borderId="8" applyBorder="true" applyNumberFormat="true" numFmtId="2" fillId="22" applyFill="true">
      <alignment horizontal="center" vertical="center"/>
    </xf>
    <xf fontId="15106" applyFont="true" borderId="8" applyBorder="true" applyNumberFormat="true" numFmtId="2" fillId="22" applyFill="true">
      <alignment horizontal="center" vertical="center"/>
    </xf>
    <xf fontId="15107" applyFont="true" borderId="8" applyBorder="true" applyNumberFormat="true" numFmtId="2" fillId="22" applyFill="true">
      <alignment horizontal="center" vertical="center"/>
    </xf>
    <xf fontId="15108" applyFont="true" borderId="8" applyBorder="true" applyNumberFormat="true" numFmtId="2" fillId="22" applyFill="true">
      <alignment horizontal="center" vertical="center"/>
    </xf>
    <xf fontId="15109" applyFont="true" borderId="8" applyBorder="true" applyNumberFormat="true" numFmtId="2" fillId="22" applyFill="true">
      <alignment horizontal="center" vertical="center"/>
    </xf>
    <xf fontId="15110" applyFont="true" borderId="8" applyBorder="true" applyNumberFormat="true" numFmtId="2" fillId="22" applyFill="true">
      <alignment horizontal="center" vertical="center"/>
    </xf>
    <xf fontId="15111" applyFont="true" borderId="8" applyBorder="true" applyNumberFormat="true" numFmtId="2" fillId="22" applyFill="true">
      <alignment horizontal="center" vertical="center"/>
    </xf>
    <xf fontId="15112" applyFont="true" borderId="8" applyBorder="true" applyNumberFormat="true" numFmtId="2" fillId="22" applyFill="true">
      <alignment horizontal="center" vertical="center"/>
    </xf>
    <xf fontId="15113" applyFont="true" borderId="8" applyBorder="true" applyNumberFormat="true" numFmtId="2" fillId="22" applyFill="true">
      <alignment horizontal="center" vertical="center"/>
    </xf>
    <xf fontId="15114" applyFont="true" borderId="8" applyBorder="true" applyNumberFormat="true" numFmtId="2" fillId="22" applyFill="true">
      <alignment horizontal="center" vertical="center"/>
    </xf>
    <xf fontId="15115" applyFont="true" borderId="8" applyBorder="true" applyNumberFormat="true" numFmtId="2" fillId="22" applyFill="true">
      <alignment horizontal="center" vertical="center"/>
    </xf>
    <xf fontId="15116" applyFont="true" borderId="8" applyBorder="true" applyNumberFormat="true" numFmtId="2" fillId="22" applyFill="true">
      <alignment horizontal="center" vertical="center"/>
    </xf>
    <xf fontId="15117" applyFont="true" borderId="8" applyBorder="true" applyNumberFormat="true" numFmtId="2" fillId="22" applyFill="true">
      <alignment horizontal="center" vertical="center"/>
    </xf>
    <xf fontId="15118" applyFont="true" borderId="8" applyBorder="true" applyNumberFormat="true" numFmtId="2" fillId="22" applyFill="true">
      <alignment horizontal="center" vertical="center"/>
    </xf>
    <xf fontId="15119" applyFont="true" borderId="8" applyBorder="true" applyNumberFormat="true" numFmtId="2" fillId="22" applyFill="true">
      <alignment horizontal="center" vertical="center"/>
    </xf>
    <xf fontId="15120" applyFont="true" borderId="8" applyBorder="true" applyNumberFormat="true" numFmtId="2" fillId="22" applyFill="true">
      <alignment horizontal="center" vertical="center"/>
    </xf>
    <xf fontId="15121" applyFont="true" borderId="8" applyBorder="true" applyNumberFormat="true" numFmtId="2" fillId="22" applyFill="true">
      <alignment horizontal="center" vertical="center"/>
    </xf>
    <xf fontId="15122" applyFont="true" borderId="8" applyBorder="true" applyNumberFormat="true" numFmtId="2" fillId="22" applyFill="true">
      <alignment horizontal="center" vertical="center"/>
    </xf>
    <xf fontId="15123" applyFont="true" borderId="8" applyBorder="true" applyNumberFormat="true" numFmtId="2" fillId="22" applyFill="true">
      <alignment horizontal="center" vertical="center"/>
    </xf>
    <xf fontId="15124" applyFont="true" borderId="8" applyBorder="true" applyNumberFormat="true" numFmtId="2" fillId="22" applyFill="true">
      <alignment horizontal="center" vertical="center"/>
    </xf>
    <xf fontId="15125" applyFont="true" borderId="8" applyBorder="true" applyNumberFormat="true" numFmtId="2" fillId="22" applyFill="true">
      <alignment horizontal="center" vertical="center"/>
    </xf>
    <xf fontId="15126" applyFont="true" borderId="8" applyBorder="true" applyNumberFormat="true" numFmtId="2" fillId="22" applyFill="true">
      <alignment horizontal="center" vertical="center"/>
    </xf>
    <xf fontId="15127" applyFont="true" borderId="8" applyBorder="true" applyNumberFormat="true" numFmtId="2" fillId="22" applyFill="true">
      <alignment horizontal="center" vertical="center"/>
    </xf>
    <xf fontId="15128" applyFont="true" borderId="8" applyBorder="true" applyNumberFormat="true" numFmtId="2" fillId="22" applyFill="true">
      <alignment horizontal="center" vertical="center"/>
    </xf>
    <xf fontId="15129" applyFont="true" borderId="8" applyBorder="true" applyNumberFormat="true" numFmtId="2" fillId="22" applyFill="true">
      <alignment horizontal="center" vertical="center"/>
    </xf>
    <xf fontId="15130" applyFont="true" borderId="8" applyBorder="true" applyNumberFormat="true" numFmtId="2" fillId="22" applyFill="true">
      <alignment horizontal="center" vertical="center"/>
    </xf>
    <xf fontId="15131" applyFont="true" borderId="8" applyBorder="true" applyNumberFormat="true" numFmtId="2" fillId="22" applyFill="true">
      <alignment horizontal="center" vertical="center"/>
    </xf>
    <xf fontId="15132" applyFont="true" borderId="8" applyBorder="true" applyNumberFormat="true" numFmtId="2" fillId="22" applyFill="true">
      <alignment horizontal="center" vertical="center"/>
    </xf>
    <xf fontId="15133" applyFont="true" borderId="8" applyBorder="true" applyNumberFormat="true" numFmtId="165" fillId="19" applyFill="true">
      <alignment horizontal="left" vertical="center"/>
    </xf>
    <xf fontId="15134" applyFont="true" borderId="8" applyBorder="true" applyNumberFormat="true" numFmtId="165" fillId="22" applyFill="true">
      <alignment horizontal="center" vertical="center"/>
    </xf>
    <xf fontId="15135" applyFont="true" borderId="8" applyBorder="true" applyNumberFormat="true" numFmtId="166" fillId="22" applyFill="true">
      <alignment horizontal="center" vertical="center"/>
    </xf>
    <xf fontId="15136" applyFont="true" borderId="8" applyBorder="true" applyNumberFormat="true" numFmtId="1" fillId="22" applyFill="true">
      <alignment horizontal="center" vertical="center"/>
    </xf>
    <xf fontId="15137" applyFont="true" borderId="8" applyBorder="true" applyNumberFormat="true" numFmtId="1" fillId="22" applyFill="true">
      <alignment horizontal="center" vertical="center"/>
    </xf>
    <xf fontId="15138" applyFont="true" borderId="8" applyBorder="true" applyNumberFormat="true" numFmtId="1" fillId="22" applyFill="true">
      <alignment horizontal="center" vertical="center"/>
    </xf>
    <xf fontId="15139" applyFont="true" borderId="8" applyBorder="true" applyNumberFormat="true" numFmtId="1" fillId="22" applyFill="true">
      <alignment horizontal="center" vertical="center"/>
    </xf>
    <xf fontId="15140" applyFont="true" borderId="8" applyBorder="true" applyNumberFormat="true" numFmtId="1" fillId="22" applyFill="true">
      <alignment horizontal="center" vertical="center"/>
    </xf>
    <xf fontId="15141" applyFont="true" borderId="8" applyBorder="true" applyNumberFormat="true" numFmtId="1" fillId="22" applyFill="true">
      <alignment horizontal="center" vertical="center"/>
    </xf>
    <xf fontId="15142" applyFont="true" borderId="8" applyBorder="true" applyNumberFormat="true" numFmtId="1" fillId="22" applyFill="true">
      <alignment horizontal="center" vertical="center"/>
    </xf>
    <xf fontId="15143" applyFont="true" borderId="8" applyBorder="true" applyNumberFormat="true" numFmtId="165" fillId="22" applyFill="true">
      <alignment horizontal="center" vertical="center"/>
    </xf>
    <xf fontId="15144" applyFont="true" borderId="8" applyBorder="true" applyNumberFormat="true" numFmtId="165" fillId="22" applyFill="true">
      <alignment horizontal="center" vertical="center"/>
    </xf>
    <xf fontId="15145" applyFont="true" borderId="8" applyBorder="true" applyNumberFormat="true" numFmtId="1" fillId="22" applyFill="true">
      <alignment horizontal="center" vertical="center"/>
    </xf>
    <xf fontId="15146" applyFont="true" borderId="8" applyBorder="true" applyNumberFormat="true" numFmtId="1" fillId="22" applyFill="true">
      <alignment horizontal="center" vertical="center"/>
    </xf>
    <xf fontId="15147" applyFont="true" borderId="8" applyBorder="true" applyNumberFormat="true" numFmtId="1" fillId="22" applyFill="true">
      <alignment horizontal="center" vertical="center"/>
    </xf>
    <xf fontId="15148" applyFont="true" borderId="8" applyBorder="true" applyNumberFormat="true" numFmtId="167" fillId="22" applyFill="true">
      <alignment horizontal="center" vertical="center"/>
    </xf>
    <xf fontId="15149" applyFont="true" borderId="8" applyBorder="true" applyNumberFormat="true" numFmtId="1" fillId="22" applyFill="true">
      <alignment horizontal="center" vertical="center"/>
    </xf>
    <xf fontId="15150" applyFont="true" borderId="8" applyBorder="true" applyNumberFormat="true" numFmtId="167" fillId="22" applyFill="true">
      <alignment horizontal="center" vertical="center"/>
    </xf>
    <xf fontId="15151" applyFont="true" borderId="8" applyBorder="true" applyNumberFormat="true" numFmtId="1" fillId="22" applyFill="true">
      <alignment horizontal="center" vertical="center"/>
    </xf>
    <xf fontId="15152" applyFont="true" borderId="8" applyBorder="true" applyNumberFormat="true" numFmtId="167" fillId="22" applyFill="true">
      <alignment horizontal="center" vertical="center"/>
    </xf>
    <xf fontId="15153" applyFont="true" borderId="8" applyBorder="true" applyNumberFormat="true" numFmtId="1" fillId="22" applyFill="true">
      <alignment horizontal="center" vertical="center"/>
    </xf>
    <xf fontId="15154" applyFont="true" borderId="8" applyBorder="true" applyNumberFormat="true" numFmtId="167" fillId="22" applyFill="true">
      <alignment horizontal="center" vertical="center"/>
    </xf>
    <xf fontId="15155" applyFont="true" borderId="8" applyBorder="true" applyNumberFormat="true" numFmtId="167" fillId="22" applyFill="true">
      <alignment horizontal="center" vertical="center"/>
    </xf>
    <xf fontId="15156" applyFont="true" borderId="8" applyBorder="true" applyNumberFormat="true" numFmtId="1" fillId="22" applyFill="true">
      <alignment horizontal="center" vertical="center"/>
    </xf>
    <xf fontId="15157" applyFont="true" borderId="8" applyBorder="true" applyNumberFormat="true" numFmtId="1" fillId="22" applyFill="true">
      <alignment horizontal="center" vertical="center"/>
    </xf>
    <xf fontId="15158" applyFont="true" borderId="8" applyBorder="true" applyNumberFormat="true" numFmtId="1" fillId="22" applyFill="true">
      <alignment horizontal="center" vertical="center"/>
    </xf>
    <xf fontId="15159" applyFont="true" borderId="8" applyBorder="true" applyNumberFormat="true" numFmtId="167" fillId="22" applyFill="true">
      <alignment horizontal="center" vertical="center"/>
    </xf>
    <xf fontId="15160" applyFont="true" borderId="8" applyBorder="true" applyNumberFormat="true" numFmtId="166" fillId="22" applyFill="true">
      <alignment horizontal="center" vertical="center"/>
    </xf>
    <xf fontId="15161" applyFont="true" borderId="8" applyBorder="true" applyNumberFormat="true" numFmtId="166" fillId="22" applyFill="true">
      <alignment horizontal="center" vertical="center"/>
    </xf>
    <xf fontId="15162" applyFont="true" borderId="8" applyBorder="true" applyNumberFormat="true" numFmtId="1" fillId="22" applyFill="true">
      <alignment horizontal="center" vertical="center"/>
    </xf>
    <xf fontId="15163" applyFont="true" borderId="8" applyBorder="true" applyNumberFormat="true" numFmtId="1" fillId="22" applyFill="true">
      <alignment horizontal="center" vertical="center"/>
    </xf>
    <xf fontId="15164" applyFont="true" borderId="8" applyBorder="true" applyNumberFormat="true" numFmtId="1" fillId="22" applyFill="true">
      <alignment horizontal="center" vertical="center"/>
    </xf>
    <xf fontId="15165" applyFont="true" borderId="8" applyBorder="true" applyNumberFormat="true" numFmtId="167" fillId="22" applyFill="true">
      <alignment horizontal="center" vertical="center"/>
    </xf>
    <xf fontId="15166" applyFont="true" borderId="8" applyBorder="true" applyNumberFormat="true" numFmtId="1" fillId="22" applyFill="true">
      <alignment horizontal="center" vertical="center"/>
    </xf>
    <xf fontId="15167" applyFont="true" borderId="8" applyBorder="true" applyNumberFormat="true" numFmtId="167" fillId="22" applyFill="true">
      <alignment horizontal="center" vertical="center"/>
    </xf>
    <xf fontId="15168" applyFont="true" borderId="8" applyBorder="true" applyNumberFormat="true" numFmtId="1" fillId="22" applyFill="true">
      <alignment horizontal="center" vertical="center"/>
    </xf>
    <xf fontId="15169" applyFont="true" borderId="8" applyBorder="true" applyNumberFormat="true" numFmtId="1" fillId="22" applyFill="true">
      <alignment horizontal="center" vertical="center"/>
    </xf>
    <xf fontId="15170" applyFont="true" borderId="8" applyBorder="true" applyNumberFormat="true" numFmtId="1" fillId="22" applyFill="true">
      <alignment horizontal="center" vertical="center"/>
    </xf>
    <xf fontId="15171" applyFont="true" borderId="8" applyBorder="true" applyNumberFormat="true" numFmtId="1" fillId="22" applyFill="true">
      <alignment horizontal="center" vertical="center"/>
    </xf>
    <xf fontId="15172" applyFont="true" borderId="8" applyBorder="true" applyNumberFormat="true" numFmtId="167" fillId="22" applyFill="true">
      <alignment horizontal="center" vertical="center"/>
    </xf>
    <xf fontId="15173" applyFont="true" borderId="8" applyBorder="true" applyNumberFormat="true" numFmtId="1" fillId="22" applyFill="true">
      <alignment horizontal="center" vertical="center"/>
    </xf>
    <xf fontId="15174" applyFont="true" borderId="8" applyBorder="true" applyNumberFormat="true" numFmtId="167" fillId="22" applyFill="true">
      <alignment horizontal="center" vertical="center"/>
    </xf>
    <xf fontId="15175" applyFont="true" borderId="8" applyBorder="true" applyNumberFormat="true" numFmtId="1" fillId="22" applyFill="true">
      <alignment horizontal="center" vertical="center"/>
    </xf>
    <xf fontId="15176" applyFont="true" borderId="8" applyBorder="true" applyNumberFormat="true" numFmtId="167" fillId="22" applyFill="true">
      <alignment horizontal="center" vertical="center"/>
    </xf>
    <xf fontId="15177" applyFont="true" borderId="8" applyBorder="true" applyNumberFormat="true" numFmtId="2" fillId="22" applyFill="true">
      <alignment horizontal="center" vertical="center"/>
    </xf>
    <xf fontId="15178" applyFont="true" borderId="8" applyBorder="true" applyNumberFormat="true" numFmtId="2" fillId="22" applyFill="true">
      <alignment horizontal="center" vertical="center"/>
    </xf>
    <xf fontId="15179" applyFont="true" borderId="8" applyBorder="true" applyNumberFormat="true" numFmtId="2" fillId="22" applyFill="true">
      <alignment horizontal="center" vertical="center"/>
    </xf>
    <xf fontId="15180" applyFont="true" borderId="8" applyBorder="true" applyNumberFormat="true" numFmtId="2" fillId="22" applyFill="true">
      <alignment horizontal="center" vertical="center"/>
    </xf>
    <xf fontId="15181" applyFont="true" borderId="8" applyBorder="true" applyNumberFormat="true" numFmtId="2" fillId="22" applyFill="true">
      <alignment horizontal="center" vertical="center"/>
    </xf>
    <xf fontId="15182" applyFont="true" borderId="8" applyBorder="true" applyNumberFormat="true" numFmtId="2" fillId="22" applyFill="true">
      <alignment horizontal="center" vertical="center"/>
    </xf>
    <xf fontId="15183" applyFont="true" borderId="8" applyBorder="true" applyNumberFormat="true" numFmtId="2" fillId="22" applyFill="true">
      <alignment horizontal="center" vertical="center"/>
    </xf>
    <xf fontId="15184" applyFont="true" borderId="8" applyBorder="true" applyNumberFormat="true" numFmtId="2" fillId="22" applyFill="true">
      <alignment horizontal="center" vertical="center"/>
    </xf>
    <xf fontId="15185" applyFont="true" borderId="8" applyBorder="true" applyNumberFormat="true" numFmtId="2" fillId="22" applyFill="true">
      <alignment horizontal="center" vertical="center"/>
    </xf>
    <xf fontId="15186" applyFont="true" borderId="8" applyBorder="true" applyNumberFormat="true" numFmtId="2" fillId="22" applyFill="true">
      <alignment horizontal="center" vertical="center"/>
    </xf>
    <xf fontId="15187" applyFont="true" borderId="8" applyBorder="true" applyNumberFormat="true" numFmtId="2" fillId="22" applyFill="true">
      <alignment horizontal="center" vertical="center"/>
    </xf>
    <xf fontId="15188" applyFont="true" borderId="8" applyBorder="true" applyNumberFormat="true" numFmtId="2" fillId="22" applyFill="true">
      <alignment horizontal="center" vertical="center"/>
    </xf>
    <xf fontId="15189" applyFont="true" borderId="8" applyBorder="true" applyNumberFormat="true" numFmtId="2" fillId="22" applyFill="true">
      <alignment horizontal="center" vertical="center"/>
    </xf>
    <xf fontId="15190" applyFont="true" borderId="8" applyBorder="true" applyNumberFormat="true" numFmtId="2" fillId="22" applyFill="true">
      <alignment horizontal="center" vertical="center"/>
    </xf>
    <xf fontId="15191" applyFont="true" borderId="8" applyBorder="true" applyNumberFormat="true" numFmtId="2" fillId="22" applyFill="true">
      <alignment horizontal="center" vertical="center"/>
    </xf>
    <xf fontId="15192" applyFont="true" borderId="8" applyBorder="true" applyNumberFormat="true" numFmtId="2" fillId="22" applyFill="true">
      <alignment horizontal="center" vertical="center"/>
    </xf>
    <xf fontId="15193" applyFont="true" borderId="8" applyBorder="true" applyNumberFormat="true" numFmtId="2" fillId="22" applyFill="true">
      <alignment horizontal="center" vertical="center"/>
    </xf>
    <xf fontId="15194" applyFont="true" borderId="8" applyBorder="true" applyNumberFormat="true" numFmtId="2" fillId="22" applyFill="true">
      <alignment horizontal="center" vertical="center"/>
    </xf>
    <xf fontId="15195" applyFont="true" borderId="8" applyBorder="true" applyNumberFormat="true" numFmtId="2" fillId="22" applyFill="true">
      <alignment horizontal="center" vertical="center"/>
    </xf>
    <xf fontId="15196" applyFont="true" borderId="8" applyBorder="true" applyNumberFormat="true" numFmtId="2" fillId="22" applyFill="true">
      <alignment horizontal="center" vertical="center"/>
    </xf>
    <xf fontId="15197" applyFont="true" borderId="8" applyBorder="true" applyNumberFormat="true" numFmtId="2" fillId="22" applyFill="true">
      <alignment horizontal="center" vertical="center"/>
    </xf>
    <xf fontId="15198" applyFont="true" borderId="8" applyBorder="true" applyNumberFormat="true" numFmtId="2" fillId="22" applyFill="true">
      <alignment horizontal="center" vertical="center"/>
    </xf>
    <xf fontId="15199" applyFont="true" borderId="8" applyBorder="true" applyNumberFormat="true" numFmtId="2" fillId="22" applyFill="true">
      <alignment horizontal="center" vertical="center"/>
    </xf>
    <xf fontId="15200" applyFont="true" borderId="8" applyBorder="true" applyNumberFormat="true" numFmtId="2" fillId="22" applyFill="true">
      <alignment horizontal="center" vertical="center"/>
    </xf>
    <xf fontId="15201" applyFont="true" borderId="8" applyBorder="true" applyNumberFormat="true" numFmtId="2" fillId="22" applyFill="true">
      <alignment horizontal="center" vertical="center"/>
    </xf>
    <xf fontId="15202" applyFont="true" borderId="8" applyBorder="true" applyNumberFormat="true" numFmtId="2" fillId="22" applyFill="true">
      <alignment horizontal="center" vertical="center"/>
    </xf>
    <xf fontId="15203" applyFont="true" borderId="8" applyBorder="true" applyNumberFormat="true" numFmtId="2" fillId="22" applyFill="true">
      <alignment horizontal="center" vertical="center"/>
    </xf>
    <xf fontId="15204" applyFont="true" borderId="8" applyBorder="true" applyNumberFormat="true" numFmtId="2" fillId="22" applyFill="true">
      <alignment horizontal="center" vertical="center"/>
    </xf>
    <xf fontId="15205" applyFont="true" borderId="8" applyBorder="true" applyNumberFormat="true" numFmtId="2" fillId="22" applyFill="true">
      <alignment horizontal="center" vertical="center"/>
    </xf>
    <xf fontId="15206" applyFont="true" borderId="8" applyBorder="true" applyNumberFormat="true" numFmtId="2" fillId="22" applyFill="true">
      <alignment horizontal="center" vertical="center"/>
    </xf>
    <xf fontId="15207" applyFont="true" borderId="8" applyBorder="true" applyNumberFormat="true" numFmtId="2" fillId="22" applyFill="true">
      <alignment horizontal="center" vertical="center"/>
    </xf>
    <xf fontId="15208" applyFont="true" borderId="8" applyBorder="true" applyNumberFormat="true" numFmtId="2" fillId="22" applyFill="true">
      <alignment horizontal="center" vertical="center"/>
    </xf>
    <xf fontId="15209" applyFont="true" borderId="8" applyBorder="true" applyNumberFormat="true" numFmtId="2" fillId="22" applyFill="true">
      <alignment horizontal="center" vertical="center"/>
    </xf>
    <xf fontId="15210" applyFont="true" borderId="8" applyBorder="true" applyNumberFormat="true" numFmtId="2" fillId="22" applyFill="true">
      <alignment horizontal="center" vertical="center"/>
    </xf>
    <xf fontId="15211" applyFont="true" borderId="8" applyBorder="true" applyNumberFormat="true" numFmtId="165" fillId="19" applyFill="true">
      <alignment horizontal="left" vertical="center"/>
    </xf>
    <xf fontId="15212" applyFont="true" borderId="8" applyBorder="true" applyNumberFormat="true" numFmtId="165" fillId="22" applyFill="true">
      <alignment horizontal="center" vertical="center"/>
    </xf>
    <xf fontId="15213" applyFont="true" borderId="8" applyBorder="true" applyNumberFormat="true" numFmtId="166" fillId="22" applyFill="true">
      <alignment horizontal="center" vertical="center"/>
    </xf>
    <xf fontId="15214" applyFont="true" borderId="8" applyBorder="true" applyNumberFormat="true" numFmtId="1" fillId="22" applyFill="true">
      <alignment horizontal="center" vertical="center"/>
    </xf>
    <xf fontId="15215" applyFont="true" borderId="8" applyBorder="true" applyNumberFormat="true" numFmtId="1" fillId="22" applyFill="true">
      <alignment horizontal="center" vertical="center"/>
    </xf>
    <xf fontId="15216" applyFont="true" borderId="8" applyBorder="true" applyNumberFormat="true" numFmtId="1" fillId="22" applyFill="true">
      <alignment horizontal="center" vertical="center"/>
    </xf>
    <xf fontId="15217" applyFont="true" borderId="8" applyBorder="true" applyNumberFormat="true" numFmtId="1" fillId="22" applyFill="true">
      <alignment horizontal="center" vertical="center"/>
    </xf>
    <xf fontId="15218" applyFont="true" borderId="8" applyBorder="true" applyNumberFormat="true" numFmtId="1" fillId="22" applyFill="true">
      <alignment horizontal="center" vertical="center"/>
    </xf>
    <xf fontId="15219" applyFont="true" borderId="8" applyBorder="true" applyNumberFormat="true" numFmtId="1" fillId="22" applyFill="true">
      <alignment horizontal="center" vertical="center"/>
    </xf>
    <xf fontId="15220" applyFont="true" borderId="8" applyBorder="true" applyNumberFormat="true" numFmtId="1" fillId="22" applyFill="true">
      <alignment horizontal="center" vertical="center"/>
    </xf>
    <xf fontId="15221" applyFont="true" borderId="8" applyBorder="true" applyNumberFormat="true" numFmtId="165" fillId="22" applyFill="true">
      <alignment horizontal="center" vertical="center"/>
    </xf>
    <xf fontId="15222" applyFont="true" borderId="8" applyBorder="true" applyNumberFormat="true" numFmtId="165" fillId="22" applyFill="true">
      <alignment horizontal="center" vertical="center"/>
    </xf>
    <xf fontId="15223" applyFont="true" borderId="8" applyBorder="true" applyNumberFormat="true" numFmtId="1" fillId="22" applyFill="true">
      <alignment horizontal="center" vertical="center"/>
    </xf>
    <xf fontId="15224" applyFont="true" borderId="8" applyBorder="true" applyNumberFormat="true" numFmtId="1" fillId="22" applyFill="true">
      <alignment horizontal="center" vertical="center"/>
    </xf>
    <xf fontId="15225" applyFont="true" borderId="8" applyBorder="true" applyNumberFormat="true" numFmtId="1" fillId="22" applyFill="true">
      <alignment horizontal="center" vertical="center"/>
    </xf>
    <xf fontId="15226" applyFont="true" borderId="8" applyBorder="true" applyNumberFormat="true" numFmtId="167" fillId="22" applyFill="true">
      <alignment horizontal="center" vertical="center"/>
    </xf>
    <xf fontId="15227" applyFont="true" borderId="8" applyBorder="true" applyNumberFormat="true" numFmtId="1" fillId="22" applyFill="true">
      <alignment horizontal="center" vertical="center"/>
    </xf>
    <xf fontId="15228" applyFont="true" borderId="8" applyBorder="true" applyNumberFormat="true" numFmtId="167" fillId="22" applyFill="true">
      <alignment horizontal="center" vertical="center"/>
    </xf>
    <xf fontId="15229" applyFont="true" borderId="8" applyBorder="true" applyNumberFormat="true" numFmtId="1" fillId="22" applyFill="true">
      <alignment horizontal="center" vertical="center"/>
    </xf>
    <xf fontId="15230" applyFont="true" borderId="8" applyBorder="true" applyNumberFormat="true" numFmtId="167" fillId="22" applyFill="true">
      <alignment horizontal="center" vertical="center"/>
    </xf>
    <xf fontId="15231" applyFont="true" borderId="8" applyBorder="true" applyNumberFormat="true" numFmtId="1" fillId="22" applyFill="true">
      <alignment horizontal="center" vertical="center"/>
    </xf>
    <xf fontId="15232" applyFont="true" borderId="8" applyBorder="true" applyNumberFormat="true" numFmtId="167" fillId="22" applyFill="true">
      <alignment horizontal="center" vertical="center"/>
    </xf>
    <xf fontId="15233" applyFont="true" borderId="8" applyBorder="true" applyNumberFormat="true" numFmtId="167" fillId="22" applyFill="true">
      <alignment horizontal="center" vertical="center"/>
    </xf>
    <xf fontId="15234" applyFont="true" borderId="8" applyBorder="true" applyNumberFormat="true" numFmtId="1" fillId="22" applyFill="true">
      <alignment horizontal="center" vertical="center"/>
    </xf>
    <xf fontId="15235" applyFont="true" borderId="8" applyBorder="true" applyNumberFormat="true" numFmtId="1" fillId="22" applyFill="true">
      <alignment horizontal="center" vertical="center"/>
    </xf>
    <xf fontId="15236" applyFont="true" borderId="8" applyBorder="true" applyNumberFormat="true" numFmtId="1" fillId="22" applyFill="true">
      <alignment horizontal="center" vertical="center"/>
    </xf>
    <xf fontId="15237" applyFont="true" borderId="8" applyBorder="true" applyNumberFormat="true" numFmtId="167" fillId="22" applyFill="true">
      <alignment horizontal="center" vertical="center"/>
    </xf>
    <xf fontId="15238" applyFont="true" borderId="8" applyBorder="true" applyNumberFormat="true" numFmtId="166" fillId="22" applyFill="true">
      <alignment horizontal="center" vertical="center"/>
    </xf>
    <xf fontId="15239" applyFont="true" borderId="8" applyBorder="true" applyNumberFormat="true" numFmtId="166" fillId="22" applyFill="true">
      <alignment horizontal="center" vertical="center"/>
    </xf>
    <xf fontId="15240" applyFont="true" borderId="8" applyBorder="true" applyNumberFormat="true" numFmtId="1" fillId="22" applyFill="true">
      <alignment horizontal="center" vertical="center"/>
    </xf>
    <xf fontId="15241" applyFont="true" borderId="8" applyBorder="true" applyNumberFormat="true" numFmtId="1" fillId="22" applyFill="true">
      <alignment horizontal="center" vertical="center"/>
    </xf>
    <xf fontId="15242" applyFont="true" borderId="8" applyBorder="true" applyNumberFormat="true" numFmtId="1" fillId="22" applyFill="true">
      <alignment horizontal="center" vertical="center"/>
    </xf>
    <xf fontId="15243" applyFont="true" borderId="8" applyBorder="true" applyNumberFormat="true" numFmtId="167" fillId="22" applyFill="true">
      <alignment horizontal="center" vertical="center"/>
    </xf>
    <xf fontId="15244" applyFont="true" borderId="8" applyBorder="true" applyNumberFormat="true" numFmtId="1" fillId="22" applyFill="true">
      <alignment horizontal="center" vertical="center"/>
    </xf>
    <xf fontId="15245" applyFont="true" borderId="8" applyBorder="true" applyNumberFormat="true" numFmtId="167" fillId="22" applyFill="true">
      <alignment horizontal="center" vertical="center"/>
    </xf>
    <xf fontId="15246" applyFont="true" borderId="8" applyBorder="true" applyNumberFormat="true" numFmtId="1" fillId="22" applyFill="true">
      <alignment horizontal="center" vertical="center"/>
    </xf>
    <xf fontId="15247" applyFont="true" borderId="8" applyBorder="true" applyNumberFormat="true" numFmtId="1" fillId="22" applyFill="true">
      <alignment horizontal="center" vertical="center"/>
    </xf>
    <xf fontId="15248" applyFont="true" borderId="8" applyBorder="true" applyNumberFormat="true" numFmtId="1" fillId="22" applyFill="true">
      <alignment horizontal="center" vertical="center"/>
    </xf>
    <xf fontId="15249" applyFont="true" borderId="8" applyBorder="true" applyNumberFormat="true" numFmtId="1" fillId="22" applyFill="true">
      <alignment horizontal="center" vertical="center"/>
    </xf>
    <xf fontId="15250" applyFont="true" borderId="8" applyBorder="true" applyNumberFormat="true" numFmtId="167" fillId="22" applyFill="true">
      <alignment horizontal="center" vertical="center"/>
    </xf>
    <xf fontId="15251" applyFont="true" borderId="8" applyBorder="true" applyNumberFormat="true" numFmtId="1" fillId="22" applyFill="true">
      <alignment horizontal="center" vertical="center"/>
    </xf>
    <xf fontId="15252" applyFont="true" borderId="8" applyBorder="true" applyNumberFormat="true" numFmtId="167" fillId="22" applyFill="true">
      <alignment horizontal="center" vertical="center"/>
    </xf>
    <xf fontId="15253" applyFont="true" borderId="8" applyBorder="true" applyNumberFormat="true" numFmtId="1" fillId="22" applyFill="true">
      <alignment horizontal="center" vertical="center"/>
    </xf>
    <xf fontId="15254" applyFont="true" borderId="8" applyBorder="true" applyNumberFormat="true" numFmtId="167" fillId="22" applyFill="true">
      <alignment horizontal="center" vertical="center"/>
    </xf>
    <xf fontId="15255" applyFont="true" borderId="8" applyBorder="true" applyNumberFormat="true" numFmtId="2" fillId="22" applyFill="true">
      <alignment horizontal="center" vertical="center"/>
    </xf>
    <xf fontId="15256" applyFont="true" borderId="8" applyBorder="true" applyNumberFormat="true" numFmtId="2" fillId="22" applyFill="true">
      <alignment horizontal="center" vertical="center"/>
    </xf>
    <xf fontId="15257" applyFont="true" borderId="8" applyBorder="true" applyNumberFormat="true" numFmtId="2" fillId="22" applyFill="true">
      <alignment horizontal="center" vertical="center"/>
    </xf>
    <xf fontId="15258" applyFont="true" borderId="8" applyBorder="true" applyNumberFormat="true" numFmtId="2" fillId="22" applyFill="true">
      <alignment horizontal="center" vertical="center"/>
    </xf>
    <xf fontId="15259" applyFont="true" borderId="8" applyBorder="true" applyNumberFormat="true" numFmtId="2" fillId="22" applyFill="true">
      <alignment horizontal="center" vertical="center"/>
    </xf>
    <xf fontId="15260" applyFont="true" borderId="8" applyBorder="true" applyNumberFormat="true" numFmtId="2" fillId="22" applyFill="true">
      <alignment horizontal="center" vertical="center"/>
    </xf>
    <xf fontId="15261" applyFont="true" borderId="8" applyBorder="true" applyNumberFormat="true" numFmtId="2" fillId="22" applyFill="true">
      <alignment horizontal="center" vertical="center"/>
    </xf>
    <xf fontId="15262" applyFont="true" borderId="8" applyBorder="true" applyNumberFormat="true" numFmtId="2" fillId="22" applyFill="true">
      <alignment horizontal="center" vertical="center"/>
    </xf>
    <xf fontId="15263" applyFont="true" borderId="8" applyBorder="true" applyNumberFormat="true" numFmtId="2" fillId="22" applyFill="true">
      <alignment horizontal="center" vertical="center"/>
    </xf>
    <xf fontId="15264" applyFont="true" borderId="8" applyBorder="true" applyNumberFormat="true" numFmtId="2" fillId="22" applyFill="true">
      <alignment horizontal="center" vertical="center"/>
    </xf>
    <xf fontId="15265" applyFont="true" borderId="8" applyBorder="true" applyNumberFormat="true" numFmtId="2" fillId="22" applyFill="true">
      <alignment horizontal="center" vertical="center"/>
    </xf>
    <xf fontId="15266" applyFont="true" borderId="8" applyBorder="true" applyNumberFormat="true" numFmtId="2" fillId="22" applyFill="true">
      <alignment horizontal="center" vertical="center"/>
    </xf>
    <xf fontId="15267" applyFont="true" borderId="8" applyBorder="true" applyNumberFormat="true" numFmtId="2" fillId="22" applyFill="true">
      <alignment horizontal="center" vertical="center"/>
    </xf>
    <xf fontId="15268" applyFont="true" borderId="8" applyBorder="true" applyNumberFormat="true" numFmtId="2" fillId="22" applyFill="true">
      <alignment horizontal="center" vertical="center"/>
    </xf>
    <xf fontId="15269" applyFont="true" borderId="8" applyBorder="true" applyNumberFormat="true" numFmtId="2" fillId="22" applyFill="true">
      <alignment horizontal="center" vertical="center"/>
    </xf>
    <xf fontId="15270" applyFont="true" borderId="8" applyBorder="true" applyNumberFormat="true" numFmtId="2" fillId="22" applyFill="true">
      <alignment horizontal="center" vertical="center"/>
    </xf>
    <xf fontId="15271" applyFont="true" borderId="8" applyBorder="true" applyNumberFormat="true" numFmtId="2" fillId="22" applyFill="true">
      <alignment horizontal="center" vertical="center"/>
    </xf>
    <xf fontId="15272" applyFont="true" borderId="8" applyBorder="true" applyNumberFormat="true" numFmtId="2" fillId="22" applyFill="true">
      <alignment horizontal="center" vertical="center"/>
    </xf>
    <xf fontId="15273" applyFont="true" borderId="8" applyBorder="true" applyNumberFormat="true" numFmtId="2" fillId="22" applyFill="true">
      <alignment horizontal="center" vertical="center"/>
    </xf>
    <xf fontId="15274" applyFont="true" borderId="8" applyBorder="true" applyNumberFormat="true" numFmtId="2" fillId="22" applyFill="true">
      <alignment horizontal="center" vertical="center"/>
    </xf>
    <xf fontId="15275" applyFont="true" borderId="8" applyBorder="true" applyNumberFormat="true" numFmtId="2" fillId="22" applyFill="true">
      <alignment horizontal="center" vertical="center"/>
    </xf>
    <xf fontId="15276" applyFont="true" borderId="8" applyBorder="true" applyNumberFormat="true" numFmtId="2" fillId="22" applyFill="true">
      <alignment horizontal="center" vertical="center"/>
    </xf>
    <xf fontId="15277" applyFont="true" borderId="8" applyBorder="true" applyNumberFormat="true" numFmtId="2" fillId="22" applyFill="true">
      <alignment horizontal="center" vertical="center"/>
    </xf>
    <xf fontId="15278" applyFont="true" borderId="8" applyBorder="true" applyNumberFormat="true" numFmtId="2" fillId="22" applyFill="true">
      <alignment horizontal="center" vertical="center"/>
    </xf>
    <xf fontId="15279" applyFont="true" borderId="8" applyBorder="true" applyNumberFormat="true" numFmtId="2" fillId="22" applyFill="true">
      <alignment horizontal="center" vertical="center"/>
    </xf>
    <xf fontId="15280" applyFont="true" borderId="8" applyBorder="true" applyNumberFormat="true" numFmtId="2" fillId="22" applyFill="true">
      <alignment horizontal="center" vertical="center"/>
    </xf>
    <xf fontId="15281" applyFont="true" borderId="8" applyBorder="true" applyNumberFormat="true" numFmtId="2" fillId="22" applyFill="true">
      <alignment horizontal="center" vertical="center"/>
    </xf>
    <xf fontId="15282" applyFont="true" borderId="8" applyBorder="true" applyNumberFormat="true" numFmtId="2" fillId="22" applyFill="true">
      <alignment horizontal="center" vertical="center"/>
    </xf>
    <xf fontId="15283" applyFont="true" borderId="8" applyBorder="true" applyNumberFormat="true" numFmtId="2" fillId="22" applyFill="true">
      <alignment horizontal="center" vertical="center"/>
    </xf>
    <xf fontId="15284" applyFont="true" borderId="8" applyBorder="true" applyNumberFormat="true" numFmtId="2" fillId="22" applyFill="true">
      <alignment horizontal="center" vertical="center"/>
    </xf>
    <xf fontId="15285" applyFont="true" borderId="8" applyBorder="true" applyNumberFormat="true" numFmtId="2" fillId="22" applyFill="true">
      <alignment horizontal="center" vertical="center"/>
    </xf>
    <xf fontId="15286" applyFont="true" borderId="8" applyBorder="true" applyNumberFormat="true" numFmtId="2" fillId="22" applyFill="true">
      <alignment horizontal="center" vertical="center"/>
    </xf>
    <xf fontId="15287" applyFont="true" borderId="8" applyBorder="true" applyNumberFormat="true" numFmtId="2" fillId="22" applyFill="true">
      <alignment horizontal="center" vertical="center"/>
    </xf>
    <xf fontId="15288" applyFont="true" borderId="8" applyBorder="true" applyNumberFormat="true" numFmtId="2" fillId="22" applyFill="true">
      <alignment horizontal="center" vertical="center"/>
    </xf>
    <xf fontId="15289" applyFont="true" borderId="8" applyBorder="true" applyNumberFormat="true" numFmtId="165" fillId="19" applyFill="true">
      <alignment horizontal="left" vertical="center"/>
    </xf>
    <xf fontId="15290" applyFont="true" borderId="8" applyBorder="true" applyNumberFormat="true" numFmtId="165" fillId="22" applyFill="true">
      <alignment horizontal="center" vertical="center"/>
    </xf>
    <xf fontId="15291" applyFont="true" borderId="8" applyBorder="true" applyNumberFormat="true" numFmtId="166" fillId="22" applyFill="true">
      <alignment horizontal="center" vertical="center"/>
    </xf>
    <xf fontId="15292" applyFont="true" borderId="8" applyBorder="true" applyNumberFormat="true" numFmtId="1" fillId="22" applyFill="true">
      <alignment horizontal="center" vertical="center"/>
    </xf>
    <xf fontId="15293" applyFont="true" borderId="8" applyBorder="true" applyNumberFormat="true" numFmtId="1" fillId="22" applyFill="true">
      <alignment horizontal="center" vertical="center"/>
    </xf>
    <xf fontId="15294" applyFont="true" borderId="8" applyBorder="true" applyNumberFormat="true" numFmtId="1" fillId="22" applyFill="true">
      <alignment horizontal="center" vertical="center"/>
    </xf>
    <xf fontId="15295" applyFont="true" borderId="8" applyBorder="true" applyNumberFormat="true" numFmtId="1" fillId="22" applyFill="true">
      <alignment horizontal="center" vertical="center"/>
    </xf>
    <xf fontId="15296" applyFont="true" borderId="8" applyBorder="true" applyNumberFormat="true" numFmtId="1" fillId="22" applyFill="true">
      <alignment horizontal="center" vertical="center"/>
    </xf>
    <xf fontId="15297" applyFont="true" borderId="8" applyBorder="true" applyNumberFormat="true" numFmtId="1" fillId="22" applyFill="true">
      <alignment horizontal="center" vertical="center"/>
    </xf>
    <xf fontId="15298" applyFont="true" borderId="8" applyBorder="true" applyNumberFormat="true" numFmtId="1" fillId="22" applyFill="true">
      <alignment horizontal="center" vertical="center"/>
    </xf>
    <xf fontId="15299" applyFont="true" borderId="8" applyBorder="true" applyNumberFormat="true" numFmtId="165" fillId="22" applyFill="true">
      <alignment horizontal="center" vertical="center"/>
    </xf>
    <xf fontId="15300" applyFont="true" borderId="8" applyBorder="true" applyNumberFormat="true" numFmtId="165" fillId="22" applyFill="true">
      <alignment horizontal="center" vertical="center"/>
    </xf>
    <xf fontId="15301" applyFont="true" borderId="8" applyBorder="true" applyNumberFormat="true" numFmtId="1" fillId="22" applyFill="true">
      <alignment horizontal="center" vertical="center"/>
    </xf>
    <xf fontId="15302" applyFont="true" borderId="8" applyBorder="true" applyNumberFormat="true" numFmtId="1" fillId="22" applyFill="true">
      <alignment horizontal="center" vertical="center"/>
    </xf>
    <xf fontId="15303" applyFont="true" borderId="8" applyBorder="true" applyNumberFormat="true" numFmtId="1" fillId="22" applyFill="true">
      <alignment horizontal="center" vertical="center"/>
    </xf>
    <xf fontId="15304" applyFont="true" borderId="8" applyBorder="true" applyNumberFormat="true" numFmtId="167" fillId="22" applyFill="true">
      <alignment horizontal="center" vertical="center"/>
    </xf>
    <xf fontId="15305" applyFont="true" borderId="8" applyBorder="true" applyNumberFormat="true" numFmtId="1" fillId="22" applyFill="true">
      <alignment horizontal="center" vertical="center"/>
    </xf>
    <xf fontId="15306" applyFont="true" borderId="8" applyBorder="true" applyNumberFormat="true" numFmtId="167" fillId="22" applyFill="true">
      <alignment horizontal="center" vertical="center"/>
    </xf>
    <xf fontId="15307" applyFont="true" borderId="8" applyBorder="true" applyNumberFormat="true" numFmtId="1" fillId="22" applyFill="true">
      <alignment horizontal="center" vertical="center"/>
    </xf>
    <xf fontId="15308" applyFont="true" borderId="8" applyBorder="true" applyNumberFormat="true" numFmtId="167" fillId="22" applyFill="true">
      <alignment horizontal="center" vertical="center"/>
    </xf>
    <xf fontId="15309" applyFont="true" borderId="8" applyBorder="true" applyNumberFormat="true" numFmtId="1" fillId="22" applyFill="true">
      <alignment horizontal="center" vertical="center"/>
    </xf>
    <xf fontId="15310" applyFont="true" borderId="8" applyBorder="true" applyNumberFormat="true" numFmtId="167" fillId="22" applyFill="true">
      <alignment horizontal="center" vertical="center"/>
    </xf>
    <xf fontId="15311" applyFont="true" borderId="8" applyBorder="true" applyNumberFormat="true" numFmtId="167" fillId="22" applyFill="true">
      <alignment horizontal="center" vertical="center"/>
    </xf>
    <xf fontId="15312" applyFont="true" borderId="8" applyBorder="true" applyNumberFormat="true" numFmtId="1" fillId="22" applyFill="true">
      <alignment horizontal="center" vertical="center"/>
    </xf>
    <xf fontId="15313" applyFont="true" borderId="8" applyBorder="true" applyNumberFormat="true" numFmtId="1" fillId="22" applyFill="true">
      <alignment horizontal="center" vertical="center"/>
    </xf>
    <xf fontId="15314" applyFont="true" borderId="8" applyBorder="true" applyNumberFormat="true" numFmtId="1" fillId="22" applyFill="true">
      <alignment horizontal="center" vertical="center"/>
    </xf>
    <xf fontId="15315" applyFont="true" borderId="8" applyBorder="true" applyNumberFormat="true" numFmtId="167" fillId="22" applyFill="true">
      <alignment horizontal="center" vertical="center"/>
    </xf>
    <xf fontId="15316" applyFont="true" borderId="8" applyBorder="true" applyNumberFormat="true" numFmtId="166" fillId="22" applyFill="true">
      <alignment horizontal="center" vertical="center"/>
    </xf>
    <xf fontId="15317" applyFont="true" borderId="8" applyBorder="true" applyNumberFormat="true" numFmtId="166" fillId="22" applyFill="true">
      <alignment horizontal="center" vertical="center"/>
    </xf>
    <xf fontId="15318" applyFont="true" borderId="8" applyBorder="true" applyNumberFormat="true" numFmtId="1" fillId="22" applyFill="true">
      <alignment horizontal="center" vertical="center"/>
    </xf>
    <xf fontId="15319" applyFont="true" borderId="8" applyBorder="true" applyNumberFormat="true" numFmtId="1" fillId="22" applyFill="true">
      <alignment horizontal="center" vertical="center"/>
    </xf>
    <xf fontId="15320" applyFont="true" borderId="8" applyBorder="true" applyNumberFormat="true" numFmtId="1" fillId="22" applyFill="true">
      <alignment horizontal="center" vertical="center"/>
    </xf>
    <xf fontId="15321" applyFont="true" borderId="8" applyBorder="true" applyNumberFormat="true" numFmtId="167" fillId="22" applyFill="true">
      <alignment horizontal="center" vertical="center"/>
    </xf>
    <xf fontId="15322" applyFont="true" borderId="8" applyBorder="true" applyNumberFormat="true" numFmtId="1" fillId="22" applyFill="true">
      <alignment horizontal="center" vertical="center"/>
    </xf>
    <xf fontId="15323" applyFont="true" borderId="8" applyBorder="true" applyNumberFormat="true" numFmtId="167" fillId="22" applyFill="true">
      <alignment horizontal="center" vertical="center"/>
    </xf>
    <xf fontId="15324" applyFont="true" borderId="8" applyBorder="true" applyNumberFormat="true" numFmtId="1" fillId="22" applyFill="true">
      <alignment horizontal="center" vertical="center"/>
    </xf>
    <xf fontId="15325" applyFont="true" borderId="8" applyBorder="true" applyNumberFormat="true" numFmtId="1" fillId="22" applyFill="true">
      <alignment horizontal="center" vertical="center"/>
    </xf>
    <xf fontId="15326" applyFont="true" borderId="8" applyBorder="true" applyNumberFormat="true" numFmtId="1" fillId="22" applyFill="true">
      <alignment horizontal="center" vertical="center"/>
    </xf>
    <xf fontId="15327" applyFont="true" borderId="8" applyBorder="true" applyNumberFormat="true" numFmtId="1" fillId="22" applyFill="true">
      <alignment horizontal="center" vertical="center"/>
    </xf>
    <xf fontId="15328" applyFont="true" borderId="8" applyBorder="true" applyNumberFormat="true" numFmtId="167" fillId="22" applyFill="true">
      <alignment horizontal="center" vertical="center"/>
    </xf>
    <xf fontId="15329" applyFont="true" borderId="8" applyBorder="true" applyNumberFormat="true" numFmtId="1" fillId="22" applyFill="true">
      <alignment horizontal="center" vertical="center"/>
    </xf>
    <xf fontId="15330" applyFont="true" borderId="8" applyBorder="true" applyNumberFormat="true" numFmtId="167" fillId="22" applyFill="true">
      <alignment horizontal="center" vertical="center"/>
    </xf>
    <xf fontId="15331" applyFont="true" borderId="8" applyBorder="true" applyNumberFormat="true" numFmtId="1" fillId="22" applyFill="true">
      <alignment horizontal="center" vertical="center"/>
    </xf>
    <xf fontId="15332" applyFont="true" borderId="8" applyBorder="true" applyNumberFormat="true" numFmtId="167" fillId="22" applyFill="true">
      <alignment horizontal="center" vertical="center"/>
    </xf>
    <xf fontId="15333" applyFont="true" borderId="8" applyBorder="true" applyNumberFormat="true" numFmtId="2" fillId="22" applyFill="true">
      <alignment horizontal="center" vertical="center"/>
    </xf>
    <xf fontId="15334" applyFont="true" borderId="8" applyBorder="true" applyNumberFormat="true" numFmtId="2" fillId="22" applyFill="true">
      <alignment horizontal="center" vertical="center"/>
    </xf>
    <xf fontId="15335" applyFont="true" borderId="8" applyBorder="true" applyNumberFormat="true" numFmtId="2" fillId="22" applyFill="true">
      <alignment horizontal="center" vertical="center"/>
    </xf>
    <xf fontId="15336" applyFont="true" borderId="8" applyBorder="true" applyNumberFormat="true" numFmtId="2" fillId="22" applyFill="true">
      <alignment horizontal="center" vertical="center"/>
    </xf>
    <xf fontId="15337" applyFont="true" borderId="8" applyBorder="true" applyNumberFormat="true" numFmtId="2" fillId="22" applyFill="true">
      <alignment horizontal="center" vertical="center"/>
    </xf>
    <xf fontId="15338" applyFont="true" borderId="8" applyBorder="true" applyNumberFormat="true" numFmtId="2" fillId="22" applyFill="true">
      <alignment horizontal="center" vertical="center"/>
    </xf>
    <xf fontId="15339" applyFont="true" borderId="8" applyBorder="true" applyNumberFormat="true" numFmtId="2" fillId="22" applyFill="true">
      <alignment horizontal="center" vertical="center"/>
    </xf>
    <xf fontId="15340" applyFont="true" borderId="8" applyBorder="true" applyNumberFormat="true" numFmtId="2" fillId="22" applyFill="true">
      <alignment horizontal="center" vertical="center"/>
    </xf>
    <xf fontId="15341" applyFont="true" borderId="8" applyBorder="true" applyNumberFormat="true" numFmtId="2" fillId="22" applyFill="true">
      <alignment horizontal="center" vertical="center"/>
    </xf>
    <xf fontId="15342" applyFont="true" borderId="8" applyBorder="true" applyNumberFormat="true" numFmtId="2" fillId="22" applyFill="true">
      <alignment horizontal="center" vertical="center"/>
    </xf>
    <xf fontId="15343" applyFont="true" borderId="8" applyBorder="true" applyNumberFormat="true" numFmtId="2" fillId="22" applyFill="true">
      <alignment horizontal="center" vertical="center"/>
    </xf>
    <xf fontId="15344" applyFont="true" borderId="8" applyBorder="true" applyNumberFormat="true" numFmtId="2" fillId="22" applyFill="true">
      <alignment horizontal="center" vertical="center"/>
    </xf>
    <xf fontId="15345" applyFont="true" borderId="8" applyBorder="true" applyNumberFormat="true" numFmtId="2" fillId="22" applyFill="true">
      <alignment horizontal="center" vertical="center"/>
    </xf>
    <xf fontId="15346" applyFont="true" borderId="8" applyBorder="true" applyNumberFormat="true" numFmtId="2" fillId="22" applyFill="true">
      <alignment horizontal="center" vertical="center"/>
    </xf>
    <xf fontId="15347" applyFont="true" borderId="8" applyBorder="true" applyNumberFormat="true" numFmtId="2" fillId="22" applyFill="true">
      <alignment horizontal="center" vertical="center"/>
    </xf>
    <xf fontId="15348" applyFont="true" borderId="8" applyBorder="true" applyNumberFormat="true" numFmtId="2" fillId="22" applyFill="true">
      <alignment horizontal="center" vertical="center"/>
    </xf>
    <xf fontId="15349" applyFont="true" borderId="8" applyBorder="true" applyNumberFormat="true" numFmtId="2" fillId="22" applyFill="true">
      <alignment horizontal="center" vertical="center"/>
    </xf>
    <xf fontId="15350" applyFont="true" borderId="8" applyBorder="true" applyNumberFormat="true" numFmtId="2" fillId="22" applyFill="true">
      <alignment horizontal="center" vertical="center"/>
    </xf>
    <xf fontId="15351" applyFont="true" borderId="8" applyBorder="true" applyNumberFormat="true" numFmtId="2" fillId="22" applyFill="true">
      <alignment horizontal="center" vertical="center"/>
    </xf>
    <xf fontId="15352" applyFont="true" borderId="8" applyBorder="true" applyNumberFormat="true" numFmtId="2" fillId="22" applyFill="true">
      <alignment horizontal="center" vertical="center"/>
    </xf>
    <xf fontId="15353" applyFont="true" borderId="8" applyBorder="true" applyNumberFormat="true" numFmtId="2" fillId="22" applyFill="true">
      <alignment horizontal="center" vertical="center"/>
    </xf>
    <xf fontId="15354" applyFont="true" borderId="8" applyBorder="true" applyNumberFormat="true" numFmtId="2" fillId="22" applyFill="true">
      <alignment horizontal="center" vertical="center"/>
    </xf>
    <xf fontId="15355" applyFont="true" borderId="8" applyBorder="true" applyNumberFormat="true" numFmtId="2" fillId="22" applyFill="true">
      <alignment horizontal="center" vertical="center"/>
    </xf>
    <xf fontId="15356" applyFont="true" borderId="8" applyBorder="true" applyNumberFormat="true" numFmtId="2" fillId="22" applyFill="true">
      <alignment horizontal="center" vertical="center"/>
    </xf>
    <xf fontId="15357" applyFont="true" borderId="8" applyBorder="true" applyNumberFormat="true" numFmtId="2" fillId="22" applyFill="true">
      <alignment horizontal="center" vertical="center"/>
    </xf>
    <xf fontId="15358" applyFont="true" borderId="8" applyBorder="true" applyNumberFormat="true" numFmtId="2" fillId="22" applyFill="true">
      <alignment horizontal="center" vertical="center"/>
    </xf>
    <xf fontId="15359" applyFont="true" borderId="8" applyBorder="true" applyNumberFormat="true" numFmtId="2" fillId="22" applyFill="true">
      <alignment horizontal="center" vertical="center"/>
    </xf>
    <xf fontId="15360" applyFont="true" borderId="8" applyBorder="true" applyNumberFormat="true" numFmtId="2" fillId="22" applyFill="true">
      <alignment horizontal="center" vertical="center"/>
    </xf>
    <xf fontId="15361" applyFont="true" borderId="8" applyBorder="true" applyNumberFormat="true" numFmtId="2" fillId="22" applyFill="true">
      <alignment horizontal="center" vertical="center"/>
    </xf>
    <xf fontId="15362" applyFont="true" borderId="8" applyBorder="true" applyNumberFormat="true" numFmtId="2" fillId="22" applyFill="true">
      <alignment horizontal="center" vertical="center"/>
    </xf>
    <xf fontId="15363" applyFont="true" borderId="8" applyBorder="true" applyNumberFormat="true" numFmtId="2" fillId="22" applyFill="true">
      <alignment horizontal="center" vertical="center"/>
    </xf>
    <xf fontId="15364" applyFont="true" borderId="8" applyBorder="true" applyNumberFormat="true" numFmtId="2" fillId="22" applyFill="true">
      <alignment horizontal="center" vertical="center"/>
    </xf>
    <xf fontId="15365" applyFont="true" borderId="8" applyBorder="true" applyNumberFormat="true" numFmtId="2" fillId="22" applyFill="true">
      <alignment horizontal="center" vertical="center"/>
    </xf>
    <xf fontId="15366" applyFont="true" borderId="8" applyBorder="true" applyNumberFormat="true" numFmtId="2" fillId="22" applyFill="true">
      <alignment horizontal="center" vertical="center"/>
    </xf>
    <xf fontId="15367" applyFont="true" borderId="8" applyBorder="true" applyNumberFormat="true" numFmtId="165" fillId="19" applyFill="true">
      <alignment horizontal="left" vertical="center"/>
    </xf>
    <xf fontId="15368" applyFont="true" borderId="8" applyBorder="true" applyNumberFormat="true" numFmtId="165" fillId="22" applyFill="true">
      <alignment horizontal="center" vertical="center"/>
    </xf>
    <xf fontId="15369" applyFont="true" borderId="8" applyBorder="true" applyNumberFormat="true" numFmtId="166" fillId="22" applyFill="true">
      <alignment horizontal="center" vertical="center"/>
    </xf>
    <xf fontId="15370" applyFont="true" borderId="8" applyBorder="true" applyNumberFormat="true" numFmtId="1" fillId="22" applyFill="true">
      <alignment horizontal="center" vertical="center"/>
    </xf>
    <xf fontId="15371" applyFont="true" borderId="8" applyBorder="true" applyNumberFormat="true" numFmtId="1" fillId="22" applyFill="true">
      <alignment horizontal="center" vertical="center"/>
    </xf>
    <xf fontId="15372" applyFont="true" borderId="8" applyBorder="true" applyNumberFormat="true" numFmtId="1" fillId="22" applyFill="true">
      <alignment horizontal="center" vertical="center"/>
    </xf>
    <xf fontId="15373" applyFont="true" borderId="8" applyBorder="true" applyNumberFormat="true" numFmtId="1" fillId="22" applyFill="true">
      <alignment horizontal="center" vertical="center"/>
    </xf>
    <xf fontId="15374" applyFont="true" borderId="8" applyBorder="true" applyNumberFormat="true" numFmtId="1" fillId="22" applyFill="true">
      <alignment horizontal="center" vertical="center"/>
    </xf>
    <xf fontId="15375" applyFont="true" borderId="8" applyBorder="true" applyNumberFormat="true" numFmtId="1" fillId="22" applyFill="true">
      <alignment horizontal="center" vertical="center"/>
    </xf>
    <xf fontId="15376" applyFont="true" borderId="8" applyBorder="true" applyNumberFormat="true" numFmtId="1" fillId="22" applyFill="true">
      <alignment horizontal="center" vertical="center"/>
    </xf>
    <xf fontId="15377" applyFont="true" borderId="8" applyBorder="true" applyNumberFormat="true" numFmtId="165" fillId="22" applyFill="true">
      <alignment horizontal="center" vertical="center"/>
    </xf>
    <xf fontId="15378" applyFont="true" borderId="8" applyBorder="true" applyNumberFormat="true" numFmtId="165" fillId="22" applyFill="true">
      <alignment horizontal="center" vertical="center"/>
    </xf>
    <xf fontId="15379" applyFont="true" borderId="8" applyBorder="true" applyNumberFormat="true" numFmtId="1" fillId="22" applyFill="true">
      <alignment horizontal="center" vertical="center"/>
    </xf>
    <xf fontId="15380" applyFont="true" borderId="8" applyBorder="true" applyNumberFormat="true" numFmtId="1" fillId="22" applyFill="true">
      <alignment horizontal="center" vertical="center"/>
    </xf>
    <xf fontId="15381" applyFont="true" borderId="8" applyBorder="true" applyNumberFormat="true" numFmtId="1" fillId="22" applyFill="true">
      <alignment horizontal="center" vertical="center"/>
    </xf>
    <xf fontId="15382" applyFont="true" borderId="8" applyBorder="true" applyNumberFormat="true" numFmtId="167" fillId="22" applyFill="true">
      <alignment horizontal="center" vertical="center"/>
    </xf>
    <xf fontId="15383" applyFont="true" borderId="8" applyBorder="true" applyNumberFormat="true" numFmtId="1" fillId="22" applyFill="true">
      <alignment horizontal="center" vertical="center"/>
    </xf>
    <xf fontId="15384" applyFont="true" borderId="8" applyBorder="true" applyNumberFormat="true" numFmtId="167" fillId="22" applyFill="true">
      <alignment horizontal="center" vertical="center"/>
    </xf>
    <xf fontId="15385" applyFont="true" borderId="8" applyBorder="true" applyNumberFormat="true" numFmtId="1" fillId="22" applyFill="true">
      <alignment horizontal="center" vertical="center"/>
    </xf>
    <xf fontId="15386" applyFont="true" borderId="8" applyBorder="true" applyNumberFormat="true" numFmtId="167" fillId="22" applyFill="true">
      <alignment horizontal="center" vertical="center"/>
    </xf>
    <xf fontId="15387" applyFont="true" borderId="8" applyBorder="true" applyNumberFormat="true" numFmtId="1" fillId="22" applyFill="true">
      <alignment horizontal="center" vertical="center"/>
    </xf>
    <xf fontId="15388" applyFont="true" borderId="8" applyBorder="true" applyNumberFormat="true" numFmtId="167" fillId="22" applyFill="true">
      <alignment horizontal="center" vertical="center"/>
    </xf>
    <xf fontId="15389" applyFont="true" borderId="8" applyBorder="true" applyNumberFormat="true" numFmtId="167" fillId="22" applyFill="true">
      <alignment horizontal="center" vertical="center"/>
    </xf>
    <xf fontId="15390" applyFont="true" borderId="8" applyBorder="true" applyNumberFormat="true" numFmtId="1" fillId="22" applyFill="true">
      <alignment horizontal="center" vertical="center"/>
    </xf>
    <xf fontId="15391" applyFont="true" borderId="8" applyBorder="true" applyNumberFormat="true" numFmtId="1" fillId="22" applyFill="true">
      <alignment horizontal="center" vertical="center"/>
    </xf>
    <xf fontId="15392" applyFont="true" borderId="8" applyBorder="true" applyNumberFormat="true" numFmtId="1" fillId="22" applyFill="true">
      <alignment horizontal="center" vertical="center"/>
    </xf>
    <xf fontId="15393" applyFont="true" borderId="8" applyBorder="true" applyNumberFormat="true" numFmtId="167" fillId="22" applyFill="true">
      <alignment horizontal="center" vertical="center"/>
    </xf>
    <xf fontId="15394" applyFont="true" borderId="8" applyBorder="true" applyNumberFormat="true" numFmtId="166" fillId="22" applyFill="true">
      <alignment horizontal="center" vertical="center"/>
    </xf>
    <xf fontId="15395" applyFont="true" borderId="8" applyBorder="true" applyNumberFormat="true" numFmtId="166" fillId="22" applyFill="true">
      <alignment horizontal="center" vertical="center"/>
    </xf>
    <xf fontId="15396" applyFont="true" borderId="8" applyBorder="true" applyNumberFormat="true" numFmtId="1" fillId="22" applyFill="true">
      <alignment horizontal="center" vertical="center"/>
    </xf>
    <xf fontId="15397" applyFont="true" borderId="8" applyBorder="true" applyNumberFormat="true" numFmtId="1" fillId="22" applyFill="true">
      <alignment horizontal="center" vertical="center"/>
    </xf>
    <xf fontId="15398" applyFont="true" borderId="8" applyBorder="true" applyNumberFormat="true" numFmtId="1" fillId="22" applyFill="true">
      <alignment horizontal="center" vertical="center"/>
    </xf>
    <xf fontId="15399" applyFont="true" borderId="8" applyBorder="true" applyNumberFormat="true" numFmtId="167" fillId="22" applyFill="true">
      <alignment horizontal="center" vertical="center"/>
    </xf>
    <xf fontId="15400" applyFont="true" borderId="8" applyBorder="true" applyNumberFormat="true" numFmtId="1" fillId="22" applyFill="true">
      <alignment horizontal="center" vertical="center"/>
    </xf>
    <xf fontId="15401" applyFont="true" borderId="8" applyBorder="true" applyNumberFormat="true" numFmtId="167" fillId="22" applyFill="true">
      <alignment horizontal="center" vertical="center"/>
    </xf>
    <xf fontId="15402" applyFont="true" borderId="8" applyBorder="true" applyNumberFormat="true" numFmtId="1" fillId="22" applyFill="true">
      <alignment horizontal="center" vertical="center"/>
    </xf>
    <xf fontId="15403" applyFont="true" borderId="8" applyBorder="true" applyNumberFormat="true" numFmtId="1" fillId="22" applyFill="true">
      <alignment horizontal="center" vertical="center"/>
    </xf>
    <xf fontId="15404" applyFont="true" borderId="8" applyBorder="true" applyNumberFormat="true" numFmtId="1" fillId="22" applyFill="true">
      <alignment horizontal="center" vertical="center"/>
    </xf>
    <xf fontId="15405" applyFont="true" borderId="8" applyBorder="true" applyNumberFormat="true" numFmtId="1" fillId="22" applyFill="true">
      <alignment horizontal="center" vertical="center"/>
    </xf>
    <xf fontId="15406" applyFont="true" borderId="8" applyBorder="true" applyNumberFormat="true" numFmtId="167" fillId="22" applyFill="true">
      <alignment horizontal="center" vertical="center"/>
    </xf>
    <xf fontId="15407" applyFont="true" borderId="8" applyBorder="true" applyNumberFormat="true" numFmtId="1" fillId="22" applyFill="true">
      <alignment horizontal="center" vertical="center"/>
    </xf>
    <xf fontId="15408" applyFont="true" borderId="8" applyBorder="true" applyNumberFormat="true" numFmtId="167" fillId="22" applyFill="true">
      <alignment horizontal="center" vertical="center"/>
    </xf>
    <xf fontId="15409" applyFont="true" borderId="8" applyBorder="true" applyNumberFormat="true" numFmtId="1" fillId="22" applyFill="true">
      <alignment horizontal="center" vertical="center"/>
    </xf>
    <xf fontId="15410" applyFont="true" borderId="8" applyBorder="true" applyNumberFormat="true" numFmtId="167" fillId="22" applyFill="true">
      <alignment horizontal="center" vertical="center"/>
    </xf>
    <xf fontId="15411" applyFont="true" borderId="8" applyBorder="true" applyNumberFormat="true" numFmtId="2" fillId="22" applyFill="true">
      <alignment horizontal="center" vertical="center"/>
    </xf>
    <xf fontId="15412" applyFont="true" borderId="8" applyBorder="true" applyNumberFormat="true" numFmtId="2" fillId="22" applyFill="true">
      <alignment horizontal="center" vertical="center"/>
    </xf>
    <xf fontId="15413" applyFont="true" borderId="8" applyBorder="true" applyNumberFormat="true" numFmtId="2" fillId="22" applyFill="true">
      <alignment horizontal="center" vertical="center"/>
    </xf>
    <xf fontId="15414" applyFont="true" borderId="8" applyBorder="true" applyNumberFormat="true" numFmtId="2" fillId="22" applyFill="true">
      <alignment horizontal="center" vertical="center"/>
    </xf>
    <xf fontId="15415" applyFont="true" borderId="8" applyBorder="true" applyNumberFormat="true" numFmtId="2" fillId="22" applyFill="true">
      <alignment horizontal="center" vertical="center"/>
    </xf>
    <xf fontId="15416" applyFont="true" borderId="8" applyBorder="true" applyNumberFormat="true" numFmtId="2" fillId="22" applyFill="true">
      <alignment horizontal="center" vertical="center"/>
    </xf>
    <xf fontId="15417" applyFont="true" borderId="8" applyBorder="true" applyNumberFormat="true" numFmtId="2" fillId="22" applyFill="true">
      <alignment horizontal="center" vertical="center"/>
    </xf>
    <xf fontId="15418" applyFont="true" borderId="8" applyBorder="true" applyNumberFormat="true" numFmtId="2" fillId="22" applyFill="true">
      <alignment horizontal="center" vertical="center"/>
    </xf>
    <xf fontId="15419" applyFont="true" borderId="8" applyBorder="true" applyNumberFormat="true" numFmtId="2" fillId="22" applyFill="true">
      <alignment horizontal="center" vertical="center"/>
    </xf>
    <xf fontId="15420" applyFont="true" borderId="8" applyBorder="true" applyNumberFormat="true" numFmtId="2" fillId="22" applyFill="true">
      <alignment horizontal="center" vertical="center"/>
    </xf>
    <xf fontId="15421" applyFont="true" borderId="8" applyBorder="true" applyNumberFormat="true" numFmtId="2" fillId="22" applyFill="true">
      <alignment horizontal="center" vertical="center"/>
    </xf>
    <xf fontId="15422" applyFont="true" borderId="8" applyBorder="true" applyNumberFormat="true" numFmtId="2" fillId="22" applyFill="true">
      <alignment horizontal="center" vertical="center"/>
    </xf>
    <xf fontId="15423" applyFont="true" borderId="8" applyBorder="true" applyNumberFormat="true" numFmtId="2" fillId="22" applyFill="true">
      <alignment horizontal="center" vertical="center"/>
    </xf>
    <xf fontId="15424" applyFont="true" borderId="8" applyBorder="true" applyNumberFormat="true" numFmtId="2" fillId="22" applyFill="true">
      <alignment horizontal="center" vertical="center"/>
    </xf>
    <xf fontId="15425" applyFont="true" borderId="8" applyBorder="true" applyNumberFormat="true" numFmtId="2" fillId="22" applyFill="true">
      <alignment horizontal="center" vertical="center"/>
    </xf>
    <xf fontId="15426" applyFont="true" borderId="8" applyBorder="true" applyNumberFormat="true" numFmtId="2" fillId="22" applyFill="true">
      <alignment horizontal="center" vertical="center"/>
    </xf>
    <xf fontId="15427" applyFont="true" borderId="8" applyBorder="true" applyNumberFormat="true" numFmtId="2" fillId="22" applyFill="true">
      <alignment horizontal="center" vertical="center"/>
    </xf>
    <xf fontId="15428" applyFont="true" borderId="8" applyBorder="true" applyNumberFormat="true" numFmtId="2" fillId="22" applyFill="true">
      <alignment horizontal="center" vertical="center"/>
    </xf>
    <xf fontId="15429" applyFont="true" borderId="8" applyBorder="true" applyNumberFormat="true" numFmtId="2" fillId="22" applyFill="true">
      <alignment horizontal="center" vertical="center"/>
    </xf>
    <xf fontId="15430" applyFont="true" borderId="8" applyBorder="true" applyNumberFormat="true" numFmtId="2" fillId="22" applyFill="true">
      <alignment horizontal="center" vertical="center"/>
    </xf>
    <xf fontId="15431" applyFont="true" borderId="8" applyBorder="true" applyNumberFormat="true" numFmtId="2" fillId="22" applyFill="true">
      <alignment horizontal="center" vertical="center"/>
    </xf>
    <xf fontId="15432" applyFont="true" borderId="8" applyBorder="true" applyNumberFormat="true" numFmtId="2" fillId="22" applyFill="true">
      <alignment horizontal="center" vertical="center"/>
    </xf>
    <xf fontId="15433" applyFont="true" borderId="8" applyBorder="true" applyNumberFormat="true" numFmtId="2" fillId="22" applyFill="true">
      <alignment horizontal="center" vertical="center"/>
    </xf>
    <xf fontId="15434" applyFont="true" borderId="8" applyBorder="true" applyNumberFormat="true" numFmtId="2" fillId="22" applyFill="true">
      <alignment horizontal="center" vertical="center"/>
    </xf>
    <xf fontId="15435" applyFont="true" borderId="8" applyBorder="true" applyNumberFormat="true" numFmtId="2" fillId="22" applyFill="true">
      <alignment horizontal="center" vertical="center"/>
    </xf>
    <xf fontId="15436" applyFont="true" borderId="8" applyBorder="true" applyNumberFormat="true" numFmtId="2" fillId="22" applyFill="true">
      <alignment horizontal="center" vertical="center"/>
    </xf>
    <xf fontId="15437" applyFont="true" borderId="8" applyBorder="true" applyNumberFormat="true" numFmtId="2" fillId="22" applyFill="true">
      <alignment horizontal="center" vertical="center"/>
    </xf>
    <xf fontId="15438" applyFont="true" borderId="8" applyBorder="true" applyNumberFormat="true" numFmtId="2" fillId="22" applyFill="true">
      <alignment horizontal="center" vertical="center"/>
    </xf>
    <xf fontId="15439" applyFont="true" borderId="8" applyBorder="true" applyNumberFormat="true" numFmtId="2" fillId="22" applyFill="true">
      <alignment horizontal="center" vertical="center"/>
    </xf>
    <xf fontId="15440" applyFont="true" borderId="8" applyBorder="true" applyNumberFormat="true" numFmtId="2" fillId="22" applyFill="true">
      <alignment horizontal="center" vertical="center"/>
    </xf>
    <xf fontId="15441" applyFont="true" borderId="8" applyBorder="true" applyNumberFormat="true" numFmtId="2" fillId="22" applyFill="true">
      <alignment horizontal="center" vertical="center"/>
    </xf>
    <xf fontId="15442" applyFont="true" borderId="8" applyBorder="true" applyNumberFormat="true" numFmtId="2" fillId="22" applyFill="true">
      <alignment horizontal="center" vertical="center"/>
    </xf>
    <xf fontId="15443" applyFont="true" borderId="8" applyBorder="true" applyNumberFormat="true" numFmtId="2" fillId="22" applyFill="true">
      <alignment horizontal="center" vertical="center"/>
    </xf>
    <xf fontId="15444" applyFont="true" borderId="8" applyBorder="true" applyNumberFormat="true" numFmtId="2" fillId="22" applyFill="true">
      <alignment horizontal="center" vertical="center"/>
    </xf>
    <xf fontId="15445" applyFont="true" borderId="8" applyBorder="true" applyNumberFormat="true" numFmtId="165" fillId="19" applyFill="true">
      <alignment horizontal="left" vertical="center"/>
    </xf>
    <xf fontId="15446" applyFont="true" borderId="8" applyBorder="true" applyNumberFormat="true" numFmtId="165" fillId="22" applyFill="true">
      <alignment horizontal="center" vertical="center"/>
    </xf>
    <xf fontId="15447" applyFont="true" borderId="8" applyBorder="true" applyNumberFormat="true" numFmtId="166" fillId="22" applyFill="true">
      <alignment horizontal="center" vertical="center"/>
    </xf>
    <xf fontId="15448" applyFont="true" borderId="8" applyBorder="true" applyNumberFormat="true" numFmtId="1" fillId="22" applyFill="true">
      <alignment horizontal="center" vertical="center"/>
    </xf>
    <xf fontId="15449" applyFont="true" borderId="8" applyBorder="true" applyNumberFormat="true" numFmtId="1" fillId="22" applyFill="true">
      <alignment horizontal="center" vertical="center"/>
    </xf>
    <xf fontId="15450" applyFont="true" borderId="8" applyBorder="true" applyNumberFormat="true" numFmtId="1" fillId="22" applyFill="true">
      <alignment horizontal="center" vertical="center"/>
    </xf>
    <xf fontId="15451" applyFont="true" borderId="8" applyBorder="true" applyNumberFormat="true" numFmtId="1" fillId="22" applyFill="true">
      <alignment horizontal="center" vertical="center"/>
    </xf>
    <xf fontId="15452" applyFont="true" borderId="8" applyBorder="true" applyNumberFormat="true" numFmtId="1" fillId="22" applyFill="true">
      <alignment horizontal="center" vertical="center"/>
    </xf>
    <xf fontId="15453" applyFont="true" borderId="8" applyBorder="true" applyNumberFormat="true" numFmtId="1" fillId="22" applyFill="true">
      <alignment horizontal="center" vertical="center"/>
    </xf>
    <xf fontId="15454" applyFont="true" borderId="8" applyBorder="true" applyNumberFormat="true" numFmtId="1" fillId="22" applyFill="true">
      <alignment horizontal="center" vertical="center"/>
    </xf>
    <xf fontId="15455" applyFont="true" borderId="8" applyBorder="true" applyNumberFormat="true" numFmtId="165" fillId="22" applyFill="true">
      <alignment horizontal="center" vertical="center"/>
    </xf>
    <xf fontId="15456" applyFont="true" borderId="8" applyBorder="true" applyNumberFormat="true" numFmtId="165" fillId="22" applyFill="true">
      <alignment horizontal="center" vertical="center"/>
    </xf>
    <xf fontId="15457" applyFont="true" borderId="8" applyBorder="true" applyNumberFormat="true" numFmtId="1" fillId="22" applyFill="true">
      <alignment horizontal="center" vertical="center"/>
    </xf>
    <xf fontId="15458" applyFont="true" borderId="8" applyBorder="true" applyNumberFormat="true" numFmtId="1" fillId="22" applyFill="true">
      <alignment horizontal="center" vertical="center"/>
    </xf>
    <xf fontId="15459" applyFont="true" borderId="8" applyBorder="true" applyNumberFormat="true" numFmtId="1" fillId="22" applyFill="true">
      <alignment horizontal="center" vertical="center"/>
    </xf>
    <xf fontId="15460" applyFont="true" borderId="8" applyBorder="true" applyNumberFormat="true" numFmtId="167" fillId="22" applyFill="true">
      <alignment horizontal="center" vertical="center"/>
    </xf>
    <xf fontId="15461" applyFont="true" borderId="8" applyBorder="true" applyNumberFormat="true" numFmtId="1" fillId="22" applyFill="true">
      <alignment horizontal="center" vertical="center"/>
    </xf>
    <xf fontId="15462" applyFont="true" borderId="8" applyBorder="true" applyNumberFormat="true" numFmtId="167" fillId="22" applyFill="true">
      <alignment horizontal="center" vertical="center"/>
    </xf>
    <xf fontId="15463" applyFont="true" borderId="8" applyBorder="true" applyNumberFormat="true" numFmtId="1" fillId="22" applyFill="true">
      <alignment horizontal="center" vertical="center"/>
    </xf>
    <xf fontId="15464" applyFont="true" borderId="8" applyBorder="true" applyNumberFormat="true" numFmtId="167" fillId="22" applyFill="true">
      <alignment horizontal="center" vertical="center"/>
    </xf>
    <xf fontId="15465" applyFont="true" borderId="8" applyBorder="true" applyNumberFormat="true" numFmtId="1" fillId="22" applyFill="true">
      <alignment horizontal="center" vertical="center"/>
    </xf>
    <xf fontId="15466" applyFont="true" borderId="8" applyBorder="true" applyNumberFormat="true" numFmtId="167" fillId="22" applyFill="true">
      <alignment horizontal="center" vertical="center"/>
    </xf>
    <xf fontId="15467" applyFont="true" borderId="8" applyBorder="true" applyNumberFormat="true" numFmtId="167" fillId="22" applyFill="true">
      <alignment horizontal="center" vertical="center"/>
    </xf>
    <xf fontId="15468" applyFont="true" borderId="8" applyBorder="true" applyNumberFormat="true" numFmtId="1" fillId="22" applyFill="true">
      <alignment horizontal="center" vertical="center"/>
    </xf>
    <xf fontId="15469" applyFont="true" borderId="8" applyBorder="true" applyNumberFormat="true" numFmtId="1" fillId="22" applyFill="true">
      <alignment horizontal="center" vertical="center"/>
    </xf>
    <xf fontId="15470" applyFont="true" borderId="8" applyBorder="true" applyNumberFormat="true" numFmtId="1" fillId="22" applyFill="true">
      <alignment horizontal="center" vertical="center"/>
    </xf>
    <xf fontId="15471" applyFont="true" borderId="8" applyBorder="true" applyNumberFormat="true" numFmtId="167" fillId="22" applyFill="true">
      <alignment horizontal="center" vertical="center"/>
    </xf>
    <xf fontId="15472" applyFont="true" borderId="8" applyBorder="true" applyNumberFormat="true" numFmtId="166" fillId="22" applyFill="true">
      <alignment horizontal="center" vertical="center"/>
    </xf>
    <xf fontId="15473" applyFont="true" borderId="8" applyBorder="true" applyNumberFormat="true" numFmtId="166" fillId="22" applyFill="true">
      <alignment horizontal="center" vertical="center"/>
    </xf>
    <xf fontId="15474" applyFont="true" borderId="8" applyBorder="true" applyNumberFormat="true" numFmtId="1" fillId="22" applyFill="true">
      <alignment horizontal="center" vertical="center"/>
    </xf>
    <xf fontId="15475" applyFont="true" borderId="8" applyBorder="true" applyNumberFormat="true" numFmtId="1" fillId="22" applyFill="true">
      <alignment horizontal="center" vertical="center"/>
    </xf>
    <xf fontId="15476" applyFont="true" borderId="8" applyBorder="true" applyNumberFormat="true" numFmtId="1" fillId="22" applyFill="true">
      <alignment horizontal="center" vertical="center"/>
    </xf>
    <xf fontId="15477" applyFont="true" borderId="8" applyBorder="true" applyNumberFormat="true" numFmtId="167" fillId="22" applyFill="true">
      <alignment horizontal="center" vertical="center"/>
    </xf>
    <xf fontId="15478" applyFont="true" borderId="8" applyBorder="true" applyNumberFormat="true" numFmtId="1" fillId="22" applyFill="true">
      <alignment horizontal="center" vertical="center"/>
    </xf>
    <xf fontId="15479" applyFont="true" borderId="8" applyBorder="true" applyNumberFormat="true" numFmtId="167" fillId="22" applyFill="true">
      <alignment horizontal="center" vertical="center"/>
    </xf>
    <xf fontId="15480" applyFont="true" borderId="8" applyBorder="true" applyNumberFormat="true" numFmtId="1" fillId="22" applyFill="true">
      <alignment horizontal="center" vertical="center"/>
    </xf>
    <xf fontId="15481" applyFont="true" borderId="8" applyBorder="true" applyNumberFormat="true" numFmtId="1" fillId="22" applyFill="true">
      <alignment horizontal="center" vertical="center"/>
    </xf>
    <xf fontId="15482" applyFont="true" borderId="8" applyBorder="true" applyNumberFormat="true" numFmtId="1" fillId="22" applyFill="true">
      <alignment horizontal="center" vertical="center"/>
    </xf>
    <xf fontId="15483" applyFont="true" borderId="8" applyBorder="true" applyNumberFormat="true" numFmtId="1" fillId="22" applyFill="true">
      <alignment horizontal="center" vertical="center"/>
    </xf>
    <xf fontId="15484" applyFont="true" borderId="8" applyBorder="true" applyNumberFormat="true" numFmtId="167" fillId="22" applyFill="true">
      <alignment horizontal="center" vertical="center"/>
    </xf>
    <xf fontId="15485" applyFont="true" borderId="8" applyBorder="true" applyNumberFormat="true" numFmtId="1" fillId="22" applyFill="true">
      <alignment horizontal="center" vertical="center"/>
    </xf>
    <xf fontId="15486" applyFont="true" borderId="8" applyBorder="true" applyNumberFormat="true" numFmtId="167" fillId="22" applyFill="true">
      <alignment horizontal="center" vertical="center"/>
    </xf>
    <xf fontId="15487" applyFont="true" borderId="8" applyBorder="true" applyNumberFormat="true" numFmtId="1" fillId="22" applyFill="true">
      <alignment horizontal="center" vertical="center"/>
    </xf>
    <xf fontId="15488" applyFont="true" borderId="8" applyBorder="true" applyNumberFormat="true" numFmtId="167" fillId="22" applyFill="true">
      <alignment horizontal="center" vertical="center"/>
    </xf>
    <xf fontId="15489" applyFont="true" borderId="8" applyBorder="true" applyNumberFormat="true" numFmtId="2" fillId="22" applyFill="true">
      <alignment horizontal="center" vertical="center"/>
    </xf>
    <xf fontId="15490" applyFont="true" borderId="8" applyBorder="true" applyNumberFormat="true" numFmtId="2" fillId="22" applyFill="true">
      <alignment horizontal="center" vertical="center"/>
    </xf>
    <xf fontId="15491" applyFont="true" borderId="8" applyBorder="true" applyNumberFormat="true" numFmtId="2" fillId="22" applyFill="true">
      <alignment horizontal="center" vertical="center"/>
    </xf>
    <xf fontId="15492" applyFont="true" borderId="8" applyBorder="true" applyNumberFormat="true" numFmtId="2" fillId="22" applyFill="true">
      <alignment horizontal="center" vertical="center"/>
    </xf>
    <xf fontId="15493" applyFont="true" borderId="8" applyBorder="true" applyNumberFormat="true" numFmtId="2" fillId="22" applyFill="true">
      <alignment horizontal="center" vertical="center"/>
    </xf>
    <xf fontId="15494" applyFont="true" borderId="8" applyBorder="true" applyNumberFormat="true" numFmtId="2" fillId="22" applyFill="true">
      <alignment horizontal="center" vertical="center"/>
    </xf>
    <xf fontId="15495" applyFont="true" borderId="8" applyBorder="true" applyNumberFormat="true" numFmtId="2" fillId="22" applyFill="true">
      <alignment horizontal="center" vertical="center"/>
    </xf>
    <xf fontId="15496" applyFont="true" borderId="8" applyBorder="true" applyNumberFormat="true" numFmtId="2" fillId="22" applyFill="true">
      <alignment horizontal="center" vertical="center"/>
    </xf>
    <xf fontId="15497" applyFont="true" borderId="8" applyBorder="true" applyNumberFormat="true" numFmtId="2" fillId="22" applyFill="true">
      <alignment horizontal="center" vertical="center"/>
    </xf>
    <xf fontId="15498" applyFont="true" borderId="8" applyBorder="true" applyNumberFormat="true" numFmtId="2" fillId="22" applyFill="true">
      <alignment horizontal="center" vertical="center"/>
    </xf>
    <xf fontId="15499" applyFont="true" borderId="8" applyBorder="true" applyNumberFormat="true" numFmtId="2" fillId="22" applyFill="true">
      <alignment horizontal="center" vertical="center"/>
    </xf>
    <xf fontId="15500" applyFont="true" borderId="8" applyBorder="true" applyNumberFormat="true" numFmtId="2" fillId="22" applyFill="true">
      <alignment horizontal="center" vertical="center"/>
    </xf>
    <xf fontId="15501" applyFont="true" borderId="8" applyBorder="true" applyNumberFormat="true" numFmtId="2" fillId="22" applyFill="true">
      <alignment horizontal="center" vertical="center"/>
    </xf>
    <xf fontId="15502" applyFont="true" borderId="8" applyBorder="true" applyNumberFormat="true" numFmtId="2" fillId="22" applyFill="true">
      <alignment horizontal="center" vertical="center"/>
    </xf>
    <xf fontId="15503" applyFont="true" borderId="8" applyBorder="true" applyNumberFormat="true" numFmtId="2" fillId="22" applyFill="true">
      <alignment horizontal="center" vertical="center"/>
    </xf>
    <xf fontId="15504" applyFont="true" borderId="8" applyBorder="true" applyNumberFormat="true" numFmtId="2" fillId="22" applyFill="true">
      <alignment horizontal="center" vertical="center"/>
    </xf>
    <xf fontId="15505" applyFont="true" borderId="8" applyBorder="true" applyNumberFormat="true" numFmtId="2" fillId="22" applyFill="true">
      <alignment horizontal="center" vertical="center"/>
    </xf>
    <xf fontId="15506" applyFont="true" borderId="8" applyBorder="true" applyNumberFormat="true" numFmtId="2" fillId="22" applyFill="true">
      <alignment horizontal="center" vertical="center"/>
    </xf>
    <xf fontId="15507" applyFont="true" borderId="8" applyBorder="true" applyNumberFormat="true" numFmtId="2" fillId="22" applyFill="true">
      <alignment horizontal="center" vertical="center"/>
    </xf>
    <xf fontId="15508" applyFont="true" borderId="8" applyBorder="true" applyNumberFormat="true" numFmtId="2" fillId="22" applyFill="true">
      <alignment horizontal="center" vertical="center"/>
    </xf>
    <xf fontId="15509" applyFont="true" borderId="8" applyBorder="true" applyNumberFormat="true" numFmtId="2" fillId="22" applyFill="true">
      <alignment horizontal="center" vertical="center"/>
    </xf>
    <xf fontId="15510" applyFont="true" borderId="8" applyBorder="true" applyNumberFormat="true" numFmtId="2" fillId="22" applyFill="true">
      <alignment horizontal="center" vertical="center"/>
    </xf>
    <xf fontId="15511" applyFont="true" borderId="8" applyBorder="true" applyNumberFormat="true" numFmtId="2" fillId="22" applyFill="true">
      <alignment horizontal="center" vertical="center"/>
    </xf>
    <xf fontId="15512" applyFont="true" borderId="8" applyBorder="true" applyNumberFormat="true" numFmtId="2" fillId="22" applyFill="true">
      <alignment horizontal="center" vertical="center"/>
    </xf>
    <xf fontId="15513" applyFont="true" borderId="8" applyBorder="true" applyNumberFormat="true" numFmtId="2" fillId="22" applyFill="true">
      <alignment horizontal="center" vertical="center"/>
    </xf>
    <xf fontId="15514" applyFont="true" borderId="8" applyBorder="true" applyNumberFormat="true" numFmtId="2" fillId="22" applyFill="true">
      <alignment horizontal="center" vertical="center"/>
    </xf>
    <xf fontId="15515" applyFont="true" borderId="8" applyBorder="true" applyNumberFormat="true" numFmtId="2" fillId="22" applyFill="true">
      <alignment horizontal="center" vertical="center"/>
    </xf>
    <xf fontId="15516" applyFont="true" borderId="8" applyBorder="true" applyNumberFormat="true" numFmtId="2" fillId="22" applyFill="true">
      <alignment horizontal="center" vertical="center"/>
    </xf>
    <xf fontId="15517" applyFont="true" borderId="8" applyBorder="true" applyNumberFormat="true" numFmtId="2" fillId="22" applyFill="true">
      <alignment horizontal="center" vertical="center"/>
    </xf>
    <xf fontId="15518" applyFont="true" borderId="8" applyBorder="true" applyNumberFormat="true" numFmtId="2" fillId="22" applyFill="true">
      <alignment horizontal="center" vertical="center"/>
    </xf>
    <xf fontId="15519" applyFont="true" borderId="8" applyBorder="true" applyNumberFormat="true" numFmtId="2" fillId="22" applyFill="true">
      <alignment horizontal="center" vertical="center"/>
    </xf>
    <xf fontId="15520" applyFont="true" borderId="8" applyBorder="true" applyNumberFormat="true" numFmtId="2" fillId="22" applyFill="true">
      <alignment horizontal="center" vertical="center"/>
    </xf>
    <xf fontId="15521" applyFont="true" borderId="8" applyBorder="true" applyNumberFormat="true" numFmtId="2" fillId="22" applyFill="true">
      <alignment horizontal="center" vertical="center"/>
    </xf>
    <xf fontId="15522" applyFont="true" borderId="8" applyBorder="true" applyNumberFormat="true" numFmtId="2" fillId="22" applyFill="true">
      <alignment horizontal="center" vertical="center"/>
    </xf>
    <xf fontId="15523" applyFont="true" borderId="8" applyBorder="true" applyNumberFormat="true" numFmtId="165" fillId="19" applyFill="true">
      <alignment horizontal="left" vertical="center"/>
    </xf>
    <xf fontId="15524" applyFont="true" borderId="8" applyBorder="true" applyNumberFormat="true" numFmtId="165" fillId="22" applyFill="true">
      <alignment horizontal="center" vertical="center"/>
    </xf>
    <xf fontId="15525" applyFont="true" borderId="8" applyBorder="true" applyNumberFormat="true" numFmtId="166" fillId="22" applyFill="true">
      <alignment horizontal="center" vertical="center"/>
    </xf>
    <xf fontId="15526" applyFont="true" borderId="8" applyBorder="true" applyNumberFormat="true" numFmtId="1" fillId="22" applyFill="true">
      <alignment horizontal="center" vertical="center"/>
    </xf>
    <xf fontId="15527" applyFont="true" borderId="8" applyBorder="true" applyNumberFormat="true" numFmtId="1" fillId="22" applyFill="true">
      <alignment horizontal="center" vertical="center"/>
    </xf>
    <xf fontId="15528" applyFont="true" borderId="8" applyBorder="true" applyNumberFormat="true" numFmtId="1" fillId="22" applyFill="true">
      <alignment horizontal="center" vertical="center"/>
    </xf>
    <xf fontId="15529" applyFont="true" borderId="8" applyBorder="true" applyNumberFormat="true" numFmtId="1" fillId="22" applyFill="true">
      <alignment horizontal="center" vertical="center"/>
    </xf>
    <xf fontId="15530" applyFont="true" borderId="8" applyBorder="true" applyNumberFormat="true" numFmtId="1" fillId="22" applyFill="true">
      <alignment horizontal="center" vertical="center"/>
    </xf>
    <xf fontId="15531" applyFont="true" borderId="8" applyBorder="true" applyNumberFormat="true" numFmtId="1" fillId="22" applyFill="true">
      <alignment horizontal="center" vertical="center"/>
    </xf>
    <xf fontId="15532" applyFont="true" borderId="8" applyBorder="true" applyNumberFormat="true" numFmtId="1" fillId="22" applyFill="true">
      <alignment horizontal="center" vertical="center"/>
    </xf>
    <xf fontId="15533" applyFont="true" borderId="8" applyBorder="true" applyNumberFormat="true" numFmtId="165" fillId="22" applyFill="true">
      <alignment horizontal="center" vertical="center"/>
    </xf>
    <xf fontId="15534" applyFont="true" borderId="8" applyBorder="true" applyNumberFormat="true" numFmtId="165" fillId="22" applyFill="true">
      <alignment horizontal="center" vertical="center"/>
    </xf>
    <xf fontId="15535" applyFont="true" borderId="8" applyBorder="true" applyNumberFormat="true" numFmtId="1" fillId="22" applyFill="true">
      <alignment horizontal="center" vertical="center"/>
    </xf>
    <xf fontId="15536" applyFont="true" borderId="8" applyBorder="true" applyNumberFormat="true" numFmtId="1" fillId="22" applyFill="true">
      <alignment horizontal="center" vertical="center"/>
    </xf>
    <xf fontId="15537" applyFont="true" borderId="8" applyBorder="true" applyNumberFormat="true" numFmtId="1" fillId="22" applyFill="true">
      <alignment horizontal="center" vertical="center"/>
    </xf>
    <xf fontId="15538" applyFont="true" borderId="8" applyBorder="true" applyNumberFormat="true" numFmtId="167" fillId="22" applyFill="true">
      <alignment horizontal="center" vertical="center"/>
    </xf>
    <xf fontId="15539" applyFont="true" borderId="8" applyBorder="true" applyNumberFormat="true" numFmtId="1" fillId="22" applyFill="true">
      <alignment horizontal="center" vertical="center"/>
    </xf>
    <xf fontId="15540" applyFont="true" borderId="8" applyBorder="true" applyNumberFormat="true" numFmtId="167" fillId="22" applyFill="true">
      <alignment horizontal="center" vertical="center"/>
    </xf>
    <xf fontId="15541" applyFont="true" borderId="8" applyBorder="true" applyNumberFormat="true" numFmtId="1" fillId="22" applyFill="true">
      <alignment horizontal="center" vertical="center"/>
    </xf>
    <xf fontId="15542" applyFont="true" borderId="8" applyBorder="true" applyNumberFormat="true" numFmtId="167" fillId="22" applyFill="true">
      <alignment horizontal="center" vertical="center"/>
    </xf>
    <xf fontId="15543" applyFont="true" borderId="8" applyBorder="true" applyNumberFormat="true" numFmtId="1" fillId="22" applyFill="true">
      <alignment horizontal="center" vertical="center"/>
    </xf>
    <xf fontId="15544" applyFont="true" borderId="8" applyBorder="true" applyNumberFormat="true" numFmtId="167" fillId="22" applyFill="true">
      <alignment horizontal="center" vertical="center"/>
    </xf>
    <xf fontId="15545" applyFont="true" borderId="8" applyBorder="true" applyNumberFormat="true" numFmtId="167" fillId="22" applyFill="true">
      <alignment horizontal="center" vertical="center"/>
    </xf>
    <xf fontId="15546" applyFont="true" borderId="8" applyBorder="true" applyNumberFormat="true" numFmtId="1" fillId="22" applyFill="true">
      <alignment horizontal="center" vertical="center"/>
    </xf>
    <xf fontId="15547" applyFont="true" borderId="8" applyBorder="true" applyNumberFormat="true" numFmtId="1" fillId="22" applyFill="true">
      <alignment horizontal="center" vertical="center"/>
    </xf>
    <xf fontId="15548" applyFont="true" borderId="8" applyBorder="true" applyNumberFormat="true" numFmtId="1" fillId="22" applyFill="true">
      <alignment horizontal="center" vertical="center"/>
    </xf>
    <xf fontId="15549" applyFont="true" borderId="8" applyBorder="true" applyNumberFormat="true" numFmtId="167" fillId="22" applyFill="true">
      <alignment horizontal="center" vertical="center"/>
    </xf>
    <xf fontId="15550" applyFont="true" borderId="8" applyBorder="true" applyNumberFormat="true" numFmtId="166" fillId="22" applyFill="true">
      <alignment horizontal="center" vertical="center"/>
    </xf>
    <xf fontId="15551" applyFont="true" borderId="8" applyBorder="true" applyNumberFormat="true" numFmtId="166" fillId="22" applyFill="true">
      <alignment horizontal="center" vertical="center"/>
    </xf>
    <xf fontId="15552" applyFont="true" borderId="8" applyBorder="true" applyNumberFormat="true" numFmtId="1" fillId="22" applyFill="true">
      <alignment horizontal="center" vertical="center"/>
    </xf>
    <xf fontId="15553" applyFont="true" borderId="8" applyBorder="true" applyNumberFormat="true" numFmtId="1" fillId="22" applyFill="true">
      <alignment horizontal="center" vertical="center"/>
    </xf>
    <xf fontId="15554" applyFont="true" borderId="8" applyBorder="true" applyNumberFormat="true" numFmtId="1" fillId="22" applyFill="true">
      <alignment horizontal="center" vertical="center"/>
    </xf>
    <xf fontId="15555" applyFont="true" borderId="8" applyBorder="true" applyNumberFormat="true" numFmtId="167" fillId="22" applyFill="true">
      <alignment horizontal="center" vertical="center"/>
    </xf>
    <xf fontId="15556" applyFont="true" borderId="8" applyBorder="true" applyNumberFormat="true" numFmtId="1" fillId="22" applyFill="true">
      <alignment horizontal="center" vertical="center"/>
    </xf>
    <xf fontId="15557" applyFont="true" borderId="8" applyBorder="true" applyNumberFormat="true" numFmtId="167" fillId="22" applyFill="true">
      <alignment horizontal="center" vertical="center"/>
    </xf>
    <xf fontId="15558" applyFont="true" borderId="8" applyBorder="true" applyNumberFormat="true" numFmtId="1" fillId="22" applyFill="true">
      <alignment horizontal="center" vertical="center"/>
    </xf>
    <xf fontId="15559" applyFont="true" borderId="8" applyBorder="true" applyNumberFormat="true" numFmtId="1" fillId="22" applyFill="true">
      <alignment horizontal="center" vertical="center"/>
    </xf>
    <xf fontId="15560" applyFont="true" borderId="8" applyBorder="true" applyNumberFormat="true" numFmtId="1" fillId="22" applyFill="true">
      <alignment horizontal="center" vertical="center"/>
    </xf>
    <xf fontId="15561" applyFont="true" borderId="8" applyBorder="true" applyNumberFormat="true" numFmtId="1" fillId="22" applyFill="true">
      <alignment horizontal="center" vertical="center"/>
    </xf>
    <xf fontId="15562" applyFont="true" borderId="8" applyBorder="true" applyNumberFormat="true" numFmtId="167" fillId="22" applyFill="true">
      <alignment horizontal="center" vertical="center"/>
    </xf>
    <xf fontId="15563" applyFont="true" borderId="8" applyBorder="true" applyNumberFormat="true" numFmtId="1" fillId="22" applyFill="true">
      <alignment horizontal="center" vertical="center"/>
    </xf>
    <xf fontId="15564" applyFont="true" borderId="8" applyBorder="true" applyNumberFormat="true" numFmtId="167" fillId="22" applyFill="true">
      <alignment horizontal="center" vertical="center"/>
    </xf>
    <xf fontId="15565" applyFont="true" borderId="8" applyBorder="true" applyNumberFormat="true" numFmtId="1" fillId="22" applyFill="true">
      <alignment horizontal="center" vertical="center"/>
    </xf>
    <xf fontId="15566" applyFont="true" borderId="8" applyBorder="true" applyNumberFormat="true" numFmtId="167" fillId="22" applyFill="true">
      <alignment horizontal="center" vertical="center"/>
    </xf>
    <xf fontId="15567" applyFont="true" borderId="8" applyBorder="true" applyNumberFormat="true" numFmtId="2" fillId="22" applyFill="true">
      <alignment horizontal="center" vertical="center"/>
    </xf>
    <xf fontId="15568" applyFont="true" borderId="8" applyBorder="true" applyNumberFormat="true" numFmtId="2" fillId="22" applyFill="true">
      <alignment horizontal="center" vertical="center"/>
    </xf>
    <xf fontId="15569" applyFont="true" borderId="8" applyBorder="true" applyNumberFormat="true" numFmtId="2" fillId="22" applyFill="true">
      <alignment horizontal="center" vertical="center"/>
    </xf>
    <xf fontId="15570" applyFont="true" borderId="8" applyBorder="true" applyNumberFormat="true" numFmtId="2" fillId="22" applyFill="true">
      <alignment horizontal="center" vertical="center"/>
    </xf>
    <xf fontId="15571" applyFont="true" borderId="8" applyBorder="true" applyNumberFormat="true" numFmtId="2" fillId="22" applyFill="true">
      <alignment horizontal="center" vertical="center"/>
    </xf>
    <xf fontId="15572" applyFont="true" borderId="8" applyBorder="true" applyNumberFormat="true" numFmtId="2" fillId="22" applyFill="true">
      <alignment horizontal="center" vertical="center"/>
    </xf>
    <xf fontId="15573" applyFont="true" borderId="8" applyBorder="true" applyNumberFormat="true" numFmtId="2" fillId="22" applyFill="true">
      <alignment horizontal="center" vertical="center"/>
    </xf>
    <xf fontId="15574" applyFont="true" borderId="8" applyBorder="true" applyNumberFormat="true" numFmtId="2" fillId="22" applyFill="true">
      <alignment horizontal="center" vertical="center"/>
    </xf>
    <xf fontId="15575" applyFont="true" borderId="8" applyBorder="true" applyNumberFormat="true" numFmtId="2" fillId="22" applyFill="true">
      <alignment horizontal="center" vertical="center"/>
    </xf>
    <xf fontId="15576" applyFont="true" borderId="8" applyBorder="true" applyNumberFormat="true" numFmtId="2" fillId="22" applyFill="true">
      <alignment horizontal="center" vertical="center"/>
    </xf>
    <xf fontId="15577" applyFont="true" borderId="8" applyBorder="true" applyNumberFormat="true" numFmtId="2" fillId="22" applyFill="true">
      <alignment horizontal="center" vertical="center"/>
    </xf>
    <xf fontId="15578" applyFont="true" borderId="8" applyBorder="true" applyNumberFormat="true" numFmtId="2" fillId="22" applyFill="true">
      <alignment horizontal="center" vertical="center"/>
    </xf>
    <xf fontId="15579" applyFont="true" borderId="8" applyBorder="true" applyNumberFormat="true" numFmtId="2" fillId="22" applyFill="true">
      <alignment horizontal="center" vertical="center"/>
    </xf>
    <xf fontId="15580" applyFont="true" borderId="8" applyBorder="true" applyNumberFormat="true" numFmtId="2" fillId="22" applyFill="true">
      <alignment horizontal="center" vertical="center"/>
    </xf>
    <xf fontId="15581" applyFont="true" borderId="8" applyBorder="true" applyNumberFormat="true" numFmtId="2" fillId="22" applyFill="true">
      <alignment horizontal="center" vertical="center"/>
    </xf>
    <xf fontId="15582" applyFont="true" borderId="8" applyBorder="true" applyNumberFormat="true" numFmtId="2" fillId="22" applyFill="true">
      <alignment horizontal="center" vertical="center"/>
    </xf>
    <xf fontId="15583" applyFont="true" borderId="8" applyBorder="true" applyNumberFormat="true" numFmtId="2" fillId="22" applyFill="true">
      <alignment horizontal="center" vertical="center"/>
    </xf>
    <xf fontId="15584" applyFont="true" borderId="8" applyBorder="true" applyNumberFormat="true" numFmtId="2" fillId="22" applyFill="true">
      <alignment horizontal="center" vertical="center"/>
    </xf>
    <xf fontId="15585" applyFont="true" borderId="8" applyBorder="true" applyNumberFormat="true" numFmtId="2" fillId="22" applyFill="true">
      <alignment horizontal="center" vertical="center"/>
    </xf>
    <xf fontId="15586" applyFont="true" borderId="8" applyBorder="true" applyNumberFormat="true" numFmtId="2" fillId="22" applyFill="true">
      <alignment horizontal="center" vertical="center"/>
    </xf>
    <xf fontId="15587" applyFont="true" borderId="8" applyBorder="true" applyNumberFormat="true" numFmtId="2" fillId="22" applyFill="true">
      <alignment horizontal="center" vertical="center"/>
    </xf>
    <xf fontId="15588" applyFont="true" borderId="8" applyBorder="true" applyNumberFormat="true" numFmtId="2" fillId="22" applyFill="true">
      <alignment horizontal="center" vertical="center"/>
    </xf>
    <xf fontId="15589" applyFont="true" borderId="8" applyBorder="true" applyNumberFormat="true" numFmtId="2" fillId="22" applyFill="true">
      <alignment horizontal="center" vertical="center"/>
    </xf>
    <xf fontId="15590" applyFont="true" borderId="8" applyBorder="true" applyNumberFormat="true" numFmtId="2" fillId="22" applyFill="true">
      <alignment horizontal="center" vertical="center"/>
    </xf>
    <xf fontId="15591" applyFont="true" borderId="8" applyBorder="true" applyNumberFormat="true" numFmtId="2" fillId="22" applyFill="true">
      <alignment horizontal="center" vertical="center"/>
    </xf>
    <xf fontId="15592" applyFont="true" borderId="8" applyBorder="true" applyNumberFormat="true" numFmtId="2" fillId="22" applyFill="true">
      <alignment horizontal="center" vertical="center"/>
    </xf>
    <xf fontId="15593" applyFont="true" borderId="8" applyBorder="true" applyNumberFormat="true" numFmtId="2" fillId="22" applyFill="true">
      <alignment horizontal="center" vertical="center"/>
    </xf>
    <xf fontId="15594" applyFont="true" borderId="8" applyBorder="true" applyNumberFormat="true" numFmtId="2" fillId="22" applyFill="true">
      <alignment horizontal="center" vertical="center"/>
    </xf>
    <xf fontId="15595" applyFont="true" borderId="8" applyBorder="true" applyNumberFormat="true" numFmtId="2" fillId="22" applyFill="true">
      <alignment horizontal="center" vertical="center"/>
    </xf>
    <xf fontId="15596" applyFont="true" borderId="8" applyBorder="true" applyNumberFormat="true" numFmtId="2" fillId="22" applyFill="true">
      <alignment horizontal="center" vertical="center"/>
    </xf>
    <xf fontId="15597" applyFont="true" borderId="8" applyBorder="true" applyNumberFormat="true" numFmtId="2" fillId="22" applyFill="true">
      <alignment horizontal="center" vertical="center"/>
    </xf>
    <xf fontId="15598" applyFont="true" borderId="8" applyBorder="true" applyNumberFormat="true" numFmtId="2" fillId="22" applyFill="true">
      <alignment horizontal="center" vertical="center"/>
    </xf>
    <xf fontId="15599" applyFont="true" borderId="8" applyBorder="true" applyNumberFormat="true" numFmtId="2" fillId="22" applyFill="true">
      <alignment horizontal="center" vertical="center"/>
    </xf>
    <xf fontId="15600" applyFont="true" borderId="8" applyBorder="true" applyNumberFormat="true" numFmtId="2" fillId="22" applyFill="true">
      <alignment horizontal="center" vertical="center"/>
    </xf>
    <xf fontId="15601" applyFont="true" borderId="8" applyBorder="true" applyNumberFormat="true" numFmtId="165" fillId="19" applyFill="true">
      <alignment horizontal="left" vertical="center"/>
    </xf>
    <xf fontId="15602" applyFont="true" borderId="8" applyBorder="true" applyNumberFormat="true" numFmtId="165" fillId="22" applyFill="true">
      <alignment horizontal="center" vertical="center"/>
    </xf>
    <xf fontId="15603" applyFont="true" borderId="8" applyBorder="true" applyNumberFormat="true" numFmtId="166" fillId="22" applyFill="true">
      <alignment horizontal="center" vertical="center"/>
    </xf>
    <xf fontId="15604" applyFont="true" borderId="8" applyBorder="true" applyNumberFormat="true" numFmtId="1" fillId="22" applyFill="true">
      <alignment horizontal="center" vertical="center"/>
    </xf>
    <xf fontId="15605" applyFont="true" borderId="8" applyBorder="true" applyNumberFormat="true" numFmtId="1" fillId="22" applyFill="true">
      <alignment horizontal="center" vertical="center"/>
    </xf>
    <xf fontId="15606" applyFont="true" borderId="8" applyBorder="true" applyNumberFormat="true" numFmtId="1" fillId="22" applyFill="true">
      <alignment horizontal="center" vertical="center"/>
    </xf>
    <xf fontId="15607" applyFont="true" borderId="8" applyBorder="true" applyNumberFormat="true" numFmtId="1" fillId="22" applyFill="true">
      <alignment horizontal="center" vertical="center"/>
    </xf>
    <xf fontId="15608" applyFont="true" borderId="8" applyBorder="true" applyNumberFormat="true" numFmtId="1" fillId="22" applyFill="true">
      <alignment horizontal="center" vertical="center"/>
    </xf>
    <xf fontId="15609" applyFont="true" borderId="8" applyBorder="true" applyNumberFormat="true" numFmtId="1" fillId="22" applyFill="true">
      <alignment horizontal="center" vertical="center"/>
    </xf>
    <xf fontId="15610" applyFont="true" borderId="8" applyBorder="true" applyNumberFormat="true" numFmtId="1" fillId="22" applyFill="true">
      <alignment horizontal="center" vertical="center"/>
    </xf>
    <xf fontId="15611" applyFont="true" borderId="8" applyBorder="true" applyNumberFormat="true" numFmtId="165" fillId="22" applyFill="true">
      <alignment horizontal="center" vertical="center"/>
    </xf>
    <xf fontId="15612" applyFont="true" borderId="8" applyBorder="true" applyNumberFormat="true" numFmtId="165" fillId="22" applyFill="true">
      <alignment horizontal="center" vertical="center"/>
    </xf>
    <xf fontId="15613" applyFont="true" borderId="8" applyBorder="true" applyNumberFormat="true" numFmtId="1" fillId="22" applyFill="true">
      <alignment horizontal="center" vertical="center"/>
    </xf>
    <xf fontId="15614" applyFont="true" borderId="8" applyBorder="true" applyNumberFormat="true" numFmtId="1" fillId="22" applyFill="true">
      <alignment horizontal="center" vertical="center"/>
    </xf>
    <xf fontId="15615" applyFont="true" borderId="8" applyBorder="true" applyNumberFormat="true" numFmtId="1" fillId="22" applyFill="true">
      <alignment horizontal="center" vertical="center"/>
    </xf>
    <xf fontId="15616" applyFont="true" borderId="8" applyBorder="true" applyNumberFormat="true" numFmtId="167" fillId="22" applyFill="true">
      <alignment horizontal="center" vertical="center"/>
    </xf>
    <xf fontId="15617" applyFont="true" borderId="8" applyBorder="true" applyNumberFormat="true" numFmtId="1" fillId="22" applyFill="true">
      <alignment horizontal="center" vertical="center"/>
    </xf>
    <xf fontId="15618" applyFont="true" borderId="8" applyBorder="true" applyNumberFormat="true" numFmtId="167" fillId="22" applyFill="true">
      <alignment horizontal="center" vertical="center"/>
    </xf>
    <xf fontId="15619" applyFont="true" borderId="8" applyBorder="true" applyNumberFormat="true" numFmtId="1" fillId="22" applyFill="true">
      <alignment horizontal="center" vertical="center"/>
    </xf>
    <xf fontId="15620" applyFont="true" borderId="8" applyBorder="true" applyNumberFormat="true" numFmtId="167" fillId="22" applyFill="true">
      <alignment horizontal="center" vertical="center"/>
    </xf>
    <xf fontId="15621" applyFont="true" borderId="8" applyBorder="true" applyNumberFormat="true" numFmtId="1" fillId="22" applyFill="true">
      <alignment horizontal="center" vertical="center"/>
    </xf>
    <xf fontId="15622" applyFont="true" borderId="8" applyBorder="true" applyNumberFormat="true" numFmtId="167" fillId="22" applyFill="true">
      <alignment horizontal="center" vertical="center"/>
    </xf>
    <xf fontId="15623" applyFont="true" borderId="8" applyBorder="true" applyNumberFormat="true" numFmtId="167" fillId="22" applyFill="true">
      <alignment horizontal="center" vertical="center"/>
    </xf>
    <xf fontId="15624" applyFont="true" borderId="8" applyBorder="true" applyNumberFormat="true" numFmtId="1" fillId="22" applyFill="true">
      <alignment horizontal="center" vertical="center"/>
    </xf>
    <xf fontId="15625" applyFont="true" borderId="8" applyBorder="true" applyNumberFormat="true" numFmtId="1" fillId="22" applyFill="true">
      <alignment horizontal="center" vertical="center"/>
    </xf>
    <xf fontId="15626" applyFont="true" borderId="8" applyBorder="true" applyNumberFormat="true" numFmtId="1" fillId="22" applyFill="true">
      <alignment horizontal="center" vertical="center"/>
    </xf>
    <xf fontId="15627" applyFont="true" borderId="8" applyBorder="true" applyNumberFormat="true" numFmtId="167" fillId="22" applyFill="true">
      <alignment horizontal="center" vertical="center"/>
    </xf>
    <xf fontId="15628" applyFont="true" borderId="8" applyBorder="true" applyNumberFormat="true" numFmtId="166" fillId="22" applyFill="true">
      <alignment horizontal="center" vertical="center"/>
    </xf>
    <xf fontId="15629" applyFont="true" borderId="8" applyBorder="true" applyNumberFormat="true" numFmtId="166" fillId="22" applyFill="true">
      <alignment horizontal="center" vertical="center"/>
    </xf>
    <xf fontId="15630" applyFont="true" borderId="8" applyBorder="true" applyNumberFormat="true" numFmtId="1" fillId="22" applyFill="true">
      <alignment horizontal="center" vertical="center"/>
    </xf>
    <xf fontId="15631" applyFont="true" borderId="8" applyBorder="true" applyNumberFormat="true" numFmtId="1" fillId="22" applyFill="true">
      <alignment horizontal="center" vertical="center"/>
    </xf>
    <xf fontId="15632" applyFont="true" borderId="8" applyBorder="true" applyNumberFormat="true" numFmtId="1" fillId="22" applyFill="true">
      <alignment horizontal="center" vertical="center"/>
    </xf>
    <xf fontId="15633" applyFont="true" borderId="8" applyBorder="true" applyNumberFormat="true" numFmtId="167" fillId="22" applyFill="true">
      <alignment horizontal="center" vertical="center"/>
    </xf>
    <xf fontId="15634" applyFont="true" borderId="8" applyBorder="true" applyNumberFormat="true" numFmtId="1" fillId="22" applyFill="true">
      <alignment horizontal="center" vertical="center"/>
    </xf>
    <xf fontId="15635" applyFont="true" borderId="8" applyBorder="true" applyNumberFormat="true" numFmtId="167" fillId="22" applyFill="true">
      <alignment horizontal="center" vertical="center"/>
    </xf>
    <xf fontId="15636" applyFont="true" borderId="8" applyBorder="true" applyNumberFormat="true" numFmtId="1" fillId="22" applyFill="true">
      <alignment horizontal="center" vertical="center"/>
    </xf>
    <xf fontId="15637" applyFont="true" borderId="8" applyBorder="true" applyNumberFormat="true" numFmtId="1" fillId="22" applyFill="true">
      <alignment horizontal="center" vertical="center"/>
    </xf>
    <xf fontId="15638" applyFont="true" borderId="8" applyBorder="true" applyNumberFormat="true" numFmtId="1" fillId="22" applyFill="true">
      <alignment horizontal="center" vertical="center"/>
    </xf>
    <xf fontId="15639" applyFont="true" borderId="8" applyBorder="true" applyNumberFormat="true" numFmtId="1" fillId="22" applyFill="true">
      <alignment horizontal="center" vertical="center"/>
    </xf>
    <xf fontId="15640" applyFont="true" borderId="8" applyBorder="true" applyNumberFormat="true" numFmtId="167" fillId="22" applyFill="true">
      <alignment horizontal="center" vertical="center"/>
    </xf>
    <xf fontId="15641" applyFont="true" borderId="8" applyBorder="true" applyNumberFormat="true" numFmtId="1" fillId="22" applyFill="true">
      <alignment horizontal="center" vertical="center"/>
    </xf>
    <xf fontId="15642" applyFont="true" borderId="8" applyBorder="true" applyNumberFormat="true" numFmtId="167" fillId="22" applyFill="true">
      <alignment horizontal="center" vertical="center"/>
    </xf>
    <xf fontId="15643" applyFont="true" borderId="8" applyBorder="true" applyNumberFormat="true" numFmtId="1" fillId="22" applyFill="true">
      <alignment horizontal="center" vertical="center"/>
    </xf>
    <xf fontId="15644" applyFont="true" borderId="8" applyBorder="true" applyNumberFormat="true" numFmtId="167" fillId="22" applyFill="true">
      <alignment horizontal="center" vertical="center"/>
    </xf>
    <xf fontId="15645" applyFont="true" borderId="8" applyBorder="true" applyNumberFormat="true" numFmtId="2" fillId="22" applyFill="true">
      <alignment horizontal="center" vertical="center"/>
    </xf>
    <xf fontId="15646" applyFont="true" borderId="8" applyBorder="true" applyNumberFormat="true" numFmtId="2" fillId="22" applyFill="true">
      <alignment horizontal="center" vertical="center"/>
    </xf>
    <xf fontId="15647" applyFont="true" borderId="8" applyBorder="true" applyNumberFormat="true" numFmtId="2" fillId="22" applyFill="true">
      <alignment horizontal="center" vertical="center"/>
    </xf>
    <xf fontId="15648" applyFont="true" borderId="8" applyBorder="true" applyNumberFormat="true" numFmtId="2" fillId="22" applyFill="true">
      <alignment horizontal="center" vertical="center"/>
    </xf>
    <xf fontId="15649" applyFont="true" borderId="8" applyBorder="true" applyNumberFormat="true" numFmtId="2" fillId="22" applyFill="true">
      <alignment horizontal="center" vertical="center"/>
    </xf>
    <xf fontId="15650" applyFont="true" borderId="8" applyBorder="true" applyNumberFormat="true" numFmtId="2" fillId="22" applyFill="true">
      <alignment horizontal="center" vertical="center"/>
    </xf>
    <xf fontId="15651" applyFont="true" borderId="8" applyBorder="true" applyNumberFormat="true" numFmtId="2" fillId="22" applyFill="true">
      <alignment horizontal="center" vertical="center"/>
    </xf>
    <xf fontId="15652" applyFont="true" borderId="8" applyBorder="true" applyNumberFormat="true" numFmtId="2" fillId="22" applyFill="true">
      <alignment horizontal="center" vertical="center"/>
    </xf>
    <xf fontId="15653" applyFont="true" borderId="8" applyBorder="true" applyNumberFormat="true" numFmtId="2" fillId="22" applyFill="true">
      <alignment horizontal="center" vertical="center"/>
    </xf>
    <xf fontId="15654" applyFont="true" borderId="8" applyBorder="true" applyNumberFormat="true" numFmtId="2" fillId="22" applyFill="true">
      <alignment horizontal="center" vertical="center"/>
    </xf>
    <xf fontId="15655" applyFont="true" borderId="8" applyBorder="true" applyNumberFormat="true" numFmtId="2" fillId="22" applyFill="true">
      <alignment horizontal="center" vertical="center"/>
    </xf>
    <xf fontId="15656" applyFont="true" borderId="8" applyBorder="true" applyNumberFormat="true" numFmtId="2" fillId="22" applyFill="true">
      <alignment horizontal="center" vertical="center"/>
    </xf>
    <xf fontId="15657" applyFont="true" borderId="8" applyBorder="true" applyNumberFormat="true" numFmtId="2" fillId="22" applyFill="true">
      <alignment horizontal="center" vertical="center"/>
    </xf>
    <xf fontId="15658" applyFont="true" borderId="8" applyBorder="true" applyNumberFormat="true" numFmtId="2" fillId="22" applyFill="true">
      <alignment horizontal="center" vertical="center"/>
    </xf>
    <xf fontId="15659" applyFont="true" borderId="8" applyBorder="true" applyNumberFormat="true" numFmtId="2" fillId="22" applyFill="true">
      <alignment horizontal="center" vertical="center"/>
    </xf>
    <xf fontId="15660" applyFont="true" borderId="8" applyBorder="true" applyNumberFormat="true" numFmtId="2" fillId="22" applyFill="true">
      <alignment horizontal="center" vertical="center"/>
    </xf>
    <xf fontId="15661" applyFont="true" borderId="8" applyBorder="true" applyNumberFormat="true" numFmtId="2" fillId="22" applyFill="true">
      <alignment horizontal="center" vertical="center"/>
    </xf>
    <xf fontId="15662" applyFont="true" borderId="8" applyBorder="true" applyNumberFormat="true" numFmtId="2" fillId="22" applyFill="true">
      <alignment horizontal="center" vertical="center"/>
    </xf>
    <xf fontId="15663" applyFont="true" borderId="8" applyBorder="true" applyNumberFormat="true" numFmtId="2" fillId="22" applyFill="true">
      <alignment horizontal="center" vertical="center"/>
    </xf>
    <xf fontId="15664" applyFont="true" borderId="8" applyBorder="true" applyNumberFormat="true" numFmtId="2" fillId="22" applyFill="true">
      <alignment horizontal="center" vertical="center"/>
    </xf>
    <xf fontId="15665" applyFont="true" borderId="8" applyBorder="true" applyNumberFormat="true" numFmtId="2" fillId="22" applyFill="true">
      <alignment horizontal="center" vertical="center"/>
    </xf>
    <xf fontId="15666" applyFont="true" borderId="8" applyBorder="true" applyNumberFormat="true" numFmtId="2" fillId="22" applyFill="true">
      <alignment horizontal="center" vertical="center"/>
    </xf>
    <xf fontId="15667" applyFont="true" borderId="8" applyBorder="true" applyNumberFormat="true" numFmtId="2" fillId="22" applyFill="true">
      <alignment horizontal="center" vertical="center"/>
    </xf>
    <xf fontId="15668" applyFont="true" borderId="8" applyBorder="true" applyNumberFormat="true" numFmtId="2" fillId="22" applyFill="true">
      <alignment horizontal="center" vertical="center"/>
    </xf>
    <xf fontId="15669" applyFont="true" borderId="8" applyBorder="true" applyNumberFormat="true" numFmtId="2" fillId="22" applyFill="true">
      <alignment horizontal="center" vertical="center"/>
    </xf>
    <xf fontId="15670" applyFont="true" borderId="8" applyBorder="true" applyNumberFormat="true" numFmtId="2" fillId="22" applyFill="true">
      <alignment horizontal="center" vertical="center"/>
    </xf>
    <xf fontId="15671" applyFont="true" borderId="8" applyBorder="true" applyNumberFormat="true" numFmtId="2" fillId="22" applyFill="true">
      <alignment horizontal="center" vertical="center"/>
    </xf>
    <xf fontId="15672" applyFont="true" borderId="8" applyBorder="true" applyNumberFormat="true" numFmtId="2" fillId="22" applyFill="true">
      <alignment horizontal="center" vertical="center"/>
    </xf>
    <xf fontId="15673" applyFont="true" borderId="8" applyBorder="true" applyNumberFormat="true" numFmtId="2" fillId="22" applyFill="true">
      <alignment horizontal="center" vertical="center"/>
    </xf>
    <xf fontId="15674" applyFont="true" borderId="8" applyBorder="true" applyNumberFormat="true" numFmtId="2" fillId="22" applyFill="true">
      <alignment horizontal="center" vertical="center"/>
    </xf>
    <xf fontId="15675" applyFont="true" borderId="8" applyBorder="true" applyNumberFormat="true" numFmtId="2" fillId="22" applyFill="true">
      <alignment horizontal="center" vertical="center"/>
    </xf>
    <xf fontId="15676" applyFont="true" borderId="8" applyBorder="true" applyNumberFormat="true" numFmtId="2" fillId="22" applyFill="true">
      <alignment horizontal="center" vertical="center"/>
    </xf>
    <xf fontId="15677" applyFont="true" borderId="8" applyBorder="true" applyNumberFormat="true" numFmtId="2" fillId="22" applyFill="true">
      <alignment horizontal="center" vertical="center"/>
    </xf>
    <xf fontId="15678" applyFont="true" borderId="8" applyBorder="true" applyNumberFormat="true" numFmtId="2" fillId="22" applyFill="true">
      <alignment horizontal="center" vertical="center"/>
    </xf>
    <xf fontId="15679" applyFont="true" borderId="8" applyBorder="true" applyNumberFormat="true" numFmtId="165" fillId="19" applyFill="true">
      <alignment horizontal="left" vertical="center"/>
    </xf>
    <xf fontId="15680" applyFont="true" borderId="8" applyBorder="true" applyNumberFormat="true" numFmtId="165" fillId="22" applyFill="true">
      <alignment horizontal="center" vertical="center"/>
    </xf>
    <xf fontId="15681" applyFont="true" borderId="8" applyBorder="true" applyNumberFormat="true" numFmtId="166" fillId="22" applyFill="true">
      <alignment horizontal="center" vertical="center"/>
    </xf>
    <xf fontId="15682" applyFont="true" borderId="8" applyBorder="true" applyNumberFormat="true" numFmtId="1" fillId="22" applyFill="true">
      <alignment horizontal="center" vertical="center"/>
    </xf>
    <xf fontId="15683" applyFont="true" borderId="8" applyBorder="true" applyNumberFormat="true" numFmtId="1" fillId="22" applyFill="true">
      <alignment horizontal="center" vertical="center"/>
    </xf>
    <xf fontId="15684" applyFont="true" borderId="8" applyBorder="true" applyNumberFormat="true" numFmtId="1" fillId="22" applyFill="true">
      <alignment horizontal="center" vertical="center"/>
    </xf>
    <xf fontId="15685" applyFont="true" borderId="8" applyBorder="true" applyNumberFormat="true" numFmtId="1" fillId="22" applyFill="true">
      <alignment horizontal="center" vertical="center"/>
    </xf>
    <xf fontId="15686" applyFont="true" borderId="8" applyBorder="true" applyNumberFormat="true" numFmtId="1" fillId="22" applyFill="true">
      <alignment horizontal="center" vertical="center"/>
    </xf>
    <xf fontId="15687" applyFont="true" borderId="8" applyBorder="true" applyNumberFormat="true" numFmtId="1" fillId="22" applyFill="true">
      <alignment horizontal="center" vertical="center"/>
    </xf>
    <xf fontId="15688" applyFont="true" borderId="8" applyBorder="true" applyNumberFormat="true" numFmtId="1" fillId="22" applyFill="true">
      <alignment horizontal="center" vertical="center"/>
    </xf>
    <xf fontId="15689" applyFont="true" borderId="8" applyBorder="true" applyNumberFormat="true" numFmtId="165" fillId="22" applyFill="true">
      <alignment horizontal="center" vertical="center"/>
    </xf>
    <xf fontId="15690" applyFont="true" borderId="8" applyBorder="true" applyNumberFormat="true" numFmtId="165" fillId="22" applyFill="true">
      <alignment horizontal="center" vertical="center"/>
    </xf>
    <xf fontId="15691" applyFont="true" borderId="8" applyBorder="true" applyNumberFormat="true" numFmtId="1" fillId="22" applyFill="true">
      <alignment horizontal="center" vertical="center"/>
    </xf>
    <xf fontId="15692" applyFont="true" borderId="8" applyBorder="true" applyNumberFormat="true" numFmtId="1" fillId="22" applyFill="true">
      <alignment horizontal="center" vertical="center"/>
    </xf>
    <xf fontId="15693" applyFont="true" borderId="8" applyBorder="true" applyNumberFormat="true" numFmtId="1" fillId="22" applyFill="true">
      <alignment horizontal="center" vertical="center"/>
    </xf>
    <xf fontId="15694" applyFont="true" borderId="8" applyBorder="true" applyNumberFormat="true" numFmtId="167" fillId="22" applyFill="true">
      <alignment horizontal="center" vertical="center"/>
    </xf>
    <xf fontId="15695" applyFont="true" borderId="8" applyBorder="true" applyNumberFormat="true" numFmtId="1" fillId="22" applyFill="true">
      <alignment horizontal="center" vertical="center"/>
    </xf>
    <xf fontId="15696" applyFont="true" borderId="8" applyBorder="true" applyNumberFormat="true" numFmtId="167" fillId="22" applyFill="true">
      <alignment horizontal="center" vertical="center"/>
    </xf>
    <xf fontId="15697" applyFont="true" borderId="8" applyBorder="true" applyNumberFormat="true" numFmtId="1" fillId="22" applyFill="true">
      <alignment horizontal="center" vertical="center"/>
    </xf>
    <xf fontId="15698" applyFont="true" borderId="8" applyBorder="true" applyNumberFormat="true" numFmtId="167" fillId="22" applyFill="true">
      <alignment horizontal="center" vertical="center"/>
    </xf>
    <xf fontId="15699" applyFont="true" borderId="8" applyBorder="true" applyNumberFormat="true" numFmtId="1" fillId="22" applyFill="true">
      <alignment horizontal="center" vertical="center"/>
    </xf>
    <xf fontId="15700" applyFont="true" borderId="8" applyBorder="true" applyNumberFormat="true" numFmtId="167" fillId="22" applyFill="true">
      <alignment horizontal="center" vertical="center"/>
    </xf>
    <xf fontId="15701" applyFont="true" borderId="8" applyBorder="true" applyNumberFormat="true" numFmtId="167" fillId="22" applyFill="true">
      <alignment horizontal="center" vertical="center"/>
    </xf>
    <xf fontId="15702" applyFont="true" borderId="8" applyBorder="true" applyNumberFormat="true" numFmtId="1" fillId="22" applyFill="true">
      <alignment horizontal="center" vertical="center"/>
    </xf>
    <xf fontId="15703" applyFont="true" borderId="8" applyBorder="true" applyNumberFormat="true" numFmtId="1" fillId="22" applyFill="true">
      <alignment horizontal="center" vertical="center"/>
    </xf>
    <xf fontId="15704" applyFont="true" borderId="8" applyBorder="true" applyNumberFormat="true" numFmtId="1" fillId="22" applyFill="true">
      <alignment horizontal="center" vertical="center"/>
    </xf>
    <xf fontId="15705" applyFont="true" borderId="8" applyBorder="true" applyNumberFormat="true" numFmtId="167" fillId="22" applyFill="true">
      <alignment horizontal="center" vertical="center"/>
    </xf>
    <xf fontId="15706" applyFont="true" borderId="8" applyBorder="true" applyNumberFormat="true" numFmtId="166" fillId="22" applyFill="true">
      <alignment horizontal="center" vertical="center"/>
    </xf>
    <xf fontId="15707" applyFont="true" borderId="8" applyBorder="true" applyNumberFormat="true" numFmtId="166" fillId="22" applyFill="true">
      <alignment horizontal="center" vertical="center"/>
    </xf>
    <xf fontId="15708" applyFont="true" borderId="8" applyBorder="true" applyNumberFormat="true" numFmtId="1" fillId="22" applyFill="true">
      <alignment horizontal="center" vertical="center"/>
    </xf>
    <xf fontId="15709" applyFont="true" borderId="8" applyBorder="true" applyNumberFormat="true" numFmtId="1" fillId="22" applyFill="true">
      <alignment horizontal="center" vertical="center"/>
    </xf>
    <xf fontId="15710" applyFont="true" borderId="8" applyBorder="true" applyNumberFormat="true" numFmtId="1" fillId="22" applyFill="true">
      <alignment horizontal="center" vertical="center"/>
    </xf>
    <xf fontId="15711" applyFont="true" borderId="8" applyBorder="true" applyNumberFormat="true" numFmtId="167" fillId="22" applyFill="true">
      <alignment horizontal="center" vertical="center"/>
    </xf>
    <xf fontId="15712" applyFont="true" borderId="8" applyBorder="true" applyNumberFormat="true" numFmtId="1" fillId="22" applyFill="true">
      <alignment horizontal="center" vertical="center"/>
    </xf>
    <xf fontId="15713" applyFont="true" borderId="8" applyBorder="true" applyNumberFormat="true" numFmtId="167" fillId="22" applyFill="true">
      <alignment horizontal="center" vertical="center"/>
    </xf>
    <xf fontId="15714" applyFont="true" borderId="8" applyBorder="true" applyNumberFormat="true" numFmtId="1" fillId="22" applyFill="true">
      <alignment horizontal="center" vertical="center"/>
    </xf>
    <xf fontId="15715" applyFont="true" borderId="8" applyBorder="true" applyNumberFormat="true" numFmtId="1" fillId="22" applyFill="true">
      <alignment horizontal="center" vertical="center"/>
    </xf>
    <xf fontId="15716" applyFont="true" borderId="8" applyBorder="true" applyNumberFormat="true" numFmtId="1" fillId="22" applyFill="true">
      <alignment horizontal="center" vertical="center"/>
    </xf>
    <xf fontId="15717" applyFont="true" borderId="8" applyBorder="true" applyNumberFormat="true" numFmtId="1" fillId="22" applyFill="true">
      <alignment horizontal="center" vertical="center"/>
    </xf>
    <xf fontId="15718" applyFont="true" borderId="8" applyBorder="true" applyNumberFormat="true" numFmtId="167" fillId="22" applyFill="true">
      <alignment horizontal="center" vertical="center"/>
    </xf>
    <xf fontId="15719" applyFont="true" borderId="8" applyBorder="true" applyNumberFormat="true" numFmtId="1" fillId="22" applyFill="true">
      <alignment horizontal="center" vertical="center"/>
    </xf>
    <xf fontId="15720" applyFont="true" borderId="8" applyBorder="true" applyNumberFormat="true" numFmtId="167" fillId="22" applyFill="true">
      <alignment horizontal="center" vertical="center"/>
    </xf>
    <xf fontId="15721" applyFont="true" borderId="8" applyBorder="true" applyNumberFormat="true" numFmtId="1" fillId="22" applyFill="true">
      <alignment horizontal="center" vertical="center"/>
    </xf>
    <xf fontId="15722" applyFont="true" borderId="8" applyBorder="true" applyNumberFormat="true" numFmtId="167" fillId="22" applyFill="true">
      <alignment horizontal="center" vertical="center"/>
    </xf>
    <xf fontId="15723" applyFont="true" borderId="8" applyBorder="true" applyNumberFormat="true" numFmtId="2" fillId="22" applyFill="true">
      <alignment horizontal="center" vertical="center"/>
    </xf>
    <xf fontId="15724" applyFont="true" borderId="8" applyBorder="true" applyNumberFormat="true" numFmtId="2" fillId="22" applyFill="true">
      <alignment horizontal="center" vertical="center"/>
    </xf>
    <xf fontId="15725" applyFont="true" borderId="8" applyBorder="true" applyNumberFormat="true" numFmtId="2" fillId="22" applyFill="true">
      <alignment horizontal="center" vertical="center"/>
    </xf>
    <xf fontId="15726" applyFont="true" borderId="8" applyBorder="true" applyNumberFormat="true" numFmtId="2" fillId="22" applyFill="true">
      <alignment horizontal="center" vertical="center"/>
    </xf>
    <xf fontId="15727" applyFont="true" borderId="8" applyBorder="true" applyNumberFormat="true" numFmtId="2" fillId="22" applyFill="true">
      <alignment horizontal="center" vertical="center"/>
    </xf>
    <xf fontId="15728" applyFont="true" borderId="8" applyBorder="true" applyNumberFormat="true" numFmtId="2" fillId="22" applyFill="true">
      <alignment horizontal="center" vertical="center"/>
    </xf>
    <xf fontId="15729" applyFont="true" borderId="8" applyBorder="true" applyNumberFormat="true" numFmtId="2" fillId="22" applyFill="true">
      <alignment horizontal="center" vertical="center"/>
    </xf>
    <xf fontId="15730" applyFont="true" borderId="8" applyBorder="true" applyNumberFormat="true" numFmtId="2" fillId="22" applyFill="true">
      <alignment horizontal="center" vertical="center"/>
    </xf>
    <xf fontId="15731" applyFont="true" borderId="8" applyBorder="true" applyNumberFormat="true" numFmtId="2" fillId="22" applyFill="true">
      <alignment horizontal="center" vertical="center"/>
    </xf>
    <xf fontId="15732" applyFont="true" borderId="8" applyBorder="true" applyNumberFormat="true" numFmtId="2" fillId="22" applyFill="true">
      <alignment horizontal="center" vertical="center"/>
    </xf>
    <xf fontId="15733" applyFont="true" borderId="8" applyBorder="true" applyNumberFormat="true" numFmtId="2" fillId="22" applyFill="true">
      <alignment horizontal="center" vertical="center"/>
    </xf>
    <xf fontId="15734" applyFont="true" borderId="8" applyBorder="true" applyNumberFormat="true" numFmtId="2" fillId="22" applyFill="true">
      <alignment horizontal="center" vertical="center"/>
    </xf>
    <xf fontId="15735" applyFont="true" borderId="8" applyBorder="true" applyNumberFormat="true" numFmtId="2" fillId="22" applyFill="true">
      <alignment horizontal="center" vertical="center"/>
    </xf>
    <xf fontId="15736" applyFont="true" borderId="8" applyBorder="true" applyNumberFormat="true" numFmtId="2" fillId="22" applyFill="true">
      <alignment horizontal="center" vertical="center"/>
    </xf>
    <xf fontId="15737" applyFont="true" borderId="8" applyBorder="true" applyNumberFormat="true" numFmtId="2" fillId="22" applyFill="true">
      <alignment horizontal="center" vertical="center"/>
    </xf>
    <xf fontId="15738" applyFont="true" borderId="8" applyBorder="true" applyNumberFormat="true" numFmtId="2" fillId="22" applyFill="true">
      <alignment horizontal="center" vertical="center"/>
    </xf>
    <xf fontId="15739" applyFont="true" borderId="8" applyBorder="true" applyNumberFormat="true" numFmtId="2" fillId="22" applyFill="true">
      <alignment horizontal="center" vertical="center"/>
    </xf>
    <xf fontId="15740" applyFont="true" borderId="8" applyBorder="true" applyNumberFormat="true" numFmtId="2" fillId="22" applyFill="true">
      <alignment horizontal="center" vertical="center"/>
    </xf>
    <xf fontId="15741" applyFont="true" borderId="8" applyBorder="true" applyNumberFormat="true" numFmtId="2" fillId="22" applyFill="true">
      <alignment horizontal="center" vertical="center"/>
    </xf>
    <xf fontId="15742" applyFont="true" borderId="8" applyBorder="true" applyNumberFormat="true" numFmtId="2" fillId="22" applyFill="true">
      <alignment horizontal="center" vertical="center"/>
    </xf>
    <xf fontId="15743" applyFont="true" borderId="8" applyBorder="true" applyNumberFormat="true" numFmtId="2" fillId="22" applyFill="true">
      <alignment horizontal="center" vertical="center"/>
    </xf>
    <xf fontId="15744" applyFont="true" borderId="8" applyBorder="true" applyNumberFormat="true" numFmtId="2" fillId="22" applyFill="true">
      <alignment horizontal="center" vertical="center"/>
    </xf>
    <xf fontId="15745" applyFont="true" borderId="8" applyBorder="true" applyNumberFormat="true" numFmtId="2" fillId="22" applyFill="true">
      <alignment horizontal="center" vertical="center"/>
    </xf>
    <xf fontId="15746" applyFont="true" borderId="8" applyBorder="true" applyNumberFormat="true" numFmtId="2" fillId="22" applyFill="true">
      <alignment horizontal="center" vertical="center"/>
    </xf>
    <xf fontId="15747" applyFont="true" borderId="8" applyBorder="true" applyNumberFormat="true" numFmtId="2" fillId="22" applyFill="true">
      <alignment horizontal="center" vertical="center"/>
    </xf>
    <xf fontId="15748" applyFont="true" borderId="8" applyBorder="true" applyNumberFormat="true" numFmtId="2" fillId="22" applyFill="true">
      <alignment horizontal="center" vertical="center"/>
    </xf>
    <xf fontId="15749" applyFont="true" borderId="8" applyBorder="true" applyNumberFormat="true" numFmtId="2" fillId="22" applyFill="true">
      <alignment horizontal="center" vertical="center"/>
    </xf>
    <xf fontId="15750" applyFont="true" borderId="8" applyBorder="true" applyNumberFormat="true" numFmtId="2" fillId="22" applyFill="true">
      <alignment horizontal="center" vertical="center"/>
    </xf>
    <xf fontId="15751" applyFont="true" borderId="8" applyBorder="true" applyNumberFormat="true" numFmtId="2" fillId="22" applyFill="true">
      <alignment horizontal="center" vertical="center"/>
    </xf>
    <xf fontId="15752" applyFont="true" borderId="8" applyBorder="true" applyNumberFormat="true" numFmtId="2" fillId="22" applyFill="true">
      <alignment horizontal="center" vertical="center"/>
    </xf>
    <xf fontId="15753" applyFont="true" borderId="8" applyBorder="true" applyNumberFormat="true" numFmtId="2" fillId="22" applyFill="true">
      <alignment horizontal="center" vertical="center"/>
    </xf>
    <xf fontId="15754" applyFont="true" borderId="8" applyBorder="true" applyNumberFormat="true" numFmtId="2" fillId="22" applyFill="true">
      <alignment horizontal="center" vertical="center"/>
    </xf>
    <xf fontId="15755" applyFont="true" borderId="8" applyBorder="true" applyNumberFormat="true" numFmtId="2" fillId="22" applyFill="true">
      <alignment horizontal="center" vertical="center"/>
    </xf>
    <xf fontId="15756" applyFont="true" borderId="8" applyBorder="true" applyNumberFormat="true" numFmtId="2" fillId="22" applyFill="true">
      <alignment horizontal="center" vertical="center"/>
    </xf>
    <xf fontId="15757" applyFont="true" borderId="8" applyBorder="true" applyNumberFormat="true" numFmtId="165" fillId="19" applyFill="true">
      <alignment horizontal="left" vertical="center"/>
    </xf>
    <xf fontId="15758" applyFont="true" borderId="8" applyBorder="true" applyNumberFormat="true" numFmtId="165" fillId="22" applyFill="true">
      <alignment horizontal="center" vertical="center"/>
    </xf>
    <xf fontId="15759" applyFont="true" borderId="8" applyBorder="true" applyNumberFormat="true" numFmtId="166" fillId="22" applyFill="true">
      <alignment horizontal="center" vertical="center"/>
    </xf>
    <xf fontId="15760" applyFont="true" borderId="8" applyBorder="true" applyNumberFormat="true" numFmtId="1" fillId="22" applyFill="true">
      <alignment horizontal="center" vertical="center"/>
    </xf>
    <xf fontId="15761" applyFont="true" borderId="8" applyBorder="true" applyNumberFormat="true" numFmtId="1" fillId="22" applyFill="true">
      <alignment horizontal="center" vertical="center"/>
    </xf>
    <xf fontId="15762" applyFont="true" borderId="8" applyBorder="true" applyNumberFormat="true" numFmtId="1" fillId="22" applyFill="true">
      <alignment horizontal="center" vertical="center"/>
    </xf>
    <xf fontId="15763" applyFont="true" borderId="8" applyBorder="true" applyNumberFormat="true" numFmtId="1" fillId="22" applyFill="true">
      <alignment horizontal="center" vertical="center"/>
    </xf>
    <xf fontId="15764" applyFont="true" borderId="8" applyBorder="true" applyNumberFormat="true" numFmtId="1" fillId="22" applyFill="true">
      <alignment horizontal="center" vertical="center"/>
    </xf>
    <xf fontId="15765" applyFont="true" borderId="8" applyBorder="true" applyNumberFormat="true" numFmtId="1" fillId="22" applyFill="true">
      <alignment horizontal="center" vertical="center"/>
    </xf>
    <xf fontId="15766" applyFont="true" borderId="8" applyBorder="true" applyNumberFormat="true" numFmtId="1" fillId="22" applyFill="true">
      <alignment horizontal="center" vertical="center"/>
    </xf>
    <xf fontId="15767" applyFont="true" borderId="8" applyBorder="true" applyNumberFormat="true" numFmtId="165" fillId="22" applyFill="true">
      <alignment horizontal="center" vertical="center"/>
    </xf>
    <xf fontId="15768" applyFont="true" borderId="8" applyBorder="true" applyNumberFormat="true" numFmtId="165" fillId="22" applyFill="true">
      <alignment horizontal="center" vertical="center"/>
    </xf>
    <xf fontId="15769" applyFont="true" borderId="8" applyBorder="true" applyNumberFormat="true" numFmtId="1" fillId="22" applyFill="true">
      <alignment horizontal="center" vertical="center"/>
    </xf>
    <xf fontId="15770" applyFont="true" borderId="8" applyBorder="true" applyNumberFormat="true" numFmtId="1" fillId="22" applyFill="true">
      <alignment horizontal="center" vertical="center"/>
    </xf>
    <xf fontId="15771" applyFont="true" borderId="8" applyBorder="true" applyNumberFormat="true" numFmtId="1" fillId="22" applyFill="true">
      <alignment horizontal="center" vertical="center"/>
    </xf>
    <xf fontId="15772" applyFont="true" borderId="8" applyBorder="true" applyNumberFormat="true" numFmtId="167" fillId="22" applyFill="true">
      <alignment horizontal="center" vertical="center"/>
    </xf>
    <xf fontId="15773" applyFont="true" borderId="8" applyBorder="true" applyNumberFormat="true" numFmtId="1" fillId="22" applyFill="true">
      <alignment horizontal="center" vertical="center"/>
    </xf>
    <xf fontId="15774" applyFont="true" borderId="8" applyBorder="true" applyNumberFormat="true" numFmtId="167" fillId="22" applyFill="true">
      <alignment horizontal="center" vertical="center"/>
    </xf>
    <xf fontId="15775" applyFont="true" borderId="8" applyBorder="true" applyNumberFormat="true" numFmtId="1" fillId="22" applyFill="true">
      <alignment horizontal="center" vertical="center"/>
    </xf>
    <xf fontId="15776" applyFont="true" borderId="8" applyBorder="true" applyNumberFormat="true" numFmtId="167" fillId="22" applyFill="true">
      <alignment horizontal="center" vertical="center"/>
    </xf>
    <xf fontId="15777" applyFont="true" borderId="8" applyBorder="true" applyNumberFormat="true" numFmtId="1" fillId="22" applyFill="true">
      <alignment horizontal="center" vertical="center"/>
    </xf>
    <xf fontId="15778" applyFont="true" borderId="8" applyBorder="true" applyNumberFormat="true" numFmtId="167" fillId="22" applyFill="true">
      <alignment horizontal="center" vertical="center"/>
    </xf>
    <xf fontId="15779" applyFont="true" borderId="8" applyBorder="true" applyNumberFormat="true" numFmtId="167" fillId="22" applyFill="true">
      <alignment horizontal="center" vertical="center"/>
    </xf>
    <xf fontId="15780" applyFont="true" borderId="8" applyBorder="true" applyNumberFormat="true" numFmtId="1" fillId="22" applyFill="true">
      <alignment horizontal="center" vertical="center"/>
    </xf>
    <xf fontId="15781" applyFont="true" borderId="8" applyBorder="true" applyNumberFormat="true" numFmtId="1" fillId="22" applyFill="true">
      <alignment horizontal="center" vertical="center"/>
    </xf>
    <xf fontId="15782" applyFont="true" borderId="8" applyBorder="true" applyNumberFormat="true" numFmtId="1" fillId="22" applyFill="true">
      <alignment horizontal="center" vertical="center"/>
    </xf>
    <xf fontId="15783" applyFont="true" borderId="8" applyBorder="true" applyNumberFormat="true" numFmtId="167" fillId="22" applyFill="true">
      <alignment horizontal="center" vertical="center"/>
    </xf>
    <xf fontId="15784" applyFont="true" borderId="8" applyBorder="true" applyNumberFormat="true" numFmtId="166" fillId="22" applyFill="true">
      <alignment horizontal="center" vertical="center"/>
    </xf>
    <xf fontId="15785" applyFont="true" borderId="8" applyBorder="true" applyNumberFormat="true" numFmtId="166" fillId="22" applyFill="true">
      <alignment horizontal="center" vertical="center"/>
    </xf>
    <xf fontId="15786" applyFont="true" borderId="8" applyBorder="true" applyNumberFormat="true" numFmtId="1" fillId="22" applyFill="true">
      <alignment horizontal="center" vertical="center"/>
    </xf>
    <xf fontId="15787" applyFont="true" borderId="8" applyBorder="true" applyNumberFormat="true" numFmtId="1" fillId="22" applyFill="true">
      <alignment horizontal="center" vertical="center"/>
    </xf>
    <xf fontId="15788" applyFont="true" borderId="8" applyBorder="true" applyNumberFormat="true" numFmtId="1" fillId="22" applyFill="true">
      <alignment horizontal="center" vertical="center"/>
    </xf>
    <xf fontId="15789" applyFont="true" borderId="8" applyBorder="true" applyNumberFormat="true" numFmtId="167" fillId="22" applyFill="true">
      <alignment horizontal="center" vertical="center"/>
    </xf>
    <xf fontId="15790" applyFont="true" borderId="8" applyBorder="true" applyNumberFormat="true" numFmtId="1" fillId="22" applyFill="true">
      <alignment horizontal="center" vertical="center"/>
    </xf>
    <xf fontId="15791" applyFont="true" borderId="8" applyBorder="true" applyNumberFormat="true" numFmtId="167" fillId="22" applyFill="true">
      <alignment horizontal="center" vertical="center"/>
    </xf>
    <xf fontId="15792" applyFont="true" borderId="8" applyBorder="true" applyNumberFormat="true" numFmtId="1" fillId="22" applyFill="true">
      <alignment horizontal="center" vertical="center"/>
    </xf>
    <xf fontId="15793" applyFont="true" borderId="8" applyBorder="true" applyNumberFormat="true" numFmtId="1" fillId="22" applyFill="true">
      <alignment horizontal="center" vertical="center"/>
    </xf>
    <xf fontId="15794" applyFont="true" borderId="8" applyBorder="true" applyNumberFormat="true" numFmtId="1" fillId="22" applyFill="true">
      <alignment horizontal="center" vertical="center"/>
    </xf>
    <xf fontId="15795" applyFont="true" borderId="8" applyBorder="true" applyNumberFormat="true" numFmtId="1" fillId="22" applyFill="true">
      <alignment horizontal="center" vertical="center"/>
    </xf>
    <xf fontId="15796" applyFont="true" borderId="8" applyBorder="true" applyNumberFormat="true" numFmtId="167" fillId="22" applyFill="true">
      <alignment horizontal="center" vertical="center"/>
    </xf>
    <xf fontId="15797" applyFont="true" borderId="8" applyBorder="true" applyNumberFormat="true" numFmtId="1" fillId="22" applyFill="true">
      <alignment horizontal="center" vertical="center"/>
    </xf>
    <xf fontId="15798" applyFont="true" borderId="8" applyBorder="true" applyNumberFormat="true" numFmtId="167" fillId="22" applyFill="true">
      <alignment horizontal="center" vertical="center"/>
    </xf>
    <xf fontId="15799" applyFont="true" borderId="8" applyBorder="true" applyNumberFormat="true" numFmtId="1" fillId="22" applyFill="true">
      <alignment horizontal="center" vertical="center"/>
    </xf>
    <xf fontId="15800" applyFont="true" borderId="8" applyBorder="true" applyNumberFormat="true" numFmtId="167" fillId="22" applyFill="true">
      <alignment horizontal="center" vertical="center"/>
    </xf>
    <xf fontId="15801" applyFont="true" borderId="8" applyBorder="true" applyNumberFormat="true" numFmtId="2" fillId="22" applyFill="true">
      <alignment horizontal="center" vertical="center"/>
    </xf>
    <xf fontId="15802" applyFont="true" borderId="8" applyBorder="true" applyNumberFormat="true" numFmtId="2" fillId="22" applyFill="true">
      <alignment horizontal="center" vertical="center"/>
    </xf>
    <xf fontId="15803" applyFont="true" borderId="8" applyBorder="true" applyNumberFormat="true" numFmtId="2" fillId="22" applyFill="true">
      <alignment horizontal="center" vertical="center"/>
    </xf>
    <xf fontId="15804" applyFont="true" borderId="8" applyBorder="true" applyNumberFormat="true" numFmtId="2" fillId="22" applyFill="true">
      <alignment horizontal="center" vertical="center"/>
    </xf>
    <xf fontId="15805" applyFont="true" borderId="8" applyBorder="true" applyNumberFormat="true" numFmtId="2" fillId="22" applyFill="true">
      <alignment horizontal="center" vertical="center"/>
    </xf>
    <xf fontId="15806" applyFont="true" borderId="8" applyBorder="true" applyNumberFormat="true" numFmtId="2" fillId="22" applyFill="true">
      <alignment horizontal="center" vertical="center"/>
    </xf>
    <xf fontId="15807" applyFont="true" borderId="8" applyBorder="true" applyNumberFormat="true" numFmtId="2" fillId="22" applyFill="true">
      <alignment horizontal="center" vertical="center"/>
    </xf>
    <xf fontId="15808" applyFont="true" borderId="8" applyBorder="true" applyNumberFormat="true" numFmtId="2" fillId="22" applyFill="true">
      <alignment horizontal="center" vertical="center"/>
    </xf>
    <xf fontId="15809" applyFont="true" borderId="8" applyBorder="true" applyNumberFormat="true" numFmtId="2" fillId="22" applyFill="true">
      <alignment horizontal="center" vertical="center"/>
    </xf>
    <xf fontId="15810" applyFont="true" borderId="8" applyBorder="true" applyNumberFormat="true" numFmtId="2" fillId="22" applyFill="true">
      <alignment horizontal="center" vertical="center"/>
    </xf>
    <xf fontId="15811" applyFont="true" borderId="8" applyBorder="true" applyNumberFormat="true" numFmtId="2" fillId="22" applyFill="true">
      <alignment horizontal="center" vertical="center"/>
    </xf>
    <xf fontId="15812" applyFont="true" borderId="8" applyBorder="true" applyNumberFormat="true" numFmtId="2" fillId="22" applyFill="true">
      <alignment horizontal="center" vertical="center"/>
    </xf>
    <xf fontId="15813" applyFont="true" borderId="8" applyBorder="true" applyNumberFormat="true" numFmtId="2" fillId="22" applyFill="true">
      <alignment horizontal="center" vertical="center"/>
    </xf>
    <xf fontId="15814" applyFont="true" borderId="8" applyBorder="true" applyNumberFormat="true" numFmtId="2" fillId="22" applyFill="true">
      <alignment horizontal="center" vertical="center"/>
    </xf>
    <xf fontId="15815" applyFont="true" borderId="8" applyBorder="true" applyNumberFormat="true" numFmtId="2" fillId="22" applyFill="true">
      <alignment horizontal="center" vertical="center"/>
    </xf>
    <xf fontId="15816" applyFont="true" borderId="8" applyBorder="true" applyNumberFormat="true" numFmtId="2" fillId="22" applyFill="true">
      <alignment horizontal="center" vertical="center"/>
    </xf>
    <xf fontId="15817" applyFont="true" borderId="8" applyBorder="true" applyNumberFormat="true" numFmtId="2" fillId="22" applyFill="true">
      <alignment horizontal="center" vertical="center"/>
    </xf>
    <xf fontId="15818" applyFont="true" borderId="8" applyBorder="true" applyNumberFormat="true" numFmtId="2" fillId="22" applyFill="true">
      <alignment horizontal="center" vertical="center"/>
    </xf>
    <xf fontId="15819" applyFont="true" borderId="8" applyBorder="true" applyNumberFormat="true" numFmtId="2" fillId="22" applyFill="true">
      <alignment horizontal="center" vertical="center"/>
    </xf>
    <xf fontId="15820" applyFont="true" borderId="8" applyBorder="true" applyNumberFormat="true" numFmtId="2" fillId="22" applyFill="true">
      <alignment horizontal="center" vertical="center"/>
    </xf>
    <xf fontId="15821" applyFont="true" borderId="8" applyBorder="true" applyNumberFormat="true" numFmtId="2" fillId="22" applyFill="true">
      <alignment horizontal="center" vertical="center"/>
    </xf>
    <xf fontId="15822" applyFont="true" borderId="8" applyBorder="true" applyNumberFormat="true" numFmtId="2" fillId="22" applyFill="true">
      <alignment horizontal="center" vertical="center"/>
    </xf>
    <xf fontId="15823" applyFont="true" borderId="8" applyBorder="true" applyNumberFormat="true" numFmtId="2" fillId="22" applyFill="true">
      <alignment horizontal="center" vertical="center"/>
    </xf>
    <xf fontId="15824" applyFont="true" borderId="8" applyBorder="true" applyNumberFormat="true" numFmtId="2" fillId="22" applyFill="true">
      <alignment horizontal="center" vertical="center"/>
    </xf>
    <xf fontId="15825" applyFont="true" borderId="8" applyBorder="true" applyNumberFormat="true" numFmtId="2" fillId="22" applyFill="true">
      <alignment horizontal="center" vertical="center"/>
    </xf>
    <xf fontId="15826" applyFont="true" borderId="8" applyBorder="true" applyNumberFormat="true" numFmtId="2" fillId="22" applyFill="true">
      <alignment horizontal="center" vertical="center"/>
    </xf>
    <xf fontId="15827" applyFont="true" borderId="8" applyBorder="true" applyNumberFormat="true" numFmtId="2" fillId="22" applyFill="true">
      <alignment horizontal="center" vertical="center"/>
    </xf>
    <xf fontId="15828" applyFont="true" borderId="8" applyBorder="true" applyNumberFormat="true" numFmtId="2" fillId="22" applyFill="true">
      <alignment horizontal="center" vertical="center"/>
    </xf>
    <xf fontId="15829" applyFont="true" borderId="8" applyBorder="true" applyNumberFormat="true" numFmtId="2" fillId="22" applyFill="true">
      <alignment horizontal="center" vertical="center"/>
    </xf>
    <xf fontId="15830" applyFont="true" borderId="8" applyBorder="true" applyNumberFormat="true" numFmtId="2" fillId="22" applyFill="true">
      <alignment horizontal="center" vertical="center"/>
    </xf>
    <xf fontId="15831" applyFont="true" borderId="8" applyBorder="true" applyNumberFormat="true" numFmtId="2" fillId="22" applyFill="true">
      <alignment horizontal="center" vertical="center"/>
    </xf>
    <xf fontId="15832" applyFont="true" borderId="8" applyBorder="true" applyNumberFormat="true" numFmtId="2" fillId="22" applyFill="true">
      <alignment horizontal="center" vertical="center"/>
    </xf>
    <xf fontId="15833" applyFont="true" borderId="8" applyBorder="true" applyNumberFormat="true" numFmtId="2" fillId="22" applyFill="true">
      <alignment horizontal="center" vertical="center"/>
    </xf>
    <xf fontId="15834" applyFont="true" borderId="8" applyBorder="true" applyNumberFormat="true" numFmtId="2" fillId="22" applyFill="true">
      <alignment horizontal="center" vertical="center"/>
    </xf>
    <xf fontId="15835" applyFont="true" borderId="8" applyBorder="true" applyNumberFormat="true" numFmtId="165" fillId="19" applyFill="true">
      <alignment horizontal="left" vertical="center"/>
    </xf>
    <xf fontId="15836" applyFont="true" borderId="8" applyBorder="true" applyNumberFormat="true" numFmtId="165" fillId="22" applyFill="true">
      <alignment horizontal="center" vertical="center"/>
    </xf>
    <xf fontId="15837" applyFont="true" borderId="8" applyBorder="true" applyNumberFormat="true" numFmtId="166" fillId="22" applyFill="true">
      <alignment horizontal="center" vertical="center"/>
    </xf>
    <xf fontId="15838" applyFont="true" borderId="8" applyBorder="true" applyNumberFormat="true" numFmtId="1" fillId="22" applyFill="true">
      <alignment horizontal="center" vertical="center"/>
    </xf>
    <xf fontId="15839" applyFont="true" borderId="8" applyBorder="true" applyNumberFormat="true" numFmtId="1" fillId="22" applyFill="true">
      <alignment horizontal="center" vertical="center"/>
    </xf>
    <xf fontId="15840" applyFont="true" borderId="8" applyBorder="true" applyNumberFormat="true" numFmtId="1" fillId="22" applyFill="true">
      <alignment horizontal="center" vertical="center"/>
    </xf>
    <xf fontId="15841" applyFont="true" borderId="8" applyBorder="true" applyNumberFormat="true" numFmtId="1" fillId="22" applyFill="true">
      <alignment horizontal="center" vertical="center"/>
    </xf>
    <xf fontId="15842" applyFont="true" borderId="8" applyBorder="true" applyNumberFormat="true" numFmtId="1" fillId="22" applyFill="true">
      <alignment horizontal="center" vertical="center"/>
    </xf>
    <xf fontId="15843" applyFont="true" borderId="8" applyBorder="true" applyNumberFormat="true" numFmtId="1" fillId="22" applyFill="true">
      <alignment horizontal="center" vertical="center"/>
    </xf>
    <xf fontId="15844" applyFont="true" borderId="8" applyBorder="true" applyNumberFormat="true" numFmtId="1" fillId="22" applyFill="true">
      <alignment horizontal="center" vertical="center"/>
    </xf>
    <xf fontId="15845" applyFont="true" borderId="8" applyBorder="true" applyNumberFormat="true" numFmtId="165" fillId="22" applyFill="true">
      <alignment horizontal="center" vertical="center"/>
    </xf>
    <xf fontId="15846" applyFont="true" borderId="8" applyBorder="true" applyNumberFormat="true" numFmtId="165" fillId="22" applyFill="true">
      <alignment horizontal="center" vertical="center"/>
    </xf>
    <xf fontId="15847" applyFont="true" borderId="8" applyBorder="true" applyNumberFormat="true" numFmtId="1" fillId="22" applyFill="true">
      <alignment horizontal="center" vertical="center"/>
    </xf>
    <xf fontId="15848" applyFont="true" borderId="8" applyBorder="true" applyNumberFormat="true" numFmtId="1" fillId="22" applyFill="true">
      <alignment horizontal="center" vertical="center"/>
    </xf>
    <xf fontId="15849" applyFont="true" borderId="8" applyBorder="true" applyNumberFormat="true" numFmtId="1" fillId="22" applyFill="true">
      <alignment horizontal="center" vertical="center"/>
    </xf>
    <xf fontId="15850" applyFont="true" borderId="8" applyBorder="true" applyNumberFormat="true" numFmtId="167" fillId="22" applyFill="true">
      <alignment horizontal="center" vertical="center"/>
    </xf>
    <xf fontId="15851" applyFont="true" borderId="8" applyBorder="true" applyNumberFormat="true" numFmtId="1" fillId="22" applyFill="true">
      <alignment horizontal="center" vertical="center"/>
    </xf>
    <xf fontId="15852" applyFont="true" borderId="8" applyBorder="true" applyNumberFormat="true" numFmtId="167" fillId="22" applyFill="true">
      <alignment horizontal="center" vertical="center"/>
    </xf>
    <xf fontId="15853" applyFont="true" borderId="8" applyBorder="true" applyNumberFormat="true" numFmtId="1" fillId="22" applyFill="true">
      <alignment horizontal="center" vertical="center"/>
    </xf>
    <xf fontId="15854" applyFont="true" borderId="8" applyBorder="true" applyNumberFormat="true" numFmtId="167" fillId="22" applyFill="true">
      <alignment horizontal="center" vertical="center"/>
    </xf>
    <xf fontId="15855" applyFont="true" borderId="8" applyBorder="true" applyNumberFormat="true" numFmtId="1" fillId="22" applyFill="true">
      <alignment horizontal="center" vertical="center"/>
    </xf>
    <xf fontId="15856" applyFont="true" borderId="8" applyBorder="true" applyNumberFormat="true" numFmtId="167" fillId="22" applyFill="true">
      <alignment horizontal="center" vertical="center"/>
    </xf>
    <xf fontId="15857" applyFont="true" borderId="8" applyBorder="true" applyNumberFormat="true" numFmtId="167" fillId="22" applyFill="true">
      <alignment horizontal="center" vertical="center"/>
    </xf>
    <xf fontId="15858" applyFont="true" borderId="8" applyBorder="true" applyNumberFormat="true" numFmtId="1" fillId="22" applyFill="true">
      <alignment horizontal="center" vertical="center"/>
    </xf>
    <xf fontId="15859" applyFont="true" borderId="8" applyBorder="true" applyNumberFormat="true" numFmtId="1" fillId="22" applyFill="true">
      <alignment horizontal="center" vertical="center"/>
    </xf>
    <xf fontId="15860" applyFont="true" borderId="8" applyBorder="true" applyNumberFormat="true" numFmtId="1" fillId="22" applyFill="true">
      <alignment horizontal="center" vertical="center"/>
    </xf>
    <xf fontId="15861" applyFont="true" borderId="8" applyBorder="true" applyNumberFormat="true" numFmtId="167" fillId="22" applyFill="true">
      <alignment horizontal="center" vertical="center"/>
    </xf>
    <xf fontId="15862" applyFont="true" borderId="8" applyBorder="true" applyNumberFormat="true" numFmtId="166" fillId="22" applyFill="true">
      <alignment horizontal="center" vertical="center"/>
    </xf>
    <xf fontId="15863" applyFont="true" borderId="8" applyBorder="true" applyNumberFormat="true" numFmtId="166" fillId="22" applyFill="true">
      <alignment horizontal="center" vertical="center"/>
    </xf>
    <xf fontId="15864" applyFont="true" borderId="8" applyBorder="true" applyNumberFormat="true" numFmtId="1" fillId="22" applyFill="true">
      <alignment horizontal="center" vertical="center"/>
    </xf>
    <xf fontId="15865" applyFont="true" borderId="8" applyBorder="true" applyNumberFormat="true" numFmtId="1" fillId="22" applyFill="true">
      <alignment horizontal="center" vertical="center"/>
    </xf>
    <xf fontId="15866" applyFont="true" borderId="8" applyBorder="true" applyNumberFormat="true" numFmtId="1" fillId="22" applyFill="true">
      <alignment horizontal="center" vertical="center"/>
    </xf>
    <xf fontId="15867" applyFont="true" borderId="8" applyBorder="true" applyNumberFormat="true" numFmtId="167" fillId="22" applyFill="true">
      <alignment horizontal="center" vertical="center"/>
    </xf>
    <xf fontId="15868" applyFont="true" borderId="8" applyBorder="true" applyNumberFormat="true" numFmtId="1" fillId="22" applyFill="true">
      <alignment horizontal="center" vertical="center"/>
    </xf>
    <xf fontId="15869" applyFont="true" borderId="8" applyBorder="true" applyNumberFormat="true" numFmtId="167" fillId="22" applyFill="true">
      <alignment horizontal="center" vertical="center"/>
    </xf>
    <xf fontId="15870" applyFont="true" borderId="8" applyBorder="true" applyNumberFormat="true" numFmtId="1" fillId="22" applyFill="true">
      <alignment horizontal="center" vertical="center"/>
    </xf>
    <xf fontId="15871" applyFont="true" borderId="8" applyBorder="true" applyNumberFormat="true" numFmtId="1" fillId="22" applyFill="true">
      <alignment horizontal="center" vertical="center"/>
    </xf>
    <xf fontId="15872" applyFont="true" borderId="8" applyBorder="true" applyNumberFormat="true" numFmtId="1" fillId="22" applyFill="true">
      <alignment horizontal="center" vertical="center"/>
    </xf>
    <xf fontId="15873" applyFont="true" borderId="8" applyBorder="true" applyNumberFormat="true" numFmtId="1" fillId="22" applyFill="true">
      <alignment horizontal="center" vertical="center"/>
    </xf>
    <xf fontId="15874" applyFont="true" borderId="8" applyBorder="true" applyNumberFormat="true" numFmtId="167" fillId="22" applyFill="true">
      <alignment horizontal="center" vertical="center"/>
    </xf>
    <xf fontId="15875" applyFont="true" borderId="8" applyBorder="true" applyNumberFormat="true" numFmtId="1" fillId="22" applyFill="true">
      <alignment horizontal="center" vertical="center"/>
    </xf>
    <xf fontId="15876" applyFont="true" borderId="8" applyBorder="true" applyNumberFormat="true" numFmtId="167" fillId="22" applyFill="true">
      <alignment horizontal="center" vertical="center"/>
    </xf>
    <xf fontId="15877" applyFont="true" borderId="8" applyBorder="true" applyNumberFormat="true" numFmtId="1" fillId="22" applyFill="true">
      <alignment horizontal="center" vertical="center"/>
    </xf>
    <xf fontId="15878" applyFont="true" borderId="8" applyBorder="true" applyNumberFormat="true" numFmtId="167" fillId="22" applyFill="true">
      <alignment horizontal="center" vertical="center"/>
    </xf>
    <xf fontId="15879" applyFont="true" borderId="8" applyBorder="true" applyNumberFormat="true" numFmtId="2" fillId="22" applyFill="true">
      <alignment horizontal="center" vertical="center"/>
    </xf>
    <xf fontId="15880" applyFont="true" borderId="8" applyBorder="true" applyNumberFormat="true" numFmtId="2" fillId="22" applyFill="true">
      <alignment horizontal="center" vertical="center"/>
    </xf>
    <xf fontId="15881" applyFont="true" borderId="8" applyBorder="true" applyNumberFormat="true" numFmtId="2" fillId="22" applyFill="true">
      <alignment horizontal="center" vertical="center"/>
    </xf>
    <xf fontId="15882" applyFont="true" borderId="8" applyBorder="true" applyNumberFormat="true" numFmtId="2" fillId="22" applyFill="true">
      <alignment horizontal="center" vertical="center"/>
    </xf>
    <xf fontId="15883" applyFont="true" borderId="8" applyBorder="true" applyNumberFormat="true" numFmtId="2" fillId="22" applyFill="true">
      <alignment horizontal="center" vertical="center"/>
    </xf>
    <xf fontId="15884" applyFont="true" borderId="8" applyBorder="true" applyNumberFormat="true" numFmtId="2" fillId="22" applyFill="true">
      <alignment horizontal="center" vertical="center"/>
    </xf>
    <xf fontId="15885" applyFont="true" borderId="8" applyBorder="true" applyNumberFormat="true" numFmtId="2" fillId="22" applyFill="true">
      <alignment horizontal="center" vertical="center"/>
    </xf>
    <xf fontId="15886" applyFont="true" borderId="8" applyBorder="true" applyNumberFormat="true" numFmtId="2" fillId="22" applyFill="true">
      <alignment horizontal="center" vertical="center"/>
    </xf>
    <xf fontId="15887" applyFont="true" borderId="8" applyBorder="true" applyNumberFormat="true" numFmtId="2" fillId="22" applyFill="true">
      <alignment horizontal="center" vertical="center"/>
    </xf>
    <xf fontId="15888" applyFont="true" borderId="8" applyBorder="true" applyNumberFormat="true" numFmtId="2" fillId="22" applyFill="true">
      <alignment horizontal="center" vertical="center"/>
    </xf>
    <xf fontId="15889" applyFont="true" borderId="8" applyBorder="true" applyNumberFormat="true" numFmtId="2" fillId="22" applyFill="true">
      <alignment horizontal="center" vertical="center"/>
    </xf>
    <xf fontId="15890" applyFont="true" borderId="8" applyBorder="true" applyNumberFormat="true" numFmtId="2" fillId="22" applyFill="true">
      <alignment horizontal="center" vertical="center"/>
    </xf>
    <xf fontId="15891" applyFont="true" borderId="8" applyBorder="true" applyNumberFormat="true" numFmtId="2" fillId="22" applyFill="true">
      <alignment horizontal="center" vertical="center"/>
    </xf>
    <xf fontId="15892" applyFont="true" borderId="8" applyBorder="true" applyNumberFormat="true" numFmtId="2" fillId="22" applyFill="true">
      <alignment horizontal="center" vertical="center"/>
    </xf>
    <xf fontId="15893" applyFont="true" borderId="8" applyBorder="true" applyNumberFormat="true" numFmtId="2" fillId="22" applyFill="true">
      <alignment horizontal="center" vertical="center"/>
    </xf>
    <xf fontId="15894" applyFont="true" borderId="8" applyBorder="true" applyNumberFormat="true" numFmtId="2" fillId="22" applyFill="true">
      <alignment horizontal="center" vertical="center"/>
    </xf>
    <xf fontId="15895" applyFont="true" borderId="8" applyBorder="true" applyNumberFormat="true" numFmtId="2" fillId="22" applyFill="true">
      <alignment horizontal="center" vertical="center"/>
    </xf>
    <xf fontId="15896" applyFont="true" borderId="8" applyBorder="true" applyNumberFormat="true" numFmtId="2" fillId="22" applyFill="true">
      <alignment horizontal="center" vertical="center"/>
    </xf>
    <xf fontId="15897" applyFont="true" borderId="8" applyBorder="true" applyNumberFormat="true" numFmtId="2" fillId="22" applyFill="true">
      <alignment horizontal="center" vertical="center"/>
    </xf>
    <xf fontId="15898" applyFont="true" borderId="8" applyBorder="true" applyNumberFormat="true" numFmtId="2" fillId="22" applyFill="true">
      <alignment horizontal="center" vertical="center"/>
    </xf>
    <xf fontId="15899" applyFont="true" borderId="8" applyBorder="true" applyNumberFormat="true" numFmtId="2" fillId="22" applyFill="true">
      <alignment horizontal="center" vertical="center"/>
    </xf>
    <xf fontId="15900" applyFont="true" borderId="8" applyBorder="true" applyNumberFormat="true" numFmtId="2" fillId="22" applyFill="true">
      <alignment horizontal="center" vertical="center"/>
    </xf>
    <xf fontId="15901" applyFont="true" borderId="8" applyBorder="true" applyNumberFormat="true" numFmtId="2" fillId="22" applyFill="true">
      <alignment horizontal="center" vertical="center"/>
    </xf>
    <xf fontId="15902" applyFont="true" borderId="8" applyBorder="true" applyNumberFormat="true" numFmtId="2" fillId="22" applyFill="true">
      <alignment horizontal="center" vertical="center"/>
    </xf>
    <xf fontId="15903" applyFont="true" borderId="8" applyBorder="true" applyNumberFormat="true" numFmtId="2" fillId="22" applyFill="true">
      <alignment horizontal="center" vertical="center"/>
    </xf>
    <xf fontId="15904" applyFont="true" borderId="8" applyBorder="true" applyNumberFormat="true" numFmtId="2" fillId="22" applyFill="true">
      <alignment horizontal="center" vertical="center"/>
    </xf>
    <xf fontId="15905" applyFont="true" borderId="8" applyBorder="true" applyNumberFormat="true" numFmtId="2" fillId="22" applyFill="true">
      <alignment horizontal="center" vertical="center"/>
    </xf>
    <xf fontId="15906" applyFont="true" borderId="8" applyBorder="true" applyNumberFormat="true" numFmtId="2" fillId="22" applyFill="true">
      <alignment horizontal="center" vertical="center"/>
    </xf>
    <xf fontId="15907" applyFont="true" borderId="8" applyBorder="true" applyNumberFormat="true" numFmtId="2" fillId="22" applyFill="true">
      <alignment horizontal="center" vertical="center"/>
    </xf>
    <xf fontId="15908" applyFont="true" borderId="8" applyBorder="true" applyNumberFormat="true" numFmtId="2" fillId="22" applyFill="true">
      <alignment horizontal="center" vertical="center"/>
    </xf>
    <xf fontId="15909" applyFont="true" borderId="8" applyBorder="true" applyNumberFormat="true" numFmtId="2" fillId="22" applyFill="true">
      <alignment horizontal="center" vertical="center"/>
    </xf>
    <xf fontId="15910" applyFont="true" borderId="8" applyBorder="true" applyNumberFormat="true" numFmtId="2" fillId="22" applyFill="true">
      <alignment horizontal="center" vertical="center"/>
    </xf>
    <xf fontId="15911" applyFont="true" borderId="8" applyBorder="true" applyNumberFormat="true" numFmtId="2" fillId="22" applyFill="true">
      <alignment horizontal="center" vertical="center"/>
    </xf>
    <xf fontId="15912" applyFont="true" borderId="8" applyBorder="true" applyNumberFormat="true" numFmtId="2" fillId="22" applyFill="true">
      <alignment horizontal="center" vertical="center"/>
    </xf>
    <xf fontId="15913" applyFont="true" borderId="8" applyBorder="true" applyNumberFormat="true" numFmtId="165" fillId="19" applyFill="true">
      <alignment horizontal="left" vertical="center"/>
    </xf>
    <xf fontId="15914" applyFont="true" borderId="8" applyBorder="true" applyNumberFormat="true" numFmtId="165" fillId="22" applyFill="true">
      <alignment horizontal="center" vertical="center"/>
    </xf>
    <xf fontId="15915" applyFont="true" borderId="8" applyBorder="true" applyNumberFormat="true" numFmtId="166" fillId="22" applyFill="true">
      <alignment horizontal="center" vertical="center"/>
    </xf>
    <xf fontId="15916" applyFont="true" borderId="8" applyBorder="true" applyNumberFormat="true" numFmtId="1" fillId="22" applyFill="true">
      <alignment horizontal="center" vertical="center"/>
    </xf>
    <xf fontId="15917" applyFont="true" borderId="8" applyBorder="true" applyNumberFormat="true" numFmtId="1" fillId="22" applyFill="true">
      <alignment horizontal="center" vertical="center"/>
    </xf>
    <xf fontId="15918" applyFont="true" borderId="8" applyBorder="true" applyNumberFormat="true" numFmtId="1" fillId="22" applyFill="true">
      <alignment horizontal="center" vertical="center"/>
    </xf>
    <xf fontId="15919" applyFont="true" borderId="8" applyBorder="true" applyNumberFormat="true" numFmtId="1" fillId="22" applyFill="true">
      <alignment horizontal="center" vertical="center"/>
    </xf>
    <xf fontId="15920" applyFont="true" borderId="8" applyBorder="true" applyNumberFormat="true" numFmtId="1" fillId="22" applyFill="true">
      <alignment horizontal="center" vertical="center"/>
    </xf>
    <xf fontId="15921" applyFont="true" borderId="8" applyBorder="true" applyNumberFormat="true" numFmtId="1" fillId="22" applyFill="true">
      <alignment horizontal="center" vertical="center"/>
    </xf>
    <xf fontId="15922" applyFont="true" borderId="8" applyBorder="true" applyNumberFormat="true" numFmtId="1" fillId="22" applyFill="true">
      <alignment horizontal="center" vertical="center"/>
    </xf>
    <xf fontId="15923" applyFont="true" borderId="8" applyBorder="true" applyNumberFormat="true" numFmtId="165" fillId="22" applyFill="true">
      <alignment horizontal="center" vertical="center"/>
    </xf>
    <xf fontId="15924" applyFont="true" borderId="8" applyBorder="true" applyNumberFormat="true" numFmtId="165" fillId="22" applyFill="true">
      <alignment horizontal="center" vertical="center"/>
    </xf>
    <xf fontId="15925" applyFont="true" borderId="8" applyBorder="true" applyNumberFormat="true" numFmtId="1" fillId="22" applyFill="true">
      <alignment horizontal="center" vertical="center"/>
    </xf>
    <xf fontId="15926" applyFont="true" borderId="8" applyBorder="true" applyNumberFormat="true" numFmtId="1" fillId="22" applyFill="true">
      <alignment horizontal="center" vertical="center"/>
    </xf>
    <xf fontId="15927" applyFont="true" borderId="8" applyBorder="true" applyNumberFormat="true" numFmtId="1" fillId="22" applyFill="true">
      <alignment horizontal="center" vertical="center"/>
    </xf>
    <xf fontId="15928" applyFont="true" borderId="8" applyBorder="true" applyNumberFormat="true" numFmtId="167" fillId="22" applyFill="true">
      <alignment horizontal="center" vertical="center"/>
    </xf>
    <xf fontId="15929" applyFont="true" borderId="8" applyBorder="true" applyNumberFormat="true" numFmtId="1" fillId="22" applyFill="true">
      <alignment horizontal="center" vertical="center"/>
    </xf>
    <xf fontId="15930" applyFont="true" borderId="8" applyBorder="true" applyNumberFormat="true" numFmtId="167" fillId="22" applyFill="true">
      <alignment horizontal="center" vertical="center"/>
    </xf>
    <xf fontId="15931" applyFont="true" borderId="8" applyBorder="true" applyNumberFormat="true" numFmtId="1" fillId="22" applyFill="true">
      <alignment horizontal="center" vertical="center"/>
    </xf>
    <xf fontId="15932" applyFont="true" borderId="8" applyBorder="true" applyNumberFormat="true" numFmtId="167" fillId="22" applyFill="true">
      <alignment horizontal="center" vertical="center"/>
    </xf>
    <xf fontId="15933" applyFont="true" borderId="8" applyBorder="true" applyNumberFormat="true" numFmtId="1" fillId="22" applyFill="true">
      <alignment horizontal="center" vertical="center"/>
    </xf>
    <xf fontId="15934" applyFont="true" borderId="8" applyBorder="true" applyNumberFormat="true" numFmtId="167" fillId="22" applyFill="true">
      <alignment horizontal="center" vertical="center"/>
    </xf>
    <xf fontId="15935" applyFont="true" borderId="8" applyBorder="true" applyNumberFormat="true" numFmtId="167" fillId="22" applyFill="true">
      <alignment horizontal="center" vertical="center"/>
    </xf>
    <xf fontId="15936" applyFont="true" borderId="8" applyBorder="true" applyNumberFormat="true" numFmtId="1" fillId="22" applyFill="true">
      <alignment horizontal="center" vertical="center"/>
    </xf>
    <xf fontId="15937" applyFont="true" borderId="8" applyBorder="true" applyNumberFormat="true" numFmtId="1" fillId="22" applyFill="true">
      <alignment horizontal="center" vertical="center"/>
    </xf>
    <xf fontId="15938" applyFont="true" borderId="8" applyBorder="true" applyNumberFormat="true" numFmtId="1" fillId="22" applyFill="true">
      <alignment horizontal="center" vertical="center"/>
    </xf>
    <xf fontId="15939" applyFont="true" borderId="8" applyBorder="true" applyNumberFormat="true" numFmtId="167" fillId="22" applyFill="true">
      <alignment horizontal="center" vertical="center"/>
    </xf>
    <xf fontId="15940" applyFont="true" borderId="8" applyBorder="true" applyNumberFormat="true" numFmtId="166" fillId="22" applyFill="true">
      <alignment horizontal="center" vertical="center"/>
    </xf>
    <xf fontId="15941" applyFont="true" borderId="8" applyBorder="true" applyNumberFormat="true" numFmtId="166" fillId="22" applyFill="true">
      <alignment horizontal="center" vertical="center"/>
    </xf>
    <xf fontId="15942" applyFont="true" borderId="8" applyBorder="true" applyNumberFormat="true" numFmtId="1" fillId="22" applyFill="true">
      <alignment horizontal="center" vertical="center"/>
    </xf>
    <xf fontId="15943" applyFont="true" borderId="8" applyBorder="true" applyNumberFormat="true" numFmtId="1" fillId="22" applyFill="true">
      <alignment horizontal="center" vertical="center"/>
    </xf>
    <xf fontId="15944" applyFont="true" borderId="8" applyBorder="true" applyNumberFormat="true" numFmtId="1" fillId="22" applyFill="true">
      <alignment horizontal="center" vertical="center"/>
    </xf>
    <xf fontId="15945" applyFont="true" borderId="8" applyBorder="true" applyNumberFormat="true" numFmtId="167" fillId="22" applyFill="true">
      <alignment horizontal="center" vertical="center"/>
    </xf>
    <xf fontId="15946" applyFont="true" borderId="8" applyBorder="true" applyNumberFormat="true" numFmtId="1" fillId="22" applyFill="true">
      <alignment horizontal="center" vertical="center"/>
    </xf>
    <xf fontId="15947" applyFont="true" borderId="8" applyBorder="true" applyNumberFormat="true" numFmtId="167" fillId="22" applyFill="true">
      <alignment horizontal="center" vertical="center"/>
    </xf>
    <xf fontId="15948" applyFont="true" borderId="8" applyBorder="true" applyNumberFormat="true" numFmtId="1" fillId="22" applyFill="true">
      <alignment horizontal="center" vertical="center"/>
    </xf>
    <xf fontId="15949" applyFont="true" borderId="8" applyBorder="true" applyNumberFormat="true" numFmtId="1" fillId="22" applyFill="true">
      <alignment horizontal="center" vertical="center"/>
    </xf>
    <xf fontId="15950" applyFont="true" borderId="8" applyBorder="true" applyNumberFormat="true" numFmtId="1" fillId="22" applyFill="true">
      <alignment horizontal="center" vertical="center"/>
    </xf>
    <xf fontId="15951" applyFont="true" borderId="8" applyBorder="true" applyNumberFormat="true" numFmtId="1" fillId="22" applyFill="true">
      <alignment horizontal="center" vertical="center"/>
    </xf>
    <xf fontId="15952" applyFont="true" borderId="8" applyBorder="true" applyNumberFormat="true" numFmtId="167" fillId="22" applyFill="true">
      <alignment horizontal="center" vertical="center"/>
    </xf>
    <xf fontId="15953" applyFont="true" borderId="8" applyBorder="true" applyNumberFormat="true" numFmtId="1" fillId="22" applyFill="true">
      <alignment horizontal="center" vertical="center"/>
    </xf>
    <xf fontId="15954" applyFont="true" borderId="8" applyBorder="true" applyNumberFormat="true" numFmtId="167" fillId="22" applyFill="true">
      <alignment horizontal="center" vertical="center"/>
    </xf>
    <xf fontId="15955" applyFont="true" borderId="8" applyBorder="true" applyNumberFormat="true" numFmtId="1" fillId="22" applyFill="true">
      <alignment horizontal="center" vertical="center"/>
    </xf>
    <xf fontId="15956" applyFont="true" borderId="8" applyBorder="true" applyNumberFormat="true" numFmtId="167" fillId="22" applyFill="true">
      <alignment horizontal="center" vertical="center"/>
    </xf>
    <xf fontId="15957" applyFont="true" borderId="8" applyBorder="true" applyNumberFormat="true" numFmtId="2" fillId="22" applyFill="true">
      <alignment horizontal="center" vertical="center"/>
    </xf>
    <xf fontId="15958" applyFont="true" borderId="8" applyBorder="true" applyNumberFormat="true" numFmtId="2" fillId="22" applyFill="true">
      <alignment horizontal="center" vertical="center"/>
    </xf>
    <xf fontId="15959" applyFont="true" borderId="8" applyBorder="true" applyNumberFormat="true" numFmtId="2" fillId="22" applyFill="true">
      <alignment horizontal="center" vertical="center"/>
    </xf>
    <xf fontId="15960" applyFont="true" borderId="8" applyBorder="true" applyNumberFormat="true" numFmtId="2" fillId="22" applyFill="true">
      <alignment horizontal="center" vertical="center"/>
    </xf>
    <xf fontId="15961" applyFont="true" borderId="8" applyBorder="true" applyNumberFormat="true" numFmtId="2" fillId="22" applyFill="true">
      <alignment horizontal="center" vertical="center"/>
    </xf>
    <xf fontId="15962" applyFont="true" borderId="8" applyBorder="true" applyNumberFormat="true" numFmtId="2" fillId="22" applyFill="true">
      <alignment horizontal="center" vertical="center"/>
    </xf>
    <xf fontId="15963" applyFont="true" borderId="8" applyBorder="true" applyNumberFormat="true" numFmtId="2" fillId="22" applyFill="true">
      <alignment horizontal="center" vertical="center"/>
    </xf>
    <xf fontId="15964" applyFont="true" borderId="8" applyBorder="true" applyNumberFormat="true" numFmtId="2" fillId="22" applyFill="true">
      <alignment horizontal="center" vertical="center"/>
    </xf>
    <xf fontId="15965" applyFont="true" borderId="8" applyBorder="true" applyNumberFormat="true" numFmtId="2" fillId="22" applyFill="true">
      <alignment horizontal="center" vertical="center"/>
    </xf>
    <xf fontId="15966" applyFont="true" borderId="8" applyBorder="true" applyNumberFormat="true" numFmtId="2" fillId="22" applyFill="true">
      <alignment horizontal="center" vertical="center"/>
    </xf>
    <xf fontId="15967" applyFont="true" borderId="8" applyBorder="true" applyNumberFormat="true" numFmtId="2" fillId="22" applyFill="true">
      <alignment horizontal="center" vertical="center"/>
    </xf>
    <xf fontId="15968" applyFont="true" borderId="8" applyBorder="true" applyNumberFormat="true" numFmtId="2" fillId="22" applyFill="true">
      <alignment horizontal="center" vertical="center"/>
    </xf>
    <xf fontId="15969" applyFont="true" borderId="8" applyBorder="true" applyNumberFormat="true" numFmtId="2" fillId="22" applyFill="true">
      <alignment horizontal="center" vertical="center"/>
    </xf>
    <xf fontId="15970" applyFont="true" borderId="8" applyBorder="true" applyNumberFormat="true" numFmtId="2" fillId="22" applyFill="true">
      <alignment horizontal="center" vertical="center"/>
    </xf>
    <xf fontId="15971" applyFont="true" borderId="8" applyBorder="true" applyNumberFormat="true" numFmtId="2" fillId="22" applyFill="true">
      <alignment horizontal="center" vertical="center"/>
    </xf>
    <xf fontId="15972" applyFont="true" borderId="8" applyBorder="true" applyNumberFormat="true" numFmtId="2" fillId="22" applyFill="true">
      <alignment horizontal="center" vertical="center"/>
    </xf>
    <xf fontId="15973" applyFont="true" borderId="8" applyBorder="true" applyNumberFormat="true" numFmtId="2" fillId="22" applyFill="true">
      <alignment horizontal="center" vertical="center"/>
    </xf>
    <xf fontId="15974" applyFont="true" borderId="8" applyBorder="true" applyNumberFormat="true" numFmtId="2" fillId="22" applyFill="true">
      <alignment horizontal="center" vertical="center"/>
    </xf>
    <xf fontId="15975" applyFont="true" borderId="8" applyBorder="true" applyNumberFormat="true" numFmtId="2" fillId="22" applyFill="true">
      <alignment horizontal="center" vertical="center"/>
    </xf>
    <xf fontId="15976" applyFont="true" borderId="8" applyBorder="true" applyNumberFormat="true" numFmtId="2" fillId="22" applyFill="true">
      <alignment horizontal="center" vertical="center"/>
    </xf>
    <xf fontId="15977" applyFont="true" borderId="8" applyBorder="true" applyNumberFormat="true" numFmtId="2" fillId="22" applyFill="true">
      <alignment horizontal="center" vertical="center"/>
    </xf>
    <xf fontId="15978" applyFont="true" borderId="8" applyBorder="true" applyNumberFormat="true" numFmtId="2" fillId="22" applyFill="true">
      <alignment horizontal="center" vertical="center"/>
    </xf>
    <xf fontId="15979" applyFont="true" borderId="8" applyBorder="true" applyNumberFormat="true" numFmtId="2" fillId="22" applyFill="true">
      <alignment horizontal="center" vertical="center"/>
    </xf>
    <xf fontId="15980" applyFont="true" borderId="8" applyBorder="true" applyNumberFormat="true" numFmtId="2" fillId="22" applyFill="true">
      <alignment horizontal="center" vertical="center"/>
    </xf>
    <xf fontId="15981" applyFont="true" borderId="8" applyBorder="true" applyNumberFormat="true" numFmtId="2" fillId="22" applyFill="true">
      <alignment horizontal="center" vertical="center"/>
    </xf>
    <xf fontId="15982" applyFont="true" borderId="8" applyBorder="true" applyNumberFormat="true" numFmtId="2" fillId="22" applyFill="true">
      <alignment horizontal="center" vertical="center"/>
    </xf>
    <xf fontId="15983" applyFont="true" borderId="8" applyBorder="true" applyNumberFormat="true" numFmtId="2" fillId="22" applyFill="true">
      <alignment horizontal="center" vertical="center"/>
    </xf>
    <xf fontId="15984" applyFont="true" borderId="8" applyBorder="true" applyNumberFormat="true" numFmtId="2" fillId="22" applyFill="true">
      <alignment horizontal="center" vertical="center"/>
    </xf>
    <xf fontId="15985" applyFont="true" borderId="8" applyBorder="true" applyNumberFormat="true" numFmtId="2" fillId="22" applyFill="true">
      <alignment horizontal="center" vertical="center"/>
    </xf>
    <xf fontId="15986" applyFont="true" borderId="8" applyBorder="true" applyNumberFormat="true" numFmtId="2" fillId="22" applyFill="true">
      <alignment horizontal="center" vertical="center"/>
    </xf>
    <xf fontId="15987" applyFont="true" borderId="8" applyBorder="true" applyNumberFormat="true" numFmtId="2" fillId="22" applyFill="true">
      <alignment horizontal="center" vertical="center"/>
    </xf>
    <xf fontId="15988" applyFont="true" borderId="8" applyBorder="true" applyNumberFormat="true" numFmtId="2" fillId="22" applyFill="true">
      <alignment horizontal="center" vertical="center"/>
    </xf>
    <xf fontId="15989" applyFont="true" borderId="8" applyBorder="true" applyNumberFormat="true" numFmtId="2" fillId="22" applyFill="true">
      <alignment horizontal="center" vertical="center"/>
    </xf>
    <xf fontId="15990" applyFont="true" borderId="8" applyBorder="true" applyNumberFormat="true" numFmtId="2" fillId="22" applyFill="true">
      <alignment horizontal="center" vertical="center"/>
    </xf>
    <xf fontId="15991" applyFont="true" borderId="8" applyBorder="true" applyNumberFormat="true" numFmtId="165" fillId="19" applyFill="true">
      <alignment horizontal="left" vertical="center"/>
    </xf>
    <xf fontId="15992" applyFont="true" borderId="8" applyBorder="true" applyNumberFormat="true" numFmtId="165" fillId="22" applyFill="true">
      <alignment horizontal="center" vertical="center"/>
    </xf>
    <xf fontId="15993" applyFont="true" borderId="8" applyBorder="true" applyNumberFormat="true" numFmtId="166" fillId="22" applyFill="true">
      <alignment horizontal="center" vertical="center"/>
    </xf>
    <xf fontId="15994" applyFont="true" borderId="8" applyBorder="true" applyNumberFormat="true" numFmtId="1" fillId="22" applyFill="true">
      <alignment horizontal="center" vertical="center"/>
    </xf>
    <xf fontId="15995" applyFont="true" borderId="8" applyBorder="true" applyNumberFormat="true" numFmtId="1" fillId="22" applyFill="true">
      <alignment horizontal="center" vertical="center"/>
    </xf>
    <xf fontId="15996" applyFont="true" borderId="8" applyBorder="true" applyNumberFormat="true" numFmtId="1" fillId="22" applyFill="true">
      <alignment horizontal="center" vertical="center"/>
    </xf>
    <xf fontId="15997" applyFont="true" borderId="8" applyBorder="true" applyNumberFormat="true" numFmtId="1" fillId="22" applyFill="true">
      <alignment horizontal="center" vertical="center"/>
    </xf>
    <xf fontId="15998" applyFont="true" borderId="8" applyBorder="true" applyNumberFormat="true" numFmtId="1" fillId="22" applyFill="true">
      <alignment horizontal="center" vertical="center"/>
    </xf>
    <xf fontId="15999" applyFont="true" borderId="8" applyBorder="true" applyNumberFormat="true" numFmtId="1" fillId="22" applyFill="true">
      <alignment horizontal="center" vertical="center"/>
    </xf>
    <xf fontId="16000" applyFont="true" borderId="8" applyBorder="true" applyNumberFormat="true" numFmtId="1" fillId="22" applyFill="true">
      <alignment horizontal="center" vertical="center"/>
    </xf>
    <xf fontId="16001" applyFont="true" borderId="8" applyBorder="true" applyNumberFormat="true" numFmtId="165" fillId="22" applyFill="true">
      <alignment horizontal="center" vertical="center"/>
    </xf>
    <xf fontId="16002" applyFont="true" borderId="8" applyBorder="true" applyNumberFormat="true" numFmtId="165" fillId="22" applyFill="true">
      <alignment horizontal="center" vertical="center"/>
    </xf>
    <xf fontId="16003" applyFont="true" borderId="8" applyBorder="true" applyNumberFormat="true" numFmtId="1" fillId="22" applyFill="true">
      <alignment horizontal="center" vertical="center"/>
    </xf>
    <xf fontId="16004" applyFont="true" borderId="8" applyBorder="true" applyNumberFormat="true" numFmtId="1" fillId="22" applyFill="true">
      <alignment horizontal="center" vertical="center"/>
    </xf>
    <xf fontId="16005" applyFont="true" borderId="8" applyBorder="true" applyNumberFormat="true" numFmtId="1" fillId="22" applyFill="true">
      <alignment horizontal="center" vertical="center"/>
    </xf>
    <xf fontId="16006" applyFont="true" borderId="8" applyBorder="true" applyNumberFormat="true" numFmtId="167" fillId="22" applyFill="true">
      <alignment horizontal="center" vertical="center"/>
    </xf>
    <xf fontId="16007" applyFont="true" borderId="8" applyBorder="true" applyNumberFormat="true" numFmtId="1" fillId="22" applyFill="true">
      <alignment horizontal="center" vertical="center"/>
    </xf>
    <xf fontId="16008" applyFont="true" borderId="8" applyBorder="true" applyNumberFormat="true" numFmtId="167" fillId="22" applyFill="true">
      <alignment horizontal="center" vertical="center"/>
    </xf>
    <xf fontId="16009" applyFont="true" borderId="8" applyBorder="true" applyNumberFormat="true" numFmtId="1" fillId="22" applyFill="true">
      <alignment horizontal="center" vertical="center"/>
    </xf>
    <xf fontId="16010" applyFont="true" borderId="8" applyBorder="true" applyNumberFormat="true" numFmtId="167" fillId="22" applyFill="true">
      <alignment horizontal="center" vertical="center"/>
    </xf>
    <xf fontId="16011" applyFont="true" borderId="8" applyBorder="true" applyNumberFormat="true" numFmtId="1" fillId="22" applyFill="true">
      <alignment horizontal="center" vertical="center"/>
    </xf>
    <xf fontId="16012" applyFont="true" borderId="8" applyBorder="true" applyNumberFormat="true" numFmtId="167" fillId="22" applyFill="true">
      <alignment horizontal="center" vertical="center"/>
    </xf>
    <xf fontId="16013" applyFont="true" borderId="8" applyBorder="true" applyNumberFormat="true" numFmtId="167" fillId="22" applyFill="true">
      <alignment horizontal="center" vertical="center"/>
    </xf>
    <xf fontId="16014" applyFont="true" borderId="8" applyBorder="true" applyNumberFormat="true" numFmtId="1" fillId="22" applyFill="true">
      <alignment horizontal="center" vertical="center"/>
    </xf>
    <xf fontId="16015" applyFont="true" borderId="8" applyBorder="true" applyNumberFormat="true" numFmtId="1" fillId="22" applyFill="true">
      <alignment horizontal="center" vertical="center"/>
    </xf>
    <xf fontId="16016" applyFont="true" borderId="8" applyBorder="true" applyNumberFormat="true" numFmtId="1" fillId="22" applyFill="true">
      <alignment horizontal="center" vertical="center"/>
    </xf>
    <xf fontId="16017" applyFont="true" borderId="8" applyBorder="true" applyNumberFormat="true" numFmtId="167" fillId="22" applyFill="true">
      <alignment horizontal="center" vertical="center"/>
    </xf>
    <xf fontId="16018" applyFont="true" borderId="8" applyBorder="true" applyNumberFormat="true" numFmtId="166" fillId="22" applyFill="true">
      <alignment horizontal="center" vertical="center"/>
    </xf>
    <xf fontId="16019" applyFont="true" borderId="8" applyBorder="true" applyNumberFormat="true" numFmtId="166" fillId="22" applyFill="true">
      <alignment horizontal="center" vertical="center"/>
    </xf>
    <xf fontId="16020" applyFont="true" borderId="8" applyBorder="true" applyNumberFormat="true" numFmtId="1" fillId="22" applyFill="true">
      <alignment horizontal="center" vertical="center"/>
    </xf>
    <xf fontId="16021" applyFont="true" borderId="8" applyBorder="true" applyNumberFormat="true" numFmtId="1" fillId="22" applyFill="true">
      <alignment horizontal="center" vertical="center"/>
    </xf>
    <xf fontId="16022" applyFont="true" borderId="8" applyBorder="true" applyNumberFormat="true" numFmtId="1" fillId="22" applyFill="true">
      <alignment horizontal="center" vertical="center"/>
    </xf>
    <xf fontId="16023" applyFont="true" borderId="8" applyBorder="true" applyNumberFormat="true" numFmtId="167" fillId="22" applyFill="true">
      <alignment horizontal="center" vertical="center"/>
    </xf>
    <xf fontId="16024" applyFont="true" borderId="8" applyBorder="true" applyNumberFormat="true" numFmtId="1" fillId="22" applyFill="true">
      <alignment horizontal="center" vertical="center"/>
    </xf>
    <xf fontId="16025" applyFont="true" borderId="8" applyBorder="true" applyNumberFormat="true" numFmtId="167" fillId="22" applyFill="true">
      <alignment horizontal="center" vertical="center"/>
    </xf>
    <xf fontId="16026" applyFont="true" borderId="8" applyBorder="true" applyNumberFormat="true" numFmtId="1" fillId="22" applyFill="true">
      <alignment horizontal="center" vertical="center"/>
    </xf>
    <xf fontId="16027" applyFont="true" borderId="8" applyBorder="true" applyNumberFormat="true" numFmtId="1" fillId="22" applyFill="true">
      <alignment horizontal="center" vertical="center"/>
    </xf>
    <xf fontId="16028" applyFont="true" borderId="8" applyBorder="true" applyNumberFormat="true" numFmtId="1" fillId="22" applyFill="true">
      <alignment horizontal="center" vertical="center"/>
    </xf>
    <xf fontId="16029" applyFont="true" borderId="8" applyBorder="true" applyNumberFormat="true" numFmtId="1" fillId="22" applyFill="true">
      <alignment horizontal="center" vertical="center"/>
    </xf>
    <xf fontId="16030" applyFont="true" borderId="8" applyBorder="true" applyNumberFormat="true" numFmtId="167" fillId="22" applyFill="true">
      <alignment horizontal="center" vertical="center"/>
    </xf>
    <xf fontId="16031" applyFont="true" borderId="8" applyBorder="true" applyNumberFormat="true" numFmtId="1" fillId="22" applyFill="true">
      <alignment horizontal="center" vertical="center"/>
    </xf>
    <xf fontId="16032" applyFont="true" borderId="8" applyBorder="true" applyNumberFormat="true" numFmtId="167" fillId="22" applyFill="true">
      <alignment horizontal="center" vertical="center"/>
    </xf>
    <xf fontId="16033" applyFont="true" borderId="8" applyBorder="true" applyNumberFormat="true" numFmtId="1" fillId="22" applyFill="true">
      <alignment horizontal="center" vertical="center"/>
    </xf>
    <xf fontId="16034" applyFont="true" borderId="8" applyBorder="true" applyNumberFormat="true" numFmtId="167" fillId="22" applyFill="true">
      <alignment horizontal="center" vertical="center"/>
    </xf>
    <xf fontId="16035" applyFont="true" borderId="8" applyBorder="true" applyNumberFormat="true" numFmtId="2" fillId="22" applyFill="true">
      <alignment horizontal="center" vertical="center"/>
    </xf>
    <xf fontId="16036" applyFont="true" borderId="8" applyBorder="true" applyNumberFormat="true" numFmtId="2" fillId="22" applyFill="true">
      <alignment horizontal="center" vertical="center"/>
    </xf>
    <xf fontId="16037" applyFont="true" borderId="8" applyBorder="true" applyNumberFormat="true" numFmtId="2" fillId="22" applyFill="true">
      <alignment horizontal="center" vertical="center"/>
    </xf>
    <xf fontId="16038" applyFont="true" borderId="8" applyBorder="true" applyNumberFormat="true" numFmtId="2" fillId="22" applyFill="true">
      <alignment horizontal="center" vertical="center"/>
    </xf>
    <xf fontId="16039" applyFont="true" borderId="8" applyBorder="true" applyNumberFormat="true" numFmtId="2" fillId="22" applyFill="true">
      <alignment horizontal="center" vertical="center"/>
    </xf>
    <xf fontId="16040" applyFont="true" borderId="8" applyBorder="true" applyNumberFormat="true" numFmtId="2" fillId="22" applyFill="true">
      <alignment horizontal="center" vertical="center"/>
    </xf>
    <xf fontId="16041" applyFont="true" borderId="8" applyBorder="true" applyNumberFormat="true" numFmtId="2" fillId="22" applyFill="true">
      <alignment horizontal="center" vertical="center"/>
    </xf>
    <xf fontId="16042" applyFont="true" borderId="8" applyBorder="true" applyNumberFormat="true" numFmtId="2" fillId="22" applyFill="true">
      <alignment horizontal="center" vertical="center"/>
    </xf>
    <xf fontId="16043" applyFont="true" borderId="8" applyBorder="true" applyNumberFormat="true" numFmtId="2" fillId="22" applyFill="true">
      <alignment horizontal="center" vertical="center"/>
    </xf>
    <xf fontId="16044" applyFont="true" borderId="8" applyBorder="true" applyNumberFormat="true" numFmtId="2" fillId="22" applyFill="true">
      <alignment horizontal="center" vertical="center"/>
    </xf>
    <xf fontId="16045" applyFont="true" borderId="8" applyBorder="true" applyNumberFormat="true" numFmtId="2" fillId="22" applyFill="true">
      <alignment horizontal="center" vertical="center"/>
    </xf>
    <xf fontId="16046" applyFont="true" borderId="8" applyBorder="true" applyNumberFormat="true" numFmtId="2" fillId="22" applyFill="true">
      <alignment horizontal="center" vertical="center"/>
    </xf>
    <xf fontId="16047" applyFont="true" borderId="8" applyBorder="true" applyNumberFormat="true" numFmtId="2" fillId="22" applyFill="true">
      <alignment horizontal="center" vertical="center"/>
    </xf>
    <xf fontId="16048" applyFont="true" borderId="8" applyBorder="true" applyNumberFormat="true" numFmtId="2" fillId="22" applyFill="true">
      <alignment horizontal="center" vertical="center"/>
    </xf>
    <xf fontId="16049" applyFont="true" borderId="8" applyBorder="true" applyNumberFormat="true" numFmtId="2" fillId="22" applyFill="true">
      <alignment horizontal="center" vertical="center"/>
    </xf>
    <xf fontId="16050" applyFont="true" borderId="8" applyBorder="true" applyNumberFormat="true" numFmtId="2" fillId="22" applyFill="true">
      <alignment horizontal="center" vertical="center"/>
    </xf>
    <xf fontId="16051" applyFont="true" borderId="8" applyBorder="true" applyNumberFormat="true" numFmtId="2" fillId="22" applyFill="true">
      <alignment horizontal="center" vertical="center"/>
    </xf>
    <xf fontId="16052" applyFont="true" borderId="8" applyBorder="true" applyNumberFormat="true" numFmtId="2" fillId="22" applyFill="true">
      <alignment horizontal="center" vertical="center"/>
    </xf>
    <xf fontId="16053" applyFont="true" borderId="8" applyBorder="true" applyNumberFormat="true" numFmtId="2" fillId="22" applyFill="true">
      <alignment horizontal="center" vertical="center"/>
    </xf>
    <xf fontId="16054" applyFont="true" borderId="8" applyBorder="true" applyNumberFormat="true" numFmtId="2" fillId="22" applyFill="true">
      <alignment horizontal="center" vertical="center"/>
    </xf>
    <xf fontId="16055" applyFont="true" borderId="8" applyBorder="true" applyNumberFormat="true" numFmtId="2" fillId="22" applyFill="true">
      <alignment horizontal="center" vertical="center"/>
    </xf>
    <xf fontId="16056" applyFont="true" borderId="8" applyBorder="true" applyNumberFormat="true" numFmtId="2" fillId="22" applyFill="true">
      <alignment horizontal="center" vertical="center"/>
    </xf>
    <xf fontId="16057" applyFont="true" borderId="8" applyBorder="true" applyNumberFormat="true" numFmtId="2" fillId="22" applyFill="true">
      <alignment horizontal="center" vertical="center"/>
    </xf>
    <xf fontId="16058" applyFont="true" borderId="8" applyBorder="true" applyNumberFormat="true" numFmtId="2" fillId="22" applyFill="true">
      <alignment horizontal="center" vertical="center"/>
    </xf>
    <xf fontId="16059" applyFont="true" borderId="8" applyBorder="true" applyNumberFormat="true" numFmtId="2" fillId="22" applyFill="true">
      <alignment horizontal="center" vertical="center"/>
    </xf>
    <xf fontId="16060" applyFont="true" borderId="8" applyBorder="true" applyNumberFormat="true" numFmtId="2" fillId="22" applyFill="true">
      <alignment horizontal="center" vertical="center"/>
    </xf>
    <xf fontId="16061" applyFont="true" borderId="8" applyBorder="true" applyNumberFormat="true" numFmtId="2" fillId="22" applyFill="true">
      <alignment horizontal="center" vertical="center"/>
    </xf>
    <xf fontId="16062" applyFont="true" borderId="8" applyBorder="true" applyNumberFormat="true" numFmtId="2" fillId="22" applyFill="true">
      <alignment horizontal="center" vertical="center"/>
    </xf>
    <xf fontId="16063" applyFont="true" borderId="8" applyBorder="true" applyNumberFormat="true" numFmtId="2" fillId="22" applyFill="true">
      <alignment horizontal="center" vertical="center"/>
    </xf>
    <xf fontId="16064" applyFont="true" borderId="8" applyBorder="true" applyNumberFormat="true" numFmtId="2" fillId="22" applyFill="true">
      <alignment horizontal="center" vertical="center"/>
    </xf>
    <xf fontId="16065" applyFont="true" borderId="8" applyBorder="true" applyNumberFormat="true" numFmtId="2" fillId="22" applyFill="true">
      <alignment horizontal="center" vertical="center"/>
    </xf>
    <xf fontId="16066" applyFont="true" borderId="8" applyBorder="true" applyNumberFormat="true" numFmtId="2" fillId="22" applyFill="true">
      <alignment horizontal="center" vertical="center"/>
    </xf>
    <xf fontId="16067" applyFont="true" borderId="8" applyBorder="true" applyNumberFormat="true" numFmtId="2" fillId="22" applyFill="true">
      <alignment horizontal="center" vertical="center"/>
    </xf>
    <xf fontId="16068" applyFont="true" borderId="8" applyBorder="true" applyNumberFormat="true" numFmtId="2" fillId="22" applyFill="true">
      <alignment horizontal="center" vertical="center"/>
    </xf>
    <xf fontId="16069" applyFont="true" borderId="8" applyBorder="true" applyNumberFormat="true" numFmtId="165" fillId="19" applyFill="true">
      <alignment horizontal="left" vertical="center"/>
    </xf>
    <xf fontId="16070" applyFont="true" borderId="8" applyBorder="true" applyNumberFormat="true" numFmtId="165" fillId="22" applyFill="true">
      <alignment horizontal="center" vertical="center"/>
    </xf>
    <xf fontId="16071" applyFont="true" borderId="8" applyBorder="true" applyNumberFormat="true" numFmtId="166" fillId="22" applyFill="true">
      <alignment horizontal="center" vertical="center"/>
    </xf>
    <xf fontId="16072" applyFont="true" borderId="8" applyBorder="true" applyNumberFormat="true" numFmtId="1" fillId="22" applyFill="true">
      <alignment horizontal="center" vertical="center"/>
    </xf>
    <xf fontId="16073" applyFont="true" borderId="8" applyBorder="true" applyNumberFormat="true" numFmtId="1" fillId="22" applyFill="true">
      <alignment horizontal="center" vertical="center"/>
    </xf>
    <xf fontId="16074" applyFont="true" borderId="8" applyBorder="true" applyNumberFormat="true" numFmtId="1" fillId="22" applyFill="true">
      <alignment horizontal="center" vertical="center"/>
    </xf>
    <xf fontId="16075" applyFont="true" borderId="8" applyBorder="true" applyNumberFormat="true" numFmtId="1" fillId="22" applyFill="true">
      <alignment horizontal="center" vertical="center"/>
    </xf>
    <xf fontId="16076" applyFont="true" borderId="8" applyBorder="true" applyNumberFormat="true" numFmtId="1" fillId="22" applyFill="true">
      <alignment horizontal="center" vertical="center"/>
    </xf>
    <xf fontId="16077" applyFont="true" borderId="8" applyBorder="true" applyNumberFormat="true" numFmtId="1" fillId="22" applyFill="true">
      <alignment horizontal="center" vertical="center"/>
    </xf>
    <xf fontId="16078" applyFont="true" borderId="8" applyBorder="true" applyNumberFormat="true" numFmtId="1" fillId="22" applyFill="true">
      <alignment horizontal="center" vertical="center"/>
    </xf>
    <xf fontId="16079" applyFont="true" borderId="8" applyBorder="true" applyNumberFormat="true" numFmtId="165" fillId="22" applyFill="true">
      <alignment horizontal="center" vertical="center"/>
    </xf>
    <xf fontId="16080" applyFont="true" borderId="8" applyBorder="true" applyNumberFormat="true" numFmtId="165" fillId="22" applyFill="true">
      <alignment horizontal="center" vertical="center"/>
    </xf>
    <xf fontId="16081" applyFont="true" borderId="8" applyBorder="true" applyNumberFormat="true" numFmtId="1" fillId="22" applyFill="true">
      <alignment horizontal="center" vertical="center"/>
    </xf>
    <xf fontId="16082" applyFont="true" borderId="8" applyBorder="true" applyNumberFormat="true" numFmtId="1" fillId="22" applyFill="true">
      <alignment horizontal="center" vertical="center"/>
    </xf>
    <xf fontId="16083" applyFont="true" borderId="8" applyBorder="true" applyNumberFormat="true" numFmtId="1" fillId="22" applyFill="true">
      <alignment horizontal="center" vertical="center"/>
    </xf>
    <xf fontId="16084" applyFont="true" borderId="8" applyBorder="true" applyNumberFormat="true" numFmtId="167" fillId="22" applyFill="true">
      <alignment horizontal="center" vertical="center"/>
    </xf>
    <xf fontId="16085" applyFont="true" borderId="8" applyBorder="true" applyNumberFormat="true" numFmtId="1" fillId="22" applyFill="true">
      <alignment horizontal="center" vertical="center"/>
    </xf>
    <xf fontId="16086" applyFont="true" borderId="8" applyBorder="true" applyNumberFormat="true" numFmtId="167" fillId="22" applyFill="true">
      <alignment horizontal="center" vertical="center"/>
    </xf>
    <xf fontId="16087" applyFont="true" borderId="8" applyBorder="true" applyNumberFormat="true" numFmtId="1" fillId="22" applyFill="true">
      <alignment horizontal="center" vertical="center"/>
    </xf>
    <xf fontId="16088" applyFont="true" borderId="8" applyBorder="true" applyNumberFormat="true" numFmtId="167" fillId="22" applyFill="true">
      <alignment horizontal="center" vertical="center"/>
    </xf>
    <xf fontId="16089" applyFont="true" borderId="8" applyBorder="true" applyNumberFormat="true" numFmtId="1" fillId="22" applyFill="true">
      <alignment horizontal="center" vertical="center"/>
    </xf>
    <xf fontId="16090" applyFont="true" borderId="8" applyBorder="true" applyNumberFormat="true" numFmtId="167" fillId="22" applyFill="true">
      <alignment horizontal="center" vertical="center"/>
    </xf>
    <xf fontId="16091" applyFont="true" borderId="8" applyBorder="true" applyNumberFormat="true" numFmtId="167" fillId="22" applyFill="true">
      <alignment horizontal="center" vertical="center"/>
    </xf>
    <xf fontId="16092" applyFont="true" borderId="8" applyBorder="true" applyNumberFormat="true" numFmtId="1" fillId="22" applyFill="true">
      <alignment horizontal="center" vertical="center"/>
    </xf>
    <xf fontId="16093" applyFont="true" borderId="8" applyBorder="true" applyNumberFormat="true" numFmtId="1" fillId="22" applyFill="true">
      <alignment horizontal="center" vertical="center"/>
    </xf>
    <xf fontId="16094" applyFont="true" borderId="8" applyBorder="true" applyNumberFormat="true" numFmtId="1" fillId="22" applyFill="true">
      <alignment horizontal="center" vertical="center"/>
    </xf>
    <xf fontId="16095" applyFont="true" borderId="8" applyBorder="true" applyNumberFormat="true" numFmtId="167" fillId="22" applyFill="true">
      <alignment horizontal="center" vertical="center"/>
    </xf>
    <xf fontId="16096" applyFont="true" borderId="8" applyBorder="true" applyNumberFormat="true" numFmtId="166" fillId="22" applyFill="true">
      <alignment horizontal="center" vertical="center"/>
    </xf>
    <xf fontId="16097" applyFont="true" borderId="8" applyBorder="true" applyNumberFormat="true" numFmtId="166" fillId="22" applyFill="true">
      <alignment horizontal="center" vertical="center"/>
    </xf>
    <xf fontId="16098" applyFont="true" borderId="8" applyBorder="true" applyNumberFormat="true" numFmtId="1" fillId="22" applyFill="true">
      <alignment horizontal="center" vertical="center"/>
    </xf>
    <xf fontId="16099" applyFont="true" borderId="8" applyBorder="true" applyNumberFormat="true" numFmtId="1" fillId="22" applyFill="true">
      <alignment horizontal="center" vertical="center"/>
    </xf>
    <xf fontId="16100" applyFont="true" borderId="8" applyBorder="true" applyNumberFormat="true" numFmtId="1" fillId="22" applyFill="true">
      <alignment horizontal="center" vertical="center"/>
    </xf>
    <xf fontId="16101" applyFont="true" borderId="8" applyBorder="true" applyNumberFormat="true" numFmtId="167" fillId="22" applyFill="true">
      <alignment horizontal="center" vertical="center"/>
    </xf>
    <xf fontId="16102" applyFont="true" borderId="8" applyBorder="true" applyNumberFormat="true" numFmtId="1" fillId="22" applyFill="true">
      <alignment horizontal="center" vertical="center"/>
    </xf>
    <xf fontId="16103" applyFont="true" borderId="8" applyBorder="true" applyNumberFormat="true" numFmtId="167" fillId="22" applyFill="true">
      <alignment horizontal="center" vertical="center"/>
    </xf>
    <xf fontId="16104" applyFont="true" borderId="8" applyBorder="true" applyNumberFormat="true" numFmtId="1" fillId="22" applyFill="true">
      <alignment horizontal="center" vertical="center"/>
    </xf>
    <xf fontId="16105" applyFont="true" borderId="8" applyBorder="true" applyNumberFormat="true" numFmtId="1" fillId="22" applyFill="true">
      <alignment horizontal="center" vertical="center"/>
    </xf>
    <xf fontId="16106" applyFont="true" borderId="8" applyBorder="true" applyNumberFormat="true" numFmtId="1" fillId="22" applyFill="true">
      <alignment horizontal="center" vertical="center"/>
    </xf>
    <xf fontId="16107" applyFont="true" borderId="8" applyBorder="true" applyNumberFormat="true" numFmtId="1" fillId="22" applyFill="true">
      <alignment horizontal="center" vertical="center"/>
    </xf>
    <xf fontId="16108" applyFont="true" borderId="8" applyBorder="true" applyNumberFormat="true" numFmtId="167" fillId="22" applyFill="true">
      <alignment horizontal="center" vertical="center"/>
    </xf>
    <xf fontId="16109" applyFont="true" borderId="8" applyBorder="true" applyNumberFormat="true" numFmtId="1" fillId="22" applyFill="true">
      <alignment horizontal="center" vertical="center"/>
    </xf>
    <xf fontId="16110" applyFont="true" borderId="8" applyBorder="true" applyNumberFormat="true" numFmtId="167" fillId="22" applyFill="true">
      <alignment horizontal="center" vertical="center"/>
    </xf>
    <xf fontId="16111" applyFont="true" borderId="8" applyBorder="true" applyNumberFormat="true" numFmtId="1" fillId="22" applyFill="true">
      <alignment horizontal="center" vertical="center"/>
    </xf>
    <xf fontId="16112" applyFont="true" borderId="8" applyBorder="true" applyNumberFormat="true" numFmtId="167" fillId="22" applyFill="true">
      <alignment horizontal="center" vertical="center"/>
    </xf>
    <xf fontId="16113" applyFont="true" borderId="8" applyBorder="true" applyNumberFormat="true" numFmtId="2" fillId="22" applyFill="true">
      <alignment horizontal="center" vertical="center"/>
    </xf>
    <xf fontId="16114" applyFont="true" borderId="8" applyBorder="true" applyNumberFormat="true" numFmtId="2" fillId="22" applyFill="true">
      <alignment horizontal="center" vertical="center"/>
    </xf>
    <xf fontId="16115" applyFont="true" borderId="8" applyBorder="true" applyNumberFormat="true" numFmtId="2" fillId="22" applyFill="true">
      <alignment horizontal="center" vertical="center"/>
    </xf>
    <xf fontId="16116" applyFont="true" borderId="8" applyBorder="true" applyNumberFormat="true" numFmtId="2" fillId="22" applyFill="true">
      <alignment horizontal="center" vertical="center"/>
    </xf>
    <xf fontId="16117" applyFont="true" borderId="8" applyBorder="true" applyNumberFormat="true" numFmtId="2" fillId="22" applyFill="true">
      <alignment horizontal="center" vertical="center"/>
    </xf>
    <xf fontId="16118" applyFont="true" borderId="8" applyBorder="true" applyNumberFormat="true" numFmtId="2" fillId="22" applyFill="true">
      <alignment horizontal="center" vertical="center"/>
    </xf>
    <xf fontId="16119" applyFont="true" borderId="8" applyBorder="true" applyNumberFormat="true" numFmtId="2" fillId="22" applyFill="true">
      <alignment horizontal="center" vertical="center"/>
    </xf>
    <xf fontId="16120" applyFont="true" borderId="8" applyBorder="true" applyNumberFormat="true" numFmtId="2" fillId="22" applyFill="true">
      <alignment horizontal="center" vertical="center"/>
    </xf>
    <xf fontId="16121" applyFont="true" borderId="8" applyBorder="true" applyNumberFormat="true" numFmtId="2" fillId="22" applyFill="true">
      <alignment horizontal="center" vertical="center"/>
    </xf>
    <xf fontId="16122" applyFont="true" borderId="8" applyBorder="true" applyNumberFormat="true" numFmtId="2" fillId="22" applyFill="true">
      <alignment horizontal="center" vertical="center"/>
    </xf>
    <xf fontId="16123" applyFont="true" borderId="8" applyBorder="true" applyNumberFormat="true" numFmtId="2" fillId="22" applyFill="true">
      <alignment horizontal="center" vertical="center"/>
    </xf>
    <xf fontId="16124" applyFont="true" borderId="8" applyBorder="true" applyNumberFormat="true" numFmtId="2" fillId="22" applyFill="true">
      <alignment horizontal="center" vertical="center"/>
    </xf>
    <xf fontId="16125" applyFont="true" borderId="8" applyBorder="true" applyNumberFormat="true" numFmtId="2" fillId="22" applyFill="true">
      <alignment horizontal="center" vertical="center"/>
    </xf>
    <xf fontId="16126" applyFont="true" borderId="8" applyBorder="true" applyNumberFormat="true" numFmtId="2" fillId="22" applyFill="true">
      <alignment horizontal="center" vertical="center"/>
    </xf>
    <xf fontId="16127" applyFont="true" borderId="8" applyBorder="true" applyNumberFormat="true" numFmtId="2" fillId="22" applyFill="true">
      <alignment horizontal="center" vertical="center"/>
    </xf>
    <xf fontId="16128" applyFont="true" borderId="8" applyBorder="true" applyNumberFormat="true" numFmtId="2" fillId="22" applyFill="true">
      <alignment horizontal="center" vertical="center"/>
    </xf>
    <xf fontId="16129" applyFont="true" borderId="8" applyBorder="true" applyNumberFormat="true" numFmtId="2" fillId="22" applyFill="true">
      <alignment horizontal="center" vertical="center"/>
    </xf>
    <xf fontId="16130" applyFont="true" borderId="8" applyBorder="true" applyNumberFormat="true" numFmtId="2" fillId="22" applyFill="true">
      <alignment horizontal="center" vertical="center"/>
    </xf>
    <xf fontId="16131" applyFont="true" borderId="8" applyBorder="true" applyNumberFormat="true" numFmtId="2" fillId="22" applyFill="true">
      <alignment horizontal="center" vertical="center"/>
    </xf>
    <xf fontId="16132" applyFont="true" borderId="8" applyBorder="true" applyNumberFormat="true" numFmtId="2" fillId="22" applyFill="true">
      <alignment horizontal="center" vertical="center"/>
    </xf>
    <xf fontId="16133" applyFont="true" borderId="8" applyBorder="true" applyNumberFormat="true" numFmtId="2" fillId="22" applyFill="true">
      <alignment horizontal="center" vertical="center"/>
    </xf>
    <xf fontId="16134" applyFont="true" borderId="8" applyBorder="true" applyNumberFormat="true" numFmtId="2" fillId="22" applyFill="true">
      <alignment horizontal="center" vertical="center"/>
    </xf>
    <xf fontId="16135" applyFont="true" borderId="8" applyBorder="true" applyNumberFormat="true" numFmtId="2" fillId="22" applyFill="true">
      <alignment horizontal="center" vertical="center"/>
    </xf>
    <xf fontId="16136" applyFont="true" borderId="8" applyBorder="true" applyNumberFormat="true" numFmtId="2" fillId="22" applyFill="true">
      <alignment horizontal="center" vertical="center"/>
    </xf>
    <xf fontId="16137" applyFont="true" borderId="8" applyBorder="true" applyNumberFormat="true" numFmtId="2" fillId="22" applyFill="true">
      <alignment horizontal="center" vertical="center"/>
    </xf>
    <xf fontId="16138" applyFont="true" borderId="8" applyBorder="true" applyNumberFormat="true" numFmtId="2" fillId="22" applyFill="true">
      <alignment horizontal="center" vertical="center"/>
    </xf>
    <xf fontId="16139" applyFont="true" borderId="8" applyBorder="true" applyNumberFormat="true" numFmtId="2" fillId="22" applyFill="true">
      <alignment horizontal="center" vertical="center"/>
    </xf>
    <xf fontId="16140" applyFont="true" borderId="8" applyBorder="true" applyNumberFormat="true" numFmtId="2" fillId="22" applyFill="true">
      <alignment horizontal="center" vertical="center"/>
    </xf>
    <xf fontId="16141" applyFont="true" borderId="8" applyBorder="true" applyNumberFormat="true" numFmtId="2" fillId="22" applyFill="true">
      <alignment horizontal="center" vertical="center"/>
    </xf>
    <xf fontId="16142" applyFont="true" borderId="8" applyBorder="true" applyNumberFormat="true" numFmtId="2" fillId="22" applyFill="true">
      <alignment horizontal="center" vertical="center"/>
    </xf>
    <xf fontId="16143" applyFont="true" borderId="8" applyBorder="true" applyNumberFormat="true" numFmtId="2" fillId="22" applyFill="true">
      <alignment horizontal="center" vertical="center"/>
    </xf>
    <xf fontId="16144" applyFont="true" borderId="8" applyBorder="true" applyNumberFormat="true" numFmtId="2" fillId="22" applyFill="true">
      <alignment horizontal="center" vertical="center"/>
    </xf>
    <xf fontId="16145" applyFont="true" borderId="8" applyBorder="true" applyNumberFormat="true" numFmtId="2" fillId="22" applyFill="true">
      <alignment horizontal="center" vertical="center"/>
    </xf>
    <xf fontId="16146" applyFont="true" borderId="8" applyBorder="true" applyNumberFormat="true" numFmtId="2" fillId="22" applyFill="true">
      <alignment horizontal="center" vertical="center"/>
    </xf>
    <xf fontId="16147" applyFont="true" borderId="8" applyBorder="true" applyNumberFormat="true" numFmtId="165" fillId="19" applyFill="true">
      <alignment horizontal="left" vertical="center"/>
    </xf>
    <xf fontId="16148" applyFont="true" borderId="8" applyBorder="true" applyNumberFormat="true" numFmtId="165" fillId="22" applyFill="true">
      <alignment horizontal="center" vertical="center"/>
    </xf>
    <xf fontId="16149" applyFont="true" borderId="8" applyBorder="true" applyNumberFormat="true" numFmtId="166" fillId="22" applyFill="true">
      <alignment horizontal="center" vertical="center"/>
    </xf>
    <xf fontId="16150" applyFont="true" borderId="8" applyBorder="true" applyNumberFormat="true" numFmtId="1" fillId="22" applyFill="true">
      <alignment horizontal="center" vertical="center"/>
    </xf>
    <xf fontId="16151" applyFont="true" borderId="8" applyBorder="true" applyNumberFormat="true" numFmtId="1" fillId="22" applyFill="true">
      <alignment horizontal="center" vertical="center"/>
    </xf>
    <xf fontId="16152" applyFont="true" borderId="8" applyBorder="true" applyNumberFormat="true" numFmtId="1" fillId="22" applyFill="true">
      <alignment horizontal="center" vertical="center"/>
    </xf>
    <xf fontId="16153" applyFont="true" borderId="8" applyBorder="true" applyNumberFormat="true" numFmtId="1" fillId="22" applyFill="true">
      <alignment horizontal="center" vertical="center"/>
    </xf>
    <xf fontId="16154" applyFont="true" borderId="8" applyBorder="true" applyNumberFormat="true" numFmtId="1" fillId="22" applyFill="true">
      <alignment horizontal="center" vertical="center"/>
    </xf>
    <xf fontId="16155" applyFont="true" borderId="8" applyBorder="true" applyNumberFormat="true" numFmtId="1" fillId="22" applyFill="true">
      <alignment horizontal="center" vertical="center"/>
    </xf>
    <xf fontId="16156" applyFont="true" borderId="8" applyBorder="true" applyNumberFormat="true" numFmtId="1" fillId="22" applyFill="true">
      <alignment horizontal="center" vertical="center"/>
    </xf>
    <xf fontId="16157" applyFont="true" borderId="8" applyBorder="true" applyNumberFormat="true" numFmtId="165" fillId="22" applyFill="true">
      <alignment horizontal="center" vertical="center"/>
    </xf>
    <xf fontId="16158" applyFont="true" borderId="8" applyBorder="true" applyNumberFormat="true" numFmtId="165" fillId="22" applyFill="true">
      <alignment horizontal="center" vertical="center"/>
    </xf>
    <xf fontId="16159" applyFont="true" borderId="8" applyBorder="true" applyNumberFormat="true" numFmtId="1" fillId="22" applyFill="true">
      <alignment horizontal="center" vertical="center"/>
    </xf>
    <xf fontId="16160" applyFont="true" borderId="8" applyBorder="true" applyNumberFormat="true" numFmtId="1" fillId="22" applyFill="true">
      <alignment horizontal="center" vertical="center"/>
    </xf>
    <xf fontId="16161" applyFont="true" borderId="8" applyBorder="true" applyNumberFormat="true" numFmtId="1" fillId="22" applyFill="true">
      <alignment horizontal="center" vertical="center"/>
    </xf>
    <xf fontId="16162" applyFont="true" borderId="8" applyBorder="true" applyNumberFormat="true" numFmtId="167" fillId="22" applyFill="true">
      <alignment horizontal="center" vertical="center"/>
    </xf>
    <xf fontId="16163" applyFont="true" borderId="8" applyBorder="true" applyNumberFormat="true" numFmtId="1" fillId="22" applyFill="true">
      <alignment horizontal="center" vertical="center"/>
    </xf>
    <xf fontId="16164" applyFont="true" borderId="8" applyBorder="true" applyNumberFormat="true" numFmtId="167" fillId="22" applyFill="true">
      <alignment horizontal="center" vertical="center"/>
    </xf>
    <xf fontId="16165" applyFont="true" borderId="8" applyBorder="true" applyNumberFormat="true" numFmtId="1" fillId="22" applyFill="true">
      <alignment horizontal="center" vertical="center"/>
    </xf>
    <xf fontId="16166" applyFont="true" borderId="8" applyBorder="true" applyNumberFormat="true" numFmtId="167" fillId="22" applyFill="true">
      <alignment horizontal="center" vertical="center"/>
    </xf>
    <xf fontId="16167" applyFont="true" borderId="8" applyBorder="true" applyNumberFormat="true" numFmtId="1" fillId="22" applyFill="true">
      <alignment horizontal="center" vertical="center"/>
    </xf>
    <xf fontId="16168" applyFont="true" borderId="8" applyBorder="true" applyNumberFormat="true" numFmtId="167" fillId="22" applyFill="true">
      <alignment horizontal="center" vertical="center"/>
    </xf>
    <xf fontId="16169" applyFont="true" borderId="8" applyBorder="true" applyNumberFormat="true" numFmtId="167" fillId="22" applyFill="true">
      <alignment horizontal="center" vertical="center"/>
    </xf>
    <xf fontId="16170" applyFont="true" borderId="8" applyBorder="true" applyNumberFormat="true" numFmtId="1" fillId="22" applyFill="true">
      <alignment horizontal="center" vertical="center"/>
    </xf>
    <xf fontId="16171" applyFont="true" borderId="8" applyBorder="true" applyNumberFormat="true" numFmtId="1" fillId="22" applyFill="true">
      <alignment horizontal="center" vertical="center"/>
    </xf>
    <xf fontId="16172" applyFont="true" borderId="8" applyBorder="true" applyNumberFormat="true" numFmtId="1" fillId="22" applyFill="true">
      <alignment horizontal="center" vertical="center"/>
    </xf>
    <xf fontId="16173" applyFont="true" borderId="8" applyBorder="true" applyNumberFormat="true" numFmtId="167" fillId="22" applyFill="true">
      <alignment horizontal="center" vertical="center"/>
    </xf>
    <xf fontId="16174" applyFont="true" borderId="8" applyBorder="true" applyNumberFormat="true" numFmtId="166" fillId="22" applyFill="true">
      <alignment horizontal="center" vertical="center"/>
    </xf>
    <xf fontId="16175" applyFont="true" borderId="8" applyBorder="true" applyNumberFormat="true" numFmtId="166" fillId="22" applyFill="true">
      <alignment horizontal="center" vertical="center"/>
    </xf>
    <xf fontId="16176" applyFont="true" borderId="8" applyBorder="true" applyNumberFormat="true" numFmtId="1" fillId="22" applyFill="true">
      <alignment horizontal="center" vertical="center"/>
    </xf>
    <xf fontId="16177" applyFont="true" borderId="8" applyBorder="true" applyNumberFormat="true" numFmtId="1" fillId="22" applyFill="true">
      <alignment horizontal="center" vertical="center"/>
    </xf>
    <xf fontId="16178" applyFont="true" borderId="8" applyBorder="true" applyNumberFormat="true" numFmtId="1" fillId="22" applyFill="true">
      <alignment horizontal="center" vertical="center"/>
    </xf>
    <xf fontId="16179" applyFont="true" borderId="8" applyBorder="true" applyNumberFormat="true" numFmtId="167" fillId="22" applyFill="true">
      <alignment horizontal="center" vertical="center"/>
    </xf>
    <xf fontId="16180" applyFont="true" borderId="8" applyBorder="true" applyNumberFormat="true" numFmtId="1" fillId="22" applyFill="true">
      <alignment horizontal="center" vertical="center"/>
    </xf>
    <xf fontId="16181" applyFont="true" borderId="8" applyBorder="true" applyNumberFormat="true" numFmtId="167" fillId="22" applyFill="true">
      <alignment horizontal="center" vertical="center"/>
    </xf>
    <xf fontId="16182" applyFont="true" borderId="8" applyBorder="true" applyNumberFormat="true" numFmtId="1" fillId="22" applyFill="true">
      <alignment horizontal="center" vertical="center"/>
    </xf>
    <xf fontId="16183" applyFont="true" borderId="8" applyBorder="true" applyNumberFormat="true" numFmtId="1" fillId="22" applyFill="true">
      <alignment horizontal="center" vertical="center"/>
    </xf>
    <xf fontId="16184" applyFont="true" borderId="8" applyBorder="true" applyNumberFormat="true" numFmtId="1" fillId="22" applyFill="true">
      <alignment horizontal="center" vertical="center"/>
    </xf>
    <xf fontId="16185" applyFont="true" borderId="8" applyBorder="true" applyNumberFormat="true" numFmtId="1" fillId="22" applyFill="true">
      <alignment horizontal="center" vertical="center"/>
    </xf>
    <xf fontId="16186" applyFont="true" borderId="8" applyBorder="true" applyNumberFormat="true" numFmtId="167" fillId="22" applyFill="true">
      <alignment horizontal="center" vertical="center"/>
    </xf>
    <xf fontId="16187" applyFont="true" borderId="8" applyBorder="true" applyNumberFormat="true" numFmtId="1" fillId="22" applyFill="true">
      <alignment horizontal="center" vertical="center"/>
    </xf>
    <xf fontId="16188" applyFont="true" borderId="8" applyBorder="true" applyNumberFormat="true" numFmtId="167" fillId="22" applyFill="true">
      <alignment horizontal="center" vertical="center"/>
    </xf>
    <xf fontId="16189" applyFont="true" borderId="8" applyBorder="true" applyNumberFormat="true" numFmtId="1" fillId="22" applyFill="true">
      <alignment horizontal="center" vertical="center"/>
    </xf>
    <xf fontId="16190" applyFont="true" borderId="8" applyBorder="true" applyNumberFormat="true" numFmtId="167" fillId="22" applyFill="true">
      <alignment horizontal="center" vertical="center"/>
    </xf>
    <xf fontId="16191" applyFont="true" borderId="8" applyBorder="true" applyNumberFormat="true" numFmtId="2" fillId="22" applyFill="true">
      <alignment horizontal="center" vertical="center"/>
    </xf>
    <xf fontId="16192" applyFont="true" borderId="8" applyBorder="true" applyNumberFormat="true" numFmtId="2" fillId="22" applyFill="true">
      <alignment horizontal="center" vertical="center"/>
    </xf>
    <xf fontId="16193" applyFont="true" borderId="8" applyBorder="true" applyNumberFormat="true" numFmtId="2" fillId="22" applyFill="true">
      <alignment horizontal="center" vertical="center"/>
    </xf>
    <xf fontId="16194" applyFont="true" borderId="8" applyBorder="true" applyNumberFormat="true" numFmtId="2" fillId="22" applyFill="true">
      <alignment horizontal="center" vertical="center"/>
    </xf>
    <xf fontId="16195" applyFont="true" borderId="8" applyBorder="true" applyNumberFormat="true" numFmtId="2" fillId="22" applyFill="true">
      <alignment horizontal="center" vertical="center"/>
    </xf>
    <xf fontId="16196" applyFont="true" borderId="8" applyBorder="true" applyNumberFormat="true" numFmtId="2" fillId="22" applyFill="true">
      <alignment horizontal="center" vertical="center"/>
    </xf>
    <xf fontId="16197" applyFont="true" borderId="8" applyBorder="true" applyNumberFormat="true" numFmtId="2" fillId="22" applyFill="true">
      <alignment horizontal="center" vertical="center"/>
    </xf>
    <xf fontId="16198" applyFont="true" borderId="8" applyBorder="true" applyNumberFormat="true" numFmtId="2" fillId="22" applyFill="true">
      <alignment horizontal="center" vertical="center"/>
    </xf>
    <xf fontId="16199" applyFont="true" borderId="8" applyBorder="true" applyNumberFormat="true" numFmtId="2" fillId="22" applyFill="true">
      <alignment horizontal="center" vertical="center"/>
    </xf>
    <xf fontId="16200" applyFont="true" borderId="8" applyBorder="true" applyNumberFormat="true" numFmtId="2" fillId="22" applyFill="true">
      <alignment horizontal="center" vertical="center"/>
    </xf>
    <xf fontId="16201" applyFont="true" borderId="8" applyBorder="true" applyNumberFormat="true" numFmtId="2" fillId="22" applyFill="true">
      <alignment horizontal="center" vertical="center"/>
    </xf>
    <xf fontId="16202" applyFont="true" borderId="8" applyBorder="true" applyNumberFormat="true" numFmtId="2" fillId="22" applyFill="true">
      <alignment horizontal="center" vertical="center"/>
    </xf>
    <xf fontId="16203" applyFont="true" borderId="8" applyBorder="true" applyNumberFormat="true" numFmtId="2" fillId="22" applyFill="true">
      <alignment horizontal="center" vertical="center"/>
    </xf>
    <xf fontId="16204" applyFont="true" borderId="8" applyBorder="true" applyNumberFormat="true" numFmtId="2" fillId="22" applyFill="true">
      <alignment horizontal="center" vertical="center"/>
    </xf>
    <xf fontId="16205" applyFont="true" borderId="8" applyBorder="true" applyNumberFormat="true" numFmtId="2" fillId="22" applyFill="true">
      <alignment horizontal="center" vertical="center"/>
    </xf>
    <xf fontId="16206" applyFont="true" borderId="8" applyBorder="true" applyNumberFormat="true" numFmtId="2" fillId="22" applyFill="true">
      <alignment horizontal="center" vertical="center"/>
    </xf>
    <xf fontId="16207" applyFont="true" borderId="8" applyBorder="true" applyNumberFormat="true" numFmtId="2" fillId="22" applyFill="true">
      <alignment horizontal="center" vertical="center"/>
    </xf>
    <xf fontId="16208" applyFont="true" borderId="8" applyBorder="true" applyNumberFormat="true" numFmtId="2" fillId="22" applyFill="true">
      <alignment horizontal="center" vertical="center"/>
    </xf>
    <xf fontId="16209" applyFont="true" borderId="8" applyBorder="true" applyNumberFormat="true" numFmtId="2" fillId="22" applyFill="true">
      <alignment horizontal="center" vertical="center"/>
    </xf>
    <xf fontId="16210" applyFont="true" borderId="8" applyBorder="true" applyNumberFormat="true" numFmtId="2" fillId="22" applyFill="true">
      <alignment horizontal="center" vertical="center"/>
    </xf>
    <xf fontId="16211" applyFont="true" borderId="8" applyBorder="true" applyNumberFormat="true" numFmtId="2" fillId="22" applyFill="true">
      <alignment horizontal="center" vertical="center"/>
    </xf>
    <xf fontId="16212" applyFont="true" borderId="8" applyBorder="true" applyNumberFormat="true" numFmtId="2" fillId="22" applyFill="true">
      <alignment horizontal="center" vertical="center"/>
    </xf>
    <xf fontId="16213" applyFont="true" borderId="8" applyBorder="true" applyNumberFormat="true" numFmtId="2" fillId="22" applyFill="true">
      <alignment horizontal="center" vertical="center"/>
    </xf>
    <xf fontId="16214" applyFont="true" borderId="8" applyBorder="true" applyNumberFormat="true" numFmtId="2" fillId="22" applyFill="true">
      <alignment horizontal="center" vertical="center"/>
    </xf>
    <xf fontId="16215" applyFont="true" borderId="8" applyBorder="true" applyNumberFormat="true" numFmtId="2" fillId="22" applyFill="true">
      <alignment horizontal="center" vertical="center"/>
    </xf>
    <xf fontId="16216" applyFont="true" borderId="8" applyBorder="true" applyNumberFormat="true" numFmtId="2" fillId="22" applyFill="true">
      <alignment horizontal="center" vertical="center"/>
    </xf>
    <xf fontId="16217" applyFont="true" borderId="8" applyBorder="true" applyNumberFormat="true" numFmtId="2" fillId="22" applyFill="true">
      <alignment horizontal="center" vertical="center"/>
    </xf>
    <xf fontId="16218" applyFont="true" borderId="8" applyBorder="true" applyNumberFormat="true" numFmtId="2" fillId="22" applyFill="true">
      <alignment horizontal="center" vertical="center"/>
    </xf>
    <xf fontId="16219" applyFont="true" borderId="8" applyBorder="true" applyNumberFormat="true" numFmtId="2" fillId="22" applyFill="true">
      <alignment horizontal="center" vertical="center"/>
    </xf>
    <xf fontId="16220" applyFont="true" borderId="8" applyBorder="true" applyNumberFormat="true" numFmtId="2" fillId="22" applyFill="true">
      <alignment horizontal="center" vertical="center"/>
    </xf>
    <xf fontId="16221" applyFont="true" borderId="8" applyBorder="true" applyNumberFormat="true" numFmtId="2" fillId="22" applyFill="true">
      <alignment horizontal="center" vertical="center"/>
    </xf>
    <xf fontId="16222" applyFont="true" borderId="8" applyBorder="true" applyNumberFormat="true" numFmtId="2" fillId="22" applyFill="true">
      <alignment horizontal="center" vertical="center"/>
    </xf>
    <xf fontId="16223" applyFont="true" borderId="8" applyBorder="true" applyNumberFormat="true" numFmtId="2" fillId="22" applyFill="true">
      <alignment horizontal="center" vertical="center"/>
    </xf>
    <xf fontId="16224" applyFont="true" borderId="8" applyBorder="true" applyNumberFormat="true" numFmtId="2" fillId="22" applyFill="true">
      <alignment horizontal="center" vertical="center"/>
    </xf>
    <xf fontId="16225" applyFont="true" borderId="8" applyBorder="true" fillId="4" applyFill="true">
      <alignment horizontal="center" vertical="center"/>
    </xf>
    <xf fontId="16226" applyFont="true" borderId="8" applyBorder="true" fillId="4" applyFill="true">
      <alignment horizontal="center" vertical="center"/>
    </xf>
    <xf fontId="16227" applyFont="true" borderId="8" applyBorder="true" fillId="4" applyFill="true">
      <alignment horizontal="center" vertical="center"/>
    </xf>
    <xf fontId="16228" applyFont="true" borderId="8" applyBorder="true" fillId="4" applyFill="true">
      <alignment horizontal="center" vertical="center"/>
    </xf>
    <xf fontId="16229" applyFont="true" borderId="8" applyBorder="true" fillId="4" applyFill="true">
      <alignment horizontal="center" vertical="center"/>
    </xf>
    <xf fontId="16230" applyFont="true" borderId="8" applyBorder="true" fillId="4" applyFill="true">
      <alignment horizontal="center" vertical="center"/>
    </xf>
    <xf fontId="16231" applyFont="true" borderId="8" applyBorder="true" fillId="4" applyFill="true">
      <alignment horizontal="center" vertical="center"/>
    </xf>
    <xf fontId="16232" applyFont="true" borderId="8" applyBorder="true" fillId="4" applyFill="true">
      <alignment horizontal="center" vertical="center"/>
    </xf>
    <xf fontId="16233" applyFont="true" borderId="8" applyBorder="true" fillId="4" applyFill="true">
      <alignment horizontal="center" vertical="center"/>
    </xf>
    <xf fontId="16234" applyFont="true" borderId="8" applyBorder="true" fillId="4" applyFill="true">
      <alignment horizontal="center" vertical="center"/>
    </xf>
    <xf fontId="16235" applyFont="true" borderId="8" applyBorder="true" fillId="4" applyFill="true">
      <alignment horizontal="center" vertical="center"/>
    </xf>
    <xf fontId="16236" applyFont="true" borderId="8" applyBorder="true" fillId="4" applyFill="true">
      <alignment horizontal="center" vertical="center"/>
    </xf>
    <xf fontId="16237" applyFont="true" borderId="8" applyBorder="true" fillId="4" applyFill="true">
      <alignment horizontal="center" vertical="center"/>
    </xf>
    <xf fontId="16238" applyFont="true" borderId="8" applyBorder="true" fillId="4" applyFill="true">
      <alignment horizontal="center" vertical="center"/>
    </xf>
    <xf fontId="16239" applyFont="true" borderId="8" applyBorder="true" fillId="4" applyFill="true">
      <alignment horizontal="center" vertical="center"/>
    </xf>
    <xf fontId="16240" applyFont="true" borderId="8" applyBorder="true" fillId="4" applyFill="true">
      <alignment horizontal="center" vertical="center"/>
    </xf>
    <xf fontId="16241" applyFont="true" borderId="8" applyBorder="true" fillId="4" applyFill="true">
      <alignment horizontal="center" vertical="center"/>
    </xf>
    <xf fontId="16242" applyFont="true" borderId="8" applyBorder="true" fillId="4" applyFill="true">
      <alignment horizontal="center" vertical="center"/>
    </xf>
    <xf fontId="16243" applyFont="true" borderId="8" applyBorder="true" fillId="4" applyFill="true">
      <alignment horizontal="center" vertical="center"/>
    </xf>
    <xf fontId="16244" applyFont="true" borderId="8" applyBorder="true" fillId="4" applyFill="true">
      <alignment horizontal="center" vertical="center"/>
    </xf>
    <xf fontId="16245" applyFont="true" borderId="8" applyBorder="true" fillId="4" applyFill="true">
      <alignment horizontal="center" vertical="center"/>
    </xf>
    <xf fontId="16246" applyFont="true" borderId="8" applyBorder="true" fillId="4" applyFill="true">
      <alignment horizontal="center" vertical="center"/>
    </xf>
    <xf fontId="16247" applyFont="true" borderId="8" applyBorder="true" fillId="4" applyFill="true">
      <alignment horizontal="center" vertical="center"/>
    </xf>
    <xf fontId="16248" applyFont="true" borderId="8" applyBorder="true" fillId="4" applyFill="true">
      <alignment horizontal="center" vertical="center"/>
    </xf>
    <xf fontId="16249" applyFont="true" borderId="8" applyBorder="true" fillId="4" applyFill="true">
      <alignment horizontal="center" vertical="center"/>
    </xf>
    <xf fontId="16250" applyFont="true" borderId="8" applyBorder="true" fillId="4" applyFill="true">
      <alignment horizontal="center" vertical="center"/>
    </xf>
    <xf fontId="16251" applyFont="true" borderId="8" applyBorder="true" fillId="4" applyFill="true">
      <alignment horizontal="center" vertical="center"/>
    </xf>
    <xf fontId="16252" applyFont="true" borderId="8" applyBorder="true" fillId="4" applyFill="true">
      <alignment horizontal="center" vertical="center"/>
    </xf>
    <xf fontId="16253" applyFont="true" borderId="8" applyBorder="true" fillId="4" applyFill="true">
      <alignment horizontal="center" vertical="center"/>
    </xf>
    <xf fontId="16254" applyFont="true" borderId="8" applyBorder="true" fillId="4" applyFill="true">
      <alignment horizontal="center" vertical="center"/>
    </xf>
    <xf fontId="16255" applyFont="true" borderId="8" applyBorder="true" fillId="4" applyFill="true">
      <alignment horizontal="center" vertical="center"/>
    </xf>
    <xf fontId="16256" applyFont="true" borderId="8" applyBorder="true" fillId="4" applyFill="true">
      <alignment horizontal="center" vertical="center"/>
    </xf>
    <xf fontId="16257" applyFont="true" borderId="8" applyBorder="true" fillId="4" applyFill="true">
      <alignment horizontal="center" vertical="center"/>
    </xf>
    <xf fontId="16258" applyFont="true" borderId="8" applyBorder="true" fillId="4" applyFill="true">
      <alignment horizontal="center" vertical="center"/>
    </xf>
    <xf fontId="16259" applyFont="true" borderId="8" applyBorder="true" fillId="4" applyFill="true">
      <alignment horizontal="center" vertical="center"/>
    </xf>
    <xf fontId="16260" applyFont="true" borderId="8" applyBorder="true" fillId="4" applyFill="true">
      <alignment horizontal="center" vertical="center"/>
    </xf>
    <xf fontId="16261" applyFont="true" borderId="8" applyBorder="true" fillId="4" applyFill="true">
      <alignment horizontal="center" vertical="center"/>
    </xf>
    <xf fontId="16262" applyFont="true" borderId="8" applyBorder="true" fillId="4" applyFill="true">
      <alignment horizontal="center" vertical="center"/>
    </xf>
    <xf fontId="16263" applyFont="true" borderId="8" applyBorder="true" fillId="4" applyFill="true">
      <alignment horizontal="center" vertical="center"/>
    </xf>
    <xf fontId="16264" applyFont="true" borderId="8" applyBorder="true" fillId="4" applyFill="true">
      <alignment horizontal="center" vertical="center"/>
    </xf>
    <xf fontId="16265" applyFont="true" borderId="8" applyBorder="true" fillId="4" applyFill="true">
      <alignment horizontal="center" vertical="center"/>
    </xf>
    <xf fontId="16266" applyFont="true" borderId="8" applyBorder="true" fillId="4" applyFill="true">
      <alignment horizontal="center" vertical="center"/>
    </xf>
    <xf fontId="16267" applyFont="true" borderId="8" applyBorder="true" fillId="4" applyFill="true">
      <alignment horizontal="center" vertical="center"/>
    </xf>
    <xf fontId="16268" applyFont="true" borderId="8" applyBorder="true" fillId="4" applyFill="true">
      <alignment horizontal="center" vertical="center"/>
    </xf>
    <xf fontId="16269" applyFont="true" borderId="8" applyBorder="true" fillId="4" applyFill="true">
      <alignment horizontal="center" vertical="center"/>
    </xf>
    <xf fontId="16270" applyFont="true" borderId="8" applyBorder="true" fillId="4" applyFill="true">
      <alignment horizontal="center" vertical="center"/>
    </xf>
    <xf fontId="16271" applyFont="true" borderId="8" applyBorder="true" fillId="7" applyFill="true">
      <alignment horizontal="center" vertical="center"/>
    </xf>
    <xf fontId="16272" applyFont="true" borderId="8" applyBorder="true" fillId="7" applyFill="true">
      <alignment horizontal="center" vertical="center"/>
    </xf>
    <xf fontId="16273" applyFont="true" borderId="8" applyBorder="true" fillId="7" applyFill="true">
      <alignment horizontal="center" vertical="center"/>
    </xf>
    <xf fontId="16274" applyFont="true" borderId="8" applyBorder="true" fillId="7" applyFill="true">
      <alignment horizontal="center" vertical="center"/>
    </xf>
    <xf fontId="16275" applyFont="true" borderId="8" applyBorder="true" fillId="7" applyFill="true">
      <alignment horizontal="center" vertical="center"/>
    </xf>
    <xf fontId="16276" applyFont="true" borderId="8" applyBorder="true" fillId="7" applyFill="true">
      <alignment horizontal="center" vertical="center"/>
    </xf>
    <xf fontId="16277" applyFont="true" borderId="8" applyBorder="true" fillId="7" applyFill="true">
      <alignment horizontal="center" vertical="center"/>
    </xf>
    <xf fontId="16278" applyFont="true" borderId="8" applyBorder="true" fillId="7" applyFill="true">
      <alignment horizontal="center" vertical="center"/>
    </xf>
    <xf fontId="16279" applyFont="true" borderId="8" applyBorder="true" fillId="7" applyFill="true">
      <alignment horizontal="center" vertical="center"/>
    </xf>
    <xf fontId="16280" applyFont="true" borderId="8" applyBorder="true" fillId="7" applyFill="true">
      <alignment horizontal="center" vertical="center"/>
    </xf>
    <xf fontId="16281" applyFont="true" borderId="8" applyBorder="true" fillId="7" applyFill="true">
      <alignment horizontal="center" vertical="center"/>
    </xf>
    <xf fontId="16282" applyFont="true" borderId="8" applyBorder="true" fillId="7" applyFill="true">
      <alignment horizontal="center" vertical="center"/>
    </xf>
    <xf fontId="16283" applyFont="true" borderId="8" applyBorder="true" fillId="7" applyFill="true">
      <alignment horizontal="center" vertical="center"/>
    </xf>
    <xf fontId="16284" applyFont="true" borderId="8" applyBorder="true" fillId="7" applyFill="true">
      <alignment horizontal="center" vertical="center"/>
    </xf>
    <xf fontId="16285" applyFont="true" borderId="8" applyBorder="true" fillId="7" applyFill="true">
      <alignment horizontal="center" vertical="center"/>
    </xf>
    <xf fontId="16286" applyFont="true" borderId="8" applyBorder="true" fillId="7" applyFill="true">
      <alignment horizontal="center" vertical="center"/>
    </xf>
    <xf fontId="16287" applyFont="true" borderId="8" applyBorder="true" fillId="7" applyFill="true">
      <alignment horizontal="center" vertical="center"/>
    </xf>
    <xf fontId="16288" applyFont="true" borderId="8" applyBorder="true" fillId="7" applyFill="true">
      <alignment horizontal="center" vertical="center"/>
    </xf>
    <xf fontId="16289" applyFont="true" borderId="8" applyBorder="true" fillId="7" applyFill="true">
      <alignment horizontal="center" vertical="center"/>
    </xf>
    <xf fontId="16290" applyFont="true" borderId="8" applyBorder="true" fillId="7" applyFill="true">
      <alignment horizontal="center" vertical="center"/>
    </xf>
    <xf fontId="16291" applyFont="true" borderId="8" applyBorder="true" fillId="7" applyFill="true">
      <alignment horizontal="center" vertical="center"/>
    </xf>
    <xf fontId="16292" applyFont="true" borderId="8" applyBorder="true" fillId="7" applyFill="true">
      <alignment horizontal="center" vertical="center"/>
    </xf>
    <xf fontId="16293" applyFont="true" borderId="8" applyBorder="true" fillId="10" applyFill="true">
      <alignment horizontal="center" vertical="center"/>
    </xf>
    <xf fontId="16294" applyFont="true" borderId="8" applyBorder="true" fillId="10" applyFill="true">
      <alignment horizontal="center" vertical="center"/>
    </xf>
    <xf fontId="16295" applyFont="true" borderId="8" applyBorder="true" fillId="10" applyFill="true">
      <alignment horizontal="center" vertical="center"/>
    </xf>
    <xf fontId="16296" applyFont="true" borderId="8" applyBorder="true" fillId="10" applyFill="true">
      <alignment horizontal="center" vertical="center"/>
    </xf>
    <xf fontId="16297" applyFont="true" borderId="8" applyBorder="true" fillId="13" applyFill="true">
      <alignment horizontal="center" vertical="center"/>
    </xf>
    <xf fontId="16298" applyFont="true" borderId="8" applyBorder="true" fillId="13" applyFill="true">
      <alignment horizontal="center" vertical="center"/>
    </xf>
    <xf fontId="16299" applyFont="true" borderId="8" applyBorder="true" fillId="13" applyFill="true">
      <alignment horizontal="center" vertical="center"/>
    </xf>
    <xf fontId="16300" applyFont="true" borderId="8" applyBorder="true" fillId="16" applyFill="true">
      <alignment horizontal="center" vertical="center"/>
    </xf>
    <xf fontId="16301" applyFont="true" borderId="8" applyBorder="true" fillId="16" applyFill="true">
      <alignment horizontal="center" vertical="center"/>
    </xf>
    <xf fontId="16302" applyFont="true" borderId="8" applyBorder="true" fillId="16" applyFill="true">
      <alignment horizontal="center" vertical="center"/>
    </xf>
    <xf fontId="16303" applyFont="true" borderId="8" applyBorder="true" applyNumberFormat="true" numFmtId="165" fillId="19" applyFill="true">
      <alignment horizontal="left" vertical="center"/>
    </xf>
    <xf fontId="16304" applyFont="true" borderId="8" applyBorder="true" applyNumberFormat="true" numFmtId="165" fillId="22" applyFill="true">
      <alignment horizontal="center" vertical="center"/>
    </xf>
    <xf fontId="16305" applyFont="true" borderId="8" applyBorder="true" applyNumberFormat="true" numFmtId="166" fillId="22" applyFill="true">
      <alignment horizontal="center" vertical="center"/>
    </xf>
    <xf fontId="16306" applyFont="true" borderId="8" applyBorder="true" applyNumberFormat="true" numFmtId="1" fillId="22" applyFill="true">
      <alignment horizontal="center" vertical="center"/>
    </xf>
    <xf fontId="16307" applyFont="true" borderId="8" applyBorder="true" applyNumberFormat="true" numFmtId="1" fillId="22" applyFill="true">
      <alignment horizontal="center" vertical="center"/>
    </xf>
    <xf fontId="16308" applyFont="true" borderId="8" applyBorder="true" applyNumberFormat="true" numFmtId="1" fillId="22" applyFill="true">
      <alignment horizontal="center" vertical="center"/>
    </xf>
    <xf fontId="16309" applyFont="true" borderId="8" applyBorder="true" applyNumberFormat="true" numFmtId="1" fillId="22" applyFill="true">
      <alignment horizontal="center" vertical="center"/>
    </xf>
    <xf fontId="16310" applyFont="true" borderId="8" applyBorder="true" applyNumberFormat="true" numFmtId="1" fillId="22" applyFill="true">
      <alignment horizontal="center" vertical="center"/>
    </xf>
    <xf fontId="16311" applyFont="true" borderId="8" applyBorder="true" applyNumberFormat="true" numFmtId="1" fillId="22" applyFill="true">
      <alignment horizontal="center" vertical="center"/>
    </xf>
    <xf fontId="16312" applyFont="true" borderId="8" applyBorder="true" applyNumberFormat="true" numFmtId="1" fillId="22" applyFill="true">
      <alignment horizontal="center" vertical="center"/>
    </xf>
    <xf fontId="16313" applyFont="true" borderId="8" applyBorder="true" applyNumberFormat="true" numFmtId="165" fillId="22" applyFill="true">
      <alignment horizontal="center" vertical="center"/>
    </xf>
    <xf fontId="16314" applyFont="true" borderId="8" applyBorder="true" applyNumberFormat="true" numFmtId="165" fillId="22" applyFill="true">
      <alignment horizontal="center" vertical="center"/>
    </xf>
    <xf fontId="16315" applyFont="true" borderId="8" applyBorder="true" applyNumberFormat="true" numFmtId="1" fillId="22" applyFill="true">
      <alignment horizontal="center" vertical="center"/>
    </xf>
    <xf fontId="16316" applyFont="true" borderId="8" applyBorder="true" applyNumberFormat="true" numFmtId="1" fillId="22" applyFill="true">
      <alignment horizontal="center" vertical="center"/>
    </xf>
    <xf fontId="16317" applyFont="true" borderId="8" applyBorder="true" applyNumberFormat="true" numFmtId="1" fillId="22" applyFill="true">
      <alignment horizontal="center" vertical="center"/>
    </xf>
    <xf fontId="16318" applyFont="true" borderId="8" applyBorder="true" applyNumberFormat="true" numFmtId="167" fillId="22" applyFill="true">
      <alignment horizontal="center" vertical="center"/>
    </xf>
    <xf fontId="16319" applyFont="true" borderId="8" applyBorder="true" applyNumberFormat="true" numFmtId="1" fillId="22" applyFill="true">
      <alignment horizontal="center" vertical="center"/>
    </xf>
    <xf fontId="16320" applyFont="true" borderId="8" applyBorder="true" applyNumberFormat="true" numFmtId="167" fillId="22" applyFill="true">
      <alignment horizontal="center" vertical="center"/>
    </xf>
    <xf fontId="16321" applyFont="true" borderId="8" applyBorder="true" applyNumberFormat="true" numFmtId="1" fillId="22" applyFill="true">
      <alignment horizontal="center" vertical="center"/>
    </xf>
    <xf fontId="16322" applyFont="true" borderId="8" applyBorder="true" applyNumberFormat="true" numFmtId="167" fillId="22" applyFill="true">
      <alignment horizontal="center" vertical="center"/>
    </xf>
    <xf fontId="16323" applyFont="true" borderId="8" applyBorder="true" applyNumberFormat="true" numFmtId="1" fillId="22" applyFill="true">
      <alignment horizontal="center" vertical="center"/>
    </xf>
    <xf fontId="16324" applyFont="true" borderId="8" applyBorder="true" applyNumberFormat="true" numFmtId="167" fillId="22" applyFill="true">
      <alignment horizontal="center" vertical="center"/>
    </xf>
    <xf fontId="16325" applyFont="true" borderId="8" applyBorder="true" applyNumberFormat="true" numFmtId="167" fillId="22" applyFill="true">
      <alignment horizontal="center" vertical="center"/>
    </xf>
    <xf fontId="16326" applyFont="true" borderId="8" applyBorder="true" applyNumberFormat="true" numFmtId="1" fillId="22" applyFill="true">
      <alignment horizontal="center" vertical="center"/>
    </xf>
    <xf fontId="16327" applyFont="true" borderId="8" applyBorder="true" applyNumberFormat="true" numFmtId="1" fillId="22" applyFill="true">
      <alignment horizontal="center" vertical="center"/>
    </xf>
    <xf fontId="16328" applyFont="true" borderId="8" applyBorder="true" applyNumberFormat="true" numFmtId="1" fillId="22" applyFill="true">
      <alignment horizontal="center" vertical="center"/>
    </xf>
    <xf fontId="16329" applyFont="true" borderId="8" applyBorder="true" applyNumberFormat="true" numFmtId="167" fillId="22" applyFill="true">
      <alignment horizontal="center" vertical="center"/>
    </xf>
    <xf fontId="16330" applyFont="true" borderId="8" applyBorder="true" applyNumberFormat="true" numFmtId="166" fillId="22" applyFill="true">
      <alignment horizontal="center" vertical="center"/>
    </xf>
    <xf fontId="16331" applyFont="true" borderId="8" applyBorder="true" applyNumberFormat="true" numFmtId="166" fillId="22" applyFill="true">
      <alignment horizontal="center" vertical="center"/>
    </xf>
    <xf fontId="16332" applyFont="true" borderId="8" applyBorder="true" applyNumberFormat="true" numFmtId="1" fillId="22" applyFill="true">
      <alignment horizontal="center" vertical="center"/>
    </xf>
    <xf fontId="16333" applyFont="true" borderId="8" applyBorder="true" applyNumberFormat="true" numFmtId="1" fillId="22" applyFill="true">
      <alignment horizontal="center" vertical="center"/>
    </xf>
    <xf fontId="16334" applyFont="true" borderId="8" applyBorder="true" applyNumberFormat="true" numFmtId="1" fillId="22" applyFill="true">
      <alignment horizontal="center" vertical="center"/>
    </xf>
    <xf fontId="16335" applyFont="true" borderId="8" applyBorder="true" applyNumberFormat="true" numFmtId="167" fillId="22" applyFill="true">
      <alignment horizontal="center" vertical="center"/>
    </xf>
    <xf fontId="16336" applyFont="true" borderId="8" applyBorder="true" applyNumberFormat="true" numFmtId="1" fillId="22" applyFill="true">
      <alignment horizontal="center" vertical="center"/>
    </xf>
    <xf fontId="16337" applyFont="true" borderId="8" applyBorder="true" applyNumberFormat="true" numFmtId="167" fillId="22" applyFill="true">
      <alignment horizontal="center" vertical="center"/>
    </xf>
    <xf fontId="16338" applyFont="true" borderId="8" applyBorder="true" applyNumberFormat="true" numFmtId="1" fillId="22" applyFill="true">
      <alignment horizontal="center" vertical="center"/>
    </xf>
    <xf fontId="16339" applyFont="true" borderId="8" applyBorder="true" applyNumberFormat="true" numFmtId="1" fillId="22" applyFill="true">
      <alignment horizontal="center" vertical="center"/>
    </xf>
    <xf fontId="16340" applyFont="true" borderId="8" applyBorder="true" applyNumberFormat="true" numFmtId="1" fillId="22" applyFill="true">
      <alignment horizontal="center" vertical="center"/>
    </xf>
    <xf fontId="16341" applyFont="true" borderId="8" applyBorder="true" applyNumberFormat="true" numFmtId="1" fillId="22" applyFill="true">
      <alignment horizontal="center" vertical="center"/>
    </xf>
    <xf fontId="16342" applyFont="true" borderId="8" applyBorder="true" applyNumberFormat="true" numFmtId="167" fillId="22" applyFill="true">
      <alignment horizontal="center" vertical="center"/>
    </xf>
    <xf fontId="16343" applyFont="true" borderId="8" applyBorder="true" applyNumberFormat="true" numFmtId="1" fillId="22" applyFill="true">
      <alignment horizontal="center" vertical="center"/>
    </xf>
    <xf fontId="16344" applyFont="true" borderId="8" applyBorder="true" applyNumberFormat="true" numFmtId="167" fillId="22" applyFill="true">
      <alignment horizontal="center" vertical="center"/>
    </xf>
    <xf fontId="16345" applyFont="true" borderId="8" applyBorder="true" applyNumberFormat="true" numFmtId="1" fillId="22" applyFill="true">
      <alignment horizontal="center" vertical="center"/>
    </xf>
    <xf fontId="16346" applyFont="true" borderId="8" applyBorder="true" applyNumberFormat="true" numFmtId="167" fillId="22" applyFill="true">
      <alignment horizontal="center" vertical="center"/>
    </xf>
    <xf fontId="16347" applyFont="true" borderId="8" applyBorder="true" applyNumberFormat="true" numFmtId="2" fillId="22" applyFill="true">
      <alignment horizontal="center" vertical="center"/>
    </xf>
    <xf fontId="16348" applyFont="true" borderId="8" applyBorder="true" applyNumberFormat="true" numFmtId="2" fillId="22" applyFill="true">
      <alignment horizontal="center" vertical="center"/>
    </xf>
    <xf fontId="16349" applyFont="true" borderId="8" applyBorder="true" applyNumberFormat="true" numFmtId="2" fillId="22" applyFill="true">
      <alignment horizontal="center" vertical="center"/>
    </xf>
    <xf fontId="16350" applyFont="true" borderId="8" applyBorder="true" applyNumberFormat="true" numFmtId="2" fillId="22" applyFill="true">
      <alignment horizontal="center" vertical="center"/>
    </xf>
    <xf fontId="16351" applyFont="true" borderId="8" applyBorder="true" applyNumberFormat="true" numFmtId="2" fillId="22" applyFill="true">
      <alignment horizontal="center" vertical="center"/>
    </xf>
    <xf fontId="16352" applyFont="true" borderId="8" applyBorder="true" applyNumberFormat="true" numFmtId="2" fillId="22" applyFill="true">
      <alignment horizontal="center" vertical="center"/>
    </xf>
    <xf fontId="16353" applyFont="true" borderId="8" applyBorder="true" applyNumberFormat="true" numFmtId="2" fillId="22" applyFill="true">
      <alignment horizontal="center" vertical="center"/>
    </xf>
    <xf fontId="16354" applyFont="true" borderId="8" applyBorder="true" applyNumberFormat="true" numFmtId="2" fillId="22" applyFill="true">
      <alignment horizontal="center" vertical="center"/>
    </xf>
    <xf fontId="16355" applyFont="true" borderId="8" applyBorder="true" applyNumberFormat="true" numFmtId="2" fillId="22" applyFill="true">
      <alignment horizontal="center" vertical="center"/>
    </xf>
    <xf fontId="16356" applyFont="true" borderId="8" applyBorder="true" applyNumberFormat="true" numFmtId="2" fillId="22" applyFill="true">
      <alignment horizontal="center" vertical="center"/>
    </xf>
    <xf fontId="16357" applyFont="true" borderId="8" applyBorder="true" applyNumberFormat="true" numFmtId="2" fillId="22" applyFill="true">
      <alignment horizontal="center" vertical="center"/>
    </xf>
    <xf fontId="16358" applyFont="true" borderId="8" applyBorder="true" applyNumberFormat="true" numFmtId="2" fillId="22" applyFill="true">
      <alignment horizontal="center" vertical="center"/>
    </xf>
    <xf fontId="16359" applyFont="true" borderId="8" applyBorder="true" applyNumberFormat="true" numFmtId="2" fillId="22" applyFill="true">
      <alignment horizontal="center" vertical="center"/>
    </xf>
    <xf fontId="16360" applyFont="true" borderId="8" applyBorder="true" applyNumberFormat="true" numFmtId="2" fillId="22" applyFill="true">
      <alignment horizontal="center" vertical="center"/>
    </xf>
    <xf fontId="16361" applyFont="true" borderId="8" applyBorder="true" applyNumberFormat="true" numFmtId="2" fillId="22" applyFill="true">
      <alignment horizontal="center" vertical="center"/>
    </xf>
    <xf fontId="16362" applyFont="true" borderId="8" applyBorder="true" applyNumberFormat="true" numFmtId="2" fillId="22" applyFill="true">
      <alignment horizontal="center" vertical="center"/>
    </xf>
    <xf fontId="16363" applyFont="true" borderId="8" applyBorder="true" applyNumberFormat="true" numFmtId="2" fillId="22" applyFill="true">
      <alignment horizontal="center" vertical="center"/>
    </xf>
    <xf fontId="16364" applyFont="true" borderId="8" applyBorder="true" applyNumberFormat="true" numFmtId="2" fillId="22" applyFill="true">
      <alignment horizontal="center" vertical="center"/>
    </xf>
    <xf fontId="16365" applyFont="true" borderId="8" applyBorder="true" applyNumberFormat="true" numFmtId="2" fillId="22" applyFill="true">
      <alignment horizontal="center" vertical="center"/>
    </xf>
    <xf fontId="16366" applyFont="true" borderId="8" applyBorder="true" applyNumberFormat="true" numFmtId="2" fillId="22" applyFill="true">
      <alignment horizontal="center" vertical="center"/>
    </xf>
    <xf fontId="16367" applyFont="true" borderId="8" applyBorder="true" applyNumberFormat="true" numFmtId="2" fillId="22" applyFill="true">
      <alignment horizontal="center" vertical="center"/>
    </xf>
    <xf fontId="16368" applyFont="true" borderId="8" applyBorder="true" applyNumberFormat="true" numFmtId="2" fillId="22" applyFill="true">
      <alignment horizontal="center" vertical="center"/>
    </xf>
    <xf fontId="16369" applyFont="true" borderId="8" applyBorder="true" applyNumberFormat="true" numFmtId="2" fillId="22" applyFill="true">
      <alignment horizontal="center" vertical="center"/>
    </xf>
    <xf fontId="16370" applyFont="true" borderId="8" applyBorder="true" applyNumberFormat="true" numFmtId="2" fillId="22" applyFill="true">
      <alignment horizontal="center" vertical="center"/>
    </xf>
    <xf fontId="16371" applyFont="true" borderId="8" applyBorder="true" applyNumberFormat="true" numFmtId="2" fillId="22" applyFill="true">
      <alignment horizontal="center" vertical="center"/>
    </xf>
    <xf fontId="16372" applyFont="true" borderId="8" applyBorder="true" applyNumberFormat="true" numFmtId="2" fillId="22" applyFill="true">
      <alignment horizontal="center" vertical="center"/>
    </xf>
    <xf fontId="16373" applyFont="true" borderId="8" applyBorder="true" applyNumberFormat="true" numFmtId="2" fillId="22" applyFill="true">
      <alignment horizontal="center" vertical="center"/>
    </xf>
    <xf fontId="16374" applyFont="true" borderId="8" applyBorder="true" applyNumberFormat="true" numFmtId="2" fillId="22" applyFill="true">
      <alignment horizontal="center" vertical="center"/>
    </xf>
    <xf fontId="16375" applyFont="true" borderId="8" applyBorder="true" applyNumberFormat="true" numFmtId="2" fillId="22" applyFill="true">
      <alignment horizontal="center" vertical="center"/>
    </xf>
    <xf fontId="16376" applyFont="true" borderId="8" applyBorder="true" applyNumberFormat="true" numFmtId="2" fillId="22" applyFill="true">
      <alignment horizontal="center" vertical="center"/>
    </xf>
    <xf fontId="16377" applyFont="true" borderId="8" applyBorder="true" applyNumberFormat="true" numFmtId="2" fillId="22" applyFill="true">
      <alignment horizontal="center" vertical="center"/>
    </xf>
    <xf fontId="16378" applyFont="true" borderId="8" applyBorder="true" applyNumberFormat="true" numFmtId="2" fillId="22" applyFill="true">
      <alignment horizontal="center" vertical="center"/>
    </xf>
    <xf fontId="16379" applyFont="true" borderId="8" applyBorder="true" applyNumberFormat="true" numFmtId="2" fillId="22" applyFill="true">
      <alignment horizontal="center" vertical="center"/>
    </xf>
    <xf fontId="16380" applyFont="true" borderId="8" applyBorder="true" applyNumberFormat="true" numFmtId="2" fillId="22" applyFill="true">
      <alignment horizontal="center" vertical="center"/>
    </xf>
    <xf fontId="16381" applyFont="true" borderId="8" applyBorder="true" applyNumberFormat="true" numFmtId="165" fillId="19" applyFill="true">
      <alignment horizontal="left" vertical="center"/>
    </xf>
    <xf fontId="16382" applyFont="true" borderId="8" applyBorder="true" applyNumberFormat="true" numFmtId="165" fillId="22" applyFill="true">
      <alignment horizontal="center" vertical="center"/>
    </xf>
    <xf fontId="16383" applyFont="true" borderId="8" applyBorder="true" applyNumberFormat="true" numFmtId="166" fillId="22" applyFill="true">
      <alignment horizontal="center" vertical="center"/>
    </xf>
    <xf fontId="16384" applyFont="true" borderId="8" applyBorder="true" applyNumberFormat="true" numFmtId="1" fillId="22" applyFill="true">
      <alignment horizontal="center" vertical="center"/>
    </xf>
    <xf fontId="16385" applyFont="true" borderId="8" applyBorder="true" applyNumberFormat="true" numFmtId="1" fillId="22" applyFill="true">
      <alignment horizontal="center" vertical="center"/>
    </xf>
    <xf fontId="16386" applyFont="true" borderId="8" applyBorder="true" applyNumberFormat="true" numFmtId="1" fillId="22" applyFill="true">
      <alignment horizontal="center" vertical="center"/>
    </xf>
    <xf fontId="16387" applyFont="true" borderId="8" applyBorder="true" applyNumberFormat="true" numFmtId="1" fillId="22" applyFill="true">
      <alignment horizontal="center" vertical="center"/>
    </xf>
    <xf fontId="16388" applyFont="true" borderId="8" applyBorder="true" applyNumberFormat="true" numFmtId="1" fillId="22" applyFill="true">
      <alignment horizontal="center" vertical="center"/>
    </xf>
    <xf fontId="16389" applyFont="true" borderId="8" applyBorder="true" applyNumberFormat="true" numFmtId="1" fillId="22" applyFill="true">
      <alignment horizontal="center" vertical="center"/>
    </xf>
    <xf fontId="16390" applyFont="true" borderId="8" applyBorder="true" applyNumberFormat="true" numFmtId="1" fillId="22" applyFill="true">
      <alignment horizontal="center" vertical="center"/>
    </xf>
    <xf fontId="16391" applyFont="true" borderId="8" applyBorder="true" applyNumberFormat="true" numFmtId="165" fillId="22" applyFill="true">
      <alignment horizontal="center" vertical="center"/>
    </xf>
    <xf fontId="16392" applyFont="true" borderId="8" applyBorder="true" applyNumberFormat="true" numFmtId="165" fillId="22" applyFill="true">
      <alignment horizontal="center" vertical="center"/>
    </xf>
    <xf fontId="16393" applyFont="true" borderId="8" applyBorder="true" applyNumberFormat="true" numFmtId="1" fillId="22" applyFill="true">
      <alignment horizontal="center" vertical="center"/>
    </xf>
    <xf fontId="16394" applyFont="true" borderId="8" applyBorder="true" applyNumberFormat="true" numFmtId="1" fillId="22" applyFill="true">
      <alignment horizontal="center" vertical="center"/>
    </xf>
    <xf fontId="16395" applyFont="true" borderId="8" applyBorder="true" applyNumberFormat="true" numFmtId="1" fillId="22" applyFill="true">
      <alignment horizontal="center" vertical="center"/>
    </xf>
    <xf fontId="16396" applyFont="true" borderId="8" applyBorder="true" applyNumberFormat="true" numFmtId="167" fillId="22" applyFill="true">
      <alignment horizontal="center" vertical="center"/>
    </xf>
    <xf fontId="16397" applyFont="true" borderId="8" applyBorder="true" applyNumberFormat="true" numFmtId="1" fillId="22" applyFill="true">
      <alignment horizontal="center" vertical="center"/>
    </xf>
    <xf fontId="16398" applyFont="true" borderId="8" applyBorder="true" applyNumberFormat="true" numFmtId="167" fillId="22" applyFill="true">
      <alignment horizontal="center" vertical="center"/>
    </xf>
    <xf fontId="16399" applyFont="true" borderId="8" applyBorder="true" applyNumberFormat="true" numFmtId="1" fillId="22" applyFill="true">
      <alignment horizontal="center" vertical="center"/>
    </xf>
    <xf fontId="16400" applyFont="true" borderId="8" applyBorder="true" applyNumberFormat="true" numFmtId="167" fillId="22" applyFill="true">
      <alignment horizontal="center" vertical="center"/>
    </xf>
    <xf fontId="16401" applyFont="true" borderId="8" applyBorder="true" applyNumberFormat="true" numFmtId="1" fillId="22" applyFill="true">
      <alignment horizontal="center" vertical="center"/>
    </xf>
    <xf fontId="16402" applyFont="true" borderId="8" applyBorder="true" applyNumberFormat="true" numFmtId="167" fillId="22" applyFill="true">
      <alignment horizontal="center" vertical="center"/>
    </xf>
    <xf fontId="16403" applyFont="true" borderId="8" applyBorder="true" applyNumberFormat="true" numFmtId="167" fillId="22" applyFill="true">
      <alignment horizontal="center" vertical="center"/>
    </xf>
    <xf fontId="16404" applyFont="true" borderId="8" applyBorder="true" applyNumberFormat="true" numFmtId="1" fillId="22" applyFill="true">
      <alignment horizontal="center" vertical="center"/>
    </xf>
    <xf fontId="16405" applyFont="true" borderId="8" applyBorder="true" applyNumberFormat="true" numFmtId="1" fillId="22" applyFill="true">
      <alignment horizontal="center" vertical="center"/>
    </xf>
    <xf fontId="16406" applyFont="true" borderId="8" applyBorder="true" applyNumberFormat="true" numFmtId="1" fillId="22" applyFill="true">
      <alignment horizontal="center" vertical="center"/>
    </xf>
    <xf fontId="16407" applyFont="true" borderId="8" applyBorder="true" applyNumberFormat="true" numFmtId="167" fillId="22" applyFill="true">
      <alignment horizontal="center" vertical="center"/>
    </xf>
    <xf fontId="16408" applyFont="true" borderId="8" applyBorder="true" applyNumberFormat="true" numFmtId="166" fillId="22" applyFill="true">
      <alignment horizontal="center" vertical="center"/>
    </xf>
    <xf fontId="16409" applyFont="true" borderId="8" applyBorder="true" applyNumberFormat="true" numFmtId="166" fillId="22" applyFill="true">
      <alignment horizontal="center" vertical="center"/>
    </xf>
    <xf fontId="16410" applyFont="true" borderId="8" applyBorder="true" applyNumberFormat="true" numFmtId="1" fillId="22" applyFill="true">
      <alignment horizontal="center" vertical="center"/>
    </xf>
    <xf fontId="16411" applyFont="true" borderId="8" applyBorder="true" applyNumberFormat="true" numFmtId="1" fillId="22" applyFill="true">
      <alignment horizontal="center" vertical="center"/>
    </xf>
    <xf fontId="16412" applyFont="true" borderId="8" applyBorder="true" applyNumberFormat="true" numFmtId="1" fillId="22" applyFill="true">
      <alignment horizontal="center" vertical="center"/>
    </xf>
    <xf fontId="16413" applyFont="true" borderId="8" applyBorder="true" applyNumberFormat="true" numFmtId="167" fillId="22" applyFill="true">
      <alignment horizontal="center" vertical="center"/>
    </xf>
    <xf fontId="16414" applyFont="true" borderId="8" applyBorder="true" applyNumberFormat="true" numFmtId="1" fillId="22" applyFill="true">
      <alignment horizontal="center" vertical="center"/>
    </xf>
    <xf fontId="16415" applyFont="true" borderId="8" applyBorder="true" applyNumberFormat="true" numFmtId="167" fillId="22" applyFill="true">
      <alignment horizontal="center" vertical="center"/>
    </xf>
    <xf fontId="16416" applyFont="true" borderId="8" applyBorder="true" applyNumberFormat="true" numFmtId="1" fillId="22" applyFill="true">
      <alignment horizontal="center" vertical="center"/>
    </xf>
    <xf fontId="16417" applyFont="true" borderId="8" applyBorder="true" applyNumberFormat="true" numFmtId="1" fillId="22" applyFill="true">
      <alignment horizontal="center" vertical="center"/>
    </xf>
    <xf fontId="16418" applyFont="true" borderId="8" applyBorder="true" applyNumberFormat="true" numFmtId="1" fillId="22" applyFill="true">
      <alignment horizontal="center" vertical="center"/>
    </xf>
    <xf fontId="16419" applyFont="true" borderId="8" applyBorder="true" applyNumberFormat="true" numFmtId="1" fillId="22" applyFill="true">
      <alignment horizontal="center" vertical="center"/>
    </xf>
    <xf fontId="16420" applyFont="true" borderId="8" applyBorder="true" applyNumberFormat="true" numFmtId="167" fillId="22" applyFill="true">
      <alignment horizontal="center" vertical="center"/>
    </xf>
    <xf fontId="16421" applyFont="true" borderId="8" applyBorder="true" applyNumberFormat="true" numFmtId="1" fillId="22" applyFill="true">
      <alignment horizontal="center" vertical="center"/>
    </xf>
    <xf fontId="16422" applyFont="true" borderId="8" applyBorder="true" applyNumberFormat="true" numFmtId="167" fillId="22" applyFill="true">
      <alignment horizontal="center" vertical="center"/>
    </xf>
    <xf fontId="16423" applyFont="true" borderId="8" applyBorder="true" applyNumberFormat="true" numFmtId="1" fillId="22" applyFill="true">
      <alignment horizontal="center" vertical="center"/>
    </xf>
    <xf fontId="16424" applyFont="true" borderId="8" applyBorder="true" applyNumberFormat="true" numFmtId="167" fillId="22" applyFill="true">
      <alignment horizontal="center" vertical="center"/>
    </xf>
    <xf fontId="16425" applyFont="true" borderId="8" applyBorder="true" applyNumberFormat="true" numFmtId="2" fillId="22" applyFill="true">
      <alignment horizontal="center" vertical="center"/>
    </xf>
    <xf fontId="16426" applyFont="true" borderId="8" applyBorder="true" applyNumberFormat="true" numFmtId="2" fillId="22" applyFill="true">
      <alignment horizontal="center" vertical="center"/>
    </xf>
    <xf fontId="16427" applyFont="true" borderId="8" applyBorder="true" applyNumberFormat="true" numFmtId="2" fillId="22" applyFill="true">
      <alignment horizontal="center" vertical="center"/>
    </xf>
    <xf fontId="16428" applyFont="true" borderId="8" applyBorder="true" applyNumberFormat="true" numFmtId="2" fillId="22" applyFill="true">
      <alignment horizontal="center" vertical="center"/>
    </xf>
    <xf fontId="16429" applyFont="true" borderId="8" applyBorder="true" applyNumberFormat="true" numFmtId="2" fillId="22" applyFill="true">
      <alignment horizontal="center" vertical="center"/>
    </xf>
    <xf fontId="16430" applyFont="true" borderId="8" applyBorder="true" applyNumberFormat="true" numFmtId="2" fillId="22" applyFill="true">
      <alignment horizontal="center" vertical="center"/>
    </xf>
    <xf fontId="16431" applyFont="true" borderId="8" applyBorder="true" applyNumberFormat="true" numFmtId="2" fillId="22" applyFill="true">
      <alignment horizontal="center" vertical="center"/>
    </xf>
    <xf fontId="16432" applyFont="true" borderId="8" applyBorder="true" applyNumberFormat="true" numFmtId="2" fillId="22" applyFill="true">
      <alignment horizontal="center" vertical="center"/>
    </xf>
    <xf fontId="16433" applyFont="true" borderId="8" applyBorder="true" applyNumberFormat="true" numFmtId="2" fillId="22" applyFill="true">
      <alignment horizontal="center" vertical="center"/>
    </xf>
    <xf fontId="16434" applyFont="true" borderId="8" applyBorder="true" applyNumberFormat="true" numFmtId="2" fillId="22" applyFill="true">
      <alignment horizontal="center" vertical="center"/>
    </xf>
    <xf fontId="16435" applyFont="true" borderId="8" applyBorder="true" applyNumberFormat="true" numFmtId="2" fillId="22" applyFill="true">
      <alignment horizontal="center" vertical="center"/>
    </xf>
    <xf fontId="16436" applyFont="true" borderId="8" applyBorder="true" applyNumberFormat="true" numFmtId="2" fillId="22" applyFill="true">
      <alignment horizontal="center" vertical="center"/>
    </xf>
    <xf fontId="16437" applyFont="true" borderId="8" applyBorder="true" applyNumberFormat="true" numFmtId="2" fillId="22" applyFill="true">
      <alignment horizontal="center" vertical="center"/>
    </xf>
    <xf fontId="16438" applyFont="true" borderId="8" applyBorder="true" applyNumberFormat="true" numFmtId="2" fillId="22" applyFill="true">
      <alignment horizontal="center" vertical="center"/>
    </xf>
    <xf fontId="16439" applyFont="true" borderId="8" applyBorder="true" applyNumberFormat="true" numFmtId="2" fillId="22" applyFill="true">
      <alignment horizontal="center" vertical="center"/>
    </xf>
    <xf fontId="16440" applyFont="true" borderId="8" applyBorder="true" applyNumberFormat="true" numFmtId="2" fillId="22" applyFill="true">
      <alignment horizontal="center" vertical="center"/>
    </xf>
    <xf fontId="16441" applyFont="true" borderId="8" applyBorder="true" applyNumberFormat="true" numFmtId="2" fillId="22" applyFill="true">
      <alignment horizontal="center" vertical="center"/>
    </xf>
    <xf fontId="16442" applyFont="true" borderId="8" applyBorder="true" applyNumberFormat="true" numFmtId="2" fillId="22" applyFill="true">
      <alignment horizontal="center" vertical="center"/>
    </xf>
    <xf fontId="16443" applyFont="true" borderId="8" applyBorder="true" applyNumberFormat="true" numFmtId="2" fillId="22" applyFill="true">
      <alignment horizontal="center" vertical="center"/>
    </xf>
    <xf fontId="16444" applyFont="true" borderId="8" applyBorder="true" applyNumberFormat="true" numFmtId="2" fillId="22" applyFill="true">
      <alignment horizontal="center" vertical="center"/>
    </xf>
    <xf fontId="16445" applyFont="true" borderId="8" applyBorder="true" applyNumberFormat="true" numFmtId="2" fillId="22" applyFill="true">
      <alignment horizontal="center" vertical="center"/>
    </xf>
    <xf fontId="16446" applyFont="true" borderId="8" applyBorder="true" applyNumberFormat="true" numFmtId="2" fillId="22" applyFill="true">
      <alignment horizontal="center" vertical="center"/>
    </xf>
    <xf fontId="16447" applyFont="true" borderId="8" applyBorder="true" applyNumberFormat="true" numFmtId="2" fillId="22" applyFill="true">
      <alignment horizontal="center" vertical="center"/>
    </xf>
    <xf fontId="16448" applyFont="true" borderId="8" applyBorder="true" applyNumberFormat="true" numFmtId="2" fillId="22" applyFill="true">
      <alignment horizontal="center" vertical="center"/>
    </xf>
    <xf fontId="16449" applyFont="true" borderId="8" applyBorder="true" applyNumberFormat="true" numFmtId="2" fillId="22" applyFill="true">
      <alignment horizontal="center" vertical="center"/>
    </xf>
    <xf fontId="16450" applyFont="true" borderId="8" applyBorder="true" applyNumberFormat="true" numFmtId="2" fillId="22" applyFill="true">
      <alignment horizontal="center" vertical="center"/>
    </xf>
    <xf fontId="16451" applyFont="true" borderId="8" applyBorder="true" applyNumberFormat="true" numFmtId="2" fillId="22" applyFill="true">
      <alignment horizontal="center" vertical="center"/>
    </xf>
    <xf fontId="16452" applyFont="true" borderId="8" applyBorder="true" applyNumberFormat="true" numFmtId="2" fillId="22" applyFill="true">
      <alignment horizontal="center" vertical="center"/>
    </xf>
    <xf fontId="16453" applyFont="true" borderId="8" applyBorder="true" applyNumberFormat="true" numFmtId="2" fillId="22" applyFill="true">
      <alignment horizontal="center" vertical="center"/>
    </xf>
    <xf fontId="16454" applyFont="true" borderId="8" applyBorder="true" applyNumberFormat="true" numFmtId="2" fillId="22" applyFill="true">
      <alignment horizontal="center" vertical="center"/>
    </xf>
    <xf fontId="16455" applyFont="true" borderId="8" applyBorder="true" applyNumberFormat="true" numFmtId="2" fillId="22" applyFill="true">
      <alignment horizontal="center" vertical="center"/>
    </xf>
    <xf fontId="16456" applyFont="true" borderId="8" applyBorder="true" applyNumberFormat="true" numFmtId="2" fillId="22" applyFill="true">
      <alignment horizontal="center" vertical="center"/>
    </xf>
    <xf fontId="16457" applyFont="true" borderId="8" applyBorder="true" applyNumberFormat="true" numFmtId="2" fillId="22" applyFill="true">
      <alignment horizontal="center" vertical="center"/>
    </xf>
    <xf fontId="16458" applyFont="true" borderId="8" applyBorder="true" applyNumberFormat="true" numFmtId="2" fillId="22" applyFill="true">
      <alignment horizontal="center" vertical="center"/>
    </xf>
    <xf fontId="16459" applyFont="true" borderId="8" applyBorder="true" applyNumberFormat="true" numFmtId="165" fillId="19" applyFill="true">
      <alignment horizontal="left" vertical="center"/>
    </xf>
    <xf fontId="16460" applyFont="true" borderId="8" applyBorder="true" applyNumberFormat="true" numFmtId="165" fillId="22" applyFill="true">
      <alignment horizontal="center" vertical="center"/>
    </xf>
    <xf fontId="16461" applyFont="true" borderId="8" applyBorder="true" applyNumberFormat="true" numFmtId="166" fillId="22" applyFill="true">
      <alignment horizontal="center" vertical="center"/>
    </xf>
    <xf fontId="16462" applyFont="true" borderId="8" applyBorder="true" applyNumberFormat="true" numFmtId="1" fillId="22" applyFill="true">
      <alignment horizontal="center" vertical="center"/>
    </xf>
    <xf fontId="16463" applyFont="true" borderId="8" applyBorder="true" applyNumberFormat="true" numFmtId="1" fillId="22" applyFill="true">
      <alignment horizontal="center" vertical="center"/>
    </xf>
    <xf fontId="16464" applyFont="true" borderId="8" applyBorder="true" applyNumberFormat="true" numFmtId="1" fillId="22" applyFill="true">
      <alignment horizontal="center" vertical="center"/>
    </xf>
    <xf fontId="16465" applyFont="true" borderId="8" applyBorder="true" applyNumberFormat="true" numFmtId="1" fillId="22" applyFill="true">
      <alignment horizontal="center" vertical="center"/>
    </xf>
    <xf fontId="16466" applyFont="true" borderId="8" applyBorder="true" applyNumberFormat="true" numFmtId="1" fillId="22" applyFill="true">
      <alignment horizontal="center" vertical="center"/>
    </xf>
    <xf fontId="16467" applyFont="true" borderId="8" applyBorder="true" applyNumberFormat="true" numFmtId="1" fillId="22" applyFill="true">
      <alignment horizontal="center" vertical="center"/>
    </xf>
    <xf fontId="16468" applyFont="true" borderId="8" applyBorder="true" applyNumberFormat="true" numFmtId="1" fillId="22" applyFill="true">
      <alignment horizontal="center" vertical="center"/>
    </xf>
    <xf fontId="16469" applyFont="true" borderId="8" applyBorder="true" applyNumberFormat="true" numFmtId="165" fillId="22" applyFill="true">
      <alignment horizontal="center" vertical="center"/>
    </xf>
    <xf fontId="16470" applyFont="true" borderId="8" applyBorder="true" applyNumberFormat="true" numFmtId="165" fillId="22" applyFill="true">
      <alignment horizontal="center" vertical="center"/>
    </xf>
    <xf fontId="16471" applyFont="true" borderId="8" applyBorder="true" applyNumberFormat="true" numFmtId="1" fillId="22" applyFill="true">
      <alignment horizontal="center" vertical="center"/>
    </xf>
    <xf fontId="16472" applyFont="true" borderId="8" applyBorder="true" applyNumberFormat="true" numFmtId="1" fillId="22" applyFill="true">
      <alignment horizontal="center" vertical="center"/>
    </xf>
    <xf fontId="16473" applyFont="true" borderId="8" applyBorder="true" applyNumberFormat="true" numFmtId="1" fillId="22" applyFill="true">
      <alignment horizontal="center" vertical="center"/>
    </xf>
    <xf fontId="16474" applyFont="true" borderId="8" applyBorder="true" applyNumberFormat="true" numFmtId="167" fillId="22" applyFill="true">
      <alignment horizontal="center" vertical="center"/>
    </xf>
    <xf fontId="16475" applyFont="true" borderId="8" applyBorder="true" applyNumberFormat="true" numFmtId="1" fillId="22" applyFill="true">
      <alignment horizontal="center" vertical="center"/>
    </xf>
    <xf fontId="16476" applyFont="true" borderId="8" applyBorder="true" applyNumberFormat="true" numFmtId="167" fillId="22" applyFill="true">
      <alignment horizontal="center" vertical="center"/>
    </xf>
    <xf fontId="16477" applyFont="true" borderId="8" applyBorder="true" applyNumberFormat="true" numFmtId="1" fillId="22" applyFill="true">
      <alignment horizontal="center" vertical="center"/>
    </xf>
    <xf fontId="16478" applyFont="true" borderId="8" applyBorder="true" applyNumberFormat="true" numFmtId="167" fillId="22" applyFill="true">
      <alignment horizontal="center" vertical="center"/>
    </xf>
    <xf fontId="16479" applyFont="true" borderId="8" applyBorder="true" applyNumberFormat="true" numFmtId="1" fillId="22" applyFill="true">
      <alignment horizontal="center" vertical="center"/>
    </xf>
    <xf fontId="16480" applyFont="true" borderId="8" applyBorder="true" applyNumberFormat="true" numFmtId="167" fillId="22" applyFill="true">
      <alignment horizontal="center" vertical="center"/>
    </xf>
    <xf fontId="16481" applyFont="true" borderId="8" applyBorder="true" applyNumberFormat="true" numFmtId="167" fillId="22" applyFill="true">
      <alignment horizontal="center" vertical="center"/>
    </xf>
    <xf fontId="16482" applyFont="true" borderId="8" applyBorder="true" applyNumberFormat="true" numFmtId="1" fillId="22" applyFill="true">
      <alignment horizontal="center" vertical="center"/>
    </xf>
    <xf fontId="16483" applyFont="true" borderId="8" applyBorder="true" applyNumberFormat="true" numFmtId="1" fillId="22" applyFill="true">
      <alignment horizontal="center" vertical="center"/>
    </xf>
    <xf fontId="16484" applyFont="true" borderId="8" applyBorder="true" applyNumberFormat="true" numFmtId="1" fillId="22" applyFill="true">
      <alignment horizontal="center" vertical="center"/>
    </xf>
    <xf fontId="16485" applyFont="true" borderId="8" applyBorder="true" applyNumberFormat="true" numFmtId="167" fillId="22" applyFill="true">
      <alignment horizontal="center" vertical="center"/>
    </xf>
    <xf fontId="16486" applyFont="true" borderId="8" applyBorder="true" applyNumberFormat="true" numFmtId="166" fillId="22" applyFill="true">
      <alignment horizontal="center" vertical="center"/>
    </xf>
    <xf fontId="16487" applyFont="true" borderId="8" applyBorder="true" applyNumberFormat="true" numFmtId="166" fillId="22" applyFill="true">
      <alignment horizontal="center" vertical="center"/>
    </xf>
    <xf fontId="16488" applyFont="true" borderId="8" applyBorder="true" applyNumberFormat="true" numFmtId="1" fillId="22" applyFill="true">
      <alignment horizontal="center" vertical="center"/>
    </xf>
    <xf fontId="16489" applyFont="true" borderId="8" applyBorder="true" applyNumberFormat="true" numFmtId="1" fillId="22" applyFill="true">
      <alignment horizontal="center" vertical="center"/>
    </xf>
    <xf fontId="16490" applyFont="true" borderId="8" applyBorder="true" applyNumberFormat="true" numFmtId="1" fillId="22" applyFill="true">
      <alignment horizontal="center" vertical="center"/>
    </xf>
    <xf fontId="16491" applyFont="true" borderId="8" applyBorder="true" applyNumberFormat="true" numFmtId="167" fillId="22" applyFill="true">
      <alignment horizontal="center" vertical="center"/>
    </xf>
    <xf fontId="16492" applyFont="true" borderId="8" applyBorder="true" applyNumberFormat="true" numFmtId="1" fillId="22" applyFill="true">
      <alignment horizontal="center" vertical="center"/>
    </xf>
    <xf fontId="16493" applyFont="true" borderId="8" applyBorder="true" applyNumberFormat="true" numFmtId="167" fillId="22" applyFill="true">
      <alignment horizontal="center" vertical="center"/>
    </xf>
    <xf fontId="16494" applyFont="true" borderId="8" applyBorder="true" applyNumberFormat="true" numFmtId="1" fillId="22" applyFill="true">
      <alignment horizontal="center" vertical="center"/>
    </xf>
    <xf fontId="16495" applyFont="true" borderId="8" applyBorder="true" applyNumberFormat="true" numFmtId="1" fillId="22" applyFill="true">
      <alignment horizontal="center" vertical="center"/>
    </xf>
    <xf fontId="16496" applyFont="true" borderId="8" applyBorder="true" applyNumberFormat="true" numFmtId="1" fillId="22" applyFill="true">
      <alignment horizontal="center" vertical="center"/>
    </xf>
    <xf fontId="16497" applyFont="true" borderId="8" applyBorder="true" applyNumberFormat="true" numFmtId="1" fillId="22" applyFill="true">
      <alignment horizontal="center" vertical="center"/>
    </xf>
    <xf fontId="16498" applyFont="true" borderId="8" applyBorder="true" applyNumberFormat="true" numFmtId="167" fillId="22" applyFill="true">
      <alignment horizontal="center" vertical="center"/>
    </xf>
    <xf fontId="16499" applyFont="true" borderId="8" applyBorder="true" applyNumberFormat="true" numFmtId="1" fillId="22" applyFill="true">
      <alignment horizontal="center" vertical="center"/>
    </xf>
    <xf fontId="16500" applyFont="true" borderId="8" applyBorder="true" applyNumberFormat="true" numFmtId="167" fillId="22" applyFill="true">
      <alignment horizontal="center" vertical="center"/>
    </xf>
    <xf fontId="16501" applyFont="true" borderId="8" applyBorder="true" applyNumberFormat="true" numFmtId="1" fillId="22" applyFill="true">
      <alignment horizontal="center" vertical="center"/>
    </xf>
    <xf fontId="16502" applyFont="true" borderId="8" applyBorder="true" applyNumberFormat="true" numFmtId="167" fillId="22" applyFill="true">
      <alignment horizontal="center" vertical="center"/>
    </xf>
    <xf fontId="16503" applyFont="true" borderId="8" applyBorder="true" applyNumberFormat="true" numFmtId="2" fillId="22" applyFill="true">
      <alignment horizontal="center" vertical="center"/>
    </xf>
    <xf fontId="16504" applyFont="true" borderId="8" applyBorder="true" applyNumberFormat="true" numFmtId="2" fillId="22" applyFill="true">
      <alignment horizontal="center" vertical="center"/>
    </xf>
    <xf fontId="16505" applyFont="true" borderId="8" applyBorder="true" applyNumberFormat="true" numFmtId="2" fillId="22" applyFill="true">
      <alignment horizontal="center" vertical="center"/>
    </xf>
    <xf fontId="16506" applyFont="true" borderId="8" applyBorder="true" applyNumberFormat="true" numFmtId="2" fillId="22" applyFill="true">
      <alignment horizontal="center" vertical="center"/>
    </xf>
    <xf fontId="16507" applyFont="true" borderId="8" applyBorder="true" applyNumberFormat="true" numFmtId="2" fillId="22" applyFill="true">
      <alignment horizontal="center" vertical="center"/>
    </xf>
    <xf fontId="16508" applyFont="true" borderId="8" applyBorder="true" applyNumberFormat="true" numFmtId="2" fillId="22" applyFill="true">
      <alignment horizontal="center" vertical="center"/>
    </xf>
    <xf fontId="16509" applyFont="true" borderId="8" applyBorder="true" applyNumberFormat="true" numFmtId="2" fillId="22" applyFill="true">
      <alignment horizontal="center" vertical="center"/>
    </xf>
    <xf fontId="16510" applyFont="true" borderId="8" applyBorder="true" applyNumberFormat="true" numFmtId="2" fillId="22" applyFill="true">
      <alignment horizontal="center" vertical="center"/>
    </xf>
    <xf fontId="16511" applyFont="true" borderId="8" applyBorder="true" applyNumberFormat="true" numFmtId="2" fillId="22" applyFill="true">
      <alignment horizontal="center" vertical="center"/>
    </xf>
    <xf fontId="16512" applyFont="true" borderId="8" applyBorder="true" applyNumberFormat="true" numFmtId="2" fillId="22" applyFill="true">
      <alignment horizontal="center" vertical="center"/>
    </xf>
    <xf fontId="16513" applyFont="true" borderId="8" applyBorder="true" applyNumberFormat="true" numFmtId="2" fillId="22" applyFill="true">
      <alignment horizontal="center" vertical="center"/>
    </xf>
    <xf fontId="16514" applyFont="true" borderId="8" applyBorder="true" applyNumberFormat="true" numFmtId="2" fillId="22" applyFill="true">
      <alignment horizontal="center" vertical="center"/>
    </xf>
    <xf fontId="16515" applyFont="true" borderId="8" applyBorder="true" applyNumberFormat="true" numFmtId="2" fillId="22" applyFill="true">
      <alignment horizontal="center" vertical="center"/>
    </xf>
    <xf fontId="16516" applyFont="true" borderId="8" applyBorder="true" applyNumberFormat="true" numFmtId="2" fillId="22" applyFill="true">
      <alignment horizontal="center" vertical="center"/>
    </xf>
    <xf fontId="16517" applyFont="true" borderId="8" applyBorder="true" applyNumberFormat="true" numFmtId="2" fillId="22" applyFill="true">
      <alignment horizontal="center" vertical="center"/>
    </xf>
    <xf fontId="16518" applyFont="true" borderId="8" applyBorder="true" applyNumberFormat="true" numFmtId="2" fillId="22" applyFill="true">
      <alignment horizontal="center" vertical="center"/>
    </xf>
    <xf fontId="16519" applyFont="true" borderId="8" applyBorder="true" applyNumberFormat="true" numFmtId="2" fillId="22" applyFill="true">
      <alignment horizontal="center" vertical="center"/>
    </xf>
    <xf fontId="16520" applyFont="true" borderId="8" applyBorder="true" applyNumberFormat="true" numFmtId="2" fillId="22" applyFill="true">
      <alignment horizontal="center" vertical="center"/>
    </xf>
    <xf fontId="16521" applyFont="true" borderId="8" applyBorder="true" applyNumberFormat="true" numFmtId="2" fillId="22" applyFill="true">
      <alignment horizontal="center" vertical="center"/>
    </xf>
    <xf fontId="16522" applyFont="true" borderId="8" applyBorder="true" applyNumberFormat="true" numFmtId="2" fillId="22" applyFill="true">
      <alignment horizontal="center" vertical="center"/>
    </xf>
    <xf fontId="16523" applyFont="true" borderId="8" applyBorder="true" applyNumberFormat="true" numFmtId="2" fillId="22" applyFill="true">
      <alignment horizontal="center" vertical="center"/>
    </xf>
    <xf fontId="16524" applyFont="true" borderId="8" applyBorder="true" applyNumberFormat="true" numFmtId="2" fillId="22" applyFill="true">
      <alignment horizontal="center" vertical="center"/>
    </xf>
    <xf fontId="16525" applyFont="true" borderId="8" applyBorder="true" applyNumberFormat="true" numFmtId="2" fillId="22" applyFill="true">
      <alignment horizontal="center" vertical="center"/>
    </xf>
    <xf fontId="16526" applyFont="true" borderId="8" applyBorder="true" applyNumberFormat="true" numFmtId="2" fillId="22" applyFill="true">
      <alignment horizontal="center" vertical="center"/>
    </xf>
    <xf fontId="16527" applyFont="true" borderId="8" applyBorder="true" applyNumberFormat="true" numFmtId="2" fillId="22" applyFill="true">
      <alignment horizontal="center" vertical="center"/>
    </xf>
    <xf fontId="16528" applyFont="true" borderId="8" applyBorder="true" applyNumberFormat="true" numFmtId="2" fillId="22" applyFill="true">
      <alignment horizontal="center" vertical="center"/>
    </xf>
    <xf fontId="16529" applyFont="true" borderId="8" applyBorder="true" applyNumberFormat="true" numFmtId="2" fillId="22" applyFill="true">
      <alignment horizontal="center" vertical="center"/>
    </xf>
    <xf fontId="16530" applyFont="true" borderId="8" applyBorder="true" applyNumberFormat="true" numFmtId="2" fillId="22" applyFill="true">
      <alignment horizontal="center" vertical="center"/>
    </xf>
    <xf fontId="16531" applyFont="true" borderId="8" applyBorder="true" applyNumberFormat="true" numFmtId="2" fillId="22" applyFill="true">
      <alignment horizontal="center" vertical="center"/>
    </xf>
    <xf fontId="16532" applyFont="true" borderId="8" applyBorder="true" applyNumberFormat="true" numFmtId="2" fillId="22" applyFill="true">
      <alignment horizontal="center" vertical="center"/>
    </xf>
    <xf fontId="16533" applyFont="true" borderId="8" applyBorder="true" applyNumberFormat="true" numFmtId="2" fillId="22" applyFill="true">
      <alignment horizontal="center" vertical="center"/>
    </xf>
    <xf fontId="16534" applyFont="true" borderId="8" applyBorder="true" applyNumberFormat="true" numFmtId="2" fillId="22" applyFill="true">
      <alignment horizontal="center" vertical="center"/>
    </xf>
    <xf fontId="16535" applyFont="true" borderId="8" applyBorder="true" applyNumberFormat="true" numFmtId="2" fillId="22" applyFill="true">
      <alignment horizontal="center" vertical="center"/>
    </xf>
    <xf fontId="16536" applyFont="true" borderId="8" applyBorder="true" applyNumberFormat="true" numFmtId="2" fillId="22" applyFill="true">
      <alignment horizontal="center" vertical="center"/>
    </xf>
    <xf fontId="16537" applyFont="true" borderId="8" applyBorder="true" applyNumberFormat="true" numFmtId="165" fillId="19" applyFill="true">
      <alignment horizontal="left" vertical="center"/>
    </xf>
    <xf fontId="16538" applyFont="true" borderId="8" applyBorder="true" applyNumberFormat="true" numFmtId="165" fillId="22" applyFill="true">
      <alignment horizontal="center" vertical="center"/>
    </xf>
    <xf fontId="16539" applyFont="true" borderId="8" applyBorder="true" applyNumberFormat="true" numFmtId="166" fillId="22" applyFill="true">
      <alignment horizontal="center" vertical="center"/>
    </xf>
    <xf fontId="16540" applyFont="true" borderId="8" applyBorder="true" applyNumberFormat="true" numFmtId="1" fillId="22" applyFill="true">
      <alignment horizontal="center" vertical="center"/>
    </xf>
    <xf fontId="16541" applyFont="true" borderId="8" applyBorder="true" applyNumberFormat="true" numFmtId="1" fillId="22" applyFill="true">
      <alignment horizontal="center" vertical="center"/>
    </xf>
    <xf fontId="16542" applyFont="true" borderId="8" applyBorder="true" applyNumberFormat="true" numFmtId="1" fillId="22" applyFill="true">
      <alignment horizontal="center" vertical="center"/>
    </xf>
    <xf fontId="16543" applyFont="true" borderId="8" applyBorder="true" applyNumberFormat="true" numFmtId="1" fillId="22" applyFill="true">
      <alignment horizontal="center" vertical="center"/>
    </xf>
    <xf fontId="16544" applyFont="true" borderId="8" applyBorder="true" applyNumberFormat="true" numFmtId="1" fillId="22" applyFill="true">
      <alignment horizontal="center" vertical="center"/>
    </xf>
    <xf fontId="16545" applyFont="true" borderId="8" applyBorder="true" applyNumberFormat="true" numFmtId="1" fillId="22" applyFill="true">
      <alignment horizontal="center" vertical="center"/>
    </xf>
    <xf fontId="16546" applyFont="true" borderId="8" applyBorder="true" applyNumberFormat="true" numFmtId="1" fillId="22" applyFill="true">
      <alignment horizontal="center" vertical="center"/>
    </xf>
    <xf fontId="16547" applyFont="true" borderId="8" applyBorder="true" applyNumberFormat="true" numFmtId="165" fillId="22" applyFill="true">
      <alignment horizontal="center" vertical="center"/>
    </xf>
    <xf fontId="16548" applyFont="true" borderId="8" applyBorder="true" applyNumberFormat="true" numFmtId="165" fillId="22" applyFill="true">
      <alignment horizontal="center" vertical="center"/>
    </xf>
    <xf fontId="16549" applyFont="true" borderId="8" applyBorder="true" applyNumberFormat="true" numFmtId="1" fillId="22" applyFill="true">
      <alignment horizontal="center" vertical="center"/>
    </xf>
    <xf fontId="16550" applyFont="true" borderId="8" applyBorder="true" applyNumberFormat="true" numFmtId="1" fillId="22" applyFill="true">
      <alignment horizontal="center" vertical="center"/>
    </xf>
    <xf fontId="16551" applyFont="true" borderId="8" applyBorder="true" applyNumberFormat="true" numFmtId="1" fillId="22" applyFill="true">
      <alignment horizontal="center" vertical="center"/>
    </xf>
    <xf fontId="16552" applyFont="true" borderId="8" applyBorder="true" applyNumberFormat="true" numFmtId="167" fillId="22" applyFill="true">
      <alignment horizontal="center" vertical="center"/>
    </xf>
    <xf fontId="16553" applyFont="true" borderId="8" applyBorder="true" applyNumberFormat="true" numFmtId="1" fillId="22" applyFill="true">
      <alignment horizontal="center" vertical="center"/>
    </xf>
    <xf fontId="16554" applyFont="true" borderId="8" applyBorder="true" applyNumberFormat="true" numFmtId="167" fillId="22" applyFill="true">
      <alignment horizontal="center" vertical="center"/>
    </xf>
    <xf fontId="16555" applyFont="true" borderId="8" applyBorder="true" applyNumberFormat="true" numFmtId="1" fillId="22" applyFill="true">
      <alignment horizontal="center" vertical="center"/>
    </xf>
    <xf fontId="16556" applyFont="true" borderId="8" applyBorder="true" applyNumberFormat="true" numFmtId="167" fillId="22" applyFill="true">
      <alignment horizontal="center" vertical="center"/>
    </xf>
    <xf fontId="16557" applyFont="true" borderId="8" applyBorder="true" applyNumberFormat="true" numFmtId="1" fillId="22" applyFill="true">
      <alignment horizontal="center" vertical="center"/>
    </xf>
    <xf fontId="16558" applyFont="true" borderId="8" applyBorder="true" applyNumberFormat="true" numFmtId="167" fillId="22" applyFill="true">
      <alignment horizontal="center" vertical="center"/>
    </xf>
    <xf fontId="16559" applyFont="true" borderId="8" applyBorder="true" applyNumberFormat="true" numFmtId="167" fillId="22" applyFill="true">
      <alignment horizontal="center" vertical="center"/>
    </xf>
    <xf fontId="16560" applyFont="true" borderId="8" applyBorder="true" applyNumberFormat="true" numFmtId="1" fillId="22" applyFill="true">
      <alignment horizontal="center" vertical="center"/>
    </xf>
    <xf fontId="16561" applyFont="true" borderId="8" applyBorder="true" applyNumberFormat="true" numFmtId="1" fillId="22" applyFill="true">
      <alignment horizontal="center" vertical="center"/>
    </xf>
    <xf fontId="16562" applyFont="true" borderId="8" applyBorder="true" applyNumberFormat="true" numFmtId="1" fillId="22" applyFill="true">
      <alignment horizontal="center" vertical="center"/>
    </xf>
    <xf fontId="16563" applyFont="true" borderId="8" applyBorder="true" applyNumberFormat="true" numFmtId="167" fillId="22" applyFill="true">
      <alignment horizontal="center" vertical="center"/>
    </xf>
    <xf fontId="16564" applyFont="true" borderId="8" applyBorder="true" applyNumberFormat="true" numFmtId="166" fillId="22" applyFill="true">
      <alignment horizontal="center" vertical="center"/>
    </xf>
    <xf fontId="16565" applyFont="true" borderId="8" applyBorder="true" applyNumberFormat="true" numFmtId="166" fillId="22" applyFill="true">
      <alignment horizontal="center" vertical="center"/>
    </xf>
    <xf fontId="16566" applyFont="true" borderId="8" applyBorder="true" applyNumberFormat="true" numFmtId="1" fillId="22" applyFill="true">
      <alignment horizontal="center" vertical="center"/>
    </xf>
    <xf fontId="16567" applyFont="true" borderId="8" applyBorder="true" applyNumberFormat="true" numFmtId="1" fillId="22" applyFill="true">
      <alignment horizontal="center" vertical="center"/>
    </xf>
    <xf fontId="16568" applyFont="true" borderId="8" applyBorder="true" applyNumberFormat="true" numFmtId="1" fillId="22" applyFill="true">
      <alignment horizontal="center" vertical="center"/>
    </xf>
    <xf fontId="16569" applyFont="true" borderId="8" applyBorder="true" applyNumberFormat="true" numFmtId="167" fillId="22" applyFill="true">
      <alignment horizontal="center" vertical="center"/>
    </xf>
    <xf fontId="16570" applyFont="true" borderId="8" applyBorder="true" applyNumberFormat="true" numFmtId="1" fillId="22" applyFill="true">
      <alignment horizontal="center" vertical="center"/>
    </xf>
    <xf fontId="16571" applyFont="true" borderId="8" applyBorder="true" applyNumberFormat="true" numFmtId="167" fillId="22" applyFill="true">
      <alignment horizontal="center" vertical="center"/>
    </xf>
    <xf fontId="16572" applyFont="true" borderId="8" applyBorder="true" applyNumberFormat="true" numFmtId="1" fillId="22" applyFill="true">
      <alignment horizontal="center" vertical="center"/>
    </xf>
    <xf fontId="16573" applyFont="true" borderId="8" applyBorder="true" applyNumberFormat="true" numFmtId="1" fillId="22" applyFill="true">
      <alignment horizontal="center" vertical="center"/>
    </xf>
    <xf fontId="16574" applyFont="true" borderId="8" applyBorder="true" applyNumberFormat="true" numFmtId="1" fillId="22" applyFill="true">
      <alignment horizontal="center" vertical="center"/>
    </xf>
    <xf fontId="16575" applyFont="true" borderId="8" applyBorder="true" applyNumberFormat="true" numFmtId="1" fillId="22" applyFill="true">
      <alignment horizontal="center" vertical="center"/>
    </xf>
    <xf fontId="16576" applyFont="true" borderId="8" applyBorder="true" applyNumberFormat="true" numFmtId="167" fillId="22" applyFill="true">
      <alignment horizontal="center" vertical="center"/>
    </xf>
    <xf fontId="16577" applyFont="true" borderId="8" applyBorder="true" applyNumberFormat="true" numFmtId="1" fillId="22" applyFill="true">
      <alignment horizontal="center" vertical="center"/>
    </xf>
    <xf fontId="16578" applyFont="true" borderId="8" applyBorder="true" applyNumberFormat="true" numFmtId="167" fillId="22" applyFill="true">
      <alignment horizontal="center" vertical="center"/>
    </xf>
    <xf fontId="16579" applyFont="true" borderId="8" applyBorder="true" applyNumberFormat="true" numFmtId="1" fillId="22" applyFill="true">
      <alignment horizontal="center" vertical="center"/>
    </xf>
    <xf fontId="16580" applyFont="true" borderId="8" applyBorder="true" applyNumberFormat="true" numFmtId="167" fillId="22" applyFill="true">
      <alignment horizontal="center" vertical="center"/>
    </xf>
    <xf fontId="16581" applyFont="true" borderId="8" applyBorder="true" applyNumberFormat="true" numFmtId="2" fillId="22" applyFill="true">
      <alignment horizontal="center" vertical="center"/>
    </xf>
    <xf fontId="16582" applyFont="true" borderId="8" applyBorder="true" applyNumberFormat="true" numFmtId="2" fillId="22" applyFill="true">
      <alignment horizontal="center" vertical="center"/>
    </xf>
    <xf fontId="16583" applyFont="true" borderId="8" applyBorder="true" applyNumberFormat="true" numFmtId="2" fillId="22" applyFill="true">
      <alignment horizontal="center" vertical="center"/>
    </xf>
    <xf fontId="16584" applyFont="true" borderId="8" applyBorder="true" applyNumberFormat="true" numFmtId="2" fillId="22" applyFill="true">
      <alignment horizontal="center" vertical="center"/>
    </xf>
    <xf fontId="16585" applyFont="true" borderId="8" applyBorder="true" applyNumberFormat="true" numFmtId="2" fillId="22" applyFill="true">
      <alignment horizontal="center" vertical="center"/>
    </xf>
    <xf fontId="16586" applyFont="true" borderId="8" applyBorder="true" applyNumberFormat="true" numFmtId="2" fillId="22" applyFill="true">
      <alignment horizontal="center" vertical="center"/>
    </xf>
    <xf fontId="16587" applyFont="true" borderId="8" applyBorder="true" applyNumberFormat="true" numFmtId="2" fillId="22" applyFill="true">
      <alignment horizontal="center" vertical="center"/>
    </xf>
    <xf fontId="16588" applyFont="true" borderId="8" applyBorder="true" applyNumberFormat="true" numFmtId="2" fillId="22" applyFill="true">
      <alignment horizontal="center" vertical="center"/>
    </xf>
    <xf fontId="16589" applyFont="true" borderId="8" applyBorder="true" applyNumberFormat="true" numFmtId="2" fillId="22" applyFill="true">
      <alignment horizontal="center" vertical="center"/>
    </xf>
    <xf fontId="16590" applyFont="true" borderId="8" applyBorder="true" applyNumberFormat="true" numFmtId="2" fillId="22" applyFill="true">
      <alignment horizontal="center" vertical="center"/>
    </xf>
    <xf fontId="16591" applyFont="true" borderId="8" applyBorder="true" applyNumberFormat="true" numFmtId="2" fillId="22" applyFill="true">
      <alignment horizontal="center" vertical="center"/>
    </xf>
    <xf fontId="16592" applyFont="true" borderId="8" applyBorder="true" applyNumberFormat="true" numFmtId="2" fillId="22" applyFill="true">
      <alignment horizontal="center" vertical="center"/>
    </xf>
    <xf fontId="16593" applyFont="true" borderId="8" applyBorder="true" applyNumberFormat="true" numFmtId="2" fillId="22" applyFill="true">
      <alignment horizontal="center" vertical="center"/>
    </xf>
    <xf fontId="16594" applyFont="true" borderId="8" applyBorder="true" applyNumberFormat="true" numFmtId="2" fillId="22" applyFill="true">
      <alignment horizontal="center" vertical="center"/>
    </xf>
    <xf fontId="16595" applyFont="true" borderId="8" applyBorder="true" applyNumberFormat="true" numFmtId="2" fillId="22" applyFill="true">
      <alignment horizontal="center" vertical="center"/>
    </xf>
    <xf fontId="16596" applyFont="true" borderId="8" applyBorder="true" applyNumberFormat="true" numFmtId="2" fillId="22" applyFill="true">
      <alignment horizontal="center" vertical="center"/>
    </xf>
    <xf fontId="16597" applyFont="true" borderId="8" applyBorder="true" applyNumberFormat="true" numFmtId="2" fillId="22" applyFill="true">
      <alignment horizontal="center" vertical="center"/>
    </xf>
    <xf fontId="16598" applyFont="true" borderId="8" applyBorder="true" applyNumberFormat="true" numFmtId="2" fillId="22" applyFill="true">
      <alignment horizontal="center" vertical="center"/>
    </xf>
    <xf fontId="16599" applyFont="true" borderId="8" applyBorder="true" applyNumberFormat="true" numFmtId="2" fillId="22" applyFill="true">
      <alignment horizontal="center" vertical="center"/>
    </xf>
    <xf fontId="16600" applyFont="true" borderId="8" applyBorder="true" applyNumberFormat="true" numFmtId="2" fillId="22" applyFill="true">
      <alignment horizontal="center" vertical="center"/>
    </xf>
    <xf fontId="16601" applyFont="true" borderId="8" applyBorder="true" applyNumberFormat="true" numFmtId="2" fillId="22" applyFill="true">
      <alignment horizontal="center" vertical="center"/>
    </xf>
    <xf fontId="16602" applyFont="true" borderId="8" applyBorder="true" applyNumberFormat="true" numFmtId="2" fillId="22" applyFill="true">
      <alignment horizontal="center" vertical="center"/>
    </xf>
    <xf fontId="16603" applyFont="true" borderId="8" applyBorder="true" applyNumberFormat="true" numFmtId="2" fillId="22" applyFill="true">
      <alignment horizontal="center" vertical="center"/>
    </xf>
    <xf fontId="16604" applyFont="true" borderId="8" applyBorder="true" applyNumberFormat="true" numFmtId="2" fillId="22" applyFill="true">
      <alignment horizontal="center" vertical="center"/>
    </xf>
    <xf fontId="16605" applyFont="true" borderId="8" applyBorder="true" applyNumberFormat="true" numFmtId="2" fillId="22" applyFill="true">
      <alignment horizontal="center" vertical="center"/>
    </xf>
    <xf fontId="16606" applyFont="true" borderId="8" applyBorder="true" applyNumberFormat="true" numFmtId="2" fillId="22" applyFill="true">
      <alignment horizontal="center" vertical="center"/>
    </xf>
    <xf fontId="16607" applyFont="true" borderId="8" applyBorder="true" applyNumberFormat="true" numFmtId="2" fillId="22" applyFill="true">
      <alignment horizontal="center" vertical="center"/>
    </xf>
    <xf fontId="16608" applyFont="true" borderId="8" applyBorder="true" applyNumberFormat="true" numFmtId="2" fillId="22" applyFill="true">
      <alignment horizontal="center" vertical="center"/>
    </xf>
    <xf fontId="16609" applyFont="true" borderId="8" applyBorder="true" applyNumberFormat="true" numFmtId="2" fillId="22" applyFill="true">
      <alignment horizontal="center" vertical="center"/>
    </xf>
    <xf fontId="16610" applyFont="true" borderId="8" applyBorder="true" applyNumberFormat="true" numFmtId="2" fillId="22" applyFill="true">
      <alignment horizontal="center" vertical="center"/>
    </xf>
    <xf fontId="16611" applyFont="true" borderId="8" applyBorder="true" applyNumberFormat="true" numFmtId="2" fillId="22" applyFill="true">
      <alignment horizontal="center" vertical="center"/>
    </xf>
    <xf fontId="16612" applyFont="true" borderId="8" applyBorder="true" applyNumberFormat="true" numFmtId="2" fillId="22" applyFill="true">
      <alignment horizontal="center" vertical="center"/>
    </xf>
    <xf fontId="16613" applyFont="true" borderId="8" applyBorder="true" applyNumberFormat="true" numFmtId="2" fillId="22" applyFill="true">
      <alignment horizontal="center" vertical="center"/>
    </xf>
    <xf fontId="16614" applyFont="true" borderId="8" applyBorder="true" applyNumberFormat="true" numFmtId="2" fillId="22" applyFill="true">
      <alignment horizontal="center" vertical="center"/>
    </xf>
    <xf fontId="16615" applyFont="true" borderId="8" applyBorder="true" applyNumberFormat="true" numFmtId="165" fillId="19" applyFill="true">
      <alignment horizontal="left" vertical="center"/>
    </xf>
    <xf fontId="16616" applyFont="true" borderId="8" applyBorder="true" applyNumberFormat="true" numFmtId="165" fillId="22" applyFill="true">
      <alignment horizontal="center" vertical="center"/>
    </xf>
    <xf fontId="16617" applyFont="true" borderId="8" applyBorder="true" applyNumberFormat="true" numFmtId="166" fillId="22" applyFill="true">
      <alignment horizontal="center" vertical="center"/>
    </xf>
    <xf fontId="16618" applyFont="true" borderId="8" applyBorder="true" applyNumberFormat="true" numFmtId="1" fillId="22" applyFill="true">
      <alignment horizontal="center" vertical="center"/>
    </xf>
    <xf fontId="16619" applyFont="true" borderId="8" applyBorder="true" applyNumberFormat="true" numFmtId="1" fillId="22" applyFill="true">
      <alignment horizontal="center" vertical="center"/>
    </xf>
    <xf fontId="16620" applyFont="true" borderId="8" applyBorder="true" applyNumberFormat="true" numFmtId="1" fillId="22" applyFill="true">
      <alignment horizontal="center" vertical="center"/>
    </xf>
    <xf fontId="16621" applyFont="true" borderId="8" applyBorder="true" applyNumberFormat="true" numFmtId="1" fillId="22" applyFill="true">
      <alignment horizontal="center" vertical="center"/>
    </xf>
    <xf fontId="16622" applyFont="true" borderId="8" applyBorder="true" applyNumberFormat="true" numFmtId="1" fillId="22" applyFill="true">
      <alignment horizontal="center" vertical="center"/>
    </xf>
    <xf fontId="16623" applyFont="true" borderId="8" applyBorder="true" applyNumberFormat="true" numFmtId="1" fillId="22" applyFill="true">
      <alignment horizontal="center" vertical="center"/>
    </xf>
    <xf fontId="16624" applyFont="true" borderId="8" applyBorder="true" applyNumberFormat="true" numFmtId="1" fillId="22" applyFill="true">
      <alignment horizontal="center" vertical="center"/>
    </xf>
    <xf fontId="16625" applyFont="true" borderId="8" applyBorder="true" applyNumberFormat="true" numFmtId="165" fillId="22" applyFill="true">
      <alignment horizontal="center" vertical="center"/>
    </xf>
    <xf fontId="16626" applyFont="true" borderId="8" applyBorder="true" applyNumberFormat="true" numFmtId="165" fillId="22" applyFill="true">
      <alignment horizontal="center" vertical="center"/>
    </xf>
    <xf fontId="16627" applyFont="true" borderId="8" applyBorder="true" applyNumberFormat="true" numFmtId="1" fillId="22" applyFill="true">
      <alignment horizontal="center" vertical="center"/>
    </xf>
    <xf fontId="16628" applyFont="true" borderId="8" applyBorder="true" applyNumberFormat="true" numFmtId="1" fillId="22" applyFill="true">
      <alignment horizontal="center" vertical="center"/>
    </xf>
    <xf fontId="16629" applyFont="true" borderId="8" applyBorder="true" applyNumberFormat="true" numFmtId="1" fillId="22" applyFill="true">
      <alignment horizontal="center" vertical="center"/>
    </xf>
    <xf fontId="16630" applyFont="true" borderId="8" applyBorder="true" applyNumberFormat="true" numFmtId="167" fillId="22" applyFill="true">
      <alignment horizontal="center" vertical="center"/>
    </xf>
    <xf fontId="16631" applyFont="true" borderId="8" applyBorder="true" applyNumberFormat="true" numFmtId="1" fillId="22" applyFill="true">
      <alignment horizontal="center" vertical="center"/>
    </xf>
    <xf fontId="16632" applyFont="true" borderId="8" applyBorder="true" applyNumberFormat="true" numFmtId="167" fillId="22" applyFill="true">
      <alignment horizontal="center" vertical="center"/>
    </xf>
    <xf fontId="16633" applyFont="true" borderId="8" applyBorder="true" applyNumberFormat="true" numFmtId="1" fillId="22" applyFill="true">
      <alignment horizontal="center" vertical="center"/>
    </xf>
    <xf fontId="16634" applyFont="true" borderId="8" applyBorder="true" applyNumberFormat="true" numFmtId="167" fillId="22" applyFill="true">
      <alignment horizontal="center" vertical="center"/>
    </xf>
    <xf fontId="16635" applyFont="true" borderId="8" applyBorder="true" applyNumberFormat="true" numFmtId="1" fillId="22" applyFill="true">
      <alignment horizontal="center" vertical="center"/>
    </xf>
    <xf fontId="16636" applyFont="true" borderId="8" applyBorder="true" applyNumberFormat="true" numFmtId="167" fillId="22" applyFill="true">
      <alignment horizontal="center" vertical="center"/>
    </xf>
    <xf fontId="16637" applyFont="true" borderId="8" applyBorder="true" applyNumberFormat="true" numFmtId="167" fillId="22" applyFill="true">
      <alignment horizontal="center" vertical="center"/>
    </xf>
    <xf fontId="16638" applyFont="true" borderId="8" applyBorder="true" applyNumberFormat="true" numFmtId="1" fillId="22" applyFill="true">
      <alignment horizontal="center" vertical="center"/>
    </xf>
    <xf fontId="16639" applyFont="true" borderId="8" applyBorder="true" applyNumberFormat="true" numFmtId="1" fillId="22" applyFill="true">
      <alignment horizontal="center" vertical="center"/>
    </xf>
    <xf fontId="16640" applyFont="true" borderId="8" applyBorder="true" applyNumberFormat="true" numFmtId="1" fillId="22" applyFill="true">
      <alignment horizontal="center" vertical="center"/>
    </xf>
    <xf fontId="16641" applyFont="true" borderId="8" applyBorder="true" applyNumberFormat="true" numFmtId="167" fillId="22" applyFill="true">
      <alignment horizontal="center" vertical="center"/>
    </xf>
    <xf fontId="16642" applyFont="true" borderId="8" applyBorder="true" applyNumberFormat="true" numFmtId="166" fillId="22" applyFill="true">
      <alignment horizontal="center" vertical="center"/>
    </xf>
    <xf fontId="16643" applyFont="true" borderId="8" applyBorder="true" applyNumberFormat="true" numFmtId="166" fillId="22" applyFill="true">
      <alignment horizontal="center" vertical="center"/>
    </xf>
    <xf fontId="16644" applyFont="true" borderId="8" applyBorder="true" applyNumberFormat="true" numFmtId="1" fillId="22" applyFill="true">
      <alignment horizontal="center" vertical="center"/>
    </xf>
    <xf fontId="16645" applyFont="true" borderId="8" applyBorder="true" applyNumberFormat="true" numFmtId="1" fillId="22" applyFill="true">
      <alignment horizontal="center" vertical="center"/>
    </xf>
    <xf fontId="16646" applyFont="true" borderId="8" applyBorder="true" applyNumberFormat="true" numFmtId="1" fillId="22" applyFill="true">
      <alignment horizontal="center" vertical="center"/>
    </xf>
    <xf fontId="16647" applyFont="true" borderId="8" applyBorder="true" applyNumberFormat="true" numFmtId="167" fillId="22" applyFill="true">
      <alignment horizontal="center" vertical="center"/>
    </xf>
    <xf fontId="16648" applyFont="true" borderId="8" applyBorder="true" applyNumberFormat="true" numFmtId="1" fillId="22" applyFill="true">
      <alignment horizontal="center" vertical="center"/>
    </xf>
    <xf fontId="16649" applyFont="true" borderId="8" applyBorder="true" applyNumberFormat="true" numFmtId="167" fillId="22" applyFill="true">
      <alignment horizontal="center" vertical="center"/>
    </xf>
    <xf fontId="16650" applyFont="true" borderId="8" applyBorder="true" applyNumberFormat="true" numFmtId="1" fillId="22" applyFill="true">
      <alignment horizontal="center" vertical="center"/>
    </xf>
    <xf fontId="16651" applyFont="true" borderId="8" applyBorder="true" applyNumberFormat="true" numFmtId="1" fillId="22" applyFill="true">
      <alignment horizontal="center" vertical="center"/>
    </xf>
    <xf fontId="16652" applyFont="true" borderId="8" applyBorder="true" applyNumberFormat="true" numFmtId="1" fillId="22" applyFill="true">
      <alignment horizontal="center" vertical="center"/>
    </xf>
    <xf fontId="16653" applyFont="true" borderId="8" applyBorder="true" applyNumberFormat="true" numFmtId="1" fillId="22" applyFill="true">
      <alignment horizontal="center" vertical="center"/>
    </xf>
    <xf fontId="16654" applyFont="true" borderId="8" applyBorder="true" applyNumberFormat="true" numFmtId="167" fillId="22" applyFill="true">
      <alignment horizontal="center" vertical="center"/>
    </xf>
    <xf fontId="16655" applyFont="true" borderId="8" applyBorder="true" applyNumberFormat="true" numFmtId="1" fillId="22" applyFill="true">
      <alignment horizontal="center" vertical="center"/>
    </xf>
    <xf fontId="16656" applyFont="true" borderId="8" applyBorder="true" applyNumberFormat="true" numFmtId="167" fillId="22" applyFill="true">
      <alignment horizontal="center" vertical="center"/>
    </xf>
    <xf fontId="16657" applyFont="true" borderId="8" applyBorder="true" applyNumberFormat="true" numFmtId="1" fillId="22" applyFill="true">
      <alignment horizontal="center" vertical="center"/>
    </xf>
    <xf fontId="16658" applyFont="true" borderId="8" applyBorder="true" applyNumberFormat="true" numFmtId="167" fillId="22" applyFill="true">
      <alignment horizontal="center" vertical="center"/>
    </xf>
    <xf fontId="16659" applyFont="true" borderId="8" applyBorder="true" applyNumberFormat="true" numFmtId="2" fillId="22" applyFill="true">
      <alignment horizontal="center" vertical="center"/>
    </xf>
    <xf fontId="16660" applyFont="true" borderId="8" applyBorder="true" applyNumberFormat="true" numFmtId="2" fillId="22" applyFill="true">
      <alignment horizontal="center" vertical="center"/>
    </xf>
    <xf fontId="16661" applyFont="true" borderId="8" applyBorder="true" applyNumberFormat="true" numFmtId="2" fillId="22" applyFill="true">
      <alignment horizontal="center" vertical="center"/>
    </xf>
    <xf fontId="16662" applyFont="true" borderId="8" applyBorder="true" applyNumberFormat="true" numFmtId="2" fillId="22" applyFill="true">
      <alignment horizontal="center" vertical="center"/>
    </xf>
    <xf fontId="16663" applyFont="true" borderId="8" applyBorder="true" applyNumberFormat="true" numFmtId="2" fillId="22" applyFill="true">
      <alignment horizontal="center" vertical="center"/>
    </xf>
    <xf fontId="16664" applyFont="true" borderId="8" applyBorder="true" applyNumberFormat="true" numFmtId="2" fillId="22" applyFill="true">
      <alignment horizontal="center" vertical="center"/>
    </xf>
    <xf fontId="16665" applyFont="true" borderId="8" applyBorder="true" applyNumberFormat="true" numFmtId="2" fillId="22" applyFill="true">
      <alignment horizontal="center" vertical="center"/>
    </xf>
    <xf fontId="16666" applyFont="true" borderId="8" applyBorder="true" applyNumberFormat="true" numFmtId="2" fillId="22" applyFill="true">
      <alignment horizontal="center" vertical="center"/>
    </xf>
    <xf fontId="16667" applyFont="true" borderId="8" applyBorder="true" applyNumberFormat="true" numFmtId="2" fillId="22" applyFill="true">
      <alignment horizontal="center" vertical="center"/>
    </xf>
    <xf fontId="16668" applyFont="true" borderId="8" applyBorder="true" applyNumberFormat="true" numFmtId="2" fillId="22" applyFill="true">
      <alignment horizontal="center" vertical="center"/>
    </xf>
    <xf fontId="16669" applyFont="true" borderId="8" applyBorder="true" applyNumberFormat="true" numFmtId="2" fillId="22" applyFill="true">
      <alignment horizontal="center" vertical="center"/>
    </xf>
    <xf fontId="16670" applyFont="true" borderId="8" applyBorder="true" applyNumberFormat="true" numFmtId="2" fillId="22" applyFill="true">
      <alignment horizontal="center" vertical="center"/>
    </xf>
    <xf fontId="16671" applyFont="true" borderId="8" applyBorder="true" applyNumberFormat="true" numFmtId="2" fillId="22" applyFill="true">
      <alignment horizontal="center" vertical="center"/>
    </xf>
    <xf fontId="16672" applyFont="true" borderId="8" applyBorder="true" applyNumberFormat="true" numFmtId="2" fillId="22" applyFill="true">
      <alignment horizontal="center" vertical="center"/>
    </xf>
    <xf fontId="16673" applyFont="true" borderId="8" applyBorder="true" applyNumberFormat="true" numFmtId="2" fillId="22" applyFill="true">
      <alignment horizontal="center" vertical="center"/>
    </xf>
    <xf fontId="16674" applyFont="true" borderId="8" applyBorder="true" applyNumberFormat="true" numFmtId="2" fillId="22" applyFill="true">
      <alignment horizontal="center" vertical="center"/>
    </xf>
    <xf fontId="16675" applyFont="true" borderId="8" applyBorder="true" applyNumberFormat="true" numFmtId="2" fillId="22" applyFill="true">
      <alignment horizontal="center" vertical="center"/>
    </xf>
    <xf fontId="16676" applyFont="true" borderId="8" applyBorder="true" applyNumberFormat="true" numFmtId="2" fillId="22" applyFill="true">
      <alignment horizontal="center" vertical="center"/>
    </xf>
    <xf fontId="16677" applyFont="true" borderId="8" applyBorder="true" applyNumberFormat="true" numFmtId="2" fillId="22" applyFill="true">
      <alignment horizontal="center" vertical="center"/>
    </xf>
    <xf fontId="16678" applyFont="true" borderId="8" applyBorder="true" applyNumberFormat="true" numFmtId="2" fillId="22" applyFill="true">
      <alignment horizontal="center" vertical="center"/>
    </xf>
    <xf fontId="16679" applyFont="true" borderId="8" applyBorder="true" applyNumberFormat="true" numFmtId="2" fillId="22" applyFill="true">
      <alignment horizontal="center" vertical="center"/>
    </xf>
    <xf fontId="16680" applyFont="true" borderId="8" applyBorder="true" applyNumberFormat="true" numFmtId="2" fillId="22" applyFill="true">
      <alignment horizontal="center" vertical="center"/>
    </xf>
    <xf fontId="16681" applyFont="true" borderId="8" applyBorder="true" applyNumberFormat="true" numFmtId="2" fillId="22" applyFill="true">
      <alignment horizontal="center" vertical="center"/>
    </xf>
    <xf fontId="16682" applyFont="true" borderId="8" applyBorder="true" applyNumberFormat="true" numFmtId="2" fillId="22" applyFill="true">
      <alignment horizontal="center" vertical="center"/>
    </xf>
    <xf fontId="16683" applyFont="true" borderId="8" applyBorder="true" applyNumberFormat="true" numFmtId="2" fillId="22" applyFill="true">
      <alignment horizontal="center" vertical="center"/>
    </xf>
    <xf fontId="16684" applyFont="true" borderId="8" applyBorder="true" applyNumberFormat="true" numFmtId="2" fillId="22" applyFill="true">
      <alignment horizontal="center" vertical="center"/>
    </xf>
    <xf fontId="16685" applyFont="true" borderId="8" applyBorder="true" applyNumberFormat="true" numFmtId="2" fillId="22" applyFill="true">
      <alignment horizontal="center" vertical="center"/>
    </xf>
    <xf fontId="16686" applyFont="true" borderId="8" applyBorder="true" applyNumberFormat="true" numFmtId="2" fillId="22" applyFill="true">
      <alignment horizontal="center" vertical="center"/>
    </xf>
    <xf fontId="16687" applyFont="true" borderId="8" applyBorder="true" applyNumberFormat="true" numFmtId="2" fillId="22" applyFill="true">
      <alignment horizontal="center" vertical="center"/>
    </xf>
    <xf fontId="16688" applyFont="true" borderId="8" applyBorder="true" applyNumberFormat="true" numFmtId="2" fillId="22" applyFill="true">
      <alignment horizontal="center" vertical="center"/>
    </xf>
    <xf fontId="16689" applyFont="true" borderId="8" applyBorder="true" applyNumberFormat="true" numFmtId="2" fillId="22" applyFill="true">
      <alignment horizontal="center" vertical="center"/>
    </xf>
    <xf fontId="16690" applyFont="true" borderId="8" applyBorder="true" applyNumberFormat="true" numFmtId="2" fillId="22" applyFill="true">
      <alignment horizontal="center" vertical="center"/>
    </xf>
    <xf fontId="16691" applyFont="true" borderId="8" applyBorder="true" applyNumberFormat="true" numFmtId="2" fillId="22" applyFill="true">
      <alignment horizontal="center" vertical="center"/>
    </xf>
    <xf fontId="16692" applyFont="true" borderId="8" applyBorder="true" applyNumberFormat="true" numFmtId="2" fillId="22" applyFill="true">
      <alignment horizontal="center" vertical="center"/>
    </xf>
    <xf fontId="16693" applyFont="true" borderId="8" applyBorder="true" applyNumberFormat="true" numFmtId="165" fillId="19" applyFill="true">
      <alignment horizontal="left" vertical="center"/>
    </xf>
    <xf fontId="16694" applyFont="true" borderId="8" applyBorder="true" applyNumberFormat="true" numFmtId="165" fillId="22" applyFill="true">
      <alignment horizontal="center" vertical="center"/>
    </xf>
    <xf fontId="16695" applyFont="true" borderId="8" applyBorder="true" applyNumberFormat="true" numFmtId="166" fillId="22" applyFill="true">
      <alignment horizontal="center" vertical="center"/>
    </xf>
    <xf fontId="16696" applyFont="true" borderId="8" applyBorder="true" applyNumberFormat="true" numFmtId="1" fillId="22" applyFill="true">
      <alignment horizontal="center" vertical="center"/>
    </xf>
    <xf fontId="16697" applyFont="true" borderId="8" applyBorder="true" applyNumberFormat="true" numFmtId="1" fillId="22" applyFill="true">
      <alignment horizontal="center" vertical="center"/>
    </xf>
    <xf fontId="16698" applyFont="true" borderId="8" applyBorder="true" applyNumberFormat="true" numFmtId="1" fillId="22" applyFill="true">
      <alignment horizontal="center" vertical="center"/>
    </xf>
    <xf fontId="16699" applyFont="true" borderId="8" applyBorder="true" applyNumberFormat="true" numFmtId="1" fillId="22" applyFill="true">
      <alignment horizontal="center" vertical="center"/>
    </xf>
    <xf fontId="16700" applyFont="true" borderId="8" applyBorder="true" applyNumberFormat="true" numFmtId="1" fillId="22" applyFill="true">
      <alignment horizontal="center" vertical="center"/>
    </xf>
    <xf fontId="16701" applyFont="true" borderId="8" applyBorder="true" applyNumberFormat="true" numFmtId="1" fillId="22" applyFill="true">
      <alignment horizontal="center" vertical="center"/>
    </xf>
    <xf fontId="16702" applyFont="true" borderId="8" applyBorder="true" applyNumberFormat="true" numFmtId="1" fillId="22" applyFill="true">
      <alignment horizontal="center" vertical="center"/>
    </xf>
    <xf fontId="16703" applyFont="true" borderId="8" applyBorder="true" applyNumberFormat="true" numFmtId="165" fillId="22" applyFill="true">
      <alignment horizontal="center" vertical="center"/>
    </xf>
    <xf fontId="16704" applyFont="true" borderId="8" applyBorder="true" applyNumberFormat="true" numFmtId="165" fillId="22" applyFill="true">
      <alignment horizontal="center" vertical="center"/>
    </xf>
    <xf fontId="16705" applyFont="true" borderId="8" applyBorder="true" applyNumberFormat="true" numFmtId="1" fillId="22" applyFill="true">
      <alignment horizontal="center" vertical="center"/>
    </xf>
    <xf fontId="16706" applyFont="true" borderId="8" applyBorder="true" applyNumberFormat="true" numFmtId="1" fillId="22" applyFill="true">
      <alignment horizontal="center" vertical="center"/>
    </xf>
    <xf fontId="16707" applyFont="true" borderId="8" applyBorder="true" applyNumberFormat="true" numFmtId="1" fillId="22" applyFill="true">
      <alignment horizontal="center" vertical="center"/>
    </xf>
    <xf fontId="16708" applyFont="true" borderId="8" applyBorder="true" applyNumberFormat="true" numFmtId="167" fillId="22" applyFill="true">
      <alignment horizontal="center" vertical="center"/>
    </xf>
    <xf fontId="16709" applyFont="true" borderId="8" applyBorder="true" applyNumberFormat="true" numFmtId="1" fillId="22" applyFill="true">
      <alignment horizontal="center" vertical="center"/>
    </xf>
    <xf fontId="16710" applyFont="true" borderId="8" applyBorder="true" applyNumberFormat="true" numFmtId="167" fillId="22" applyFill="true">
      <alignment horizontal="center" vertical="center"/>
    </xf>
    <xf fontId="16711" applyFont="true" borderId="8" applyBorder="true" applyNumberFormat="true" numFmtId="1" fillId="22" applyFill="true">
      <alignment horizontal="center" vertical="center"/>
    </xf>
    <xf fontId="16712" applyFont="true" borderId="8" applyBorder="true" applyNumberFormat="true" numFmtId="167" fillId="22" applyFill="true">
      <alignment horizontal="center" vertical="center"/>
    </xf>
    <xf fontId="16713" applyFont="true" borderId="8" applyBorder="true" applyNumberFormat="true" numFmtId="1" fillId="22" applyFill="true">
      <alignment horizontal="center" vertical="center"/>
    </xf>
    <xf fontId="16714" applyFont="true" borderId="8" applyBorder="true" applyNumberFormat="true" numFmtId="167" fillId="22" applyFill="true">
      <alignment horizontal="center" vertical="center"/>
    </xf>
    <xf fontId="16715" applyFont="true" borderId="8" applyBorder="true" applyNumberFormat="true" numFmtId="167" fillId="22" applyFill="true">
      <alignment horizontal="center" vertical="center"/>
    </xf>
    <xf fontId="16716" applyFont="true" borderId="8" applyBorder="true" applyNumberFormat="true" numFmtId="1" fillId="22" applyFill="true">
      <alignment horizontal="center" vertical="center"/>
    </xf>
    <xf fontId="16717" applyFont="true" borderId="8" applyBorder="true" applyNumberFormat="true" numFmtId="1" fillId="22" applyFill="true">
      <alignment horizontal="center" vertical="center"/>
    </xf>
    <xf fontId="16718" applyFont="true" borderId="8" applyBorder="true" applyNumberFormat="true" numFmtId="1" fillId="22" applyFill="true">
      <alignment horizontal="center" vertical="center"/>
    </xf>
    <xf fontId="16719" applyFont="true" borderId="8" applyBorder="true" applyNumberFormat="true" numFmtId="167" fillId="22" applyFill="true">
      <alignment horizontal="center" vertical="center"/>
    </xf>
    <xf fontId="16720" applyFont="true" borderId="8" applyBorder="true" applyNumberFormat="true" numFmtId="166" fillId="22" applyFill="true">
      <alignment horizontal="center" vertical="center"/>
    </xf>
    <xf fontId="16721" applyFont="true" borderId="8" applyBorder="true" applyNumberFormat="true" numFmtId="166" fillId="22" applyFill="true">
      <alignment horizontal="center" vertical="center"/>
    </xf>
    <xf fontId="16722" applyFont="true" borderId="8" applyBorder="true" applyNumberFormat="true" numFmtId="1" fillId="22" applyFill="true">
      <alignment horizontal="center" vertical="center"/>
    </xf>
    <xf fontId="16723" applyFont="true" borderId="8" applyBorder="true" applyNumberFormat="true" numFmtId="1" fillId="22" applyFill="true">
      <alignment horizontal="center" vertical="center"/>
    </xf>
    <xf fontId="16724" applyFont="true" borderId="8" applyBorder="true" applyNumberFormat="true" numFmtId="1" fillId="22" applyFill="true">
      <alignment horizontal="center" vertical="center"/>
    </xf>
    <xf fontId="16725" applyFont="true" borderId="8" applyBorder="true" applyNumberFormat="true" numFmtId="167" fillId="22" applyFill="true">
      <alignment horizontal="center" vertical="center"/>
    </xf>
    <xf fontId="16726" applyFont="true" borderId="8" applyBorder="true" applyNumberFormat="true" numFmtId="1" fillId="22" applyFill="true">
      <alignment horizontal="center" vertical="center"/>
    </xf>
    <xf fontId="16727" applyFont="true" borderId="8" applyBorder="true" applyNumberFormat="true" numFmtId="167" fillId="22" applyFill="true">
      <alignment horizontal="center" vertical="center"/>
    </xf>
    <xf fontId="16728" applyFont="true" borderId="8" applyBorder="true" applyNumberFormat="true" numFmtId="1" fillId="22" applyFill="true">
      <alignment horizontal="center" vertical="center"/>
    </xf>
    <xf fontId="16729" applyFont="true" borderId="8" applyBorder="true" applyNumberFormat="true" numFmtId="1" fillId="22" applyFill="true">
      <alignment horizontal="center" vertical="center"/>
    </xf>
    <xf fontId="16730" applyFont="true" borderId="8" applyBorder="true" applyNumberFormat="true" numFmtId="1" fillId="22" applyFill="true">
      <alignment horizontal="center" vertical="center"/>
    </xf>
    <xf fontId="16731" applyFont="true" borderId="8" applyBorder="true" applyNumberFormat="true" numFmtId="1" fillId="22" applyFill="true">
      <alignment horizontal="center" vertical="center"/>
    </xf>
    <xf fontId="16732" applyFont="true" borderId="8" applyBorder="true" applyNumberFormat="true" numFmtId="167" fillId="22" applyFill="true">
      <alignment horizontal="center" vertical="center"/>
    </xf>
    <xf fontId="16733" applyFont="true" borderId="8" applyBorder="true" applyNumberFormat="true" numFmtId="1" fillId="22" applyFill="true">
      <alignment horizontal="center" vertical="center"/>
    </xf>
    <xf fontId="16734" applyFont="true" borderId="8" applyBorder="true" applyNumberFormat="true" numFmtId="167" fillId="22" applyFill="true">
      <alignment horizontal="center" vertical="center"/>
    </xf>
    <xf fontId="16735" applyFont="true" borderId="8" applyBorder="true" applyNumberFormat="true" numFmtId="1" fillId="22" applyFill="true">
      <alignment horizontal="center" vertical="center"/>
    </xf>
    <xf fontId="16736" applyFont="true" borderId="8" applyBorder="true" applyNumberFormat="true" numFmtId="167" fillId="22" applyFill="true">
      <alignment horizontal="center" vertical="center"/>
    </xf>
    <xf fontId="16737" applyFont="true" borderId="8" applyBorder="true" applyNumberFormat="true" numFmtId="2" fillId="22" applyFill="true">
      <alignment horizontal="center" vertical="center"/>
    </xf>
    <xf fontId="16738" applyFont="true" borderId="8" applyBorder="true" applyNumberFormat="true" numFmtId="2" fillId="22" applyFill="true">
      <alignment horizontal="center" vertical="center"/>
    </xf>
    <xf fontId="16739" applyFont="true" borderId="8" applyBorder="true" applyNumberFormat="true" numFmtId="2" fillId="22" applyFill="true">
      <alignment horizontal="center" vertical="center"/>
    </xf>
    <xf fontId="16740" applyFont="true" borderId="8" applyBorder="true" applyNumberFormat="true" numFmtId="2" fillId="22" applyFill="true">
      <alignment horizontal="center" vertical="center"/>
    </xf>
    <xf fontId="16741" applyFont="true" borderId="8" applyBorder="true" applyNumberFormat="true" numFmtId="2" fillId="22" applyFill="true">
      <alignment horizontal="center" vertical="center"/>
    </xf>
    <xf fontId="16742" applyFont="true" borderId="8" applyBorder="true" applyNumberFormat="true" numFmtId="2" fillId="22" applyFill="true">
      <alignment horizontal="center" vertical="center"/>
    </xf>
    <xf fontId="16743" applyFont="true" borderId="8" applyBorder="true" applyNumberFormat="true" numFmtId="2" fillId="22" applyFill="true">
      <alignment horizontal="center" vertical="center"/>
    </xf>
    <xf fontId="16744" applyFont="true" borderId="8" applyBorder="true" applyNumberFormat="true" numFmtId="2" fillId="22" applyFill="true">
      <alignment horizontal="center" vertical="center"/>
    </xf>
    <xf fontId="16745" applyFont="true" borderId="8" applyBorder="true" applyNumberFormat="true" numFmtId="2" fillId="22" applyFill="true">
      <alignment horizontal="center" vertical="center"/>
    </xf>
    <xf fontId="16746" applyFont="true" borderId="8" applyBorder="true" applyNumberFormat="true" numFmtId="2" fillId="22" applyFill="true">
      <alignment horizontal="center" vertical="center"/>
    </xf>
    <xf fontId="16747" applyFont="true" borderId="8" applyBorder="true" applyNumberFormat="true" numFmtId="2" fillId="22" applyFill="true">
      <alignment horizontal="center" vertical="center"/>
    </xf>
    <xf fontId="16748" applyFont="true" borderId="8" applyBorder="true" applyNumberFormat="true" numFmtId="2" fillId="22" applyFill="true">
      <alignment horizontal="center" vertical="center"/>
    </xf>
    <xf fontId="16749" applyFont="true" borderId="8" applyBorder="true" applyNumberFormat="true" numFmtId="2" fillId="22" applyFill="true">
      <alignment horizontal="center" vertical="center"/>
    </xf>
    <xf fontId="16750" applyFont="true" borderId="8" applyBorder="true" applyNumberFormat="true" numFmtId="2" fillId="22" applyFill="true">
      <alignment horizontal="center" vertical="center"/>
    </xf>
    <xf fontId="16751" applyFont="true" borderId="8" applyBorder="true" applyNumberFormat="true" numFmtId="2" fillId="22" applyFill="true">
      <alignment horizontal="center" vertical="center"/>
    </xf>
    <xf fontId="16752" applyFont="true" borderId="8" applyBorder="true" applyNumberFormat="true" numFmtId="2" fillId="22" applyFill="true">
      <alignment horizontal="center" vertical="center"/>
    </xf>
    <xf fontId="16753" applyFont="true" borderId="8" applyBorder="true" applyNumberFormat="true" numFmtId="2" fillId="22" applyFill="true">
      <alignment horizontal="center" vertical="center"/>
    </xf>
    <xf fontId="16754" applyFont="true" borderId="8" applyBorder="true" applyNumberFormat="true" numFmtId="2" fillId="22" applyFill="true">
      <alignment horizontal="center" vertical="center"/>
    </xf>
    <xf fontId="16755" applyFont="true" borderId="8" applyBorder="true" applyNumberFormat="true" numFmtId="2" fillId="22" applyFill="true">
      <alignment horizontal="center" vertical="center"/>
    </xf>
    <xf fontId="16756" applyFont="true" borderId="8" applyBorder="true" applyNumberFormat="true" numFmtId="2" fillId="22" applyFill="true">
      <alignment horizontal="center" vertical="center"/>
    </xf>
    <xf fontId="16757" applyFont="true" borderId="8" applyBorder="true" applyNumberFormat="true" numFmtId="2" fillId="22" applyFill="true">
      <alignment horizontal="center" vertical="center"/>
    </xf>
    <xf fontId="16758" applyFont="true" borderId="8" applyBorder="true" applyNumberFormat="true" numFmtId="2" fillId="22" applyFill="true">
      <alignment horizontal="center" vertical="center"/>
    </xf>
    <xf fontId="16759" applyFont="true" borderId="8" applyBorder="true" applyNumberFormat="true" numFmtId="2" fillId="22" applyFill="true">
      <alignment horizontal="center" vertical="center"/>
    </xf>
    <xf fontId="16760" applyFont="true" borderId="8" applyBorder="true" applyNumberFormat="true" numFmtId="2" fillId="22" applyFill="true">
      <alignment horizontal="center" vertical="center"/>
    </xf>
    <xf fontId="16761" applyFont="true" borderId="8" applyBorder="true" applyNumberFormat="true" numFmtId="2" fillId="22" applyFill="true">
      <alignment horizontal="center" vertical="center"/>
    </xf>
    <xf fontId="16762" applyFont="true" borderId="8" applyBorder="true" applyNumberFormat="true" numFmtId="2" fillId="22" applyFill="true">
      <alignment horizontal="center" vertical="center"/>
    </xf>
    <xf fontId="16763" applyFont="true" borderId="8" applyBorder="true" applyNumberFormat="true" numFmtId="2" fillId="22" applyFill="true">
      <alignment horizontal="center" vertical="center"/>
    </xf>
    <xf fontId="16764" applyFont="true" borderId="8" applyBorder="true" applyNumberFormat="true" numFmtId="2" fillId="22" applyFill="true">
      <alignment horizontal="center" vertical="center"/>
    </xf>
    <xf fontId="16765" applyFont="true" borderId="8" applyBorder="true" applyNumberFormat="true" numFmtId="2" fillId="22" applyFill="true">
      <alignment horizontal="center" vertical="center"/>
    </xf>
    <xf fontId="16766" applyFont="true" borderId="8" applyBorder="true" applyNumberFormat="true" numFmtId="2" fillId="22" applyFill="true">
      <alignment horizontal="center" vertical="center"/>
    </xf>
    <xf fontId="16767" applyFont="true" borderId="8" applyBorder="true" applyNumberFormat="true" numFmtId="2" fillId="22" applyFill="true">
      <alignment horizontal="center" vertical="center"/>
    </xf>
    <xf fontId="16768" applyFont="true" borderId="8" applyBorder="true" applyNumberFormat="true" numFmtId="2" fillId="22" applyFill="true">
      <alignment horizontal="center" vertical="center"/>
    </xf>
    <xf fontId="16769" applyFont="true" borderId="8" applyBorder="true" applyNumberFormat="true" numFmtId="2" fillId="22" applyFill="true">
      <alignment horizontal="center" vertical="center"/>
    </xf>
    <xf fontId="16770" applyFont="true" borderId="8" applyBorder="true" applyNumberFormat="true" numFmtId="2" fillId="22" applyFill="true">
      <alignment horizontal="center" vertical="center"/>
    </xf>
    <xf fontId="16771" applyFont="true" borderId="8" applyBorder="true" applyNumberFormat="true" numFmtId="165" fillId="19" applyFill="true">
      <alignment horizontal="left" vertical="center"/>
    </xf>
    <xf fontId="16772" applyFont="true" borderId="8" applyBorder="true" applyNumberFormat="true" numFmtId="165" fillId="22" applyFill="true">
      <alignment horizontal="center" vertical="center"/>
    </xf>
    <xf fontId="16773" applyFont="true" borderId="8" applyBorder="true" applyNumberFormat="true" numFmtId="166" fillId="22" applyFill="true">
      <alignment horizontal="center" vertical="center"/>
    </xf>
    <xf fontId="16774" applyFont="true" borderId="8" applyBorder="true" applyNumberFormat="true" numFmtId="1" fillId="22" applyFill="true">
      <alignment horizontal="center" vertical="center"/>
    </xf>
    <xf fontId="16775" applyFont="true" borderId="8" applyBorder="true" applyNumberFormat="true" numFmtId="1" fillId="22" applyFill="true">
      <alignment horizontal="center" vertical="center"/>
    </xf>
    <xf fontId="16776" applyFont="true" borderId="8" applyBorder="true" applyNumberFormat="true" numFmtId="1" fillId="22" applyFill="true">
      <alignment horizontal="center" vertical="center"/>
    </xf>
    <xf fontId="16777" applyFont="true" borderId="8" applyBorder="true" applyNumberFormat="true" numFmtId="1" fillId="22" applyFill="true">
      <alignment horizontal="center" vertical="center"/>
    </xf>
    <xf fontId="16778" applyFont="true" borderId="8" applyBorder="true" applyNumberFormat="true" numFmtId="1" fillId="22" applyFill="true">
      <alignment horizontal="center" vertical="center"/>
    </xf>
    <xf fontId="16779" applyFont="true" borderId="8" applyBorder="true" applyNumberFormat="true" numFmtId="1" fillId="22" applyFill="true">
      <alignment horizontal="center" vertical="center"/>
    </xf>
    <xf fontId="16780" applyFont="true" borderId="8" applyBorder="true" applyNumberFormat="true" numFmtId="1" fillId="22" applyFill="true">
      <alignment horizontal="center" vertical="center"/>
    </xf>
    <xf fontId="16781" applyFont="true" borderId="8" applyBorder="true" applyNumberFormat="true" numFmtId="165" fillId="22" applyFill="true">
      <alignment horizontal="center" vertical="center"/>
    </xf>
    <xf fontId="16782" applyFont="true" borderId="8" applyBorder="true" applyNumberFormat="true" numFmtId="165" fillId="22" applyFill="true">
      <alignment horizontal="center" vertical="center"/>
    </xf>
    <xf fontId="16783" applyFont="true" borderId="8" applyBorder="true" applyNumberFormat="true" numFmtId="1" fillId="22" applyFill="true">
      <alignment horizontal="center" vertical="center"/>
    </xf>
    <xf fontId="16784" applyFont="true" borderId="8" applyBorder="true" applyNumberFormat="true" numFmtId="1" fillId="22" applyFill="true">
      <alignment horizontal="center" vertical="center"/>
    </xf>
    <xf fontId="16785" applyFont="true" borderId="8" applyBorder="true" applyNumberFormat="true" numFmtId="1" fillId="22" applyFill="true">
      <alignment horizontal="center" vertical="center"/>
    </xf>
    <xf fontId="16786" applyFont="true" borderId="8" applyBorder="true" applyNumberFormat="true" numFmtId="167" fillId="22" applyFill="true">
      <alignment horizontal="center" vertical="center"/>
    </xf>
    <xf fontId="16787" applyFont="true" borderId="8" applyBorder="true" applyNumberFormat="true" numFmtId="1" fillId="22" applyFill="true">
      <alignment horizontal="center" vertical="center"/>
    </xf>
    <xf fontId="16788" applyFont="true" borderId="8" applyBorder="true" applyNumberFormat="true" numFmtId="167" fillId="22" applyFill="true">
      <alignment horizontal="center" vertical="center"/>
    </xf>
    <xf fontId="16789" applyFont="true" borderId="8" applyBorder="true" applyNumberFormat="true" numFmtId="1" fillId="22" applyFill="true">
      <alignment horizontal="center" vertical="center"/>
    </xf>
    <xf fontId="16790" applyFont="true" borderId="8" applyBorder="true" applyNumberFormat="true" numFmtId="167" fillId="22" applyFill="true">
      <alignment horizontal="center" vertical="center"/>
    </xf>
    <xf fontId="16791" applyFont="true" borderId="8" applyBorder="true" applyNumberFormat="true" numFmtId="1" fillId="22" applyFill="true">
      <alignment horizontal="center" vertical="center"/>
    </xf>
    <xf fontId="16792" applyFont="true" borderId="8" applyBorder="true" applyNumberFormat="true" numFmtId="167" fillId="22" applyFill="true">
      <alignment horizontal="center" vertical="center"/>
    </xf>
    <xf fontId="16793" applyFont="true" borderId="8" applyBorder="true" applyNumberFormat="true" numFmtId="167" fillId="22" applyFill="true">
      <alignment horizontal="center" vertical="center"/>
    </xf>
    <xf fontId="16794" applyFont="true" borderId="8" applyBorder="true" applyNumberFormat="true" numFmtId="1" fillId="22" applyFill="true">
      <alignment horizontal="center" vertical="center"/>
    </xf>
    <xf fontId="16795" applyFont="true" borderId="8" applyBorder="true" applyNumberFormat="true" numFmtId="1" fillId="22" applyFill="true">
      <alignment horizontal="center" vertical="center"/>
    </xf>
    <xf fontId="16796" applyFont="true" borderId="8" applyBorder="true" applyNumberFormat="true" numFmtId="1" fillId="22" applyFill="true">
      <alignment horizontal="center" vertical="center"/>
    </xf>
    <xf fontId="16797" applyFont="true" borderId="8" applyBorder="true" applyNumberFormat="true" numFmtId="167" fillId="22" applyFill="true">
      <alignment horizontal="center" vertical="center"/>
    </xf>
    <xf fontId="16798" applyFont="true" borderId="8" applyBorder="true" applyNumberFormat="true" numFmtId="166" fillId="22" applyFill="true">
      <alignment horizontal="center" vertical="center"/>
    </xf>
    <xf fontId="16799" applyFont="true" borderId="8" applyBorder="true" applyNumberFormat="true" numFmtId="166" fillId="22" applyFill="true">
      <alignment horizontal="center" vertical="center"/>
    </xf>
    <xf fontId="16800" applyFont="true" borderId="8" applyBorder="true" applyNumberFormat="true" numFmtId="1" fillId="22" applyFill="true">
      <alignment horizontal="center" vertical="center"/>
    </xf>
    <xf fontId="16801" applyFont="true" borderId="8" applyBorder="true" applyNumberFormat="true" numFmtId="1" fillId="22" applyFill="true">
      <alignment horizontal="center" vertical="center"/>
    </xf>
    <xf fontId="16802" applyFont="true" borderId="8" applyBorder="true" applyNumberFormat="true" numFmtId="1" fillId="22" applyFill="true">
      <alignment horizontal="center" vertical="center"/>
    </xf>
    <xf fontId="16803" applyFont="true" borderId="8" applyBorder="true" applyNumberFormat="true" numFmtId="167" fillId="22" applyFill="true">
      <alignment horizontal="center" vertical="center"/>
    </xf>
    <xf fontId="16804" applyFont="true" borderId="8" applyBorder="true" applyNumberFormat="true" numFmtId="1" fillId="22" applyFill="true">
      <alignment horizontal="center" vertical="center"/>
    </xf>
    <xf fontId="16805" applyFont="true" borderId="8" applyBorder="true" applyNumberFormat="true" numFmtId="167" fillId="22" applyFill="true">
      <alignment horizontal="center" vertical="center"/>
    </xf>
    <xf fontId="16806" applyFont="true" borderId="8" applyBorder="true" applyNumberFormat="true" numFmtId="1" fillId="22" applyFill="true">
      <alignment horizontal="center" vertical="center"/>
    </xf>
    <xf fontId="16807" applyFont="true" borderId="8" applyBorder="true" applyNumberFormat="true" numFmtId="1" fillId="22" applyFill="true">
      <alignment horizontal="center" vertical="center"/>
    </xf>
    <xf fontId="16808" applyFont="true" borderId="8" applyBorder="true" applyNumberFormat="true" numFmtId="1" fillId="22" applyFill="true">
      <alignment horizontal="center" vertical="center"/>
    </xf>
    <xf fontId="16809" applyFont="true" borderId="8" applyBorder="true" applyNumberFormat="true" numFmtId="1" fillId="22" applyFill="true">
      <alignment horizontal="center" vertical="center"/>
    </xf>
    <xf fontId="16810" applyFont="true" borderId="8" applyBorder="true" applyNumberFormat="true" numFmtId="167" fillId="22" applyFill="true">
      <alignment horizontal="center" vertical="center"/>
    </xf>
    <xf fontId="16811" applyFont="true" borderId="8" applyBorder="true" applyNumberFormat="true" numFmtId="1" fillId="22" applyFill="true">
      <alignment horizontal="center" vertical="center"/>
    </xf>
    <xf fontId="16812" applyFont="true" borderId="8" applyBorder="true" applyNumberFormat="true" numFmtId="167" fillId="22" applyFill="true">
      <alignment horizontal="center" vertical="center"/>
    </xf>
    <xf fontId="16813" applyFont="true" borderId="8" applyBorder="true" applyNumberFormat="true" numFmtId="1" fillId="22" applyFill="true">
      <alignment horizontal="center" vertical="center"/>
    </xf>
    <xf fontId="16814" applyFont="true" borderId="8" applyBorder="true" applyNumberFormat="true" numFmtId="167" fillId="22" applyFill="true">
      <alignment horizontal="center" vertical="center"/>
    </xf>
    <xf fontId="16815" applyFont="true" borderId="8" applyBorder="true" applyNumberFormat="true" numFmtId="2" fillId="22" applyFill="true">
      <alignment horizontal="center" vertical="center"/>
    </xf>
    <xf fontId="16816" applyFont="true" borderId="8" applyBorder="true" applyNumberFormat="true" numFmtId="2" fillId="22" applyFill="true">
      <alignment horizontal="center" vertical="center"/>
    </xf>
    <xf fontId="16817" applyFont="true" borderId="8" applyBorder="true" applyNumberFormat="true" numFmtId="2" fillId="22" applyFill="true">
      <alignment horizontal="center" vertical="center"/>
    </xf>
    <xf fontId="16818" applyFont="true" borderId="8" applyBorder="true" applyNumberFormat="true" numFmtId="2" fillId="22" applyFill="true">
      <alignment horizontal="center" vertical="center"/>
    </xf>
    <xf fontId="16819" applyFont="true" borderId="8" applyBorder="true" applyNumberFormat="true" numFmtId="2" fillId="22" applyFill="true">
      <alignment horizontal="center" vertical="center"/>
    </xf>
    <xf fontId="16820" applyFont="true" borderId="8" applyBorder="true" applyNumberFormat="true" numFmtId="2" fillId="22" applyFill="true">
      <alignment horizontal="center" vertical="center"/>
    </xf>
    <xf fontId="16821" applyFont="true" borderId="8" applyBorder="true" applyNumberFormat="true" numFmtId="2" fillId="22" applyFill="true">
      <alignment horizontal="center" vertical="center"/>
    </xf>
    <xf fontId="16822" applyFont="true" borderId="8" applyBorder="true" applyNumberFormat="true" numFmtId="2" fillId="22" applyFill="true">
      <alignment horizontal="center" vertical="center"/>
    </xf>
    <xf fontId="16823" applyFont="true" borderId="8" applyBorder="true" applyNumberFormat="true" numFmtId="2" fillId="22" applyFill="true">
      <alignment horizontal="center" vertical="center"/>
    </xf>
    <xf fontId="16824" applyFont="true" borderId="8" applyBorder="true" applyNumberFormat="true" numFmtId="2" fillId="22" applyFill="true">
      <alignment horizontal="center" vertical="center"/>
    </xf>
    <xf fontId="16825" applyFont="true" borderId="8" applyBorder="true" applyNumberFormat="true" numFmtId="2" fillId="22" applyFill="true">
      <alignment horizontal="center" vertical="center"/>
    </xf>
    <xf fontId="16826" applyFont="true" borderId="8" applyBorder="true" applyNumberFormat="true" numFmtId="2" fillId="22" applyFill="true">
      <alignment horizontal="center" vertical="center"/>
    </xf>
    <xf fontId="16827" applyFont="true" borderId="8" applyBorder="true" applyNumberFormat="true" numFmtId="2" fillId="22" applyFill="true">
      <alignment horizontal="center" vertical="center"/>
    </xf>
    <xf fontId="16828" applyFont="true" borderId="8" applyBorder="true" applyNumberFormat="true" numFmtId="2" fillId="22" applyFill="true">
      <alignment horizontal="center" vertical="center"/>
    </xf>
    <xf fontId="16829" applyFont="true" borderId="8" applyBorder="true" applyNumberFormat="true" numFmtId="2" fillId="22" applyFill="true">
      <alignment horizontal="center" vertical="center"/>
    </xf>
    <xf fontId="16830" applyFont="true" borderId="8" applyBorder="true" applyNumberFormat="true" numFmtId="2" fillId="22" applyFill="true">
      <alignment horizontal="center" vertical="center"/>
    </xf>
    <xf fontId="16831" applyFont="true" borderId="8" applyBorder="true" applyNumberFormat="true" numFmtId="2" fillId="22" applyFill="true">
      <alignment horizontal="center" vertical="center"/>
    </xf>
    <xf fontId="16832" applyFont="true" borderId="8" applyBorder="true" applyNumberFormat="true" numFmtId="2" fillId="22" applyFill="true">
      <alignment horizontal="center" vertical="center"/>
    </xf>
    <xf fontId="16833" applyFont="true" borderId="8" applyBorder="true" applyNumberFormat="true" numFmtId="2" fillId="22" applyFill="true">
      <alignment horizontal="center" vertical="center"/>
    </xf>
    <xf fontId="16834" applyFont="true" borderId="8" applyBorder="true" applyNumberFormat="true" numFmtId="2" fillId="22" applyFill="true">
      <alignment horizontal="center" vertical="center"/>
    </xf>
    <xf fontId="16835" applyFont="true" borderId="8" applyBorder="true" applyNumberFormat="true" numFmtId="2" fillId="22" applyFill="true">
      <alignment horizontal="center" vertical="center"/>
    </xf>
    <xf fontId="16836" applyFont="true" borderId="8" applyBorder="true" applyNumberFormat="true" numFmtId="2" fillId="22" applyFill="true">
      <alignment horizontal="center" vertical="center"/>
    </xf>
    <xf fontId="16837" applyFont="true" borderId="8" applyBorder="true" applyNumberFormat="true" numFmtId="2" fillId="22" applyFill="true">
      <alignment horizontal="center" vertical="center"/>
    </xf>
    <xf fontId="16838" applyFont="true" borderId="8" applyBorder="true" applyNumberFormat="true" numFmtId="2" fillId="22" applyFill="true">
      <alignment horizontal="center" vertical="center"/>
    </xf>
    <xf fontId="16839" applyFont="true" borderId="8" applyBorder="true" applyNumberFormat="true" numFmtId="2" fillId="22" applyFill="true">
      <alignment horizontal="center" vertical="center"/>
    </xf>
    <xf fontId="16840" applyFont="true" borderId="8" applyBorder="true" applyNumberFormat="true" numFmtId="2" fillId="22" applyFill="true">
      <alignment horizontal="center" vertical="center"/>
    </xf>
    <xf fontId="16841" applyFont="true" borderId="8" applyBorder="true" applyNumberFormat="true" numFmtId="2" fillId="22" applyFill="true">
      <alignment horizontal="center" vertical="center"/>
    </xf>
    <xf fontId="16842" applyFont="true" borderId="8" applyBorder="true" applyNumberFormat="true" numFmtId="2" fillId="22" applyFill="true">
      <alignment horizontal="center" vertical="center"/>
    </xf>
    <xf fontId="16843" applyFont="true" borderId="8" applyBorder="true" applyNumberFormat="true" numFmtId="2" fillId="22" applyFill="true">
      <alignment horizontal="center" vertical="center"/>
    </xf>
    <xf fontId="16844" applyFont="true" borderId="8" applyBorder="true" applyNumberFormat="true" numFmtId="2" fillId="22" applyFill="true">
      <alignment horizontal="center" vertical="center"/>
    </xf>
    <xf fontId="16845" applyFont="true" borderId="8" applyBorder="true" applyNumberFormat="true" numFmtId="2" fillId="22" applyFill="true">
      <alignment horizontal="center" vertical="center"/>
    </xf>
    <xf fontId="16846" applyFont="true" borderId="8" applyBorder="true" applyNumberFormat="true" numFmtId="2" fillId="22" applyFill="true">
      <alignment horizontal="center" vertical="center"/>
    </xf>
    <xf fontId="16847" applyFont="true" borderId="8" applyBorder="true" applyNumberFormat="true" numFmtId="2" fillId="22" applyFill="true">
      <alignment horizontal="center" vertical="center"/>
    </xf>
    <xf fontId="16848" applyFont="true" borderId="8" applyBorder="true" applyNumberFormat="true" numFmtId="2" fillId="22" applyFill="true">
      <alignment horizontal="center" vertical="center"/>
    </xf>
    <xf fontId="16849" applyFont="true" borderId="8" applyBorder="true" applyNumberFormat="true" numFmtId="165" fillId="19" applyFill="true">
      <alignment horizontal="left" vertical="center"/>
    </xf>
    <xf fontId="16850" applyFont="true" borderId="8" applyBorder="true" applyNumberFormat="true" numFmtId="165" fillId="22" applyFill="true">
      <alignment horizontal="center" vertical="center"/>
    </xf>
    <xf fontId="16851" applyFont="true" borderId="8" applyBorder="true" applyNumberFormat="true" numFmtId="166" fillId="22" applyFill="true">
      <alignment horizontal="center" vertical="center"/>
    </xf>
    <xf fontId="16852" applyFont="true" borderId="8" applyBorder="true" applyNumberFormat="true" numFmtId="1" fillId="22" applyFill="true">
      <alignment horizontal="center" vertical="center"/>
    </xf>
    <xf fontId="16853" applyFont="true" borderId="8" applyBorder="true" applyNumberFormat="true" numFmtId="1" fillId="22" applyFill="true">
      <alignment horizontal="center" vertical="center"/>
    </xf>
    <xf fontId="16854" applyFont="true" borderId="8" applyBorder="true" applyNumberFormat="true" numFmtId="1" fillId="22" applyFill="true">
      <alignment horizontal="center" vertical="center"/>
    </xf>
    <xf fontId="16855" applyFont="true" borderId="8" applyBorder="true" applyNumberFormat="true" numFmtId="1" fillId="22" applyFill="true">
      <alignment horizontal="center" vertical="center"/>
    </xf>
    <xf fontId="16856" applyFont="true" borderId="8" applyBorder="true" applyNumberFormat="true" numFmtId="1" fillId="22" applyFill="true">
      <alignment horizontal="center" vertical="center"/>
    </xf>
    <xf fontId="16857" applyFont="true" borderId="8" applyBorder="true" applyNumberFormat="true" numFmtId="1" fillId="22" applyFill="true">
      <alignment horizontal="center" vertical="center"/>
    </xf>
    <xf fontId="16858" applyFont="true" borderId="8" applyBorder="true" applyNumberFormat="true" numFmtId="1" fillId="22" applyFill="true">
      <alignment horizontal="center" vertical="center"/>
    </xf>
    <xf fontId="16859" applyFont="true" borderId="8" applyBorder="true" applyNumberFormat="true" numFmtId="165" fillId="22" applyFill="true">
      <alignment horizontal="center" vertical="center"/>
    </xf>
    <xf fontId="16860" applyFont="true" borderId="8" applyBorder="true" applyNumberFormat="true" numFmtId="165" fillId="22" applyFill="true">
      <alignment horizontal="center" vertical="center"/>
    </xf>
    <xf fontId="16861" applyFont="true" borderId="8" applyBorder="true" applyNumberFormat="true" numFmtId="1" fillId="22" applyFill="true">
      <alignment horizontal="center" vertical="center"/>
    </xf>
    <xf fontId="16862" applyFont="true" borderId="8" applyBorder="true" applyNumberFormat="true" numFmtId="1" fillId="22" applyFill="true">
      <alignment horizontal="center" vertical="center"/>
    </xf>
    <xf fontId="16863" applyFont="true" borderId="8" applyBorder="true" applyNumberFormat="true" numFmtId="1" fillId="22" applyFill="true">
      <alignment horizontal="center" vertical="center"/>
    </xf>
    <xf fontId="16864" applyFont="true" borderId="8" applyBorder="true" applyNumberFormat="true" numFmtId="167" fillId="22" applyFill="true">
      <alignment horizontal="center" vertical="center"/>
    </xf>
    <xf fontId="16865" applyFont="true" borderId="8" applyBorder="true" applyNumberFormat="true" numFmtId="1" fillId="22" applyFill="true">
      <alignment horizontal="center" vertical="center"/>
    </xf>
    <xf fontId="16866" applyFont="true" borderId="8" applyBorder="true" applyNumberFormat="true" numFmtId="167" fillId="22" applyFill="true">
      <alignment horizontal="center" vertical="center"/>
    </xf>
    <xf fontId="16867" applyFont="true" borderId="8" applyBorder="true" applyNumberFormat="true" numFmtId="1" fillId="22" applyFill="true">
      <alignment horizontal="center" vertical="center"/>
    </xf>
    <xf fontId="16868" applyFont="true" borderId="8" applyBorder="true" applyNumberFormat="true" numFmtId="167" fillId="22" applyFill="true">
      <alignment horizontal="center" vertical="center"/>
    </xf>
    <xf fontId="16869" applyFont="true" borderId="8" applyBorder="true" applyNumberFormat="true" numFmtId="1" fillId="22" applyFill="true">
      <alignment horizontal="center" vertical="center"/>
    </xf>
    <xf fontId="16870" applyFont="true" borderId="8" applyBorder="true" applyNumberFormat="true" numFmtId="167" fillId="22" applyFill="true">
      <alignment horizontal="center" vertical="center"/>
    </xf>
    <xf fontId="16871" applyFont="true" borderId="8" applyBorder="true" applyNumberFormat="true" numFmtId="167" fillId="22" applyFill="true">
      <alignment horizontal="center" vertical="center"/>
    </xf>
    <xf fontId="16872" applyFont="true" borderId="8" applyBorder="true" applyNumberFormat="true" numFmtId="1" fillId="22" applyFill="true">
      <alignment horizontal="center" vertical="center"/>
    </xf>
    <xf fontId="16873" applyFont="true" borderId="8" applyBorder="true" applyNumberFormat="true" numFmtId="1" fillId="22" applyFill="true">
      <alignment horizontal="center" vertical="center"/>
    </xf>
    <xf fontId="16874" applyFont="true" borderId="8" applyBorder="true" applyNumberFormat="true" numFmtId="1" fillId="22" applyFill="true">
      <alignment horizontal="center" vertical="center"/>
    </xf>
    <xf fontId="16875" applyFont="true" borderId="8" applyBorder="true" applyNumberFormat="true" numFmtId="167" fillId="22" applyFill="true">
      <alignment horizontal="center" vertical="center"/>
    </xf>
    <xf fontId="16876" applyFont="true" borderId="8" applyBorder="true" applyNumberFormat="true" numFmtId="166" fillId="22" applyFill="true">
      <alignment horizontal="center" vertical="center"/>
    </xf>
    <xf fontId="16877" applyFont="true" borderId="8" applyBorder="true" applyNumberFormat="true" numFmtId="166" fillId="22" applyFill="true">
      <alignment horizontal="center" vertical="center"/>
    </xf>
    <xf fontId="16878" applyFont="true" borderId="8" applyBorder="true" applyNumberFormat="true" numFmtId="1" fillId="22" applyFill="true">
      <alignment horizontal="center" vertical="center"/>
    </xf>
    <xf fontId="16879" applyFont="true" borderId="8" applyBorder="true" applyNumberFormat="true" numFmtId="1" fillId="22" applyFill="true">
      <alignment horizontal="center" vertical="center"/>
    </xf>
    <xf fontId="16880" applyFont="true" borderId="8" applyBorder="true" applyNumberFormat="true" numFmtId="1" fillId="22" applyFill="true">
      <alignment horizontal="center" vertical="center"/>
    </xf>
    <xf fontId="16881" applyFont="true" borderId="8" applyBorder="true" applyNumberFormat="true" numFmtId="167" fillId="22" applyFill="true">
      <alignment horizontal="center" vertical="center"/>
    </xf>
    <xf fontId="16882" applyFont="true" borderId="8" applyBorder="true" applyNumberFormat="true" numFmtId="1" fillId="22" applyFill="true">
      <alignment horizontal="center" vertical="center"/>
    </xf>
    <xf fontId="16883" applyFont="true" borderId="8" applyBorder="true" applyNumberFormat="true" numFmtId="167" fillId="22" applyFill="true">
      <alignment horizontal="center" vertical="center"/>
    </xf>
    <xf fontId="16884" applyFont="true" borderId="8" applyBorder="true" applyNumberFormat="true" numFmtId="1" fillId="22" applyFill="true">
      <alignment horizontal="center" vertical="center"/>
    </xf>
    <xf fontId="16885" applyFont="true" borderId="8" applyBorder="true" applyNumberFormat="true" numFmtId="1" fillId="22" applyFill="true">
      <alignment horizontal="center" vertical="center"/>
    </xf>
    <xf fontId="16886" applyFont="true" borderId="8" applyBorder="true" applyNumberFormat="true" numFmtId="1" fillId="22" applyFill="true">
      <alignment horizontal="center" vertical="center"/>
    </xf>
    <xf fontId="16887" applyFont="true" borderId="8" applyBorder="true" applyNumberFormat="true" numFmtId="1" fillId="22" applyFill="true">
      <alignment horizontal="center" vertical="center"/>
    </xf>
    <xf fontId="16888" applyFont="true" borderId="8" applyBorder="true" applyNumberFormat="true" numFmtId="167" fillId="22" applyFill="true">
      <alignment horizontal="center" vertical="center"/>
    </xf>
    <xf fontId="16889" applyFont="true" borderId="8" applyBorder="true" applyNumberFormat="true" numFmtId="1" fillId="22" applyFill="true">
      <alignment horizontal="center" vertical="center"/>
    </xf>
    <xf fontId="16890" applyFont="true" borderId="8" applyBorder="true" applyNumberFormat="true" numFmtId="167" fillId="22" applyFill="true">
      <alignment horizontal="center" vertical="center"/>
    </xf>
    <xf fontId="16891" applyFont="true" borderId="8" applyBorder="true" applyNumberFormat="true" numFmtId="1" fillId="22" applyFill="true">
      <alignment horizontal="center" vertical="center"/>
    </xf>
    <xf fontId="16892" applyFont="true" borderId="8" applyBorder="true" applyNumberFormat="true" numFmtId="167" fillId="22" applyFill="true">
      <alignment horizontal="center" vertical="center"/>
    </xf>
    <xf fontId="16893" applyFont="true" borderId="8" applyBorder="true" applyNumberFormat="true" numFmtId="2" fillId="22" applyFill="true">
      <alignment horizontal="center" vertical="center"/>
    </xf>
    <xf fontId="16894" applyFont="true" borderId="8" applyBorder="true" applyNumberFormat="true" numFmtId="2" fillId="22" applyFill="true">
      <alignment horizontal="center" vertical="center"/>
    </xf>
    <xf fontId="16895" applyFont="true" borderId="8" applyBorder="true" applyNumberFormat="true" numFmtId="2" fillId="22" applyFill="true">
      <alignment horizontal="center" vertical="center"/>
    </xf>
    <xf fontId="16896" applyFont="true" borderId="8" applyBorder="true" applyNumberFormat="true" numFmtId="2" fillId="22" applyFill="true">
      <alignment horizontal="center" vertical="center"/>
    </xf>
    <xf fontId="16897" applyFont="true" borderId="8" applyBorder="true" applyNumberFormat="true" numFmtId="2" fillId="22" applyFill="true">
      <alignment horizontal="center" vertical="center"/>
    </xf>
    <xf fontId="16898" applyFont="true" borderId="8" applyBorder="true" applyNumberFormat="true" numFmtId="2" fillId="22" applyFill="true">
      <alignment horizontal="center" vertical="center"/>
    </xf>
    <xf fontId="16899" applyFont="true" borderId="8" applyBorder="true" applyNumberFormat="true" numFmtId="2" fillId="22" applyFill="true">
      <alignment horizontal="center" vertical="center"/>
    </xf>
    <xf fontId="16900" applyFont="true" borderId="8" applyBorder="true" applyNumberFormat="true" numFmtId="2" fillId="22" applyFill="true">
      <alignment horizontal="center" vertical="center"/>
    </xf>
    <xf fontId="16901" applyFont="true" borderId="8" applyBorder="true" applyNumberFormat="true" numFmtId="2" fillId="22" applyFill="true">
      <alignment horizontal="center" vertical="center"/>
    </xf>
    <xf fontId="16902" applyFont="true" borderId="8" applyBorder="true" applyNumberFormat="true" numFmtId="2" fillId="22" applyFill="true">
      <alignment horizontal="center" vertical="center"/>
    </xf>
    <xf fontId="16903" applyFont="true" borderId="8" applyBorder="true" applyNumberFormat="true" numFmtId="2" fillId="22" applyFill="true">
      <alignment horizontal="center" vertical="center"/>
    </xf>
    <xf fontId="16904" applyFont="true" borderId="8" applyBorder="true" applyNumberFormat="true" numFmtId="2" fillId="22" applyFill="true">
      <alignment horizontal="center" vertical="center"/>
    </xf>
    <xf fontId="16905" applyFont="true" borderId="8" applyBorder="true" applyNumberFormat="true" numFmtId="2" fillId="22" applyFill="true">
      <alignment horizontal="center" vertical="center"/>
    </xf>
    <xf fontId="16906" applyFont="true" borderId="8" applyBorder="true" applyNumberFormat="true" numFmtId="2" fillId="22" applyFill="true">
      <alignment horizontal="center" vertical="center"/>
    </xf>
    <xf fontId="16907" applyFont="true" borderId="8" applyBorder="true" applyNumberFormat="true" numFmtId="2" fillId="22" applyFill="true">
      <alignment horizontal="center" vertical="center"/>
    </xf>
    <xf fontId="16908" applyFont="true" borderId="8" applyBorder="true" applyNumberFormat="true" numFmtId="2" fillId="22" applyFill="true">
      <alignment horizontal="center" vertical="center"/>
    </xf>
    <xf fontId="16909" applyFont="true" borderId="8" applyBorder="true" applyNumberFormat="true" numFmtId="2" fillId="22" applyFill="true">
      <alignment horizontal="center" vertical="center"/>
    </xf>
    <xf fontId="16910" applyFont="true" borderId="8" applyBorder="true" applyNumberFormat="true" numFmtId="2" fillId="22" applyFill="true">
      <alignment horizontal="center" vertical="center"/>
    </xf>
    <xf fontId="16911" applyFont="true" borderId="8" applyBorder="true" applyNumberFormat="true" numFmtId="2" fillId="22" applyFill="true">
      <alignment horizontal="center" vertical="center"/>
    </xf>
    <xf fontId="16912" applyFont="true" borderId="8" applyBorder="true" applyNumberFormat="true" numFmtId="2" fillId="22" applyFill="true">
      <alignment horizontal="center" vertical="center"/>
    </xf>
    <xf fontId="16913" applyFont="true" borderId="8" applyBorder="true" applyNumberFormat="true" numFmtId="2" fillId="22" applyFill="true">
      <alignment horizontal="center" vertical="center"/>
    </xf>
    <xf fontId="16914" applyFont="true" borderId="8" applyBorder="true" applyNumberFormat="true" numFmtId="2" fillId="22" applyFill="true">
      <alignment horizontal="center" vertical="center"/>
    </xf>
    <xf fontId="16915" applyFont="true" borderId="8" applyBorder="true" applyNumberFormat="true" numFmtId="2" fillId="22" applyFill="true">
      <alignment horizontal="center" vertical="center"/>
    </xf>
    <xf fontId="16916" applyFont="true" borderId="8" applyBorder="true" applyNumberFormat="true" numFmtId="2" fillId="22" applyFill="true">
      <alignment horizontal="center" vertical="center"/>
    </xf>
    <xf fontId="16917" applyFont="true" borderId="8" applyBorder="true" applyNumberFormat="true" numFmtId="2" fillId="22" applyFill="true">
      <alignment horizontal="center" vertical="center"/>
    </xf>
    <xf fontId="16918" applyFont="true" borderId="8" applyBorder="true" applyNumberFormat="true" numFmtId="2" fillId="22" applyFill="true">
      <alignment horizontal="center" vertical="center"/>
    </xf>
    <xf fontId="16919" applyFont="true" borderId="8" applyBorder="true" applyNumberFormat="true" numFmtId="2" fillId="22" applyFill="true">
      <alignment horizontal="center" vertical="center"/>
    </xf>
    <xf fontId="16920" applyFont="true" borderId="8" applyBorder="true" applyNumberFormat="true" numFmtId="2" fillId="22" applyFill="true">
      <alignment horizontal="center" vertical="center"/>
    </xf>
    <xf fontId="16921" applyFont="true" borderId="8" applyBorder="true" applyNumberFormat="true" numFmtId="2" fillId="22" applyFill="true">
      <alignment horizontal="center" vertical="center"/>
    </xf>
    <xf fontId="16922" applyFont="true" borderId="8" applyBorder="true" applyNumberFormat="true" numFmtId="2" fillId="22" applyFill="true">
      <alignment horizontal="center" vertical="center"/>
    </xf>
    <xf fontId="16923" applyFont="true" borderId="8" applyBorder="true" applyNumberFormat="true" numFmtId="2" fillId="22" applyFill="true">
      <alignment horizontal="center" vertical="center"/>
    </xf>
    <xf fontId="16924" applyFont="true" borderId="8" applyBorder="true" applyNumberFormat="true" numFmtId="2" fillId="22" applyFill="true">
      <alignment horizontal="center" vertical="center"/>
    </xf>
    <xf fontId="16925" applyFont="true" borderId="8" applyBorder="true" applyNumberFormat="true" numFmtId="2" fillId="22" applyFill="true">
      <alignment horizontal="center" vertical="center"/>
    </xf>
    <xf fontId="16926" applyFont="true" borderId="8" applyBorder="true" applyNumberFormat="true" numFmtId="2" fillId="22" applyFill="true">
      <alignment horizontal="center" vertical="center"/>
    </xf>
    <xf fontId="16927" applyFont="true" borderId="8" applyBorder="true" applyNumberFormat="true" numFmtId="165" fillId="19" applyFill="true">
      <alignment horizontal="left" vertical="center"/>
    </xf>
    <xf fontId="16928" applyFont="true" borderId="8" applyBorder="true" applyNumberFormat="true" numFmtId="165" fillId="22" applyFill="true">
      <alignment horizontal="center" vertical="center"/>
    </xf>
    <xf fontId="16929" applyFont="true" borderId="8" applyBorder="true" applyNumberFormat="true" numFmtId="166" fillId="22" applyFill="true">
      <alignment horizontal="center" vertical="center"/>
    </xf>
    <xf fontId="16930" applyFont="true" borderId="8" applyBorder="true" applyNumberFormat="true" numFmtId="1" fillId="22" applyFill="true">
      <alignment horizontal="center" vertical="center"/>
    </xf>
    <xf fontId="16931" applyFont="true" borderId="8" applyBorder="true" applyNumberFormat="true" numFmtId="1" fillId="22" applyFill="true">
      <alignment horizontal="center" vertical="center"/>
    </xf>
    <xf fontId="16932" applyFont="true" borderId="8" applyBorder="true" applyNumberFormat="true" numFmtId="1" fillId="22" applyFill="true">
      <alignment horizontal="center" vertical="center"/>
    </xf>
    <xf fontId="16933" applyFont="true" borderId="8" applyBorder="true" applyNumberFormat="true" numFmtId="1" fillId="22" applyFill="true">
      <alignment horizontal="center" vertical="center"/>
    </xf>
    <xf fontId="16934" applyFont="true" borderId="8" applyBorder="true" applyNumberFormat="true" numFmtId="1" fillId="22" applyFill="true">
      <alignment horizontal="center" vertical="center"/>
    </xf>
    <xf fontId="16935" applyFont="true" borderId="8" applyBorder="true" applyNumberFormat="true" numFmtId="1" fillId="22" applyFill="true">
      <alignment horizontal="center" vertical="center"/>
    </xf>
    <xf fontId="16936" applyFont="true" borderId="8" applyBorder="true" applyNumberFormat="true" numFmtId="1" fillId="22" applyFill="true">
      <alignment horizontal="center" vertical="center"/>
    </xf>
    <xf fontId="16937" applyFont="true" borderId="8" applyBorder="true" applyNumberFormat="true" numFmtId="165" fillId="22" applyFill="true">
      <alignment horizontal="center" vertical="center"/>
    </xf>
    <xf fontId="16938" applyFont="true" borderId="8" applyBorder="true" applyNumberFormat="true" numFmtId="165" fillId="22" applyFill="true">
      <alignment horizontal="center" vertical="center"/>
    </xf>
    <xf fontId="16939" applyFont="true" borderId="8" applyBorder="true" applyNumberFormat="true" numFmtId="1" fillId="22" applyFill="true">
      <alignment horizontal="center" vertical="center"/>
    </xf>
    <xf fontId="16940" applyFont="true" borderId="8" applyBorder="true" applyNumberFormat="true" numFmtId="1" fillId="22" applyFill="true">
      <alignment horizontal="center" vertical="center"/>
    </xf>
    <xf fontId="16941" applyFont="true" borderId="8" applyBorder="true" applyNumberFormat="true" numFmtId="1" fillId="22" applyFill="true">
      <alignment horizontal="center" vertical="center"/>
    </xf>
    <xf fontId="16942" applyFont="true" borderId="8" applyBorder="true" applyNumberFormat="true" numFmtId="167" fillId="22" applyFill="true">
      <alignment horizontal="center" vertical="center"/>
    </xf>
    <xf fontId="16943" applyFont="true" borderId="8" applyBorder="true" applyNumberFormat="true" numFmtId="1" fillId="22" applyFill="true">
      <alignment horizontal="center" vertical="center"/>
    </xf>
    <xf fontId="16944" applyFont="true" borderId="8" applyBorder="true" applyNumberFormat="true" numFmtId="167" fillId="22" applyFill="true">
      <alignment horizontal="center" vertical="center"/>
    </xf>
    <xf fontId="16945" applyFont="true" borderId="8" applyBorder="true" applyNumberFormat="true" numFmtId="1" fillId="22" applyFill="true">
      <alignment horizontal="center" vertical="center"/>
    </xf>
    <xf fontId="16946" applyFont="true" borderId="8" applyBorder="true" applyNumberFormat="true" numFmtId="167" fillId="22" applyFill="true">
      <alignment horizontal="center" vertical="center"/>
    </xf>
    <xf fontId="16947" applyFont="true" borderId="8" applyBorder="true" applyNumberFormat="true" numFmtId="1" fillId="22" applyFill="true">
      <alignment horizontal="center" vertical="center"/>
    </xf>
    <xf fontId="16948" applyFont="true" borderId="8" applyBorder="true" applyNumberFormat="true" numFmtId="167" fillId="22" applyFill="true">
      <alignment horizontal="center" vertical="center"/>
    </xf>
    <xf fontId="16949" applyFont="true" borderId="8" applyBorder="true" applyNumberFormat="true" numFmtId="167" fillId="22" applyFill="true">
      <alignment horizontal="center" vertical="center"/>
    </xf>
    <xf fontId="16950" applyFont="true" borderId="8" applyBorder="true" applyNumberFormat="true" numFmtId="1" fillId="22" applyFill="true">
      <alignment horizontal="center" vertical="center"/>
    </xf>
    <xf fontId="16951" applyFont="true" borderId="8" applyBorder="true" applyNumberFormat="true" numFmtId="1" fillId="22" applyFill="true">
      <alignment horizontal="center" vertical="center"/>
    </xf>
    <xf fontId="16952" applyFont="true" borderId="8" applyBorder="true" applyNumberFormat="true" numFmtId="1" fillId="22" applyFill="true">
      <alignment horizontal="center" vertical="center"/>
    </xf>
    <xf fontId="16953" applyFont="true" borderId="8" applyBorder="true" applyNumberFormat="true" numFmtId="167" fillId="22" applyFill="true">
      <alignment horizontal="center" vertical="center"/>
    </xf>
    <xf fontId="16954" applyFont="true" borderId="8" applyBorder="true" applyNumberFormat="true" numFmtId="166" fillId="22" applyFill="true">
      <alignment horizontal="center" vertical="center"/>
    </xf>
    <xf fontId="16955" applyFont="true" borderId="8" applyBorder="true" applyNumberFormat="true" numFmtId="166" fillId="22" applyFill="true">
      <alignment horizontal="center" vertical="center"/>
    </xf>
    <xf fontId="16956" applyFont="true" borderId="8" applyBorder="true" applyNumberFormat="true" numFmtId="1" fillId="22" applyFill="true">
      <alignment horizontal="center" vertical="center"/>
    </xf>
    <xf fontId="16957" applyFont="true" borderId="8" applyBorder="true" applyNumberFormat="true" numFmtId="1" fillId="22" applyFill="true">
      <alignment horizontal="center" vertical="center"/>
    </xf>
    <xf fontId="16958" applyFont="true" borderId="8" applyBorder="true" applyNumberFormat="true" numFmtId="1" fillId="22" applyFill="true">
      <alignment horizontal="center" vertical="center"/>
    </xf>
    <xf fontId="16959" applyFont="true" borderId="8" applyBorder="true" applyNumberFormat="true" numFmtId="167" fillId="22" applyFill="true">
      <alignment horizontal="center" vertical="center"/>
    </xf>
    <xf fontId="16960" applyFont="true" borderId="8" applyBorder="true" applyNumberFormat="true" numFmtId="1" fillId="22" applyFill="true">
      <alignment horizontal="center" vertical="center"/>
    </xf>
    <xf fontId="16961" applyFont="true" borderId="8" applyBorder="true" applyNumberFormat="true" numFmtId="167" fillId="22" applyFill="true">
      <alignment horizontal="center" vertical="center"/>
    </xf>
    <xf fontId="16962" applyFont="true" borderId="8" applyBorder="true" applyNumberFormat="true" numFmtId="1" fillId="22" applyFill="true">
      <alignment horizontal="center" vertical="center"/>
    </xf>
    <xf fontId="16963" applyFont="true" borderId="8" applyBorder="true" applyNumberFormat="true" numFmtId="1" fillId="22" applyFill="true">
      <alignment horizontal="center" vertical="center"/>
    </xf>
    <xf fontId="16964" applyFont="true" borderId="8" applyBorder="true" applyNumberFormat="true" numFmtId="1" fillId="22" applyFill="true">
      <alignment horizontal="center" vertical="center"/>
    </xf>
    <xf fontId="16965" applyFont="true" borderId="8" applyBorder="true" applyNumberFormat="true" numFmtId="1" fillId="22" applyFill="true">
      <alignment horizontal="center" vertical="center"/>
    </xf>
    <xf fontId="16966" applyFont="true" borderId="8" applyBorder="true" applyNumberFormat="true" numFmtId="167" fillId="22" applyFill="true">
      <alignment horizontal="center" vertical="center"/>
    </xf>
    <xf fontId="16967" applyFont="true" borderId="8" applyBorder="true" applyNumberFormat="true" numFmtId="1" fillId="22" applyFill="true">
      <alignment horizontal="center" vertical="center"/>
    </xf>
    <xf fontId="16968" applyFont="true" borderId="8" applyBorder="true" applyNumberFormat="true" numFmtId="167" fillId="22" applyFill="true">
      <alignment horizontal="center" vertical="center"/>
    </xf>
    <xf fontId="16969" applyFont="true" borderId="8" applyBorder="true" applyNumberFormat="true" numFmtId="1" fillId="22" applyFill="true">
      <alignment horizontal="center" vertical="center"/>
    </xf>
    <xf fontId="16970" applyFont="true" borderId="8" applyBorder="true" applyNumberFormat="true" numFmtId="167" fillId="22" applyFill="true">
      <alignment horizontal="center" vertical="center"/>
    </xf>
    <xf fontId="16971" applyFont="true" borderId="8" applyBorder="true" applyNumberFormat="true" numFmtId="2" fillId="22" applyFill="true">
      <alignment horizontal="center" vertical="center"/>
    </xf>
    <xf fontId="16972" applyFont="true" borderId="8" applyBorder="true" applyNumberFormat="true" numFmtId="2" fillId="22" applyFill="true">
      <alignment horizontal="center" vertical="center"/>
    </xf>
    <xf fontId="16973" applyFont="true" borderId="8" applyBorder="true" applyNumberFormat="true" numFmtId="2" fillId="22" applyFill="true">
      <alignment horizontal="center" vertical="center"/>
    </xf>
    <xf fontId="16974" applyFont="true" borderId="8" applyBorder="true" applyNumberFormat="true" numFmtId="2" fillId="22" applyFill="true">
      <alignment horizontal="center" vertical="center"/>
    </xf>
    <xf fontId="16975" applyFont="true" borderId="8" applyBorder="true" applyNumberFormat="true" numFmtId="2" fillId="22" applyFill="true">
      <alignment horizontal="center" vertical="center"/>
    </xf>
    <xf fontId="16976" applyFont="true" borderId="8" applyBorder="true" applyNumberFormat="true" numFmtId="2" fillId="22" applyFill="true">
      <alignment horizontal="center" vertical="center"/>
    </xf>
    <xf fontId="16977" applyFont="true" borderId="8" applyBorder="true" applyNumberFormat="true" numFmtId="2" fillId="22" applyFill="true">
      <alignment horizontal="center" vertical="center"/>
    </xf>
    <xf fontId="16978" applyFont="true" borderId="8" applyBorder="true" applyNumberFormat="true" numFmtId="2" fillId="22" applyFill="true">
      <alignment horizontal="center" vertical="center"/>
    </xf>
    <xf fontId="16979" applyFont="true" borderId="8" applyBorder="true" applyNumberFormat="true" numFmtId="2" fillId="22" applyFill="true">
      <alignment horizontal="center" vertical="center"/>
    </xf>
    <xf fontId="16980" applyFont="true" borderId="8" applyBorder="true" applyNumberFormat="true" numFmtId="2" fillId="22" applyFill="true">
      <alignment horizontal="center" vertical="center"/>
    </xf>
    <xf fontId="16981" applyFont="true" borderId="8" applyBorder="true" applyNumberFormat="true" numFmtId="2" fillId="22" applyFill="true">
      <alignment horizontal="center" vertical="center"/>
    </xf>
    <xf fontId="16982" applyFont="true" borderId="8" applyBorder="true" applyNumberFormat="true" numFmtId="2" fillId="22" applyFill="true">
      <alignment horizontal="center" vertical="center"/>
    </xf>
    <xf fontId="16983" applyFont="true" borderId="8" applyBorder="true" applyNumberFormat="true" numFmtId="2" fillId="22" applyFill="true">
      <alignment horizontal="center" vertical="center"/>
    </xf>
    <xf fontId="16984" applyFont="true" borderId="8" applyBorder="true" applyNumberFormat="true" numFmtId="2" fillId="22" applyFill="true">
      <alignment horizontal="center" vertical="center"/>
    </xf>
    <xf fontId="16985" applyFont="true" borderId="8" applyBorder="true" applyNumberFormat="true" numFmtId="2" fillId="22" applyFill="true">
      <alignment horizontal="center" vertical="center"/>
    </xf>
    <xf fontId="16986" applyFont="true" borderId="8" applyBorder="true" applyNumberFormat="true" numFmtId="2" fillId="22" applyFill="true">
      <alignment horizontal="center" vertical="center"/>
    </xf>
    <xf fontId="16987" applyFont="true" borderId="8" applyBorder="true" applyNumberFormat="true" numFmtId="2" fillId="22" applyFill="true">
      <alignment horizontal="center" vertical="center"/>
    </xf>
    <xf fontId="16988" applyFont="true" borderId="8" applyBorder="true" applyNumberFormat="true" numFmtId="2" fillId="22" applyFill="true">
      <alignment horizontal="center" vertical="center"/>
    </xf>
    <xf fontId="16989" applyFont="true" borderId="8" applyBorder="true" applyNumberFormat="true" numFmtId="2" fillId="22" applyFill="true">
      <alignment horizontal="center" vertical="center"/>
    </xf>
    <xf fontId="16990" applyFont="true" borderId="8" applyBorder="true" applyNumberFormat="true" numFmtId="2" fillId="22" applyFill="true">
      <alignment horizontal="center" vertical="center"/>
    </xf>
    <xf fontId="16991" applyFont="true" borderId="8" applyBorder="true" applyNumberFormat="true" numFmtId="2" fillId="22" applyFill="true">
      <alignment horizontal="center" vertical="center"/>
    </xf>
    <xf fontId="16992" applyFont="true" borderId="8" applyBorder="true" applyNumberFormat="true" numFmtId="2" fillId="22" applyFill="true">
      <alignment horizontal="center" vertical="center"/>
    </xf>
    <xf fontId="16993" applyFont="true" borderId="8" applyBorder="true" applyNumberFormat="true" numFmtId="2" fillId="22" applyFill="true">
      <alignment horizontal="center" vertical="center"/>
    </xf>
    <xf fontId="16994" applyFont="true" borderId="8" applyBorder="true" applyNumberFormat="true" numFmtId="2" fillId="22" applyFill="true">
      <alignment horizontal="center" vertical="center"/>
    </xf>
    <xf fontId="16995" applyFont="true" borderId="8" applyBorder="true" applyNumberFormat="true" numFmtId="2" fillId="22" applyFill="true">
      <alignment horizontal="center" vertical="center"/>
    </xf>
    <xf fontId="16996" applyFont="true" borderId="8" applyBorder="true" applyNumberFormat="true" numFmtId="2" fillId="22" applyFill="true">
      <alignment horizontal="center" vertical="center"/>
    </xf>
    <xf fontId="16997" applyFont="true" borderId="8" applyBorder="true" applyNumberFormat="true" numFmtId="2" fillId="22" applyFill="true">
      <alignment horizontal="center" vertical="center"/>
    </xf>
    <xf fontId="16998" applyFont="true" borderId="8" applyBorder="true" applyNumberFormat="true" numFmtId="2" fillId="22" applyFill="true">
      <alignment horizontal="center" vertical="center"/>
    </xf>
    <xf fontId="16999" applyFont="true" borderId="8" applyBorder="true" applyNumberFormat="true" numFmtId="2" fillId="22" applyFill="true">
      <alignment horizontal="center" vertical="center"/>
    </xf>
    <xf fontId="17000" applyFont="true" borderId="8" applyBorder="true" applyNumberFormat="true" numFmtId="2" fillId="22" applyFill="true">
      <alignment horizontal="center" vertical="center"/>
    </xf>
    <xf fontId="17001" applyFont="true" borderId="8" applyBorder="true" applyNumberFormat="true" numFmtId="2" fillId="22" applyFill="true">
      <alignment horizontal="center" vertical="center"/>
    </xf>
    <xf fontId="17002" applyFont="true" borderId="8" applyBorder="true" applyNumberFormat="true" numFmtId="2" fillId="22" applyFill="true">
      <alignment horizontal="center" vertical="center"/>
    </xf>
    <xf fontId="17003" applyFont="true" borderId="8" applyBorder="true" applyNumberFormat="true" numFmtId="2" fillId="22" applyFill="true">
      <alignment horizontal="center" vertical="center"/>
    </xf>
    <xf fontId="17004" applyFont="true" borderId="8" applyBorder="true" applyNumberFormat="true" numFmtId="2" fillId="22" applyFill="true">
      <alignment horizontal="center" vertical="center"/>
    </xf>
    <xf fontId="17005" applyFont="true" borderId="8" applyBorder="true" applyNumberFormat="true" numFmtId="165" fillId="19" applyFill="true">
      <alignment horizontal="left" vertical="center"/>
    </xf>
    <xf fontId="17006" applyFont="true" borderId="8" applyBorder="true" applyNumberFormat="true" numFmtId="165" fillId="22" applyFill="true">
      <alignment horizontal="center" vertical="center"/>
    </xf>
    <xf fontId="17007" applyFont="true" borderId="8" applyBorder="true" applyNumberFormat="true" numFmtId="166" fillId="22" applyFill="true">
      <alignment horizontal="center" vertical="center"/>
    </xf>
    <xf fontId="17008" applyFont="true" borderId="8" applyBorder="true" applyNumberFormat="true" numFmtId="1" fillId="22" applyFill="true">
      <alignment horizontal="center" vertical="center"/>
    </xf>
    <xf fontId="17009" applyFont="true" borderId="8" applyBorder="true" applyNumberFormat="true" numFmtId="1" fillId="22" applyFill="true">
      <alignment horizontal="center" vertical="center"/>
    </xf>
    <xf fontId="17010" applyFont="true" borderId="8" applyBorder="true" applyNumberFormat="true" numFmtId="1" fillId="22" applyFill="true">
      <alignment horizontal="center" vertical="center"/>
    </xf>
    <xf fontId="17011" applyFont="true" borderId="8" applyBorder="true" applyNumberFormat="true" numFmtId="1" fillId="22" applyFill="true">
      <alignment horizontal="center" vertical="center"/>
    </xf>
    <xf fontId="17012" applyFont="true" borderId="8" applyBorder="true" applyNumberFormat="true" numFmtId="1" fillId="22" applyFill="true">
      <alignment horizontal="center" vertical="center"/>
    </xf>
    <xf fontId="17013" applyFont="true" borderId="8" applyBorder="true" applyNumberFormat="true" numFmtId="1" fillId="22" applyFill="true">
      <alignment horizontal="center" vertical="center"/>
    </xf>
    <xf fontId="17014" applyFont="true" borderId="8" applyBorder="true" applyNumberFormat="true" numFmtId="1" fillId="22" applyFill="true">
      <alignment horizontal="center" vertical="center"/>
    </xf>
    <xf fontId="17015" applyFont="true" borderId="8" applyBorder="true" applyNumberFormat="true" numFmtId="165" fillId="22" applyFill="true">
      <alignment horizontal="center" vertical="center"/>
    </xf>
    <xf fontId="17016" applyFont="true" borderId="8" applyBorder="true" applyNumberFormat="true" numFmtId="165" fillId="22" applyFill="true">
      <alignment horizontal="center" vertical="center"/>
    </xf>
    <xf fontId="17017" applyFont="true" borderId="8" applyBorder="true" applyNumberFormat="true" numFmtId="1" fillId="22" applyFill="true">
      <alignment horizontal="center" vertical="center"/>
    </xf>
    <xf fontId="17018" applyFont="true" borderId="8" applyBorder="true" applyNumberFormat="true" numFmtId="1" fillId="22" applyFill="true">
      <alignment horizontal="center" vertical="center"/>
    </xf>
    <xf fontId="17019" applyFont="true" borderId="8" applyBorder="true" applyNumberFormat="true" numFmtId="1" fillId="22" applyFill="true">
      <alignment horizontal="center" vertical="center"/>
    </xf>
    <xf fontId="17020" applyFont="true" borderId="8" applyBorder="true" applyNumberFormat="true" numFmtId="167" fillId="22" applyFill="true">
      <alignment horizontal="center" vertical="center"/>
    </xf>
    <xf fontId="17021" applyFont="true" borderId="8" applyBorder="true" applyNumberFormat="true" numFmtId="1" fillId="22" applyFill="true">
      <alignment horizontal="center" vertical="center"/>
    </xf>
    <xf fontId="17022" applyFont="true" borderId="8" applyBorder="true" applyNumberFormat="true" numFmtId="167" fillId="22" applyFill="true">
      <alignment horizontal="center" vertical="center"/>
    </xf>
    <xf fontId="17023" applyFont="true" borderId="8" applyBorder="true" applyNumberFormat="true" numFmtId="1" fillId="22" applyFill="true">
      <alignment horizontal="center" vertical="center"/>
    </xf>
    <xf fontId="17024" applyFont="true" borderId="8" applyBorder="true" applyNumberFormat="true" numFmtId="167" fillId="22" applyFill="true">
      <alignment horizontal="center" vertical="center"/>
    </xf>
    <xf fontId="17025" applyFont="true" borderId="8" applyBorder="true" applyNumberFormat="true" numFmtId="1" fillId="22" applyFill="true">
      <alignment horizontal="center" vertical="center"/>
    </xf>
    <xf fontId="17026" applyFont="true" borderId="8" applyBorder="true" applyNumberFormat="true" numFmtId="167" fillId="22" applyFill="true">
      <alignment horizontal="center" vertical="center"/>
    </xf>
    <xf fontId="17027" applyFont="true" borderId="8" applyBorder="true" applyNumberFormat="true" numFmtId="167" fillId="22" applyFill="true">
      <alignment horizontal="center" vertical="center"/>
    </xf>
    <xf fontId="17028" applyFont="true" borderId="8" applyBorder="true" applyNumberFormat="true" numFmtId="1" fillId="22" applyFill="true">
      <alignment horizontal="center" vertical="center"/>
    </xf>
    <xf fontId="17029" applyFont="true" borderId="8" applyBorder="true" applyNumberFormat="true" numFmtId="1" fillId="22" applyFill="true">
      <alignment horizontal="center" vertical="center"/>
    </xf>
    <xf fontId="17030" applyFont="true" borderId="8" applyBorder="true" applyNumberFormat="true" numFmtId="1" fillId="22" applyFill="true">
      <alignment horizontal="center" vertical="center"/>
    </xf>
    <xf fontId="17031" applyFont="true" borderId="8" applyBorder="true" applyNumberFormat="true" numFmtId="167" fillId="22" applyFill="true">
      <alignment horizontal="center" vertical="center"/>
    </xf>
    <xf fontId="17032" applyFont="true" borderId="8" applyBorder="true" applyNumberFormat="true" numFmtId="166" fillId="22" applyFill="true">
      <alignment horizontal="center" vertical="center"/>
    </xf>
    <xf fontId="17033" applyFont="true" borderId="8" applyBorder="true" applyNumberFormat="true" numFmtId="166" fillId="22" applyFill="true">
      <alignment horizontal="center" vertical="center"/>
    </xf>
    <xf fontId="17034" applyFont="true" borderId="8" applyBorder="true" applyNumberFormat="true" numFmtId="1" fillId="22" applyFill="true">
      <alignment horizontal="center" vertical="center"/>
    </xf>
    <xf fontId="17035" applyFont="true" borderId="8" applyBorder="true" applyNumberFormat="true" numFmtId="1" fillId="22" applyFill="true">
      <alignment horizontal="center" vertical="center"/>
    </xf>
    <xf fontId="17036" applyFont="true" borderId="8" applyBorder="true" applyNumberFormat="true" numFmtId="1" fillId="22" applyFill="true">
      <alignment horizontal="center" vertical="center"/>
    </xf>
    <xf fontId="17037" applyFont="true" borderId="8" applyBorder="true" applyNumberFormat="true" numFmtId="167" fillId="22" applyFill="true">
      <alignment horizontal="center" vertical="center"/>
    </xf>
    <xf fontId="17038" applyFont="true" borderId="8" applyBorder="true" applyNumberFormat="true" numFmtId="1" fillId="22" applyFill="true">
      <alignment horizontal="center" vertical="center"/>
    </xf>
    <xf fontId="17039" applyFont="true" borderId="8" applyBorder="true" applyNumberFormat="true" numFmtId="167" fillId="22" applyFill="true">
      <alignment horizontal="center" vertical="center"/>
    </xf>
    <xf fontId="17040" applyFont="true" borderId="8" applyBorder="true" applyNumberFormat="true" numFmtId="1" fillId="22" applyFill="true">
      <alignment horizontal="center" vertical="center"/>
    </xf>
    <xf fontId="17041" applyFont="true" borderId="8" applyBorder="true" applyNumberFormat="true" numFmtId="1" fillId="22" applyFill="true">
      <alignment horizontal="center" vertical="center"/>
    </xf>
    <xf fontId="17042" applyFont="true" borderId="8" applyBorder="true" applyNumberFormat="true" numFmtId="1" fillId="22" applyFill="true">
      <alignment horizontal="center" vertical="center"/>
    </xf>
    <xf fontId="17043" applyFont="true" borderId="8" applyBorder="true" applyNumberFormat="true" numFmtId="1" fillId="22" applyFill="true">
      <alignment horizontal="center" vertical="center"/>
    </xf>
    <xf fontId="17044" applyFont="true" borderId="8" applyBorder="true" applyNumberFormat="true" numFmtId="167" fillId="22" applyFill="true">
      <alignment horizontal="center" vertical="center"/>
    </xf>
    <xf fontId="17045" applyFont="true" borderId="8" applyBorder="true" applyNumberFormat="true" numFmtId="1" fillId="22" applyFill="true">
      <alignment horizontal="center" vertical="center"/>
    </xf>
    <xf fontId="17046" applyFont="true" borderId="8" applyBorder="true" applyNumberFormat="true" numFmtId="167" fillId="22" applyFill="true">
      <alignment horizontal="center" vertical="center"/>
    </xf>
    <xf fontId="17047" applyFont="true" borderId="8" applyBorder="true" applyNumberFormat="true" numFmtId="1" fillId="22" applyFill="true">
      <alignment horizontal="center" vertical="center"/>
    </xf>
    <xf fontId="17048" applyFont="true" borderId="8" applyBorder="true" applyNumberFormat="true" numFmtId="167" fillId="22" applyFill="true">
      <alignment horizontal="center" vertical="center"/>
    </xf>
    <xf fontId="17049" applyFont="true" borderId="8" applyBorder="true" applyNumberFormat="true" numFmtId="2" fillId="22" applyFill="true">
      <alignment horizontal="center" vertical="center"/>
    </xf>
    <xf fontId="17050" applyFont="true" borderId="8" applyBorder="true" applyNumberFormat="true" numFmtId="2" fillId="22" applyFill="true">
      <alignment horizontal="center" vertical="center"/>
    </xf>
    <xf fontId="17051" applyFont="true" borderId="8" applyBorder="true" applyNumberFormat="true" numFmtId="2" fillId="22" applyFill="true">
      <alignment horizontal="center" vertical="center"/>
    </xf>
    <xf fontId="17052" applyFont="true" borderId="8" applyBorder="true" applyNumberFormat="true" numFmtId="2" fillId="22" applyFill="true">
      <alignment horizontal="center" vertical="center"/>
    </xf>
    <xf fontId="17053" applyFont="true" borderId="8" applyBorder="true" applyNumberFormat="true" numFmtId="2" fillId="22" applyFill="true">
      <alignment horizontal="center" vertical="center"/>
    </xf>
    <xf fontId="17054" applyFont="true" borderId="8" applyBorder="true" applyNumberFormat="true" numFmtId="2" fillId="22" applyFill="true">
      <alignment horizontal="center" vertical="center"/>
    </xf>
    <xf fontId="17055" applyFont="true" borderId="8" applyBorder="true" applyNumberFormat="true" numFmtId="2" fillId="22" applyFill="true">
      <alignment horizontal="center" vertical="center"/>
    </xf>
    <xf fontId="17056" applyFont="true" borderId="8" applyBorder="true" applyNumberFormat="true" numFmtId="2" fillId="22" applyFill="true">
      <alignment horizontal="center" vertical="center"/>
    </xf>
    <xf fontId="17057" applyFont="true" borderId="8" applyBorder="true" applyNumberFormat="true" numFmtId="2" fillId="22" applyFill="true">
      <alignment horizontal="center" vertical="center"/>
    </xf>
    <xf fontId="17058" applyFont="true" borderId="8" applyBorder="true" applyNumberFormat="true" numFmtId="2" fillId="22" applyFill="true">
      <alignment horizontal="center" vertical="center"/>
    </xf>
    <xf fontId="17059" applyFont="true" borderId="8" applyBorder="true" applyNumberFormat="true" numFmtId="2" fillId="22" applyFill="true">
      <alignment horizontal="center" vertical="center"/>
    </xf>
    <xf fontId="17060" applyFont="true" borderId="8" applyBorder="true" applyNumberFormat="true" numFmtId="2" fillId="22" applyFill="true">
      <alignment horizontal="center" vertical="center"/>
    </xf>
    <xf fontId="17061" applyFont="true" borderId="8" applyBorder="true" applyNumberFormat="true" numFmtId="2" fillId="22" applyFill="true">
      <alignment horizontal="center" vertical="center"/>
    </xf>
    <xf fontId="17062" applyFont="true" borderId="8" applyBorder="true" applyNumberFormat="true" numFmtId="2" fillId="22" applyFill="true">
      <alignment horizontal="center" vertical="center"/>
    </xf>
    <xf fontId="17063" applyFont="true" borderId="8" applyBorder="true" applyNumberFormat="true" numFmtId="2" fillId="22" applyFill="true">
      <alignment horizontal="center" vertical="center"/>
    </xf>
    <xf fontId="17064" applyFont="true" borderId="8" applyBorder="true" applyNumberFormat="true" numFmtId="2" fillId="22" applyFill="true">
      <alignment horizontal="center" vertical="center"/>
    </xf>
    <xf fontId="17065" applyFont="true" borderId="8" applyBorder="true" applyNumberFormat="true" numFmtId="2" fillId="22" applyFill="true">
      <alignment horizontal="center" vertical="center"/>
    </xf>
    <xf fontId="17066" applyFont="true" borderId="8" applyBorder="true" applyNumberFormat="true" numFmtId="2" fillId="22" applyFill="true">
      <alignment horizontal="center" vertical="center"/>
    </xf>
    <xf fontId="17067" applyFont="true" borderId="8" applyBorder="true" applyNumberFormat="true" numFmtId="2" fillId="22" applyFill="true">
      <alignment horizontal="center" vertical="center"/>
    </xf>
    <xf fontId="17068" applyFont="true" borderId="8" applyBorder="true" applyNumberFormat="true" numFmtId="2" fillId="22" applyFill="true">
      <alignment horizontal="center" vertical="center"/>
    </xf>
    <xf fontId="17069" applyFont="true" borderId="8" applyBorder="true" applyNumberFormat="true" numFmtId="2" fillId="22" applyFill="true">
      <alignment horizontal="center" vertical="center"/>
    </xf>
    <xf fontId="17070" applyFont="true" borderId="8" applyBorder="true" applyNumberFormat="true" numFmtId="2" fillId="22" applyFill="true">
      <alignment horizontal="center" vertical="center"/>
    </xf>
    <xf fontId="17071" applyFont="true" borderId="8" applyBorder="true" applyNumberFormat="true" numFmtId="2" fillId="22" applyFill="true">
      <alignment horizontal="center" vertical="center"/>
    </xf>
    <xf fontId="17072" applyFont="true" borderId="8" applyBorder="true" applyNumberFormat="true" numFmtId="2" fillId="22" applyFill="true">
      <alignment horizontal="center" vertical="center"/>
    </xf>
    <xf fontId="17073" applyFont="true" borderId="8" applyBorder="true" applyNumberFormat="true" numFmtId="2" fillId="22" applyFill="true">
      <alignment horizontal="center" vertical="center"/>
    </xf>
    <xf fontId="17074" applyFont="true" borderId="8" applyBorder="true" applyNumberFormat="true" numFmtId="2" fillId="22" applyFill="true">
      <alignment horizontal="center" vertical="center"/>
    </xf>
    <xf fontId="17075" applyFont="true" borderId="8" applyBorder="true" applyNumberFormat="true" numFmtId="2" fillId="22" applyFill="true">
      <alignment horizontal="center" vertical="center"/>
    </xf>
    <xf fontId="17076" applyFont="true" borderId="8" applyBorder="true" applyNumberFormat="true" numFmtId="2" fillId="22" applyFill="true">
      <alignment horizontal="center" vertical="center"/>
    </xf>
    <xf fontId="17077" applyFont="true" borderId="8" applyBorder="true" applyNumberFormat="true" numFmtId="2" fillId="22" applyFill="true">
      <alignment horizontal="center" vertical="center"/>
    </xf>
    <xf fontId="17078" applyFont="true" borderId="8" applyBorder="true" applyNumberFormat="true" numFmtId="2" fillId="22" applyFill="true">
      <alignment horizontal="center" vertical="center"/>
    </xf>
    <xf fontId="17079" applyFont="true" borderId="8" applyBorder="true" applyNumberFormat="true" numFmtId="2" fillId="22" applyFill="true">
      <alignment horizontal="center" vertical="center"/>
    </xf>
    <xf fontId="17080" applyFont="true" borderId="8" applyBorder="true" applyNumberFormat="true" numFmtId="2" fillId="22" applyFill="true">
      <alignment horizontal="center" vertical="center"/>
    </xf>
    <xf fontId="17081" applyFont="true" borderId="8" applyBorder="true" applyNumberFormat="true" numFmtId="2" fillId="22" applyFill="true">
      <alignment horizontal="center" vertical="center"/>
    </xf>
    <xf fontId="17082" applyFont="true" borderId="8" applyBorder="true" applyNumberFormat="true" numFmtId="2" fillId="22" applyFill="true">
      <alignment horizontal="center" vertical="center"/>
    </xf>
    <xf fontId="17083" applyFont="true" borderId="8" applyBorder="true" applyNumberFormat="true" numFmtId="165" fillId="19" applyFill="true">
      <alignment horizontal="left" vertical="center"/>
    </xf>
    <xf fontId="17084" applyFont="true" borderId="8" applyBorder="true" applyNumberFormat="true" numFmtId="165" fillId="22" applyFill="true">
      <alignment horizontal="center" vertical="center"/>
    </xf>
    <xf fontId="17085" applyFont="true" borderId="8" applyBorder="true" applyNumberFormat="true" numFmtId="166" fillId="22" applyFill="true">
      <alignment horizontal="center" vertical="center"/>
    </xf>
    <xf fontId="17086" applyFont="true" borderId="8" applyBorder="true" applyNumberFormat="true" numFmtId="1" fillId="22" applyFill="true">
      <alignment horizontal="center" vertical="center"/>
    </xf>
    <xf fontId="17087" applyFont="true" borderId="8" applyBorder="true" applyNumberFormat="true" numFmtId="1" fillId="22" applyFill="true">
      <alignment horizontal="center" vertical="center"/>
    </xf>
    <xf fontId="17088" applyFont="true" borderId="8" applyBorder="true" applyNumberFormat="true" numFmtId="1" fillId="22" applyFill="true">
      <alignment horizontal="center" vertical="center"/>
    </xf>
    <xf fontId="17089" applyFont="true" borderId="8" applyBorder="true" applyNumberFormat="true" numFmtId="1" fillId="22" applyFill="true">
      <alignment horizontal="center" vertical="center"/>
    </xf>
    <xf fontId="17090" applyFont="true" borderId="8" applyBorder="true" applyNumberFormat="true" numFmtId="1" fillId="22" applyFill="true">
      <alignment horizontal="center" vertical="center"/>
    </xf>
    <xf fontId="17091" applyFont="true" borderId="8" applyBorder="true" applyNumberFormat="true" numFmtId="1" fillId="22" applyFill="true">
      <alignment horizontal="center" vertical="center"/>
    </xf>
    <xf fontId="17092" applyFont="true" borderId="8" applyBorder="true" applyNumberFormat="true" numFmtId="1" fillId="22" applyFill="true">
      <alignment horizontal="center" vertical="center"/>
    </xf>
    <xf fontId="17093" applyFont="true" borderId="8" applyBorder="true" applyNumberFormat="true" numFmtId="165" fillId="22" applyFill="true">
      <alignment horizontal="center" vertical="center"/>
    </xf>
    <xf fontId="17094" applyFont="true" borderId="8" applyBorder="true" applyNumberFormat="true" numFmtId="165" fillId="22" applyFill="true">
      <alignment horizontal="center" vertical="center"/>
    </xf>
    <xf fontId="17095" applyFont="true" borderId="8" applyBorder="true" applyNumberFormat="true" numFmtId="1" fillId="22" applyFill="true">
      <alignment horizontal="center" vertical="center"/>
    </xf>
    <xf fontId="17096" applyFont="true" borderId="8" applyBorder="true" applyNumberFormat="true" numFmtId="1" fillId="22" applyFill="true">
      <alignment horizontal="center" vertical="center"/>
    </xf>
    <xf fontId="17097" applyFont="true" borderId="8" applyBorder="true" applyNumberFormat="true" numFmtId="1" fillId="22" applyFill="true">
      <alignment horizontal="center" vertical="center"/>
    </xf>
    <xf fontId="17098" applyFont="true" borderId="8" applyBorder="true" applyNumberFormat="true" numFmtId="167" fillId="22" applyFill="true">
      <alignment horizontal="center" vertical="center"/>
    </xf>
    <xf fontId="17099" applyFont="true" borderId="8" applyBorder="true" applyNumberFormat="true" numFmtId="1" fillId="22" applyFill="true">
      <alignment horizontal="center" vertical="center"/>
    </xf>
    <xf fontId="17100" applyFont="true" borderId="8" applyBorder="true" applyNumberFormat="true" numFmtId="167" fillId="22" applyFill="true">
      <alignment horizontal="center" vertical="center"/>
    </xf>
    <xf fontId="17101" applyFont="true" borderId="8" applyBorder="true" applyNumberFormat="true" numFmtId="1" fillId="22" applyFill="true">
      <alignment horizontal="center" vertical="center"/>
    </xf>
    <xf fontId="17102" applyFont="true" borderId="8" applyBorder="true" applyNumberFormat="true" numFmtId="167" fillId="22" applyFill="true">
      <alignment horizontal="center" vertical="center"/>
    </xf>
    <xf fontId="17103" applyFont="true" borderId="8" applyBorder="true" applyNumberFormat="true" numFmtId="1" fillId="22" applyFill="true">
      <alignment horizontal="center" vertical="center"/>
    </xf>
    <xf fontId="17104" applyFont="true" borderId="8" applyBorder="true" applyNumberFormat="true" numFmtId="167" fillId="22" applyFill="true">
      <alignment horizontal="center" vertical="center"/>
    </xf>
    <xf fontId="17105" applyFont="true" borderId="8" applyBorder="true" applyNumberFormat="true" numFmtId="167" fillId="22" applyFill="true">
      <alignment horizontal="center" vertical="center"/>
    </xf>
    <xf fontId="17106" applyFont="true" borderId="8" applyBorder="true" applyNumberFormat="true" numFmtId="1" fillId="22" applyFill="true">
      <alignment horizontal="center" vertical="center"/>
    </xf>
    <xf fontId="17107" applyFont="true" borderId="8" applyBorder="true" applyNumberFormat="true" numFmtId="1" fillId="22" applyFill="true">
      <alignment horizontal="center" vertical="center"/>
    </xf>
    <xf fontId="17108" applyFont="true" borderId="8" applyBorder="true" applyNumberFormat="true" numFmtId="1" fillId="22" applyFill="true">
      <alignment horizontal="center" vertical="center"/>
    </xf>
    <xf fontId="17109" applyFont="true" borderId="8" applyBorder="true" applyNumberFormat="true" numFmtId="167" fillId="22" applyFill="true">
      <alignment horizontal="center" vertical="center"/>
    </xf>
    <xf fontId="17110" applyFont="true" borderId="8" applyBorder="true" applyNumberFormat="true" numFmtId="166" fillId="22" applyFill="true">
      <alignment horizontal="center" vertical="center"/>
    </xf>
    <xf fontId="17111" applyFont="true" borderId="8" applyBorder="true" applyNumberFormat="true" numFmtId="166" fillId="22" applyFill="true">
      <alignment horizontal="center" vertical="center"/>
    </xf>
    <xf fontId="17112" applyFont="true" borderId="8" applyBorder="true" applyNumberFormat="true" numFmtId="1" fillId="22" applyFill="true">
      <alignment horizontal="center" vertical="center"/>
    </xf>
    <xf fontId="17113" applyFont="true" borderId="8" applyBorder="true" applyNumberFormat="true" numFmtId="1" fillId="22" applyFill="true">
      <alignment horizontal="center" vertical="center"/>
    </xf>
    <xf fontId="17114" applyFont="true" borderId="8" applyBorder="true" applyNumberFormat="true" numFmtId="1" fillId="22" applyFill="true">
      <alignment horizontal="center" vertical="center"/>
    </xf>
    <xf fontId="17115" applyFont="true" borderId="8" applyBorder="true" applyNumberFormat="true" numFmtId="167" fillId="22" applyFill="true">
      <alignment horizontal="center" vertical="center"/>
    </xf>
    <xf fontId="17116" applyFont="true" borderId="8" applyBorder="true" applyNumberFormat="true" numFmtId="1" fillId="22" applyFill="true">
      <alignment horizontal="center" vertical="center"/>
    </xf>
    <xf fontId="17117" applyFont="true" borderId="8" applyBorder="true" applyNumberFormat="true" numFmtId="167" fillId="22" applyFill="true">
      <alignment horizontal="center" vertical="center"/>
    </xf>
    <xf fontId="17118" applyFont="true" borderId="8" applyBorder="true" applyNumberFormat="true" numFmtId="1" fillId="22" applyFill="true">
      <alignment horizontal="center" vertical="center"/>
    </xf>
    <xf fontId="17119" applyFont="true" borderId="8" applyBorder="true" applyNumberFormat="true" numFmtId="1" fillId="22" applyFill="true">
      <alignment horizontal="center" vertical="center"/>
    </xf>
    <xf fontId="17120" applyFont="true" borderId="8" applyBorder="true" applyNumberFormat="true" numFmtId="1" fillId="22" applyFill="true">
      <alignment horizontal="center" vertical="center"/>
    </xf>
    <xf fontId="17121" applyFont="true" borderId="8" applyBorder="true" applyNumberFormat="true" numFmtId="1" fillId="22" applyFill="true">
      <alignment horizontal="center" vertical="center"/>
    </xf>
    <xf fontId="17122" applyFont="true" borderId="8" applyBorder="true" applyNumberFormat="true" numFmtId="167" fillId="22" applyFill="true">
      <alignment horizontal="center" vertical="center"/>
    </xf>
    <xf fontId="17123" applyFont="true" borderId="8" applyBorder="true" applyNumberFormat="true" numFmtId="1" fillId="22" applyFill="true">
      <alignment horizontal="center" vertical="center"/>
    </xf>
    <xf fontId="17124" applyFont="true" borderId="8" applyBorder="true" applyNumberFormat="true" numFmtId="167" fillId="22" applyFill="true">
      <alignment horizontal="center" vertical="center"/>
    </xf>
    <xf fontId="17125" applyFont="true" borderId="8" applyBorder="true" applyNumberFormat="true" numFmtId="1" fillId="22" applyFill="true">
      <alignment horizontal="center" vertical="center"/>
    </xf>
    <xf fontId="17126" applyFont="true" borderId="8" applyBorder="true" applyNumberFormat="true" numFmtId="167" fillId="22" applyFill="true">
      <alignment horizontal="center" vertical="center"/>
    </xf>
    <xf fontId="17127" applyFont="true" borderId="8" applyBorder="true" applyNumberFormat="true" numFmtId="2" fillId="22" applyFill="true">
      <alignment horizontal="center" vertical="center"/>
    </xf>
    <xf fontId="17128" applyFont="true" borderId="8" applyBorder="true" applyNumberFormat="true" numFmtId="2" fillId="22" applyFill="true">
      <alignment horizontal="center" vertical="center"/>
    </xf>
    <xf fontId="17129" applyFont="true" borderId="8" applyBorder="true" applyNumberFormat="true" numFmtId="2" fillId="22" applyFill="true">
      <alignment horizontal="center" vertical="center"/>
    </xf>
    <xf fontId="17130" applyFont="true" borderId="8" applyBorder="true" applyNumberFormat="true" numFmtId="2" fillId="22" applyFill="true">
      <alignment horizontal="center" vertical="center"/>
    </xf>
    <xf fontId="17131" applyFont="true" borderId="8" applyBorder="true" applyNumberFormat="true" numFmtId="2" fillId="22" applyFill="true">
      <alignment horizontal="center" vertical="center"/>
    </xf>
    <xf fontId="17132" applyFont="true" borderId="8" applyBorder="true" applyNumberFormat="true" numFmtId="2" fillId="22" applyFill="true">
      <alignment horizontal="center" vertical="center"/>
    </xf>
    <xf fontId="17133" applyFont="true" borderId="8" applyBorder="true" applyNumberFormat="true" numFmtId="2" fillId="22" applyFill="true">
      <alignment horizontal="center" vertical="center"/>
    </xf>
    <xf fontId="17134" applyFont="true" borderId="8" applyBorder="true" applyNumberFormat="true" numFmtId="2" fillId="22" applyFill="true">
      <alignment horizontal="center" vertical="center"/>
    </xf>
    <xf fontId="17135" applyFont="true" borderId="8" applyBorder="true" applyNumberFormat="true" numFmtId="2" fillId="22" applyFill="true">
      <alignment horizontal="center" vertical="center"/>
    </xf>
    <xf fontId="17136" applyFont="true" borderId="8" applyBorder="true" applyNumberFormat="true" numFmtId="2" fillId="22" applyFill="true">
      <alignment horizontal="center" vertical="center"/>
    </xf>
    <xf fontId="17137" applyFont="true" borderId="8" applyBorder="true" applyNumberFormat="true" numFmtId="2" fillId="22" applyFill="true">
      <alignment horizontal="center" vertical="center"/>
    </xf>
    <xf fontId="17138" applyFont="true" borderId="8" applyBorder="true" applyNumberFormat="true" numFmtId="2" fillId="22" applyFill="true">
      <alignment horizontal="center" vertical="center"/>
    </xf>
    <xf fontId="17139" applyFont="true" borderId="8" applyBorder="true" applyNumberFormat="true" numFmtId="2" fillId="22" applyFill="true">
      <alignment horizontal="center" vertical="center"/>
    </xf>
    <xf fontId="17140" applyFont="true" borderId="8" applyBorder="true" applyNumberFormat="true" numFmtId="2" fillId="22" applyFill="true">
      <alignment horizontal="center" vertical="center"/>
    </xf>
    <xf fontId="17141" applyFont="true" borderId="8" applyBorder="true" applyNumberFormat="true" numFmtId="2" fillId="22" applyFill="true">
      <alignment horizontal="center" vertical="center"/>
    </xf>
    <xf fontId="17142" applyFont="true" borderId="8" applyBorder="true" applyNumberFormat="true" numFmtId="2" fillId="22" applyFill="true">
      <alignment horizontal="center" vertical="center"/>
    </xf>
    <xf fontId="17143" applyFont="true" borderId="8" applyBorder="true" applyNumberFormat="true" numFmtId="2" fillId="22" applyFill="true">
      <alignment horizontal="center" vertical="center"/>
    </xf>
    <xf fontId="17144" applyFont="true" borderId="8" applyBorder="true" applyNumberFormat="true" numFmtId="2" fillId="22" applyFill="true">
      <alignment horizontal="center" vertical="center"/>
    </xf>
    <xf fontId="17145" applyFont="true" borderId="8" applyBorder="true" applyNumberFormat="true" numFmtId="2" fillId="22" applyFill="true">
      <alignment horizontal="center" vertical="center"/>
    </xf>
    <xf fontId="17146" applyFont="true" borderId="8" applyBorder="true" applyNumberFormat="true" numFmtId="2" fillId="22" applyFill="true">
      <alignment horizontal="center" vertical="center"/>
    </xf>
    <xf fontId="17147" applyFont="true" borderId="8" applyBorder="true" applyNumberFormat="true" numFmtId="2" fillId="22" applyFill="true">
      <alignment horizontal="center" vertical="center"/>
    </xf>
    <xf fontId="17148" applyFont="true" borderId="8" applyBorder="true" applyNumberFormat="true" numFmtId="2" fillId="22" applyFill="true">
      <alignment horizontal="center" vertical="center"/>
    </xf>
    <xf fontId="17149" applyFont="true" borderId="8" applyBorder="true" applyNumberFormat="true" numFmtId="2" fillId="22" applyFill="true">
      <alignment horizontal="center" vertical="center"/>
    </xf>
    <xf fontId="17150" applyFont="true" borderId="8" applyBorder="true" applyNumberFormat="true" numFmtId="2" fillId="22" applyFill="true">
      <alignment horizontal="center" vertical="center"/>
    </xf>
    <xf fontId="17151" applyFont="true" borderId="8" applyBorder="true" applyNumberFormat="true" numFmtId="2" fillId="22" applyFill="true">
      <alignment horizontal="center" vertical="center"/>
    </xf>
    <xf fontId="17152" applyFont="true" borderId="8" applyBorder="true" applyNumberFormat="true" numFmtId="2" fillId="22" applyFill="true">
      <alignment horizontal="center" vertical="center"/>
    </xf>
    <xf fontId="17153" applyFont="true" borderId="8" applyBorder="true" applyNumberFormat="true" numFmtId="2" fillId="22" applyFill="true">
      <alignment horizontal="center" vertical="center"/>
    </xf>
    <xf fontId="17154" applyFont="true" borderId="8" applyBorder="true" applyNumberFormat="true" numFmtId="2" fillId="22" applyFill="true">
      <alignment horizontal="center" vertical="center"/>
    </xf>
    <xf fontId="17155" applyFont="true" borderId="8" applyBorder="true" applyNumberFormat="true" numFmtId="2" fillId="22" applyFill="true">
      <alignment horizontal="center" vertical="center"/>
    </xf>
    <xf fontId="17156" applyFont="true" borderId="8" applyBorder="true" applyNumberFormat="true" numFmtId="2" fillId="22" applyFill="true">
      <alignment horizontal="center" vertical="center"/>
    </xf>
    <xf fontId="17157" applyFont="true" borderId="8" applyBorder="true" applyNumberFormat="true" numFmtId="2" fillId="22" applyFill="true">
      <alignment horizontal="center" vertical="center"/>
    </xf>
    <xf fontId="17158" applyFont="true" borderId="8" applyBorder="true" applyNumberFormat="true" numFmtId="2" fillId="22" applyFill="true">
      <alignment horizontal="center" vertical="center"/>
    </xf>
    <xf fontId="17159" applyFont="true" borderId="8" applyBorder="true" applyNumberFormat="true" numFmtId="2" fillId="22" applyFill="true">
      <alignment horizontal="center" vertical="center"/>
    </xf>
    <xf fontId="17160" applyFont="true" borderId="8" applyBorder="true" applyNumberFormat="true" numFmtId="2" fillId="22" applyFill="true">
      <alignment horizontal="center" vertical="center"/>
    </xf>
    <xf fontId="17161" applyFont="true" borderId="8" applyBorder="true" applyNumberFormat="true" numFmtId="165" fillId="19" applyFill="true">
      <alignment horizontal="left" vertical="center"/>
    </xf>
    <xf fontId="17162" applyFont="true" borderId="8" applyBorder="true" applyNumberFormat="true" numFmtId="165" fillId="22" applyFill="true">
      <alignment horizontal="center" vertical="center"/>
    </xf>
    <xf fontId="17163" applyFont="true" borderId="8" applyBorder="true" applyNumberFormat="true" numFmtId="166" fillId="22" applyFill="true">
      <alignment horizontal="center" vertical="center"/>
    </xf>
    <xf fontId="17164" applyFont="true" borderId="8" applyBorder="true" applyNumberFormat="true" numFmtId="1" fillId="22" applyFill="true">
      <alignment horizontal="center" vertical="center"/>
    </xf>
    <xf fontId="17165" applyFont="true" borderId="8" applyBorder="true" applyNumberFormat="true" numFmtId="1" fillId="22" applyFill="true">
      <alignment horizontal="center" vertical="center"/>
    </xf>
    <xf fontId="17166" applyFont="true" borderId="8" applyBorder="true" applyNumberFormat="true" numFmtId="1" fillId="22" applyFill="true">
      <alignment horizontal="center" vertical="center"/>
    </xf>
    <xf fontId="17167" applyFont="true" borderId="8" applyBorder="true" applyNumberFormat="true" numFmtId="1" fillId="22" applyFill="true">
      <alignment horizontal="center" vertical="center"/>
    </xf>
    <xf fontId="17168" applyFont="true" borderId="8" applyBorder="true" applyNumberFormat="true" numFmtId="1" fillId="22" applyFill="true">
      <alignment horizontal="center" vertical="center"/>
    </xf>
    <xf fontId="17169" applyFont="true" borderId="8" applyBorder="true" applyNumberFormat="true" numFmtId="1" fillId="22" applyFill="true">
      <alignment horizontal="center" vertical="center"/>
    </xf>
    <xf fontId="17170" applyFont="true" borderId="8" applyBorder="true" applyNumberFormat="true" numFmtId="1" fillId="22" applyFill="true">
      <alignment horizontal="center" vertical="center"/>
    </xf>
    <xf fontId="17171" applyFont="true" borderId="8" applyBorder="true" applyNumberFormat="true" numFmtId="165" fillId="22" applyFill="true">
      <alignment horizontal="center" vertical="center"/>
    </xf>
    <xf fontId="17172" applyFont="true" borderId="8" applyBorder="true" applyNumberFormat="true" numFmtId="165" fillId="22" applyFill="true">
      <alignment horizontal="center" vertical="center"/>
    </xf>
    <xf fontId="17173" applyFont="true" borderId="8" applyBorder="true" applyNumberFormat="true" numFmtId="1" fillId="22" applyFill="true">
      <alignment horizontal="center" vertical="center"/>
    </xf>
    <xf fontId="17174" applyFont="true" borderId="8" applyBorder="true" applyNumberFormat="true" numFmtId="1" fillId="22" applyFill="true">
      <alignment horizontal="center" vertical="center"/>
    </xf>
    <xf fontId="17175" applyFont="true" borderId="8" applyBorder="true" applyNumberFormat="true" numFmtId="1" fillId="22" applyFill="true">
      <alignment horizontal="center" vertical="center"/>
    </xf>
    <xf fontId="17176" applyFont="true" borderId="8" applyBorder="true" applyNumberFormat="true" numFmtId="167" fillId="22" applyFill="true">
      <alignment horizontal="center" vertical="center"/>
    </xf>
    <xf fontId="17177" applyFont="true" borderId="8" applyBorder="true" applyNumberFormat="true" numFmtId="1" fillId="22" applyFill="true">
      <alignment horizontal="center" vertical="center"/>
    </xf>
    <xf fontId="17178" applyFont="true" borderId="8" applyBorder="true" applyNumberFormat="true" numFmtId="167" fillId="22" applyFill="true">
      <alignment horizontal="center" vertical="center"/>
    </xf>
    <xf fontId="17179" applyFont="true" borderId="8" applyBorder="true" applyNumberFormat="true" numFmtId="1" fillId="22" applyFill="true">
      <alignment horizontal="center" vertical="center"/>
    </xf>
    <xf fontId="17180" applyFont="true" borderId="8" applyBorder="true" applyNumberFormat="true" numFmtId="167" fillId="22" applyFill="true">
      <alignment horizontal="center" vertical="center"/>
    </xf>
    <xf fontId="17181" applyFont="true" borderId="8" applyBorder="true" applyNumberFormat="true" numFmtId="1" fillId="22" applyFill="true">
      <alignment horizontal="center" vertical="center"/>
    </xf>
    <xf fontId="17182" applyFont="true" borderId="8" applyBorder="true" applyNumberFormat="true" numFmtId="167" fillId="22" applyFill="true">
      <alignment horizontal="center" vertical="center"/>
    </xf>
    <xf fontId="17183" applyFont="true" borderId="8" applyBorder="true" applyNumberFormat="true" numFmtId="167" fillId="22" applyFill="true">
      <alignment horizontal="center" vertical="center"/>
    </xf>
    <xf fontId="17184" applyFont="true" borderId="8" applyBorder="true" applyNumberFormat="true" numFmtId="1" fillId="22" applyFill="true">
      <alignment horizontal="center" vertical="center"/>
    </xf>
    <xf fontId="17185" applyFont="true" borderId="8" applyBorder="true" applyNumberFormat="true" numFmtId="1" fillId="22" applyFill="true">
      <alignment horizontal="center" vertical="center"/>
    </xf>
    <xf fontId="17186" applyFont="true" borderId="8" applyBorder="true" applyNumberFormat="true" numFmtId="1" fillId="22" applyFill="true">
      <alignment horizontal="center" vertical="center"/>
    </xf>
    <xf fontId="17187" applyFont="true" borderId="8" applyBorder="true" applyNumberFormat="true" numFmtId="167" fillId="22" applyFill="true">
      <alignment horizontal="center" vertical="center"/>
    </xf>
    <xf fontId="17188" applyFont="true" borderId="8" applyBorder="true" applyNumberFormat="true" numFmtId="166" fillId="22" applyFill="true">
      <alignment horizontal="center" vertical="center"/>
    </xf>
    <xf fontId="17189" applyFont="true" borderId="8" applyBorder="true" applyNumberFormat="true" numFmtId="166" fillId="22" applyFill="true">
      <alignment horizontal="center" vertical="center"/>
    </xf>
    <xf fontId="17190" applyFont="true" borderId="8" applyBorder="true" applyNumberFormat="true" numFmtId="1" fillId="22" applyFill="true">
      <alignment horizontal="center" vertical="center"/>
    </xf>
    <xf fontId="17191" applyFont="true" borderId="8" applyBorder="true" applyNumberFormat="true" numFmtId="1" fillId="22" applyFill="true">
      <alignment horizontal="center" vertical="center"/>
    </xf>
    <xf fontId="17192" applyFont="true" borderId="8" applyBorder="true" applyNumberFormat="true" numFmtId="1" fillId="22" applyFill="true">
      <alignment horizontal="center" vertical="center"/>
    </xf>
    <xf fontId="17193" applyFont="true" borderId="8" applyBorder="true" applyNumberFormat="true" numFmtId="167" fillId="22" applyFill="true">
      <alignment horizontal="center" vertical="center"/>
    </xf>
    <xf fontId="17194" applyFont="true" borderId="8" applyBorder="true" applyNumberFormat="true" numFmtId="1" fillId="22" applyFill="true">
      <alignment horizontal="center" vertical="center"/>
    </xf>
    <xf fontId="17195" applyFont="true" borderId="8" applyBorder="true" applyNumberFormat="true" numFmtId="167" fillId="22" applyFill="true">
      <alignment horizontal="center" vertical="center"/>
    </xf>
    <xf fontId="17196" applyFont="true" borderId="8" applyBorder="true" applyNumberFormat="true" numFmtId="1" fillId="22" applyFill="true">
      <alignment horizontal="center" vertical="center"/>
    </xf>
    <xf fontId="17197" applyFont="true" borderId="8" applyBorder="true" applyNumberFormat="true" numFmtId="1" fillId="22" applyFill="true">
      <alignment horizontal="center" vertical="center"/>
    </xf>
    <xf fontId="17198" applyFont="true" borderId="8" applyBorder="true" applyNumberFormat="true" numFmtId="1" fillId="22" applyFill="true">
      <alignment horizontal="center" vertical="center"/>
    </xf>
    <xf fontId="17199" applyFont="true" borderId="8" applyBorder="true" applyNumberFormat="true" numFmtId="1" fillId="22" applyFill="true">
      <alignment horizontal="center" vertical="center"/>
    </xf>
    <xf fontId="17200" applyFont="true" borderId="8" applyBorder="true" applyNumberFormat="true" numFmtId="167" fillId="22" applyFill="true">
      <alignment horizontal="center" vertical="center"/>
    </xf>
    <xf fontId="17201" applyFont="true" borderId="8" applyBorder="true" applyNumberFormat="true" numFmtId="1" fillId="22" applyFill="true">
      <alignment horizontal="center" vertical="center"/>
    </xf>
    <xf fontId="17202" applyFont="true" borderId="8" applyBorder="true" applyNumberFormat="true" numFmtId="167" fillId="22" applyFill="true">
      <alignment horizontal="center" vertical="center"/>
    </xf>
    <xf fontId="17203" applyFont="true" borderId="8" applyBorder="true" applyNumberFormat="true" numFmtId="1" fillId="22" applyFill="true">
      <alignment horizontal="center" vertical="center"/>
    </xf>
    <xf fontId="17204" applyFont="true" borderId="8" applyBorder="true" applyNumberFormat="true" numFmtId="167" fillId="22" applyFill="true">
      <alignment horizontal="center" vertical="center"/>
    </xf>
    <xf fontId="17205" applyFont="true" borderId="8" applyBorder="true" applyNumberFormat="true" numFmtId="2" fillId="22" applyFill="true">
      <alignment horizontal="center" vertical="center"/>
    </xf>
    <xf fontId="17206" applyFont="true" borderId="8" applyBorder="true" applyNumberFormat="true" numFmtId="2" fillId="22" applyFill="true">
      <alignment horizontal="center" vertical="center"/>
    </xf>
    <xf fontId="17207" applyFont="true" borderId="8" applyBorder="true" applyNumberFormat="true" numFmtId="2" fillId="22" applyFill="true">
      <alignment horizontal="center" vertical="center"/>
    </xf>
    <xf fontId="17208" applyFont="true" borderId="8" applyBorder="true" applyNumberFormat="true" numFmtId="2" fillId="22" applyFill="true">
      <alignment horizontal="center" vertical="center"/>
    </xf>
    <xf fontId="17209" applyFont="true" borderId="8" applyBorder="true" applyNumberFormat="true" numFmtId="2" fillId="22" applyFill="true">
      <alignment horizontal="center" vertical="center"/>
    </xf>
    <xf fontId="17210" applyFont="true" borderId="8" applyBorder="true" applyNumberFormat="true" numFmtId="2" fillId="22" applyFill="true">
      <alignment horizontal="center" vertical="center"/>
    </xf>
    <xf fontId="17211" applyFont="true" borderId="8" applyBorder="true" applyNumberFormat="true" numFmtId="2" fillId="22" applyFill="true">
      <alignment horizontal="center" vertical="center"/>
    </xf>
    <xf fontId="17212" applyFont="true" borderId="8" applyBorder="true" applyNumberFormat="true" numFmtId="2" fillId="22" applyFill="true">
      <alignment horizontal="center" vertical="center"/>
    </xf>
    <xf fontId="17213" applyFont="true" borderId="8" applyBorder="true" applyNumberFormat="true" numFmtId="2" fillId="22" applyFill="true">
      <alignment horizontal="center" vertical="center"/>
    </xf>
    <xf fontId="17214" applyFont="true" borderId="8" applyBorder="true" applyNumberFormat="true" numFmtId="2" fillId="22" applyFill="true">
      <alignment horizontal="center" vertical="center"/>
    </xf>
    <xf fontId="17215" applyFont="true" borderId="8" applyBorder="true" applyNumberFormat="true" numFmtId="2" fillId="22" applyFill="true">
      <alignment horizontal="center" vertical="center"/>
    </xf>
    <xf fontId="17216" applyFont="true" borderId="8" applyBorder="true" applyNumberFormat="true" numFmtId="2" fillId="22" applyFill="true">
      <alignment horizontal="center" vertical="center"/>
    </xf>
    <xf fontId="17217" applyFont="true" borderId="8" applyBorder="true" applyNumberFormat="true" numFmtId="2" fillId="22" applyFill="true">
      <alignment horizontal="center" vertical="center"/>
    </xf>
    <xf fontId="17218" applyFont="true" borderId="8" applyBorder="true" applyNumberFormat="true" numFmtId="2" fillId="22" applyFill="true">
      <alignment horizontal="center" vertical="center"/>
    </xf>
    <xf fontId="17219" applyFont="true" borderId="8" applyBorder="true" applyNumberFormat="true" numFmtId="2" fillId="22" applyFill="true">
      <alignment horizontal="center" vertical="center"/>
    </xf>
    <xf fontId="17220" applyFont="true" borderId="8" applyBorder="true" applyNumberFormat="true" numFmtId="2" fillId="22" applyFill="true">
      <alignment horizontal="center" vertical="center"/>
    </xf>
    <xf fontId="17221" applyFont="true" borderId="8" applyBorder="true" applyNumberFormat="true" numFmtId="2" fillId="22" applyFill="true">
      <alignment horizontal="center" vertical="center"/>
    </xf>
    <xf fontId="17222" applyFont="true" borderId="8" applyBorder="true" applyNumberFormat="true" numFmtId="2" fillId="22" applyFill="true">
      <alignment horizontal="center" vertical="center"/>
    </xf>
    <xf fontId="17223" applyFont="true" borderId="8" applyBorder="true" applyNumberFormat="true" numFmtId="2" fillId="22" applyFill="true">
      <alignment horizontal="center" vertical="center"/>
    </xf>
    <xf fontId="17224" applyFont="true" borderId="8" applyBorder="true" applyNumberFormat="true" numFmtId="2" fillId="22" applyFill="true">
      <alignment horizontal="center" vertical="center"/>
    </xf>
    <xf fontId="17225" applyFont="true" borderId="8" applyBorder="true" applyNumberFormat="true" numFmtId="2" fillId="22" applyFill="true">
      <alignment horizontal="center" vertical="center"/>
    </xf>
    <xf fontId="17226" applyFont="true" borderId="8" applyBorder="true" applyNumberFormat="true" numFmtId="2" fillId="22" applyFill="true">
      <alignment horizontal="center" vertical="center"/>
    </xf>
    <xf fontId="17227" applyFont="true" borderId="8" applyBorder="true" applyNumberFormat="true" numFmtId="2" fillId="22" applyFill="true">
      <alignment horizontal="center" vertical="center"/>
    </xf>
    <xf fontId="17228" applyFont="true" borderId="8" applyBorder="true" applyNumberFormat="true" numFmtId="2" fillId="22" applyFill="true">
      <alignment horizontal="center" vertical="center"/>
    </xf>
    <xf fontId="17229" applyFont="true" borderId="8" applyBorder="true" applyNumberFormat="true" numFmtId="2" fillId="22" applyFill="true">
      <alignment horizontal="center" vertical="center"/>
    </xf>
    <xf fontId="17230" applyFont="true" borderId="8" applyBorder="true" applyNumberFormat="true" numFmtId="2" fillId="22" applyFill="true">
      <alignment horizontal="center" vertical="center"/>
    </xf>
    <xf fontId="17231" applyFont="true" borderId="8" applyBorder="true" applyNumberFormat="true" numFmtId="2" fillId="22" applyFill="true">
      <alignment horizontal="center" vertical="center"/>
    </xf>
    <xf fontId="17232" applyFont="true" borderId="8" applyBorder="true" applyNumberFormat="true" numFmtId="2" fillId="22" applyFill="true">
      <alignment horizontal="center" vertical="center"/>
    </xf>
    <xf fontId="17233" applyFont="true" borderId="8" applyBorder="true" applyNumberFormat="true" numFmtId="2" fillId="22" applyFill="true">
      <alignment horizontal="center" vertical="center"/>
    </xf>
    <xf fontId="17234" applyFont="true" borderId="8" applyBorder="true" applyNumberFormat="true" numFmtId="2" fillId="22" applyFill="true">
      <alignment horizontal="center" vertical="center"/>
    </xf>
    <xf fontId="17235" applyFont="true" borderId="8" applyBorder="true" applyNumberFormat="true" numFmtId="2" fillId="22" applyFill="true">
      <alignment horizontal="center" vertical="center"/>
    </xf>
    <xf fontId="17236" applyFont="true" borderId="8" applyBorder="true" applyNumberFormat="true" numFmtId="2" fillId="22" applyFill="true">
      <alignment horizontal="center" vertical="center"/>
    </xf>
    <xf fontId="17237" applyFont="true" borderId="8" applyBorder="true" applyNumberFormat="true" numFmtId="2" fillId="22" applyFill="true">
      <alignment horizontal="center" vertical="center"/>
    </xf>
    <xf fontId="17238" applyFont="true" borderId="8" applyBorder="true" applyNumberFormat="true" numFmtId="2" fillId="22" applyFill="true">
      <alignment horizontal="center" vertical="center"/>
    </xf>
    <xf fontId="17239" applyFont="true" borderId="8" applyBorder="true" applyNumberFormat="true" numFmtId="165" fillId="19" applyFill="true">
      <alignment horizontal="left" vertical="center"/>
    </xf>
    <xf fontId="17240" applyFont="true" borderId="8" applyBorder="true" applyNumberFormat="true" numFmtId="165" fillId="22" applyFill="true">
      <alignment horizontal="center" vertical="center"/>
    </xf>
    <xf fontId="17241" applyFont="true" borderId="8" applyBorder="true" applyNumberFormat="true" numFmtId="166" fillId="22" applyFill="true">
      <alignment horizontal="center" vertical="center"/>
    </xf>
    <xf fontId="17242" applyFont="true" borderId="8" applyBorder="true" applyNumberFormat="true" numFmtId="1" fillId="22" applyFill="true">
      <alignment horizontal="center" vertical="center"/>
    </xf>
    <xf fontId="17243" applyFont="true" borderId="8" applyBorder="true" applyNumberFormat="true" numFmtId="1" fillId="22" applyFill="true">
      <alignment horizontal="center" vertical="center"/>
    </xf>
    <xf fontId="17244" applyFont="true" borderId="8" applyBorder="true" applyNumberFormat="true" numFmtId="1" fillId="22" applyFill="true">
      <alignment horizontal="center" vertical="center"/>
    </xf>
    <xf fontId="17245" applyFont="true" borderId="8" applyBorder="true" applyNumberFormat="true" numFmtId="1" fillId="22" applyFill="true">
      <alignment horizontal="center" vertical="center"/>
    </xf>
    <xf fontId="17246" applyFont="true" borderId="8" applyBorder="true" applyNumberFormat="true" numFmtId="1" fillId="22" applyFill="true">
      <alignment horizontal="center" vertical="center"/>
    </xf>
    <xf fontId="17247" applyFont="true" borderId="8" applyBorder="true" applyNumberFormat="true" numFmtId="1" fillId="22" applyFill="true">
      <alignment horizontal="center" vertical="center"/>
    </xf>
    <xf fontId="17248" applyFont="true" borderId="8" applyBorder="true" applyNumberFormat="true" numFmtId="1" fillId="22" applyFill="true">
      <alignment horizontal="center" vertical="center"/>
    </xf>
    <xf fontId="17249" applyFont="true" borderId="8" applyBorder="true" applyNumberFormat="true" numFmtId="165" fillId="22" applyFill="true">
      <alignment horizontal="center" vertical="center"/>
    </xf>
    <xf fontId="17250" applyFont="true" borderId="8" applyBorder="true" applyNumberFormat="true" numFmtId="165" fillId="22" applyFill="true">
      <alignment horizontal="center" vertical="center"/>
    </xf>
    <xf fontId="17251" applyFont="true" borderId="8" applyBorder="true" applyNumberFormat="true" numFmtId="1" fillId="22" applyFill="true">
      <alignment horizontal="center" vertical="center"/>
    </xf>
    <xf fontId="17252" applyFont="true" borderId="8" applyBorder="true" applyNumberFormat="true" numFmtId="1" fillId="22" applyFill="true">
      <alignment horizontal="center" vertical="center"/>
    </xf>
    <xf fontId="17253" applyFont="true" borderId="8" applyBorder="true" applyNumberFormat="true" numFmtId="1" fillId="22" applyFill="true">
      <alignment horizontal="center" vertical="center"/>
    </xf>
    <xf fontId="17254" applyFont="true" borderId="8" applyBorder="true" applyNumberFormat="true" numFmtId="167" fillId="22" applyFill="true">
      <alignment horizontal="center" vertical="center"/>
    </xf>
    <xf fontId="17255" applyFont="true" borderId="8" applyBorder="true" applyNumberFormat="true" numFmtId="1" fillId="22" applyFill="true">
      <alignment horizontal="center" vertical="center"/>
    </xf>
    <xf fontId="17256" applyFont="true" borderId="8" applyBorder="true" applyNumberFormat="true" numFmtId="167" fillId="22" applyFill="true">
      <alignment horizontal="center" vertical="center"/>
    </xf>
    <xf fontId="17257" applyFont="true" borderId="8" applyBorder="true" applyNumberFormat="true" numFmtId="1" fillId="22" applyFill="true">
      <alignment horizontal="center" vertical="center"/>
    </xf>
    <xf fontId="17258" applyFont="true" borderId="8" applyBorder="true" applyNumberFormat="true" numFmtId="167" fillId="22" applyFill="true">
      <alignment horizontal="center" vertical="center"/>
    </xf>
    <xf fontId="17259" applyFont="true" borderId="8" applyBorder="true" applyNumberFormat="true" numFmtId="1" fillId="22" applyFill="true">
      <alignment horizontal="center" vertical="center"/>
    </xf>
    <xf fontId="17260" applyFont="true" borderId="8" applyBorder="true" applyNumberFormat="true" numFmtId="167" fillId="22" applyFill="true">
      <alignment horizontal="center" vertical="center"/>
    </xf>
    <xf fontId="17261" applyFont="true" borderId="8" applyBorder="true" applyNumberFormat="true" numFmtId="167" fillId="22" applyFill="true">
      <alignment horizontal="center" vertical="center"/>
    </xf>
    <xf fontId="17262" applyFont="true" borderId="8" applyBorder="true" applyNumberFormat="true" numFmtId="1" fillId="22" applyFill="true">
      <alignment horizontal="center" vertical="center"/>
    </xf>
    <xf fontId="17263" applyFont="true" borderId="8" applyBorder="true" applyNumberFormat="true" numFmtId="1" fillId="22" applyFill="true">
      <alignment horizontal="center" vertical="center"/>
    </xf>
    <xf fontId="17264" applyFont="true" borderId="8" applyBorder="true" applyNumberFormat="true" numFmtId="1" fillId="22" applyFill="true">
      <alignment horizontal="center" vertical="center"/>
    </xf>
    <xf fontId="17265" applyFont="true" borderId="8" applyBorder="true" applyNumberFormat="true" numFmtId="167" fillId="22" applyFill="true">
      <alignment horizontal="center" vertical="center"/>
    </xf>
    <xf fontId="17266" applyFont="true" borderId="8" applyBorder="true" applyNumberFormat="true" numFmtId="166" fillId="22" applyFill="true">
      <alignment horizontal="center" vertical="center"/>
    </xf>
    <xf fontId="17267" applyFont="true" borderId="8" applyBorder="true" applyNumberFormat="true" numFmtId="166" fillId="22" applyFill="true">
      <alignment horizontal="center" vertical="center"/>
    </xf>
    <xf fontId="17268" applyFont="true" borderId="8" applyBorder="true" applyNumberFormat="true" numFmtId="1" fillId="22" applyFill="true">
      <alignment horizontal="center" vertical="center"/>
    </xf>
    <xf fontId="17269" applyFont="true" borderId="8" applyBorder="true" applyNumberFormat="true" numFmtId="1" fillId="22" applyFill="true">
      <alignment horizontal="center" vertical="center"/>
    </xf>
    <xf fontId="17270" applyFont="true" borderId="8" applyBorder="true" applyNumberFormat="true" numFmtId="1" fillId="22" applyFill="true">
      <alignment horizontal="center" vertical="center"/>
    </xf>
    <xf fontId="17271" applyFont="true" borderId="8" applyBorder="true" applyNumberFormat="true" numFmtId="167" fillId="22" applyFill="true">
      <alignment horizontal="center" vertical="center"/>
    </xf>
    <xf fontId="17272" applyFont="true" borderId="8" applyBorder="true" applyNumberFormat="true" numFmtId="1" fillId="22" applyFill="true">
      <alignment horizontal="center" vertical="center"/>
    </xf>
    <xf fontId="17273" applyFont="true" borderId="8" applyBorder="true" applyNumberFormat="true" numFmtId="167" fillId="22" applyFill="true">
      <alignment horizontal="center" vertical="center"/>
    </xf>
    <xf fontId="17274" applyFont="true" borderId="8" applyBorder="true" applyNumberFormat="true" numFmtId="1" fillId="22" applyFill="true">
      <alignment horizontal="center" vertical="center"/>
    </xf>
    <xf fontId="17275" applyFont="true" borderId="8" applyBorder="true" applyNumberFormat="true" numFmtId="1" fillId="22" applyFill="true">
      <alignment horizontal="center" vertical="center"/>
    </xf>
    <xf fontId="17276" applyFont="true" borderId="8" applyBorder="true" applyNumberFormat="true" numFmtId="1" fillId="22" applyFill="true">
      <alignment horizontal="center" vertical="center"/>
    </xf>
    <xf fontId="17277" applyFont="true" borderId="8" applyBorder="true" applyNumberFormat="true" numFmtId="1" fillId="22" applyFill="true">
      <alignment horizontal="center" vertical="center"/>
    </xf>
    <xf fontId="17278" applyFont="true" borderId="8" applyBorder="true" applyNumberFormat="true" numFmtId="167" fillId="22" applyFill="true">
      <alignment horizontal="center" vertical="center"/>
    </xf>
    <xf fontId="17279" applyFont="true" borderId="8" applyBorder="true" applyNumberFormat="true" numFmtId="1" fillId="22" applyFill="true">
      <alignment horizontal="center" vertical="center"/>
    </xf>
    <xf fontId="17280" applyFont="true" borderId="8" applyBorder="true" applyNumberFormat="true" numFmtId="167" fillId="22" applyFill="true">
      <alignment horizontal="center" vertical="center"/>
    </xf>
    <xf fontId="17281" applyFont="true" borderId="8" applyBorder="true" applyNumberFormat="true" numFmtId="1" fillId="22" applyFill="true">
      <alignment horizontal="center" vertical="center"/>
    </xf>
    <xf fontId="17282" applyFont="true" borderId="8" applyBorder="true" applyNumberFormat="true" numFmtId="167" fillId="22" applyFill="true">
      <alignment horizontal="center" vertical="center"/>
    </xf>
    <xf fontId="17283" applyFont="true" borderId="8" applyBorder="true" applyNumberFormat="true" numFmtId="2" fillId="22" applyFill="true">
      <alignment horizontal="center" vertical="center"/>
    </xf>
    <xf fontId="17284" applyFont="true" borderId="8" applyBorder="true" applyNumberFormat="true" numFmtId="2" fillId="22" applyFill="true">
      <alignment horizontal="center" vertical="center"/>
    </xf>
    <xf fontId="17285" applyFont="true" borderId="8" applyBorder="true" applyNumberFormat="true" numFmtId="2" fillId="22" applyFill="true">
      <alignment horizontal="center" vertical="center"/>
    </xf>
    <xf fontId="17286" applyFont="true" borderId="8" applyBorder="true" applyNumberFormat="true" numFmtId="2" fillId="22" applyFill="true">
      <alignment horizontal="center" vertical="center"/>
    </xf>
    <xf fontId="17287" applyFont="true" borderId="8" applyBorder="true" applyNumberFormat="true" numFmtId="2" fillId="22" applyFill="true">
      <alignment horizontal="center" vertical="center"/>
    </xf>
    <xf fontId="17288" applyFont="true" borderId="8" applyBorder="true" applyNumberFormat="true" numFmtId="2" fillId="22" applyFill="true">
      <alignment horizontal="center" vertical="center"/>
    </xf>
    <xf fontId="17289" applyFont="true" borderId="8" applyBorder="true" applyNumberFormat="true" numFmtId="2" fillId="22" applyFill="true">
      <alignment horizontal="center" vertical="center"/>
    </xf>
    <xf fontId="17290" applyFont="true" borderId="8" applyBorder="true" applyNumberFormat="true" numFmtId="2" fillId="22" applyFill="true">
      <alignment horizontal="center" vertical="center"/>
    </xf>
    <xf fontId="17291" applyFont="true" borderId="8" applyBorder="true" applyNumberFormat="true" numFmtId="2" fillId="22" applyFill="true">
      <alignment horizontal="center" vertical="center"/>
    </xf>
    <xf fontId="17292" applyFont="true" borderId="8" applyBorder="true" applyNumberFormat="true" numFmtId="2" fillId="22" applyFill="true">
      <alignment horizontal="center" vertical="center"/>
    </xf>
    <xf fontId="17293" applyFont="true" borderId="8" applyBorder="true" applyNumberFormat="true" numFmtId="2" fillId="22" applyFill="true">
      <alignment horizontal="center" vertical="center"/>
    </xf>
    <xf fontId="17294" applyFont="true" borderId="8" applyBorder="true" applyNumberFormat="true" numFmtId="2" fillId="22" applyFill="true">
      <alignment horizontal="center" vertical="center"/>
    </xf>
    <xf fontId="17295" applyFont="true" borderId="8" applyBorder="true" applyNumberFormat="true" numFmtId="2" fillId="22" applyFill="true">
      <alignment horizontal="center" vertical="center"/>
    </xf>
    <xf fontId="17296" applyFont="true" borderId="8" applyBorder="true" applyNumberFormat="true" numFmtId="2" fillId="22" applyFill="true">
      <alignment horizontal="center" vertical="center"/>
    </xf>
    <xf fontId="17297" applyFont="true" borderId="8" applyBorder="true" applyNumberFormat="true" numFmtId="2" fillId="22" applyFill="true">
      <alignment horizontal="center" vertical="center"/>
    </xf>
    <xf fontId="17298" applyFont="true" borderId="8" applyBorder="true" applyNumberFormat="true" numFmtId="2" fillId="22" applyFill="true">
      <alignment horizontal="center" vertical="center"/>
    </xf>
    <xf fontId="17299" applyFont="true" borderId="8" applyBorder="true" applyNumberFormat="true" numFmtId="2" fillId="22" applyFill="true">
      <alignment horizontal="center" vertical="center"/>
    </xf>
    <xf fontId="17300" applyFont="true" borderId="8" applyBorder="true" applyNumberFormat="true" numFmtId="2" fillId="22" applyFill="true">
      <alignment horizontal="center" vertical="center"/>
    </xf>
    <xf fontId="17301" applyFont="true" borderId="8" applyBorder="true" applyNumberFormat="true" numFmtId="2" fillId="22" applyFill="true">
      <alignment horizontal="center" vertical="center"/>
    </xf>
    <xf fontId="17302" applyFont="true" borderId="8" applyBorder="true" applyNumberFormat="true" numFmtId="2" fillId="22" applyFill="true">
      <alignment horizontal="center" vertical="center"/>
    </xf>
    <xf fontId="17303" applyFont="true" borderId="8" applyBorder="true" applyNumberFormat="true" numFmtId="2" fillId="22" applyFill="true">
      <alignment horizontal="center" vertical="center"/>
    </xf>
    <xf fontId="17304" applyFont="true" borderId="8" applyBorder="true" applyNumberFormat="true" numFmtId="2" fillId="22" applyFill="true">
      <alignment horizontal="center" vertical="center"/>
    </xf>
    <xf fontId="17305" applyFont="true" borderId="8" applyBorder="true" applyNumberFormat="true" numFmtId="2" fillId="22" applyFill="true">
      <alignment horizontal="center" vertical="center"/>
    </xf>
    <xf fontId="17306" applyFont="true" borderId="8" applyBorder="true" applyNumberFormat="true" numFmtId="2" fillId="22" applyFill="true">
      <alignment horizontal="center" vertical="center"/>
    </xf>
    <xf fontId="17307" applyFont="true" borderId="8" applyBorder="true" applyNumberFormat="true" numFmtId="2" fillId="22" applyFill="true">
      <alignment horizontal="center" vertical="center"/>
    </xf>
    <xf fontId="17308" applyFont="true" borderId="8" applyBorder="true" applyNumberFormat="true" numFmtId="2" fillId="22" applyFill="true">
      <alignment horizontal="center" vertical="center"/>
    </xf>
    <xf fontId="17309" applyFont="true" borderId="8" applyBorder="true" applyNumberFormat="true" numFmtId="2" fillId="22" applyFill="true">
      <alignment horizontal="center" vertical="center"/>
    </xf>
    <xf fontId="17310" applyFont="true" borderId="8" applyBorder="true" applyNumberFormat="true" numFmtId="2" fillId="22" applyFill="true">
      <alignment horizontal="center" vertical="center"/>
    </xf>
    <xf fontId="17311" applyFont="true" borderId="8" applyBorder="true" applyNumberFormat="true" numFmtId="2" fillId="22" applyFill="true">
      <alignment horizontal="center" vertical="center"/>
    </xf>
    <xf fontId="17312" applyFont="true" borderId="8" applyBorder="true" applyNumberFormat="true" numFmtId="2" fillId="22" applyFill="true">
      <alignment horizontal="center" vertical="center"/>
    </xf>
    <xf fontId="17313" applyFont="true" borderId="8" applyBorder="true" applyNumberFormat="true" numFmtId="2" fillId="22" applyFill="true">
      <alignment horizontal="center" vertical="center"/>
    </xf>
    <xf fontId="17314" applyFont="true" borderId="8" applyBorder="true" applyNumberFormat="true" numFmtId="2" fillId="22" applyFill="true">
      <alignment horizontal="center" vertical="center"/>
    </xf>
    <xf fontId="17315" applyFont="true" borderId="8" applyBorder="true" applyNumberFormat="true" numFmtId="2" fillId="22" applyFill="true">
      <alignment horizontal="center" vertical="center"/>
    </xf>
    <xf fontId="17316" applyFont="true" borderId="8" applyBorder="true" applyNumberFormat="true" numFmtId="2" fillId="22" applyFill="true">
      <alignment horizontal="center" vertical="center"/>
    </xf>
    <xf fontId="17317" applyFont="true" borderId="8" applyBorder="true" applyNumberFormat="true" numFmtId="165" fillId="19" applyFill="true">
      <alignment horizontal="left" vertical="center"/>
    </xf>
    <xf fontId="17318" applyFont="true" borderId="8" applyBorder="true" applyNumberFormat="true" numFmtId="165" fillId="22" applyFill="true">
      <alignment horizontal="center" vertical="center"/>
    </xf>
    <xf fontId="17319" applyFont="true" borderId="8" applyBorder="true" applyNumberFormat="true" numFmtId="166" fillId="22" applyFill="true">
      <alignment horizontal="center" vertical="center"/>
    </xf>
    <xf fontId="17320" applyFont="true" borderId="8" applyBorder="true" applyNumberFormat="true" numFmtId="1" fillId="22" applyFill="true">
      <alignment horizontal="center" vertical="center"/>
    </xf>
    <xf fontId="17321" applyFont="true" borderId="8" applyBorder="true" applyNumberFormat="true" numFmtId="1" fillId="22" applyFill="true">
      <alignment horizontal="center" vertical="center"/>
    </xf>
    <xf fontId="17322" applyFont="true" borderId="8" applyBorder="true" applyNumberFormat="true" numFmtId="1" fillId="22" applyFill="true">
      <alignment horizontal="center" vertical="center"/>
    </xf>
    <xf fontId="17323" applyFont="true" borderId="8" applyBorder="true" applyNumberFormat="true" numFmtId="1" fillId="22" applyFill="true">
      <alignment horizontal="center" vertical="center"/>
    </xf>
    <xf fontId="17324" applyFont="true" borderId="8" applyBorder="true" applyNumberFormat="true" numFmtId="1" fillId="22" applyFill="true">
      <alignment horizontal="center" vertical="center"/>
    </xf>
    <xf fontId="17325" applyFont="true" borderId="8" applyBorder="true" applyNumberFormat="true" numFmtId="1" fillId="22" applyFill="true">
      <alignment horizontal="center" vertical="center"/>
    </xf>
    <xf fontId="17326" applyFont="true" borderId="8" applyBorder="true" applyNumberFormat="true" numFmtId="1" fillId="22" applyFill="true">
      <alignment horizontal="center" vertical="center"/>
    </xf>
    <xf fontId="17327" applyFont="true" borderId="8" applyBorder="true" applyNumberFormat="true" numFmtId="165" fillId="22" applyFill="true">
      <alignment horizontal="center" vertical="center"/>
    </xf>
    <xf fontId="17328" applyFont="true" borderId="8" applyBorder="true" applyNumberFormat="true" numFmtId="165" fillId="22" applyFill="true">
      <alignment horizontal="center" vertical="center"/>
    </xf>
    <xf fontId="17329" applyFont="true" borderId="8" applyBorder="true" applyNumberFormat="true" numFmtId="1" fillId="22" applyFill="true">
      <alignment horizontal="center" vertical="center"/>
    </xf>
    <xf fontId="17330" applyFont="true" borderId="8" applyBorder="true" applyNumberFormat="true" numFmtId="1" fillId="22" applyFill="true">
      <alignment horizontal="center" vertical="center"/>
    </xf>
    <xf fontId="17331" applyFont="true" borderId="8" applyBorder="true" applyNumberFormat="true" numFmtId="1" fillId="22" applyFill="true">
      <alignment horizontal="center" vertical="center"/>
    </xf>
    <xf fontId="17332" applyFont="true" borderId="8" applyBorder="true" applyNumberFormat="true" numFmtId="167" fillId="22" applyFill="true">
      <alignment horizontal="center" vertical="center"/>
    </xf>
    <xf fontId="17333" applyFont="true" borderId="8" applyBorder="true" applyNumberFormat="true" numFmtId="1" fillId="22" applyFill="true">
      <alignment horizontal="center" vertical="center"/>
    </xf>
    <xf fontId="17334" applyFont="true" borderId="8" applyBorder="true" applyNumberFormat="true" numFmtId="167" fillId="22" applyFill="true">
      <alignment horizontal="center" vertical="center"/>
    </xf>
    <xf fontId="17335" applyFont="true" borderId="8" applyBorder="true" applyNumberFormat="true" numFmtId="1" fillId="22" applyFill="true">
      <alignment horizontal="center" vertical="center"/>
    </xf>
    <xf fontId="17336" applyFont="true" borderId="8" applyBorder="true" applyNumberFormat="true" numFmtId="167" fillId="22" applyFill="true">
      <alignment horizontal="center" vertical="center"/>
    </xf>
    <xf fontId="17337" applyFont="true" borderId="8" applyBorder="true" applyNumberFormat="true" numFmtId="1" fillId="22" applyFill="true">
      <alignment horizontal="center" vertical="center"/>
    </xf>
    <xf fontId="17338" applyFont="true" borderId="8" applyBorder="true" applyNumberFormat="true" numFmtId="167" fillId="22" applyFill="true">
      <alignment horizontal="center" vertical="center"/>
    </xf>
    <xf fontId="17339" applyFont="true" borderId="8" applyBorder="true" applyNumberFormat="true" numFmtId="167" fillId="22" applyFill="true">
      <alignment horizontal="center" vertical="center"/>
    </xf>
    <xf fontId="17340" applyFont="true" borderId="8" applyBorder="true" applyNumberFormat="true" numFmtId="1" fillId="22" applyFill="true">
      <alignment horizontal="center" vertical="center"/>
    </xf>
    <xf fontId="17341" applyFont="true" borderId="8" applyBorder="true" applyNumberFormat="true" numFmtId="1" fillId="22" applyFill="true">
      <alignment horizontal="center" vertical="center"/>
    </xf>
    <xf fontId="17342" applyFont="true" borderId="8" applyBorder="true" applyNumberFormat="true" numFmtId="1" fillId="22" applyFill="true">
      <alignment horizontal="center" vertical="center"/>
    </xf>
    <xf fontId="17343" applyFont="true" borderId="8" applyBorder="true" applyNumberFormat="true" numFmtId="167" fillId="22" applyFill="true">
      <alignment horizontal="center" vertical="center"/>
    </xf>
    <xf fontId="17344" applyFont="true" borderId="8" applyBorder="true" applyNumberFormat="true" numFmtId="166" fillId="22" applyFill="true">
      <alignment horizontal="center" vertical="center"/>
    </xf>
    <xf fontId="17345" applyFont="true" borderId="8" applyBorder="true" applyNumberFormat="true" numFmtId="166" fillId="22" applyFill="true">
      <alignment horizontal="center" vertical="center"/>
    </xf>
    <xf fontId="17346" applyFont="true" borderId="8" applyBorder="true" applyNumberFormat="true" numFmtId="1" fillId="22" applyFill="true">
      <alignment horizontal="center" vertical="center"/>
    </xf>
    <xf fontId="17347" applyFont="true" borderId="8" applyBorder="true" applyNumberFormat="true" numFmtId="1" fillId="22" applyFill="true">
      <alignment horizontal="center" vertical="center"/>
    </xf>
    <xf fontId="17348" applyFont="true" borderId="8" applyBorder="true" applyNumberFormat="true" numFmtId="1" fillId="22" applyFill="true">
      <alignment horizontal="center" vertical="center"/>
    </xf>
    <xf fontId="17349" applyFont="true" borderId="8" applyBorder="true" applyNumberFormat="true" numFmtId="167" fillId="22" applyFill="true">
      <alignment horizontal="center" vertical="center"/>
    </xf>
    <xf fontId="17350" applyFont="true" borderId="8" applyBorder="true" applyNumberFormat="true" numFmtId="1" fillId="22" applyFill="true">
      <alignment horizontal="center" vertical="center"/>
    </xf>
    <xf fontId="17351" applyFont="true" borderId="8" applyBorder="true" applyNumberFormat="true" numFmtId="167" fillId="22" applyFill="true">
      <alignment horizontal="center" vertical="center"/>
    </xf>
    <xf fontId="17352" applyFont="true" borderId="8" applyBorder="true" applyNumberFormat="true" numFmtId="1" fillId="22" applyFill="true">
      <alignment horizontal="center" vertical="center"/>
    </xf>
    <xf fontId="17353" applyFont="true" borderId="8" applyBorder="true" applyNumberFormat="true" numFmtId="1" fillId="22" applyFill="true">
      <alignment horizontal="center" vertical="center"/>
    </xf>
    <xf fontId="17354" applyFont="true" borderId="8" applyBorder="true" applyNumberFormat="true" numFmtId="1" fillId="22" applyFill="true">
      <alignment horizontal="center" vertical="center"/>
    </xf>
    <xf fontId="17355" applyFont="true" borderId="8" applyBorder="true" applyNumberFormat="true" numFmtId="1" fillId="22" applyFill="true">
      <alignment horizontal="center" vertical="center"/>
    </xf>
    <xf fontId="17356" applyFont="true" borderId="8" applyBorder="true" applyNumberFormat="true" numFmtId="167" fillId="22" applyFill="true">
      <alignment horizontal="center" vertical="center"/>
    </xf>
    <xf fontId="17357" applyFont="true" borderId="8" applyBorder="true" applyNumberFormat="true" numFmtId="1" fillId="22" applyFill="true">
      <alignment horizontal="center" vertical="center"/>
    </xf>
    <xf fontId="17358" applyFont="true" borderId="8" applyBorder="true" applyNumberFormat="true" numFmtId="167" fillId="22" applyFill="true">
      <alignment horizontal="center" vertical="center"/>
    </xf>
    <xf fontId="17359" applyFont="true" borderId="8" applyBorder="true" applyNumberFormat="true" numFmtId="1" fillId="22" applyFill="true">
      <alignment horizontal="center" vertical="center"/>
    </xf>
    <xf fontId="17360" applyFont="true" borderId="8" applyBorder="true" applyNumberFormat="true" numFmtId="167" fillId="22" applyFill="true">
      <alignment horizontal="center" vertical="center"/>
    </xf>
    <xf fontId="17361" applyFont="true" borderId="8" applyBorder="true" applyNumberFormat="true" numFmtId="2" fillId="22" applyFill="true">
      <alignment horizontal="center" vertical="center"/>
    </xf>
    <xf fontId="17362" applyFont="true" borderId="8" applyBorder="true" applyNumberFormat="true" numFmtId="2" fillId="22" applyFill="true">
      <alignment horizontal="center" vertical="center"/>
    </xf>
    <xf fontId="17363" applyFont="true" borderId="8" applyBorder="true" applyNumberFormat="true" numFmtId="2" fillId="22" applyFill="true">
      <alignment horizontal="center" vertical="center"/>
    </xf>
    <xf fontId="17364" applyFont="true" borderId="8" applyBorder="true" applyNumberFormat="true" numFmtId="2" fillId="22" applyFill="true">
      <alignment horizontal="center" vertical="center"/>
    </xf>
    <xf fontId="17365" applyFont="true" borderId="8" applyBorder="true" applyNumberFormat="true" numFmtId="2" fillId="22" applyFill="true">
      <alignment horizontal="center" vertical="center"/>
    </xf>
    <xf fontId="17366" applyFont="true" borderId="8" applyBorder="true" applyNumberFormat="true" numFmtId="2" fillId="22" applyFill="true">
      <alignment horizontal="center" vertical="center"/>
    </xf>
    <xf fontId="17367" applyFont="true" borderId="8" applyBorder="true" applyNumberFormat="true" numFmtId="2" fillId="22" applyFill="true">
      <alignment horizontal="center" vertical="center"/>
    </xf>
    <xf fontId="17368" applyFont="true" borderId="8" applyBorder="true" applyNumberFormat="true" numFmtId="2" fillId="22" applyFill="true">
      <alignment horizontal="center" vertical="center"/>
    </xf>
    <xf fontId="17369" applyFont="true" borderId="8" applyBorder="true" applyNumberFormat="true" numFmtId="2" fillId="22" applyFill="true">
      <alignment horizontal="center" vertical="center"/>
    </xf>
    <xf fontId="17370" applyFont="true" borderId="8" applyBorder="true" applyNumberFormat="true" numFmtId="2" fillId="22" applyFill="true">
      <alignment horizontal="center" vertical="center"/>
    </xf>
    <xf fontId="17371" applyFont="true" borderId="8" applyBorder="true" applyNumberFormat="true" numFmtId="2" fillId="22" applyFill="true">
      <alignment horizontal="center" vertical="center"/>
    </xf>
    <xf fontId="17372" applyFont="true" borderId="8" applyBorder="true" applyNumberFormat="true" numFmtId="2" fillId="22" applyFill="true">
      <alignment horizontal="center" vertical="center"/>
    </xf>
    <xf fontId="17373" applyFont="true" borderId="8" applyBorder="true" applyNumberFormat="true" numFmtId="2" fillId="22" applyFill="true">
      <alignment horizontal="center" vertical="center"/>
    </xf>
    <xf fontId="17374" applyFont="true" borderId="8" applyBorder="true" applyNumberFormat="true" numFmtId="2" fillId="22" applyFill="true">
      <alignment horizontal="center" vertical="center"/>
    </xf>
    <xf fontId="17375" applyFont="true" borderId="8" applyBorder="true" applyNumberFormat="true" numFmtId="2" fillId="22" applyFill="true">
      <alignment horizontal="center" vertical="center"/>
    </xf>
    <xf fontId="17376" applyFont="true" borderId="8" applyBorder="true" applyNumberFormat="true" numFmtId="2" fillId="22" applyFill="true">
      <alignment horizontal="center" vertical="center"/>
    </xf>
    <xf fontId="17377" applyFont="true" borderId="8" applyBorder="true" applyNumberFormat="true" numFmtId="2" fillId="22" applyFill="true">
      <alignment horizontal="center" vertical="center"/>
    </xf>
    <xf fontId="17378" applyFont="true" borderId="8" applyBorder="true" applyNumberFormat="true" numFmtId="2" fillId="22" applyFill="true">
      <alignment horizontal="center" vertical="center"/>
    </xf>
    <xf fontId="17379" applyFont="true" borderId="8" applyBorder="true" applyNumberFormat="true" numFmtId="2" fillId="22" applyFill="true">
      <alignment horizontal="center" vertical="center"/>
    </xf>
    <xf fontId="17380" applyFont="true" borderId="8" applyBorder="true" applyNumberFormat="true" numFmtId="2" fillId="22" applyFill="true">
      <alignment horizontal="center" vertical="center"/>
    </xf>
    <xf fontId="17381" applyFont="true" borderId="8" applyBorder="true" applyNumberFormat="true" numFmtId="2" fillId="22" applyFill="true">
      <alignment horizontal="center" vertical="center"/>
    </xf>
    <xf fontId="17382" applyFont="true" borderId="8" applyBorder="true" applyNumberFormat="true" numFmtId="2" fillId="22" applyFill="true">
      <alignment horizontal="center" vertical="center"/>
    </xf>
    <xf fontId="17383" applyFont="true" borderId="8" applyBorder="true" applyNumberFormat="true" numFmtId="2" fillId="22" applyFill="true">
      <alignment horizontal="center" vertical="center"/>
    </xf>
    <xf fontId="17384" applyFont="true" borderId="8" applyBorder="true" applyNumberFormat="true" numFmtId="2" fillId="22" applyFill="true">
      <alignment horizontal="center" vertical="center"/>
    </xf>
    <xf fontId="17385" applyFont="true" borderId="8" applyBorder="true" applyNumberFormat="true" numFmtId="2" fillId="22" applyFill="true">
      <alignment horizontal="center" vertical="center"/>
    </xf>
    <xf fontId="17386" applyFont="true" borderId="8" applyBorder="true" applyNumberFormat="true" numFmtId="2" fillId="22" applyFill="true">
      <alignment horizontal="center" vertical="center"/>
    </xf>
    <xf fontId="17387" applyFont="true" borderId="8" applyBorder="true" applyNumberFormat="true" numFmtId="2" fillId="22" applyFill="true">
      <alignment horizontal="center" vertical="center"/>
    </xf>
    <xf fontId="17388" applyFont="true" borderId="8" applyBorder="true" applyNumberFormat="true" numFmtId="2" fillId="22" applyFill="true">
      <alignment horizontal="center" vertical="center"/>
    </xf>
    <xf fontId="17389" applyFont="true" borderId="8" applyBorder="true" applyNumberFormat="true" numFmtId="2" fillId="22" applyFill="true">
      <alignment horizontal="center" vertical="center"/>
    </xf>
    <xf fontId="17390" applyFont="true" borderId="8" applyBorder="true" applyNumberFormat="true" numFmtId="2" fillId="22" applyFill="true">
      <alignment horizontal="center" vertical="center"/>
    </xf>
    <xf fontId="17391" applyFont="true" borderId="8" applyBorder="true" applyNumberFormat="true" numFmtId="2" fillId="22" applyFill="true">
      <alignment horizontal="center" vertical="center"/>
    </xf>
    <xf fontId="17392" applyFont="true" borderId="8" applyBorder="true" applyNumberFormat="true" numFmtId="2" fillId="22" applyFill="true">
      <alignment horizontal="center" vertical="center"/>
    </xf>
    <xf fontId="17393" applyFont="true" borderId="8" applyBorder="true" applyNumberFormat="true" numFmtId="2" fillId="22" applyFill="true">
      <alignment horizontal="center" vertical="center"/>
    </xf>
    <xf fontId="17394" applyFont="true" borderId="8" applyBorder="true" applyNumberFormat="true" numFmtId="2" fillId="22" applyFill="true">
      <alignment horizontal="center" vertical="center"/>
    </xf>
    <xf fontId="17395" applyFont="true" borderId="8" applyBorder="true" applyNumberFormat="true" numFmtId="165" fillId="19" applyFill="true">
      <alignment horizontal="left" vertical="center"/>
    </xf>
    <xf fontId="17396" applyFont="true" borderId="8" applyBorder="true" applyNumberFormat="true" numFmtId="165" fillId="22" applyFill="true">
      <alignment horizontal="center" vertical="center"/>
    </xf>
    <xf fontId="17397" applyFont="true" borderId="8" applyBorder="true" applyNumberFormat="true" numFmtId="166" fillId="22" applyFill="true">
      <alignment horizontal="center" vertical="center"/>
    </xf>
    <xf fontId="17398" applyFont="true" borderId="8" applyBorder="true" applyNumberFormat="true" numFmtId="1" fillId="22" applyFill="true">
      <alignment horizontal="center" vertical="center"/>
    </xf>
    <xf fontId="17399" applyFont="true" borderId="8" applyBorder="true" applyNumberFormat="true" numFmtId="1" fillId="22" applyFill="true">
      <alignment horizontal="center" vertical="center"/>
    </xf>
    <xf fontId="17400" applyFont="true" borderId="8" applyBorder="true" applyNumberFormat="true" numFmtId="1" fillId="22" applyFill="true">
      <alignment horizontal="center" vertical="center"/>
    </xf>
    <xf fontId="17401" applyFont="true" borderId="8" applyBorder="true" applyNumberFormat="true" numFmtId="1" fillId="22" applyFill="true">
      <alignment horizontal="center" vertical="center"/>
    </xf>
    <xf fontId="17402" applyFont="true" borderId="8" applyBorder="true" applyNumberFormat="true" numFmtId="1" fillId="22" applyFill="true">
      <alignment horizontal="center" vertical="center"/>
    </xf>
    <xf fontId="17403" applyFont="true" borderId="8" applyBorder="true" applyNumberFormat="true" numFmtId="1" fillId="22" applyFill="true">
      <alignment horizontal="center" vertical="center"/>
    </xf>
    <xf fontId="17404" applyFont="true" borderId="8" applyBorder="true" applyNumberFormat="true" numFmtId="1" fillId="22" applyFill="true">
      <alignment horizontal="center" vertical="center"/>
    </xf>
    <xf fontId="17405" applyFont="true" borderId="8" applyBorder="true" applyNumberFormat="true" numFmtId="165" fillId="22" applyFill="true">
      <alignment horizontal="center" vertical="center"/>
    </xf>
    <xf fontId="17406" applyFont="true" borderId="8" applyBorder="true" applyNumberFormat="true" numFmtId="165" fillId="22" applyFill="true">
      <alignment horizontal="center" vertical="center"/>
    </xf>
    <xf fontId="17407" applyFont="true" borderId="8" applyBorder="true" applyNumberFormat="true" numFmtId="1" fillId="22" applyFill="true">
      <alignment horizontal="center" vertical="center"/>
    </xf>
    <xf fontId="17408" applyFont="true" borderId="8" applyBorder="true" applyNumberFormat="true" numFmtId="1" fillId="22" applyFill="true">
      <alignment horizontal="center" vertical="center"/>
    </xf>
    <xf fontId="17409" applyFont="true" borderId="8" applyBorder="true" applyNumberFormat="true" numFmtId="1" fillId="22" applyFill="true">
      <alignment horizontal="center" vertical="center"/>
    </xf>
    <xf fontId="17410" applyFont="true" borderId="8" applyBorder="true" applyNumberFormat="true" numFmtId="167" fillId="22" applyFill="true">
      <alignment horizontal="center" vertical="center"/>
    </xf>
    <xf fontId="17411" applyFont="true" borderId="8" applyBorder="true" applyNumberFormat="true" numFmtId="1" fillId="22" applyFill="true">
      <alignment horizontal="center" vertical="center"/>
    </xf>
    <xf fontId="17412" applyFont="true" borderId="8" applyBorder="true" applyNumberFormat="true" numFmtId="167" fillId="22" applyFill="true">
      <alignment horizontal="center" vertical="center"/>
    </xf>
    <xf fontId="17413" applyFont="true" borderId="8" applyBorder="true" applyNumberFormat="true" numFmtId="1" fillId="22" applyFill="true">
      <alignment horizontal="center" vertical="center"/>
    </xf>
    <xf fontId="17414" applyFont="true" borderId="8" applyBorder="true" applyNumberFormat="true" numFmtId="167" fillId="22" applyFill="true">
      <alignment horizontal="center" vertical="center"/>
    </xf>
    <xf fontId="17415" applyFont="true" borderId="8" applyBorder="true" applyNumberFormat="true" numFmtId="1" fillId="22" applyFill="true">
      <alignment horizontal="center" vertical="center"/>
    </xf>
    <xf fontId="17416" applyFont="true" borderId="8" applyBorder="true" applyNumberFormat="true" numFmtId="167" fillId="22" applyFill="true">
      <alignment horizontal="center" vertical="center"/>
    </xf>
    <xf fontId="17417" applyFont="true" borderId="8" applyBorder="true" applyNumberFormat="true" numFmtId="167" fillId="22" applyFill="true">
      <alignment horizontal="center" vertical="center"/>
    </xf>
    <xf fontId="17418" applyFont="true" borderId="8" applyBorder="true" applyNumberFormat="true" numFmtId="1" fillId="22" applyFill="true">
      <alignment horizontal="center" vertical="center"/>
    </xf>
    <xf fontId="17419" applyFont="true" borderId="8" applyBorder="true" applyNumberFormat="true" numFmtId="1" fillId="22" applyFill="true">
      <alignment horizontal="center" vertical="center"/>
    </xf>
    <xf fontId="17420" applyFont="true" borderId="8" applyBorder="true" applyNumberFormat="true" numFmtId="1" fillId="22" applyFill="true">
      <alignment horizontal="center" vertical="center"/>
    </xf>
    <xf fontId="17421" applyFont="true" borderId="8" applyBorder="true" applyNumberFormat="true" numFmtId="167" fillId="22" applyFill="true">
      <alignment horizontal="center" vertical="center"/>
    </xf>
    <xf fontId="17422" applyFont="true" borderId="8" applyBorder="true" applyNumberFormat="true" numFmtId="166" fillId="22" applyFill="true">
      <alignment horizontal="center" vertical="center"/>
    </xf>
    <xf fontId="17423" applyFont="true" borderId="8" applyBorder="true" applyNumberFormat="true" numFmtId="166" fillId="22" applyFill="true">
      <alignment horizontal="center" vertical="center"/>
    </xf>
    <xf fontId="17424" applyFont="true" borderId="8" applyBorder="true" applyNumberFormat="true" numFmtId="1" fillId="22" applyFill="true">
      <alignment horizontal="center" vertical="center"/>
    </xf>
    <xf fontId="17425" applyFont="true" borderId="8" applyBorder="true" applyNumberFormat="true" numFmtId="1" fillId="22" applyFill="true">
      <alignment horizontal="center" vertical="center"/>
    </xf>
    <xf fontId="17426" applyFont="true" borderId="8" applyBorder="true" applyNumberFormat="true" numFmtId="1" fillId="22" applyFill="true">
      <alignment horizontal="center" vertical="center"/>
    </xf>
    <xf fontId="17427" applyFont="true" borderId="8" applyBorder="true" applyNumberFormat="true" numFmtId="167" fillId="22" applyFill="true">
      <alignment horizontal="center" vertical="center"/>
    </xf>
    <xf fontId="17428" applyFont="true" borderId="8" applyBorder="true" applyNumberFormat="true" numFmtId="1" fillId="22" applyFill="true">
      <alignment horizontal="center" vertical="center"/>
    </xf>
    <xf fontId="17429" applyFont="true" borderId="8" applyBorder="true" applyNumberFormat="true" numFmtId="167" fillId="22" applyFill="true">
      <alignment horizontal="center" vertical="center"/>
    </xf>
    <xf fontId="17430" applyFont="true" borderId="8" applyBorder="true" applyNumberFormat="true" numFmtId="1" fillId="22" applyFill="true">
      <alignment horizontal="center" vertical="center"/>
    </xf>
    <xf fontId="17431" applyFont="true" borderId="8" applyBorder="true" applyNumberFormat="true" numFmtId="1" fillId="22" applyFill="true">
      <alignment horizontal="center" vertical="center"/>
    </xf>
    <xf fontId="17432" applyFont="true" borderId="8" applyBorder="true" applyNumberFormat="true" numFmtId="1" fillId="22" applyFill="true">
      <alignment horizontal="center" vertical="center"/>
    </xf>
    <xf fontId="17433" applyFont="true" borderId="8" applyBorder="true" applyNumberFormat="true" numFmtId="1" fillId="22" applyFill="true">
      <alignment horizontal="center" vertical="center"/>
    </xf>
    <xf fontId="17434" applyFont="true" borderId="8" applyBorder="true" applyNumberFormat="true" numFmtId="167" fillId="22" applyFill="true">
      <alignment horizontal="center" vertical="center"/>
    </xf>
    <xf fontId="17435" applyFont="true" borderId="8" applyBorder="true" applyNumberFormat="true" numFmtId="1" fillId="22" applyFill="true">
      <alignment horizontal="center" vertical="center"/>
    </xf>
    <xf fontId="17436" applyFont="true" borderId="8" applyBorder="true" applyNumberFormat="true" numFmtId="167" fillId="22" applyFill="true">
      <alignment horizontal="center" vertical="center"/>
    </xf>
    <xf fontId="17437" applyFont="true" borderId="8" applyBorder="true" applyNumberFormat="true" numFmtId="1" fillId="22" applyFill="true">
      <alignment horizontal="center" vertical="center"/>
    </xf>
    <xf fontId="17438" applyFont="true" borderId="8" applyBorder="true" applyNumberFormat="true" numFmtId="167" fillId="22" applyFill="true">
      <alignment horizontal="center" vertical="center"/>
    </xf>
    <xf fontId="17439" applyFont="true" borderId="8" applyBorder="true" applyNumberFormat="true" numFmtId="2" fillId="22" applyFill="true">
      <alignment horizontal="center" vertical="center"/>
    </xf>
    <xf fontId="17440" applyFont="true" borderId="8" applyBorder="true" applyNumberFormat="true" numFmtId="2" fillId="22" applyFill="true">
      <alignment horizontal="center" vertical="center"/>
    </xf>
    <xf fontId="17441" applyFont="true" borderId="8" applyBorder="true" applyNumberFormat="true" numFmtId="2" fillId="22" applyFill="true">
      <alignment horizontal="center" vertical="center"/>
    </xf>
    <xf fontId="17442" applyFont="true" borderId="8" applyBorder="true" applyNumberFormat="true" numFmtId="2" fillId="22" applyFill="true">
      <alignment horizontal="center" vertical="center"/>
    </xf>
    <xf fontId="17443" applyFont="true" borderId="8" applyBorder="true" applyNumberFormat="true" numFmtId="2" fillId="22" applyFill="true">
      <alignment horizontal="center" vertical="center"/>
    </xf>
    <xf fontId="17444" applyFont="true" borderId="8" applyBorder="true" applyNumberFormat="true" numFmtId="2" fillId="22" applyFill="true">
      <alignment horizontal="center" vertical="center"/>
    </xf>
    <xf fontId="17445" applyFont="true" borderId="8" applyBorder="true" applyNumberFormat="true" numFmtId="2" fillId="22" applyFill="true">
      <alignment horizontal="center" vertical="center"/>
    </xf>
    <xf fontId="17446" applyFont="true" borderId="8" applyBorder="true" applyNumberFormat="true" numFmtId="2" fillId="22" applyFill="true">
      <alignment horizontal="center" vertical="center"/>
    </xf>
    <xf fontId="17447" applyFont="true" borderId="8" applyBorder="true" applyNumberFormat="true" numFmtId="2" fillId="22" applyFill="true">
      <alignment horizontal="center" vertical="center"/>
    </xf>
    <xf fontId="17448" applyFont="true" borderId="8" applyBorder="true" applyNumberFormat="true" numFmtId="2" fillId="22" applyFill="true">
      <alignment horizontal="center" vertical="center"/>
    </xf>
    <xf fontId="17449" applyFont="true" borderId="8" applyBorder="true" applyNumberFormat="true" numFmtId="2" fillId="22" applyFill="true">
      <alignment horizontal="center" vertical="center"/>
    </xf>
    <xf fontId="17450" applyFont="true" borderId="8" applyBorder="true" applyNumberFormat="true" numFmtId="2" fillId="22" applyFill="true">
      <alignment horizontal="center" vertical="center"/>
    </xf>
    <xf fontId="17451" applyFont="true" borderId="8" applyBorder="true" applyNumberFormat="true" numFmtId="2" fillId="22" applyFill="true">
      <alignment horizontal="center" vertical="center"/>
    </xf>
    <xf fontId="17452" applyFont="true" borderId="8" applyBorder="true" applyNumberFormat="true" numFmtId="2" fillId="22" applyFill="true">
      <alignment horizontal="center" vertical="center"/>
    </xf>
    <xf fontId="17453" applyFont="true" borderId="8" applyBorder="true" applyNumberFormat="true" numFmtId="2" fillId="22" applyFill="true">
      <alignment horizontal="center" vertical="center"/>
    </xf>
    <xf fontId="17454" applyFont="true" borderId="8" applyBorder="true" applyNumberFormat="true" numFmtId="2" fillId="22" applyFill="true">
      <alignment horizontal="center" vertical="center"/>
    </xf>
    <xf fontId="17455" applyFont="true" borderId="8" applyBorder="true" applyNumberFormat="true" numFmtId="2" fillId="22" applyFill="true">
      <alignment horizontal="center" vertical="center"/>
    </xf>
    <xf fontId="17456" applyFont="true" borderId="8" applyBorder="true" applyNumberFormat="true" numFmtId="2" fillId="22" applyFill="true">
      <alignment horizontal="center" vertical="center"/>
    </xf>
    <xf fontId="17457" applyFont="true" borderId="8" applyBorder="true" applyNumberFormat="true" numFmtId="2" fillId="22" applyFill="true">
      <alignment horizontal="center" vertical="center"/>
    </xf>
    <xf fontId="17458" applyFont="true" borderId="8" applyBorder="true" applyNumberFormat="true" numFmtId="2" fillId="22" applyFill="true">
      <alignment horizontal="center" vertical="center"/>
    </xf>
    <xf fontId="17459" applyFont="true" borderId="8" applyBorder="true" applyNumberFormat="true" numFmtId="2" fillId="22" applyFill="true">
      <alignment horizontal="center" vertical="center"/>
    </xf>
    <xf fontId="17460" applyFont="true" borderId="8" applyBorder="true" applyNumberFormat="true" numFmtId="2" fillId="22" applyFill="true">
      <alignment horizontal="center" vertical="center"/>
    </xf>
    <xf fontId="17461" applyFont="true" borderId="8" applyBorder="true" applyNumberFormat="true" numFmtId="2" fillId="22" applyFill="true">
      <alignment horizontal="center" vertical="center"/>
    </xf>
    <xf fontId="17462" applyFont="true" borderId="8" applyBorder="true" applyNumberFormat="true" numFmtId="2" fillId="22" applyFill="true">
      <alignment horizontal="center" vertical="center"/>
    </xf>
    <xf fontId="17463" applyFont="true" borderId="8" applyBorder="true" applyNumberFormat="true" numFmtId="2" fillId="22" applyFill="true">
      <alignment horizontal="center" vertical="center"/>
    </xf>
    <xf fontId="17464" applyFont="true" borderId="8" applyBorder="true" applyNumberFormat="true" numFmtId="2" fillId="22" applyFill="true">
      <alignment horizontal="center" vertical="center"/>
    </xf>
    <xf fontId="17465" applyFont="true" borderId="8" applyBorder="true" applyNumberFormat="true" numFmtId="2" fillId="22" applyFill="true">
      <alignment horizontal="center" vertical="center"/>
    </xf>
    <xf fontId="17466" applyFont="true" borderId="8" applyBorder="true" applyNumberFormat="true" numFmtId="2" fillId="22" applyFill="true">
      <alignment horizontal="center" vertical="center"/>
    </xf>
    <xf fontId="17467" applyFont="true" borderId="8" applyBorder="true" applyNumberFormat="true" numFmtId="2" fillId="22" applyFill="true">
      <alignment horizontal="center" vertical="center"/>
    </xf>
    <xf fontId="17468" applyFont="true" borderId="8" applyBorder="true" applyNumberFormat="true" numFmtId="2" fillId="22" applyFill="true">
      <alignment horizontal="center" vertical="center"/>
    </xf>
    <xf fontId="17469" applyFont="true" borderId="8" applyBorder="true" applyNumberFormat="true" numFmtId="2" fillId="22" applyFill="true">
      <alignment horizontal="center" vertical="center"/>
    </xf>
    <xf fontId="17470" applyFont="true" borderId="8" applyBorder="true" applyNumberFormat="true" numFmtId="2" fillId="22" applyFill="true">
      <alignment horizontal="center" vertical="center"/>
    </xf>
    <xf fontId="17471" applyFont="true" borderId="8" applyBorder="true" applyNumberFormat="true" numFmtId="2" fillId="22" applyFill="true">
      <alignment horizontal="center" vertical="center"/>
    </xf>
    <xf fontId="17472" applyFont="true" borderId="8" applyBorder="true" applyNumberFormat="true" numFmtId="2" fillId="22" applyFill="true">
      <alignment horizontal="center" vertical="center"/>
    </xf>
    <xf fontId="17473" applyFont="true" borderId="8" applyBorder="true" applyNumberFormat="true" numFmtId="165" fillId="19" applyFill="true">
      <alignment horizontal="left" vertical="center"/>
    </xf>
    <xf fontId="17474" applyFont="true" borderId="8" applyBorder="true" applyNumberFormat="true" numFmtId="165" fillId="22" applyFill="true">
      <alignment horizontal="center" vertical="center"/>
    </xf>
    <xf fontId="17475" applyFont="true" borderId="8" applyBorder="true" applyNumberFormat="true" numFmtId="166" fillId="22" applyFill="true">
      <alignment horizontal="center" vertical="center"/>
    </xf>
    <xf fontId="17476" applyFont="true" borderId="8" applyBorder="true" applyNumberFormat="true" numFmtId="1" fillId="22" applyFill="true">
      <alignment horizontal="center" vertical="center"/>
    </xf>
    <xf fontId="17477" applyFont="true" borderId="8" applyBorder="true" applyNumberFormat="true" numFmtId="1" fillId="22" applyFill="true">
      <alignment horizontal="center" vertical="center"/>
    </xf>
    <xf fontId="17478" applyFont="true" borderId="8" applyBorder="true" applyNumberFormat="true" numFmtId="1" fillId="22" applyFill="true">
      <alignment horizontal="center" vertical="center"/>
    </xf>
    <xf fontId="17479" applyFont="true" borderId="8" applyBorder="true" applyNumberFormat="true" numFmtId="1" fillId="22" applyFill="true">
      <alignment horizontal="center" vertical="center"/>
    </xf>
    <xf fontId="17480" applyFont="true" borderId="8" applyBorder="true" applyNumberFormat="true" numFmtId="1" fillId="22" applyFill="true">
      <alignment horizontal="center" vertical="center"/>
    </xf>
    <xf fontId="17481" applyFont="true" borderId="8" applyBorder="true" applyNumberFormat="true" numFmtId="1" fillId="22" applyFill="true">
      <alignment horizontal="center" vertical="center"/>
    </xf>
    <xf fontId="17482" applyFont="true" borderId="8" applyBorder="true" applyNumberFormat="true" numFmtId="1" fillId="22" applyFill="true">
      <alignment horizontal="center" vertical="center"/>
    </xf>
    <xf fontId="17483" applyFont="true" borderId="8" applyBorder="true" applyNumberFormat="true" numFmtId="165" fillId="22" applyFill="true">
      <alignment horizontal="center" vertical="center"/>
    </xf>
    <xf fontId="17484" applyFont="true" borderId="8" applyBorder="true" applyNumberFormat="true" numFmtId="165" fillId="22" applyFill="true">
      <alignment horizontal="center" vertical="center"/>
    </xf>
    <xf fontId="17485" applyFont="true" borderId="8" applyBorder="true" applyNumberFormat="true" numFmtId="1" fillId="22" applyFill="true">
      <alignment horizontal="center" vertical="center"/>
    </xf>
    <xf fontId="17486" applyFont="true" borderId="8" applyBorder="true" applyNumberFormat="true" numFmtId="1" fillId="22" applyFill="true">
      <alignment horizontal="center" vertical="center"/>
    </xf>
    <xf fontId="17487" applyFont="true" borderId="8" applyBorder="true" applyNumberFormat="true" numFmtId="1" fillId="22" applyFill="true">
      <alignment horizontal="center" vertical="center"/>
    </xf>
    <xf fontId="17488" applyFont="true" borderId="8" applyBorder="true" applyNumberFormat="true" numFmtId="167" fillId="22" applyFill="true">
      <alignment horizontal="center" vertical="center"/>
    </xf>
    <xf fontId="17489" applyFont="true" borderId="8" applyBorder="true" applyNumberFormat="true" numFmtId="1" fillId="22" applyFill="true">
      <alignment horizontal="center" vertical="center"/>
    </xf>
    <xf fontId="17490" applyFont="true" borderId="8" applyBorder="true" applyNumberFormat="true" numFmtId="167" fillId="22" applyFill="true">
      <alignment horizontal="center" vertical="center"/>
    </xf>
    <xf fontId="17491" applyFont="true" borderId="8" applyBorder="true" applyNumberFormat="true" numFmtId="1" fillId="22" applyFill="true">
      <alignment horizontal="center" vertical="center"/>
    </xf>
    <xf fontId="17492" applyFont="true" borderId="8" applyBorder="true" applyNumberFormat="true" numFmtId="167" fillId="22" applyFill="true">
      <alignment horizontal="center" vertical="center"/>
    </xf>
    <xf fontId="17493" applyFont="true" borderId="8" applyBorder="true" applyNumberFormat="true" numFmtId="1" fillId="22" applyFill="true">
      <alignment horizontal="center" vertical="center"/>
    </xf>
    <xf fontId="17494" applyFont="true" borderId="8" applyBorder="true" applyNumberFormat="true" numFmtId="167" fillId="22" applyFill="true">
      <alignment horizontal="center" vertical="center"/>
    </xf>
    <xf fontId="17495" applyFont="true" borderId="8" applyBorder="true" applyNumberFormat="true" numFmtId="167" fillId="22" applyFill="true">
      <alignment horizontal="center" vertical="center"/>
    </xf>
    <xf fontId="17496" applyFont="true" borderId="8" applyBorder="true" applyNumberFormat="true" numFmtId="1" fillId="22" applyFill="true">
      <alignment horizontal="center" vertical="center"/>
    </xf>
    <xf fontId="17497" applyFont="true" borderId="8" applyBorder="true" applyNumberFormat="true" numFmtId="1" fillId="22" applyFill="true">
      <alignment horizontal="center" vertical="center"/>
    </xf>
    <xf fontId="17498" applyFont="true" borderId="8" applyBorder="true" applyNumberFormat="true" numFmtId="1" fillId="22" applyFill="true">
      <alignment horizontal="center" vertical="center"/>
    </xf>
    <xf fontId="17499" applyFont="true" borderId="8" applyBorder="true" applyNumberFormat="true" numFmtId="167" fillId="22" applyFill="true">
      <alignment horizontal="center" vertical="center"/>
    </xf>
    <xf fontId="17500" applyFont="true" borderId="8" applyBorder="true" applyNumberFormat="true" numFmtId="166" fillId="22" applyFill="true">
      <alignment horizontal="center" vertical="center"/>
    </xf>
    <xf fontId="17501" applyFont="true" borderId="8" applyBorder="true" applyNumberFormat="true" numFmtId="166" fillId="22" applyFill="true">
      <alignment horizontal="center" vertical="center"/>
    </xf>
    <xf fontId="17502" applyFont="true" borderId="8" applyBorder="true" applyNumberFormat="true" numFmtId="1" fillId="22" applyFill="true">
      <alignment horizontal="center" vertical="center"/>
    </xf>
    <xf fontId="17503" applyFont="true" borderId="8" applyBorder="true" applyNumberFormat="true" numFmtId="1" fillId="22" applyFill="true">
      <alignment horizontal="center" vertical="center"/>
    </xf>
    <xf fontId="17504" applyFont="true" borderId="8" applyBorder="true" applyNumberFormat="true" numFmtId="1" fillId="22" applyFill="true">
      <alignment horizontal="center" vertical="center"/>
    </xf>
    <xf fontId="17505" applyFont="true" borderId="8" applyBorder="true" applyNumberFormat="true" numFmtId="167" fillId="22" applyFill="true">
      <alignment horizontal="center" vertical="center"/>
    </xf>
    <xf fontId="17506" applyFont="true" borderId="8" applyBorder="true" applyNumberFormat="true" numFmtId="1" fillId="22" applyFill="true">
      <alignment horizontal="center" vertical="center"/>
    </xf>
    <xf fontId="17507" applyFont="true" borderId="8" applyBorder="true" applyNumberFormat="true" numFmtId="167" fillId="22" applyFill="true">
      <alignment horizontal="center" vertical="center"/>
    </xf>
    <xf fontId="17508" applyFont="true" borderId="8" applyBorder="true" applyNumberFormat="true" numFmtId="1" fillId="22" applyFill="true">
      <alignment horizontal="center" vertical="center"/>
    </xf>
    <xf fontId="17509" applyFont="true" borderId="8" applyBorder="true" applyNumberFormat="true" numFmtId="1" fillId="22" applyFill="true">
      <alignment horizontal="center" vertical="center"/>
    </xf>
    <xf fontId="17510" applyFont="true" borderId="8" applyBorder="true" applyNumberFormat="true" numFmtId="1" fillId="22" applyFill="true">
      <alignment horizontal="center" vertical="center"/>
    </xf>
    <xf fontId="17511" applyFont="true" borderId="8" applyBorder="true" applyNumberFormat="true" numFmtId="1" fillId="22" applyFill="true">
      <alignment horizontal="center" vertical="center"/>
    </xf>
    <xf fontId="17512" applyFont="true" borderId="8" applyBorder="true" applyNumberFormat="true" numFmtId="167" fillId="22" applyFill="true">
      <alignment horizontal="center" vertical="center"/>
    </xf>
    <xf fontId="17513" applyFont="true" borderId="8" applyBorder="true" applyNumberFormat="true" numFmtId="1" fillId="22" applyFill="true">
      <alignment horizontal="center" vertical="center"/>
    </xf>
    <xf fontId="17514" applyFont="true" borderId="8" applyBorder="true" applyNumberFormat="true" numFmtId="167" fillId="22" applyFill="true">
      <alignment horizontal="center" vertical="center"/>
    </xf>
    <xf fontId="17515" applyFont="true" borderId="8" applyBorder="true" applyNumberFormat="true" numFmtId="1" fillId="22" applyFill="true">
      <alignment horizontal="center" vertical="center"/>
    </xf>
    <xf fontId="17516" applyFont="true" borderId="8" applyBorder="true" applyNumberFormat="true" numFmtId="167" fillId="22" applyFill="true">
      <alignment horizontal="center" vertical="center"/>
    </xf>
    <xf fontId="17517" applyFont="true" borderId="8" applyBorder="true" applyNumberFormat="true" numFmtId="2" fillId="22" applyFill="true">
      <alignment horizontal="center" vertical="center"/>
    </xf>
    <xf fontId="17518" applyFont="true" borderId="8" applyBorder="true" applyNumberFormat="true" numFmtId="2" fillId="22" applyFill="true">
      <alignment horizontal="center" vertical="center"/>
    </xf>
    <xf fontId="17519" applyFont="true" borderId="8" applyBorder="true" applyNumberFormat="true" numFmtId="2" fillId="22" applyFill="true">
      <alignment horizontal="center" vertical="center"/>
    </xf>
    <xf fontId="17520" applyFont="true" borderId="8" applyBorder="true" applyNumberFormat="true" numFmtId="2" fillId="22" applyFill="true">
      <alignment horizontal="center" vertical="center"/>
    </xf>
    <xf fontId="17521" applyFont="true" borderId="8" applyBorder="true" applyNumberFormat="true" numFmtId="2" fillId="22" applyFill="true">
      <alignment horizontal="center" vertical="center"/>
    </xf>
    <xf fontId="17522" applyFont="true" borderId="8" applyBorder="true" applyNumberFormat="true" numFmtId="2" fillId="22" applyFill="true">
      <alignment horizontal="center" vertical="center"/>
    </xf>
    <xf fontId="17523" applyFont="true" borderId="8" applyBorder="true" applyNumberFormat="true" numFmtId="2" fillId="22" applyFill="true">
      <alignment horizontal="center" vertical="center"/>
    </xf>
    <xf fontId="17524" applyFont="true" borderId="8" applyBorder="true" applyNumberFormat="true" numFmtId="2" fillId="22" applyFill="true">
      <alignment horizontal="center" vertical="center"/>
    </xf>
    <xf fontId="17525" applyFont="true" borderId="8" applyBorder="true" applyNumberFormat="true" numFmtId="2" fillId="22" applyFill="true">
      <alignment horizontal="center" vertical="center"/>
    </xf>
    <xf fontId="17526" applyFont="true" borderId="8" applyBorder="true" applyNumberFormat="true" numFmtId="2" fillId="22" applyFill="true">
      <alignment horizontal="center" vertical="center"/>
    </xf>
    <xf fontId="17527" applyFont="true" borderId="8" applyBorder="true" applyNumberFormat="true" numFmtId="2" fillId="22" applyFill="true">
      <alignment horizontal="center" vertical="center"/>
    </xf>
    <xf fontId="17528" applyFont="true" borderId="8" applyBorder="true" applyNumberFormat="true" numFmtId="2" fillId="22" applyFill="true">
      <alignment horizontal="center" vertical="center"/>
    </xf>
    <xf fontId="17529" applyFont="true" borderId="8" applyBorder="true" applyNumberFormat="true" numFmtId="2" fillId="22" applyFill="true">
      <alignment horizontal="center" vertical="center"/>
    </xf>
    <xf fontId="17530" applyFont="true" borderId="8" applyBorder="true" applyNumberFormat="true" numFmtId="2" fillId="22" applyFill="true">
      <alignment horizontal="center" vertical="center"/>
    </xf>
    <xf fontId="17531" applyFont="true" borderId="8" applyBorder="true" applyNumberFormat="true" numFmtId="2" fillId="22" applyFill="true">
      <alignment horizontal="center" vertical="center"/>
    </xf>
    <xf fontId="17532" applyFont="true" borderId="8" applyBorder="true" applyNumberFormat="true" numFmtId="2" fillId="22" applyFill="true">
      <alignment horizontal="center" vertical="center"/>
    </xf>
    <xf fontId="17533" applyFont="true" borderId="8" applyBorder="true" applyNumberFormat="true" numFmtId="2" fillId="22" applyFill="true">
      <alignment horizontal="center" vertical="center"/>
    </xf>
    <xf fontId="17534" applyFont="true" borderId="8" applyBorder="true" applyNumberFormat="true" numFmtId="2" fillId="22" applyFill="true">
      <alignment horizontal="center" vertical="center"/>
    </xf>
    <xf fontId="17535" applyFont="true" borderId="8" applyBorder="true" applyNumberFormat="true" numFmtId="2" fillId="22" applyFill="true">
      <alignment horizontal="center" vertical="center"/>
    </xf>
    <xf fontId="17536" applyFont="true" borderId="8" applyBorder="true" applyNumberFormat="true" numFmtId="2" fillId="22" applyFill="true">
      <alignment horizontal="center" vertical="center"/>
    </xf>
    <xf fontId="17537" applyFont="true" borderId="8" applyBorder="true" applyNumberFormat="true" numFmtId="2" fillId="22" applyFill="true">
      <alignment horizontal="center" vertical="center"/>
    </xf>
    <xf fontId="17538" applyFont="true" borderId="8" applyBorder="true" applyNumberFormat="true" numFmtId="2" fillId="22" applyFill="true">
      <alignment horizontal="center" vertical="center"/>
    </xf>
    <xf fontId="17539" applyFont="true" borderId="8" applyBorder="true" applyNumberFormat="true" numFmtId="2" fillId="22" applyFill="true">
      <alignment horizontal="center" vertical="center"/>
    </xf>
    <xf fontId="17540" applyFont="true" borderId="8" applyBorder="true" applyNumberFormat="true" numFmtId="2" fillId="22" applyFill="true">
      <alignment horizontal="center" vertical="center"/>
    </xf>
    <xf fontId="17541" applyFont="true" borderId="8" applyBorder="true" applyNumberFormat="true" numFmtId="2" fillId="22" applyFill="true">
      <alignment horizontal="center" vertical="center"/>
    </xf>
    <xf fontId="17542" applyFont="true" borderId="8" applyBorder="true" applyNumberFormat="true" numFmtId="2" fillId="22" applyFill="true">
      <alignment horizontal="center" vertical="center"/>
    </xf>
    <xf fontId="17543" applyFont="true" borderId="8" applyBorder="true" applyNumberFormat="true" numFmtId="2" fillId="22" applyFill="true">
      <alignment horizontal="center" vertical="center"/>
    </xf>
    <xf fontId="17544" applyFont="true" borderId="8" applyBorder="true" applyNumberFormat="true" numFmtId="2" fillId="22" applyFill="true">
      <alignment horizontal="center" vertical="center"/>
    </xf>
    <xf fontId="17545" applyFont="true" borderId="8" applyBorder="true" applyNumberFormat="true" numFmtId="2" fillId="22" applyFill="true">
      <alignment horizontal="center" vertical="center"/>
    </xf>
    <xf fontId="17546" applyFont="true" borderId="8" applyBorder="true" applyNumberFormat="true" numFmtId="2" fillId="22" applyFill="true">
      <alignment horizontal="center" vertical="center"/>
    </xf>
    <xf fontId="17547" applyFont="true" borderId="8" applyBorder="true" applyNumberFormat="true" numFmtId="2" fillId="22" applyFill="true">
      <alignment horizontal="center" vertical="center"/>
    </xf>
    <xf fontId="17548" applyFont="true" borderId="8" applyBorder="true" applyNumberFormat="true" numFmtId="2" fillId="22" applyFill="true">
      <alignment horizontal="center" vertical="center"/>
    </xf>
    <xf fontId="17549" applyFont="true" borderId="8" applyBorder="true" applyNumberFormat="true" numFmtId="2" fillId="22" applyFill="true">
      <alignment horizontal="center" vertical="center"/>
    </xf>
    <xf fontId="17550" applyFont="true" borderId="8" applyBorder="true" applyNumberFormat="true" numFmtId="2" fillId="22" applyFill="true">
      <alignment horizontal="center" vertical="center"/>
    </xf>
    <xf fontId="17551" applyFont="true" borderId="8" applyBorder="true" applyNumberFormat="true" numFmtId="165" fillId="19" applyFill="true">
      <alignment horizontal="left" vertical="center"/>
    </xf>
    <xf fontId="17552" applyFont="true" borderId="8" applyBorder="true" applyNumberFormat="true" numFmtId="165" fillId="22" applyFill="true">
      <alignment horizontal="center" vertical="center"/>
    </xf>
    <xf fontId="17553" applyFont="true" borderId="8" applyBorder="true" applyNumberFormat="true" numFmtId="166" fillId="22" applyFill="true">
      <alignment horizontal="center" vertical="center"/>
    </xf>
    <xf fontId="17554" applyFont="true" borderId="8" applyBorder="true" applyNumberFormat="true" numFmtId="1" fillId="22" applyFill="true">
      <alignment horizontal="center" vertical="center"/>
    </xf>
    <xf fontId="17555" applyFont="true" borderId="8" applyBorder="true" applyNumberFormat="true" numFmtId="1" fillId="22" applyFill="true">
      <alignment horizontal="center" vertical="center"/>
    </xf>
    <xf fontId="17556" applyFont="true" borderId="8" applyBorder="true" applyNumberFormat="true" numFmtId="1" fillId="22" applyFill="true">
      <alignment horizontal="center" vertical="center"/>
    </xf>
    <xf fontId="17557" applyFont="true" borderId="8" applyBorder="true" applyNumberFormat="true" numFmtId="1" fillId="22" applyFill="true">
      <alignment horizontal="center" vertical="center"/>
    </xf>
    <xf fontId="17558" applyFont="true" borderId="8" applyBorder="true" applyNumberFormat="true" numFmtId="1" fillId="22" applyFill="true">
      <alignment horizontal="center" vertical="center"/>
    </xf>
    <xf fontId="17559" applyFont="true" borderId="8" applyBorder="true" applyNumberFormat="true" numFmtId="1" fillId="22" applyFill="true">
      <alignment horizontal="center" vertical="center"/>
    </xf>
    <xf fontId="17560" applyFont="true" borderId="8" applyBorder="true" applyNumberFormat="true" numFmtId="1" fillId="22" applyFill="true">
      <alignment horizontal="center" vertical="center"/>
    </xf>
    <xf fontId="17561" applyFont="true" borderId="8" applyBorder="true" applyNumberFormat="true" numFmtId="165" fillId="22" applyFill="true">
      <alignment horizontal="center" vertical="center"/>
    </xf>
    <xf fontId="17562" applyFont="true" borderId="8" applyBorder="true" applyNumberFormat="true" numFmtId="165" fillId="22" applyFill="true">
      <alignment horizontal="center" vertical="center"/>
    </xf>
    <xf fontId="17563" applyFont="true" borderId="8" applyBorder="true" applyNumberFormat="true" numFmtId="1" fillId="22" applyFill="true">
      <alignment horizontal="center" vertical="center"/>
    </xf>
    <xf fontId="17564" applyFont="true" borderId="8" applyBorder="true" applyNumberFormat="true" numFmtId="1" fillId="22" applyFill="true">
      <alignment horizontal="center" vertical="center"/>
    </xf>
    <xf fontId="17565" applyFont="true" borderId="8" applyBorder="true" applyNumberFormat="true" numFmtId="1" fillId="22" applyFill="true">
      <alignment horizontal="center" vertical="center"/>
    </xf>
    <xf fontId="17566" applyFont="true" borderId="8" applyBorder="true" applyNumberFormat="true" numFmtId="167" fillId="22" applyFill="true">
      <alignment horizontal="center" vertical="center"/>
    </xf>
    <xf fontId="17567" applyFont="true" borderId="8" applyBorder="true" applyNumberFormat="true" numFmtId="1" fillId="22" applyFill="true">
      <alignment horizontal="center" vertical="center"/>
    </xf>
    <xf fontId="17568" applyFont="true" borderId="8" applyBorder="true" applyNumberFormat="true" numFmtId="167" fillId="22" applyFill="true">
      <alignment horizontal="center" vertical="center"/>
    </xf>
    <xf fontId="17569" applyFont="true" borderId="8" applyBorder="true" applyNumberFormat="true" numFmtId="1" fillId="22" applyFill="true">
      <alignment horizontal="center" vertical="center"/>
    </xf>
    <xf fontId="17570" applyFont="true" borderId="8" applyBorder="true" applyNumberFormat="true" numFmtId="167" fillId="22" applyFill="true">
      <alignment horizontal="center" vertical="center"/>
    </xf>
    <xf fontId="17571" applyFont="true" borderId="8" applyBorder="true" applyNumberFormat="true" numFmtId="1" fillId="22" applyFill="true">
      <alignment horizontal="center" vertical="center"/>
    </xf>
    <xf fontId="17572" applyFont="true" borderId="8" applyBorder="true" applyNumberFormat="true" numFmtId="167" fillId="22" applyFill="true">
      <alignment horizontal="center" vertical="center"/>
    </xf>
    <xf fontId="17573" applyFont="true" borderId="8" applyBorder="true" applyNumberFormat="true" numFmtId="167" fillId="22" applyFill="true">
      <alignment horizontal="center" vertical="center"/>
    </xf>
    <xf fontId="17574" applyFont="true" borderId="8" applyBorder="true" applyNumberFormat="true" numFmtId="1" fillId="22" applyFill="true">
      <alignment horizontal="center" vertical="center"/>
    </xf>
    <xf fontId="17575" applyFont="true" borderId="8" applyBorder="true" applyNumberFormat="true" numFmtId="1" fillId="22" applyFill="true">
      <alignment horizontal="center" vertical="center"/>
    </xf>
    <xf fontId="17576" applyFont="true" borderId="8" applyBorder="true" applyNumberFormat="true" numFmtId="1" fillId="22" applyFill="true">
      <alignment horizontal="center" vertical="center"/>
    </xf>
    <xf fontId="17577" applyFont="true" borderId="8" applyBorder="true" applyNumberFormat="true" numFmtId="167" fillId="22" applyFill="true">
      <alignment horizontal="center" vertical="center"/>
    </xf>
    <xf fontId="17578" applyFont="true" borderId="8" applyBorder="true" applyNumberFormat="true" numFmtId="166" fillId="22" applyFill="true">
      <alignment horizontal="center" vertical="center"/>
    </xf>
    <xf fontId="17579" applyFont="true" borderId="8" applyBorder="true" applyNumberFormat="true" numFmtId="166" fillId="22" applyFill="true">
      <alignment horizontal="center" vertical="center"/>
    </xf>
    <xf fontId="17580" applyFont="true" borderId="8" applyBorder="true" applyNumberFormat="true" numFmtId="1" fillId="22" applyFill="true">
      <alignment horizontal="center" vertical="center"/>
    </xf>
    <xf fontId="17581" applyFont="true" borderId="8" applyBorder="true" applyNumberFormat="true" numFmtId="1" fillId="22" applyFill="true">
      <alignment horizontal="center" vertical="center"/>
    </xf>
    <xf fontId="17582" applyFont="true" borderId="8" applyBorder="true" applyNumberFormat="true" numFmtId="1" fillId="22" applyFill="true">
      <alignment horizontal="center" vertical="center"/>
    </xf>
    <xf fontId="17583" applyFont="true" borderId="8" applyBorder="true" applyNumberFormat="true" numFmtId="167" fillId="22" applyFill="true">
      <alignment horizontal="center" vertical="center"/>
    </xf>
    <xf fontId="17584" applyFont="true" borderId="8" applyBorder="true" applyNumberFormat="true" numFmtId="1" fillId="22" applyFill="true">
      <alignment horizontal="center" vertical="center"/>
    </xf>
    <xf fontId="17585" applyFont="true" borderId="8" applyBorder="true" applyNumberFormat="true" numFmtId="167" fillId="22" applyFill="true">
      <alignment horizontal="center" vertical="center"/>
    </xf>
    <xf fontId="17586" applyFont="true" borderId="8" applyBorder="true" applyNumberFormat="true" numFmtId="1" fillId="22" applyFill="true">
      <alignment horizontal="center" vertical="center"/>
    </xf>
    <xf fontId="17587" applyFont="true" borderId="8" applyBorder="true" applyNumberFormat="true" numFmtId="1" fillId="22" applyFill="true">
      <alignment horizontal="center" vertical="center"/>
    </xf>
    <xf fontId="17588" applyFont="true" borderId="8" applyBorder="true" applyNumberFormat="true" numFmtId="1" fillId="22" applyFill="true">
      <alignment horizontal="center" vertical="center"/>
    </xf>
    <xf fontId="17589" applyFont="true" borderId="8" applyBorder="true" applyNumberFormat="true" numFmtId="1" fillId="22" applyFill="true">
      <alignment horizontal="center" vertical="center"/>
    </xf>
    <xf fontId="17590" applyFont="true" borderId="8" applyBorder="true" applyNumberFormat="true" numFmtId="167" fillId="22" applyFill="true">
      <alignment horizontal="center" vertical="center"/>
    </xf>
    <xf fontId="17591" applyFont="true" borderId="8" applyBorder="true" applyNumberFormat="true" numFmtId="1" fillId="22" applyFill="true">
      <alignment horizontal="center" vertical="center"/>
    </xf>
    <xf fontId="17592" applyFont="true" borderId="8" applyBorder="true" applyNumberFormat="true" numFmtId="167" fillId="22" applyFill="true">
      <alignment horizontal="center" vertical="center"/>
    </xf>
    <xf fontId="17593" applyFont="true" borderId="8" applyBorder="true" applyNumberFormat="true" numFmtId="1" fillId="22" applyFill="true">
      <alignment horizontal="center" vertical="center"/>
    </xf>
    <xf fontId="17594" applyFont="true" borderId="8" applyBorder="true" applyNumberFormat="true" numFmtId="167" fillId="22" applyFill="true">
      <alignment horizontal="center" vertical="center"/>
    </xf>
    <xf fontId="17595" applyFont="true" borderId="8" applyBorder="true" applyNumberFormat="true" numFmtId="2" fillId="22" applyFill="true">
      <alignment horizontal="center" vertical="center"/>
    </xf>
    <xf fontId="17596" applyFont="true" borderId="8" applyBorder="true" applyNumberFormat="true" numFmtId="2" fillId="22" applyFill="true">
      <alignment horizontal="center" vertical="center"/>
    </xf>
    <xf fontId="17597" applyFont="true" borderId="8" applyBorder="true" applyNumberFormat="true" numFmtId="2" fillId="22" applyFill="true">
      <alignment horizontal="center" vertical="center"/>
    </xf>
    <xf fontId="17598" applyFont="true" borderId="8" applyBorder="true" applyNumberFormat="true" numFmtId="2" fillId="22" applyFill="true">
      <alignment horizontal="center" vertical="center"/>
    </xf>
    <xf fontId="17599" applyFont="true" borderId="8" applyBorder="true" applyNumberFormat="true" numFmtId="2" fillId="22" applyFill="true">
      <alignment horizontal="center" vertical="center"/>
    </xf>
    <xf fontId="17600" applyFont="true" borderId="8" applyBorder="true" applyNumberFormat="true" numFmtId="2" fillId="22" applyFill="true">
      <alignment horizontal="center" vertical="center"/>
    </xf>
    <xf fontId="17601" applyFont="true" borderId="8" applyBorder="true" applyNumberFormat="true" numFmtId="2" fillId="22" applyFill="true">
      <alignment horizontal="center" vertical="center"/>
    </xf>
    <xf fontId="17602" applyFont="true" borderId="8" applyBorder="true" applyNumberFormat="true" numFmtId="2" fillId="22" applyFill="true">
      <alignment horizontal="center" vertical="center"/>
    </xf>
    <xf fontId="17603" applyFont="true" borderId="8" applyBorder="true" applyNumberFormat="true" numFmtId="2" fillId="22" applyFill="true">
      <alignment horizontal="center" vertical="center"/>
    </xf>
    <xf fontId="17604" applyFont="true" borderId="8" applyBorder="true" applyNumberFormat="true" numFmtId="2" fillId="22" applyFill="true">
      <alignment horizontal="center" vertical="center"/>
    </xf>
    <xf fontId="17605" applyFont="true" borderId="8" applyBorder="true" applyNumberFormat="true" numFmtId="2" fillId="22" applyFill="true">
      <alignment horizontal="center" vertical="center"/>
    </xf>
    <xf fontId="17606" applyFont="true" borderId="8" applyBorder="true" applyNumberFormat="true" numFmtId="2" fillId="22" applyFill="true">
      <alignment horizontal="center" vertical="center"/>
    </xf>
    <xf fontId="17607" applyFont="true" borderId="8" applyBorder="true" applyNumberFormat="true" numFmtId="2" fillId="22" applyFill="true">
      <alignment horizontal="center" vertical="center"/>
    </xf>
    <xf fontId="17608" applyFont="true" borderId="8" applyBorder="true" applyNumberFormat="true" numFmtId="2" fillId="22" applyFill="true">
      <alignment horizontal="center" vertical="center"/>
    </xf>
    <xf fontId="17609" applyFont="true" borderId="8" applyBorder="true" applyNumberFormat="true" numFmtId="2" fillId="22" applyFill="true">
      <alignment horizontal="center" vertical="center"/>
    </xf>
    <xf fontId="17610" applyFont="true" borderId="8" applyBorder="true" applyNumberFormat="true" numFmtId="2" fillId="22" applyFill="true">
      <alignment horizontal="center" vertical="center"/>
    </xf>
    <xf fontId="17611" applyFont="true" borderId="8" applyBorder="true" applyNumberFormat="true" numFmtId="2" fillId="22" applyFill="true">
      <alignment horizontal="center" vertical="center"/>
    </xf>
    <xf fontId="17612" applyFont="true" borderId="8" applyBorder="true" applyNumberFormat="true" numFmtId="2" fillId="22" applyFill="true">
      <alignment horizontal="center" vertical="center"/>
    </xf>
    <xf fontId="17613" applyFont="true" borderId="8" applyBorder="true" applyNumberFormat="true" numFmtId="2" fillId="22" applyFill="true">
      <alignment horizontal="center" vertical="center"/>
    </xf>
    <xf fontId="17614" applyFont="true" borderId="8" applyBorder="true" applyNumberFormat="true" numFmtId="2" fillId="22" applyFill="true">
      <alignment horizontal="center" vertical="center"/>
    </xf>
    <xf fontId="17615" applyFont="true" borderId="8" applyBorder="true" applyNumberFormat="true" numFmtId="2" fillId="22" applyFill="true">
      <alignment horizontal="center" vertical="center"/>
    </xf>
    <xf fontId="17616" applyFont="true" borderId="8" applyBorder="true" applyNumberFormat="true" numFmtId="2" fillId="22" applyFill="true">
      <alignment horizontal="center" vertical="center"/>
    </xf>
    <xf fontId="17617" applyFont="true" borderId="8" applyBorder="true" applyNumberFormat="true" numFmtId="2" fillId="22" applyFill="true">
      <alignment horizontal="center" vertical="center"/>
    </xf>
    <xf fontId="17618" applyFont="true" borderId="8" applyBorder="true" applyNumberFormat="true" numFmtId="2" fillId="22" applyFill="true">
      <alignment horizontal="center" vertical="center"/>
    </xf>
    <xf fontId="17619" applyFont="true" borderId="8" applyBorder="true" applyNumberFormat="true" numFmtId="2" fillId="22" applyFill="true">
      <alignment horizontal="center" vertical="center"/>
    </xf>
    <xf fontId="17620" applyFont="true" borderId="8" applyBorder="true" applyNumberFormat="true" numFmtId="2" fillId="22" applyFill="true">
      <alignment horizontal="center" vertical="center"/>
    </xf>
    <xf fontId="17621" applyFont="true" borderId="8" applyBorder="true" applyNumberFormat="true" numFmtId="2" fillId="22" applyFill="true">
      <alignment horizontal="center" vertical="center"/>
    </xf>
    <xf fontId="17622" applyFont="true" borderId="8" applyBorder="true" applyNumberFormat="true" numFmtId="2" fillId="22" applyFill="true">
      <alignment horizontal="center" vertical="center"/>
    </xf>
    <xf fontId="17623" applyFont="true" borderId="8" applyBorder="true" applyNumberFormat="true" numFmtId="2" fillId="22" applyFill="true">
      <alignment horizontal="center" vertical="center"/>
    </xf>
    <xf fontId="17624" applyFont="true" borderId="8" applyBorder="true" applyNumberFormat="true" numFmtId="2" fillId="22" applyFill="true">
      <alignment horizontal="center" vertical="center"/>
    </xf>
    <xf fontId="17625" applyFont="true" borderId="8" applyBorder="true" applyNumberFormat="true" numFmtId="2" fillId="22" applyFill="true">
      <alignment horizontal="center" vertical="center"/>
    </xf>
    <xf fontId="17626" applyFont="true" borderId="8" applyBorder="true" applyNumberFormat="true" numFmtId="2" fillId="22" applyFill="true">
      <alignment horizontal="center" vertical="center"/>
    </xf>
    <xf fontId="17627" applyFont="true" borderId="8" applyBorder="true" applyNumberFormat="true" numFmtId="2" fillId="22" applyFill="true">
      <alignment horizontal="center" vertical="center"/>
    </xf>
    <xf fontId="17628" applyFont="true" borderId="8" applyBorder="true" applyNumberFormat="true" numFmtId="2" fillId="22" applyFill="true">
      <alignment horizontal="center" vertical="center"/>
    </xf>
    <xf fontId="17629" applyFont="true" borderId="8" applyBorder="true" applyNumberFormat="true" numFmtId="165" fillId="19" applyFill="true">
      <alignment horizontal="left" vertical="center"/>
    </xf>
    <xf fontId="17630" applyFont="true" borderId="8" applyBorder="true" applyNumberFormat="true" numFmtId="165" fillId="22" applyFill="true">
      <alignment horizontal="center" vertical="center"/>
    </xf>
    <xf fontId="17631" applyFont="true" borderId="8" applyBorder="true" applyNumberFormat="true" numFmtId="166" fillId="22" applyFill="true">
      <alignment horizontal="center" vertical="center"/>
    </xf>
    <xf fontId="17632" applyFont="true" borderId="8" applyBorder="true" applyNumberFormat="true" numFmtId="1" fillId="22" applyFill="true">
      <alignment horizontal="center" vertical="center"/>
    </xf>
    <xf fontId="17633" applyFont="true" borderId="8" applyBorder="true" applyNumberFormat="true" numFmtId="1" fillId="22" applyFill="true">
      <alignment horizontal="center" vertical="center"/>
    </xf>
    <xf fontId="17634" applyFont="true" borderId="8" applyBorder="true" applyNumberFormat="true" numFmtId="1" fillId="22" applyFill="true">
      <alignment horizontal="center" vertical="center"/>
    </xf>
    <xf fontId="17635" applyFont="true" borderId="8" applyBorder="true" applyNumberFormat="true" numFmtId="1" fillId="22" applyFill="true">
      <alignment horizontal="center" vertical="center"/>
    </xf>
    <xf fontId="17636" applyFont="true" borderId="8" applyBorder="true" applyNumberFormat="true" numFmtId="1" fillId="22" applyFill="true">
      <alignment horizontal="center" vertical="center"/>
    </xf>
    <xf fontId="17637" applyFont="true" borderId="8" applyBorder="true" applyNumberFormat="true" numFmtId="1" fillId="22" applyFill="true">
      <alignment horizontal="center" vertical="center"/>
    </xf>
    <xf fontId="17638" applyFont="true" borderId="8" applyBorder="true" applyNumberFormat="true" numFmtId="1" fillId="22" applyFill="true">
      <alignment horizontal="center" vertical="center"/>
    </xf>
    <xf fontId="17639" applyFont="true" borderId="8" applyBorder="true" applyNumberFormat="true" numFmtId="165" fillId="22" applyFill="true">
      <alignment horizontal="center" vertical="center"/>
    </xf>
    <xf fontId="17640" applyFont="true" borderId="8" applyBorder="true" applyNumberFormat="true" numFmtId="165" fillId="22" applyFill="true">
      <alignment horizontal="center" vertical="center"/>
    </xf>
    <xf fontId="17641" applyFont="true" borderId="8" applyBorder="true" applyNumberFormat="true" numFmtId="1" fillId="22" applyFill="true">
      <alignment horizontal="center" vertical="center"/>
    </xf>
    <xf fontId="17642" applyFont="true" borderId="8" applyBorder="true" applyNumberFormat="true" numFmtId="1" fillId="22" applyFill="true">
      <alignment horizontal="center" vertical="center"/>
    </xf>
    <xf fontId="17643" applyFont="true" borderId="8" applyBorder="true" applyNumberFormat="true" numFmtId="1" fillId="22" applyFill="true">
      <alignment horizontal="center" vertical="center"/>
    </xf>
    <xf fontId="17644" applyFont="true" borderId="8" applyBorder="true" applyNumberFormat="true" numFmtId="167" fillId="22" applyFill="true">
      <alignment horizontal="center" vertical="center"/>
    </xf>
    <xf fontId="17645" applyFont="true" borderId="8" applyBorder="true" applyNumberFormat="true" numFmtId="1" fillId="22" applyFill="true">
      <alignment horizontal="center" vertical="center"/>
    </xf>
    <xf fontId="17646" applyFont="true" borderId="8" applyBorder="true" applyNumberFormat="true" numFmtId="167" fillId="22" applyFill="true">
      <alignment horizontal="center" vertical="center"/>
    </xf>
    <xf fontId="17647" applyFont="true" borderId="8" applyBorder="true" applyNumberFormat="true" numFmtId="1" fillId="22" applyFill="true">
      <alignment horizontal="center" vertical="center"/>
    </xf>
    <xf fontId="17648" applyFont="true" borderId="8" applyBorder="true" applyNumberFormat="true" numFmtId="167" fillId="22" applyFill="true">
      <alignment horizontal="center" vertical="center"/>
    </xf>
    <xf fontId="17649" applyFont="true" borderId="8" applyBorder="true" applyNumberFormat="true" numFmtId="1" fillId="22" applyFill="true">
      <alignment horizontal="center" vertical="center"/>
    </xf>
    <xf fontId="17650" applyFont="true" borderId="8" applyBorder="true" applyNumberFormat="true" numFmtId="167" fillId="22" applyFill="true">
      <alignment horizontal="center" vertical="center"/>
    </xf>
    <xf fontId="17651" applyFont="true" borderId="8" applyBorder="true" applyNumberFormat="true" numFmtId="167" fillId="22" applyFill="true">
      <alignment horizontal="center" vertical="center"/>
    </xf>
    <xf fontId="17652" applyFont="true" borderId="8" applyBorder="true" applyNumberFormat="true" numFmtId="1" fillId="22" applyFill="true">
      <alignment horizontal="center" vertical="center"/>
    </xf>
    <xf fontId="17653" applyFont="true" borderId="8" applyBorder="true" applyNumberFormat="true" numFmtId="1" fillId="22" applyFill="true">
      <alignment horizontal="center" vertical="center"/>
    </xf>
    <xf fontId="17654" applyFont="true" borderId="8" applyBorder="true" applyNumberFormat="true" numFmtId="1" fillId="22" applyFill="true">
      <alignment horizontal="center" vertical="center"/>
    </xf>
    <xf fontId="17655" applyFont="true" borderId="8" applyBorder="true" applyNumberFormat="true" numFmtId="167" fillId="22" applyFill="true">
      <alignment horizontal="center" vertical="center"/>
    </xf>
    <xf fontId="17656" applyFont="true" borderId="8" applyBorder="true" applyNumberFormat="true" numFmtId="166" fillId="22" applyFill="true">
      <alignment horizontal="center" vertical="center"/>
    </xf>
    <xf fontId="17657" applyFont="true" borderId="8" applyBorder="true" applyNumberFormat="true" numFmtId="166" fillId="22" applyFill="true">
      <alignment horizontal="center" vertical="center"/>
    </xf>
    <xf fontId="17658" applyFont="true" borderId="8" applyBorder="true" applyNumberFormat="true" numFmtId="1" fillId="22" applyFill="true">
      <alignment horizontal="center" vertical="center"/>
    </xf>
    <xf fontId="17659" applyFont="true" borderId="8" applyBorder="true" applyNumberFormat="true" numFmtId="1" fillId="22" applyFill="true">
      <alignment horizontal="center" vertical="center"/>
    </xf>
    <xf fontId="17660" applyFont="true" borderId="8" applyBorder="true" applyNumberFormat="true" numFmtId="1" fillId="22" applyFill="true">
      <alignment horizontal="center" vertical="center"/>
    </xf>
    <xf fontId="17661" applyFont="true" borderId="8" applyBorder="true" applyNumberFormat="true" numFmtId="167" fillId="22" applyFill="true">
      <alignment horizontal="center" vertical="center"/>
    </xf>
    <xf fontId="17662" applyFont="true" borderId="8" applyBorder="true" applyNumberFormat="true" numFmtId="1" fillId="22" applyFill="true">
      <alignment horizontal="center" vertical="center"/>
    </xf>
    <xf fontId="17663" applyFont="true" borderId="8" applyBorder="true" applyNumberFormat="true" numFmtId="167" fillId="22" applyFill="true">
      <alignment horizontal="center" vertical="center"/>
    </xf>
    <xf fontId="17664" applyFont="true" borderId="8" applyBorder="true" applyNumberFormat="true" numFmtId="1" fillId="22" applyFill="true">
      <alignment horizontal="center" vertical="center"/>
    </xf>
    <xf fontId="17665" applyFont="true" borderId="8" applyBorder="true" applyNumberFormat="true" numFmtId="1" fillId="22" applyFill="true">
      <alignment horizontal="center" vertical="center"/>
    </xf>
    <xf fontId="17666" applyFont="true" borderId="8" applyBorder="true" applyNumberFormat="true" numFmtId="1" fillId="22" applyFill="true">
      <alignment horizontal="center" vertical="center"/>
    </xf>
    <xf fontId="17667" applyFont="true" borderId="8" applyBorder="true" applyNumberFormat="true" numFmtId="1" fillId="22" applyFill="true">
      <alignment horizontal="center" vertical="center"/>
    </xf>
    <xf fontId="17668" applyFont="true" borderId="8" applyBorder="true" applyNumberFormat="true" numFmtId="167" fillId="22" applyFill="true">
      <alignment horizontal="center" vertical="center"/>
    </xf>
    <xf fontId="17669" applyFont="true" borderId="8" applyBorder="true" applyNumberFormat="true" numFmtId="1" fillId="22" applyFill="true">
      <alignment horizontal="center" vertical="center"/>
    </xf>
    <xf fontId="17670" applyFont="true" borderId="8" applyBorder="true" applyNumberFormat="true" numFmtId="167" fillId="22" applyFill="true">
      <alignment horizontal="center" vertical="center"/>
    </xf>
    <xf fontId="17671" applyFont="true" borderId="8" applyBorder="true" applyNumberFormat="true" numFmtId="1" fillId="22" applyFill="true">
      <alignment horizontal="center" vertical="center"/>
    </xf>
    <xf fontId="17672" applyFont="true" borderId="8" applyBorder="true" applyNumberFormat="true" numFmtId="167" fillId="22" applyFill="true">
      <alignment horizontal="center" vertical="center"/>
    </xf>
    <xf fontId="17673" applyFont="true" borderId="8" applyBorder="true" applyNumberFormat="true" numFmtId="2" fillId="22" applyFill="true">
      <alignment horizontal="center" vertical="center"/>
    </xf>
    <xf fontId="17674" applyFont="true" borderId="8" applyBorder="true" applyNumberFormat="true" numFmtId="2" fillId="22" applyFill="true">
      <alignment horizontal="center" vertical="center"/>
    </xf>
    <xf fontId="17675" applyFont="true" borderId="8" applyBorder="true" applyNumberFormat="true" numFmtId="2" fillId="22" applyFill="true">
      <alignment horizontal="center" vertical="center"/>
    </xf>
    <xf fontId="17676" applyFont="true" borderId="8" applyBorder="true" applyNumberFormat="true" numFmtId="2" fillId="22" applyFill="true">
      <alignment horizontal="center" vertical="center"/>
    </xf>
    <xf fontId="17677" applyFont="true" borderId="8" applyBorder="true" applyNumberFormat="true" numFmtId="2" fillId="22" applyFill="true">
      <alignment horizontal="center" vertical="center"/>
    </xf>
    <xf fontId="17678" applyFont="true" borderId="8" applyBorder="true" applyNumberFormat="true" numFmtId="2" fillId="22" applyFill="true">
      <alignment horizontal="center" vertical="center"/>
    </xf>
    <xf fontId="17679" applyFont="true" borderId="8" applyBorder="true" applyNumberFormat="true" numFmtId="2" fillId="22" applyFill="true">
      <alignment horizontal="center" vertical="center"/>
    </xf>
    <xf fontId="17680" applyFont="true" borderId="8" applyBorder="true" applyNumberFormat="true" numFmtId="2" fillId="22" applyFill="true">
      <alignment horizontal="center" vertical="center"/>
    </xf>
    <xf fontId="17681" applyFont="true" borderId="8" applyBorder="true" applyNumberFormat="true" numFmtId="2" fillId="22" applyFill="true">
      <alignment horizontal="center" vertical="center"/>
    </xf>
    <xf fontId="17682" applyFont="true" borderId="8" applyBorder="true" applyNumberFormat="true" numFmtId="2" fillId="22" applyFill="true">
      <alignment horizontal="center" vertical="center"/>
    </xf>
    <xf fontId="17683" applyFont="true" borderId="8" applyBorder="true" applyNumberFormat="true" numFmtId="2" fillId="22" applyFill="true">
      <alignment horizontal="center" vertical="center"/>
    </xf>
    <xf fontId="17684" applyFont="true" borderId="8" applyBorder="true" applyNumberFormat="true" numFmtId="2" fillId="22" applyFill="true">
      <alignment horizontal="center" vertical="center"/>
    </xf>
    <xf fontId="17685" applyFont="true" borderId="8" applyBorder="true" applyNumberFormat="true" numFmtId="2" fillId="22" applyFill="true">
      <alignment horizontal="center" vertical="center"/>
    </xf>
    <xf fontId="17686" applyFont="true" borderId="8" applyBorder="true" applyNumberFormat="true" numFmtId="2" fillId="22" applyFill="true">
      <alignment horizontal="center" vertical="center"/>
    </xf>
    <xf fontId="17687" applyFont="true" borderId="8" applyBorder="true" applyNumberFormat="true" numFmtId="2" fillId="22" applyFill="true">
      <alignment horizontal="center" vertical="center"/>
    </xf>
    <xf fontId="17688" applyFont="true" borderId="8" applyBorder="true" applyNumberFormat="true" numFmtId="2" fillId="22" applyFill="true">
      <alignment horizontal="center" vertical="center"/>
    </xf>
    <xf fontId="17689" applyFont="true" borderId="8" applyBorder="true" applyNumberFormat="true" numFmtId="2" fillId="22" applyFill="true">
      <alignment horizontal="center" vertical="center"/>
    </xf>
    <xf fontId="17690" applyFont="true" borderId="8" applyBorder="true" applyNumberFormat="true" numFmtId="2" fillId="22" applyFill="true">
      <alignment horizontal="center" vertical="center"/>
    </xf>
    <xf fontId="17691" applyFont="true" borderId="8" applyBorder="true" applyNumberFormat="true" numFmtId="2" fillId="22" applyFill="true">
      <alignment horizontal="center" vertical="center"/>
    </xf>
    <xf fontId="17692" applyFont="true" borderId="8" applyBorder="true" applyNumberFormat="true" numFmtId="2" fillId="22" applyFill="true">
      <alignment horizontal="center" vertical="center"/>
    </xf>
    <xf fontId="17693" applyFont="true" borderId="8" applyBorder="true" applyNumberFormat="true" numFmtId="2" fillId="22" applyFill="true">
      <alignment horizontal="center" vertical="center"/>
    </xf>
    <xf fontId="17694" applyFont="true" borderId="8" applyBorder="true" applyNumberFormat="true" numFmtId="2" fillId="22" applyFill="true">
      <alignment horizontal="center" vertical="center"/>
    </xf>
    <xf fontId="17695" applyFont="true" borderId="8" applyBorder="true" applyNumberFormat="true" numFmtId="2" fillId="22" applyFill="true">
      <alignment horizontal="center" vertical="center"/>
    </xf>
    <xf fontId="17696" applyFont="true" borderId="8" applyBorder="true" applyNumberFormat="true" numFmtId="2" fillId="22" applyFill="true">
      <alignment horizontal="center" vertical="center"/>
    </xf>
    <xf fontId="17697" applyFont="true" borderId="8" applyBorder="true" applyNumberFormat="true" numFmtId="2" fillId="22" applyFill="true">
      <alignment horizontal="center" vertical="center"/>
    </xf>
    <xf fontId="17698" applyFont="true" borderId="8" applyBorder="true" applyNumberFormat="true" numFmtId="2" fillId="22" applyFill="true">
      <alignment horizontal="center" vertical="center"/>
    </xf>
    <xf fontId="17699" applyFont="true" borderId="8" applyBorder="true" applyNumberFormat="true" numFmtId="2" fillId="22" applyFill="true">
      <alignment horizontal="center" vertical="center"/>
    </xf>
    <xf fontId="17700" applyFont="true" borderId="8" applyBorder="true" applyNumberFormat="true" numFmtId="2" fillId="22" applyFill="true">
      <alignment horizontal="center" vertical="center"/>
    </xf>
    <xf fontId="17701" applyFont="true" borderId="8" applyBorder="true" applyNumberFormat="true" numFmtId="2" fillId="22" applyFill="true">
      <alignment horizontal="center" vertical="center"/>
    </xf>
    <xf fontId="17702" applyFont="true" borderId="8" applyBorder="true" applyNumberFormat="true" numFmtId="2" fillId="22" applyFill="true">
      <alignment horizontal="center" vertical="center"/>
    </xf>
    <xf fontId="17703" applyFont="true" borderId="8" applyBorder="true" applyNumberFormat="true" numFmtId="2" fillId="22" applyFill="true">
      <alignment horizontal="center" vertical="center"/>
    </xf>
    <xf fontId="17704" applyFont="true" borderId="8" applyBorder="true" applyNumberFormat="true" numFmtId="2" fillId="22" applyFill="true">
      <alignment horizontal="center" vertical="center"/>
    </xf>
    <xf fontId="17705" applyFont="true" borderId="8" applyBorder="true" applyNumberFormat="true" numFmtId="2" fillId="22" applyFill="true">
      <alignment horizontal="center" vertical="center"/>
    </xf>
    <xf fontId="17706" applyFont="true" borderId="8" applyBorder="true" applyNumberFormat="true" numFmtId="2" fillId="22" applyFill="true">
      <alignment horizontal="center" vertical="center"/>
    </xf>
    <xf fontId="17707" applyFont="true" borderId="8" applyBorder="true" applyNumberFormat="true" numFmtId="165" fillId="19" applyFill="true">
      <alignment horizontal="left" vertical="center"/>
    </xf>
    <xf fontId="17708" applyFont="true" borderId="8" applyBorder="true" applyNumberFormat="true" numFmtId="165" fillId="22" applyFill="true">
      <alignment horizontal="center" vertical="center"/>
    </xf>
    <xf fontId="17709" applyFont="true" borderId="8" applyBorder="true" applyNumberFormat="true" numFmtId="166" fillId="22" applyFill="true">
      <alignment horizontal="center" vertical="center"/>
    </xf>
    <xf fontId="17710" applyFont="true" borderId="8" applyBorder="true" applyNumberFormat="true" numFmtId="1" fillId="22" applyFill="true">
      <alignment horizontal="center" vertical="center"/>
    </xf>
    <xf fontId="17711" applyFont="true" borderId="8" applyBorder="true" applyNumberFormat="true" numFmtId="1" fillId="22" applyFill="true">
      <alignment horizontal="center" vertical="center"/>
    </xf>
    <xf fontId="17712" applyFont="true" borderId="8" applyBorder="true" applyNumberFormat="true" numFmtId="1" fillId="22" applyFill="true">
      <alignment horizontal="center" vertical="center"/>
    </xf>
    <xf fontId="17713" applyFont="true" borderId="8" applyBorder="true" applyNumberFormat="true" numFmtId="1" fillId="22" applyFill="true">
      <alignment horizontal="center" vertical="center"/>
    </xf>
    <xf fontId="17714" applyFont="true" borderId="8" applyBorder="true" applyNumberFormat="true" numFmtId="1" fillId="22" applyFill="true">
      <alignment horizontal="center" vertical="center"/>
    </xf>
    <xf fontId="17715" applyFont="true" borderId="8" applyBorder="true" applyNumberFormat="true" numFmtId="1" fillId="22" applyFill="true">
      <alignment horizontal="center" vertical="center"/>
    </xf>
    <xf fontId="17716" applyFont="true" borderId="8" applyBorder="true" applyNumberFormat="true" numFmtId="1" fillId="22" applyFill="true">
      <alignment horizontal="center" vertical="center"/>
    </xf>
    <xf fontId="17717" applyFont="true" borderId="8" applyBorder="true" applyNumberFormat="true" numFmtId="165" fillId="22" applyFill="true">
      <alignment horizontal="center" vertical="center"/>
    </xf>
    <xf fontId="17718" applyFont="true" borderId="8" applyBorder="true" applyNumberFormat="true" numFmtId="165" fillId="22" applyFill="true">
      <alignment horizontal="center" vertical="center"/>
    </xf>
    <xf fontId="17719" applyFont="true" borderId="8" applyBorder="true" applyNumberFormat="true" numFmtId="1" fillId="22" applyFill="true">
      <alignment horizontal="center" vertical="center"/>
    </xf>
    <xf fontId="17720" applyFont="true" borderId="8" applyBorder="true" applyNumberFormat="true" numFmtId="1" fillId="22" applyFill="true">
      <alignment horizontal="center" vertical="center"/>
    </xf>
    <xf fontId="17721" applyFont="true" borderId="8" applyBorder="true" applyNumberFormat="true" numFmtId="1" fillId="22" applyFill="true">
      <alignment horizontal="center" vertical="center"/>
    </xf>
    <xf fontId="17722" applyFont="true" borderId="8" applyBorder="true" applyNumberFormat="true" numFmtId="167" fillId="22" applyFill="true">
      <alignment horizontal="center" vertical="center"/>
    </xf>
    <xf fontId="17723" applyFont="true" borderId="8" applyBorder="true" applyNumberFormat="true" numFmtId="1" fillId="22" applyFill="true">
      <alignment horizontal="center" vertical="center"/>
    </xf>
    <xf fontId="17724" applyFont="true" borderId="8" applyBorder="true" applyNumberFormat="true" numFmtId="167" fillId="22" applyFill="true">
      <alignment horizontal="center" vertical="center"/>
    </xf>
    <xf fontId="17725" applyFont="true" borderId="8" applyBorder="true" applyNumberFormat="true" numFmtId="1" fillId="22" applyFill="true">
      <alignment horizontal="center" vertical="center"/>
    </xf>
    <xf fontId="17726" applyFont="true" borderId="8" applyBorder="true" applyNumberFormat="true" numFmtId="167" fillId="22" applyFill="true">
      <alignment horizontal="center" vertical="center"/>
    </xf>
    <xf fontId="17727" applyFont="true" borderId="8" applyBorder="true" applyNumberFormat="true" numFmtId="1" fillId="22" applyFill="true">
      <alignment horizontal="center" vertical="center"/>
    </xf>
    <xf fontId="17728" applyFont="true" borderId="8" applyBorder="true" applyNumberFormat="true" numFmtId="167" fillId="22" applyFill="true">
      <alignment horizontal="center" vertical="center"/>
    </xf>
    <xf fontId="17729" applyFont="true" borderId="8" applyBorder="true" applyNumberFormat="true" numFmtId="167" fillId="22" applyFill="true">
      <alignment horizontal="center" vertical="center"/>
    </xf>
    <xf fontId="17730" applyFont="true" borderId="8" applyBorder="true" applyNumberFormat="true" numFmtId="1" fillId="22" applyFill="true">
      <alignment horizontal="center" vertical="center"/>
    </xf>
    <xf fontId="17731" applyFont="true" borderId="8" applyBorder="true" applyNumberFormat="true" numFmtId="1" fillId="22" applyFill="true">
      <alignment horizontal="center" vertical="center"/>
    </xf>
    <xf fontId="17732" applyFont="true" borderId="8" applyBorder="true" applyNumberFormat="true" numFmtId="1" fillId="22" applyFill="true">
      <alignment horizontal="center" vertical="center"/>
    </xf>
    <xf fontId="17733" applyFont="true" borderId="8" applyBorder="true" applyNumberFormat="true" numFmtId="167" fillId="22" applyFill="true">
      <alignment horizontal="center" vertical="center"/>
    </xf>
    <xf fontId="17734" applyFont="true" borderId="8" applyBorder="true" applyNumberFormat="true" numFmtId="166" fillId="22" applyFill="true">
      <alignment horizontal="center" vertical="center"/>
    </xf>
    <xf fontId="17735" applyFont="true" borderId="8" applyBorder="true" applyNumberFormat="true" numFmtId="166" fillId="22" applyFill="true">
      <alignment horizontal="center" vertical="center"/>
    </xf>
    <xf fontId="17736" applyFont="true" borderId="8" applyBorder="true" applyNumberFormat="true" numFmtId="1" fillId="22" applyFill="true">
      <alignment horizontal="center" vertical="center"/>
    </xf>
    <xf fontId="17737" applyFont="true" borderId="8" applyBorder="true" applyNumberFormat="true" numFmtId="1" fillId="22" applyFill="true">
      <alignment horizontal="center" vertical="center"/>
    </xf>
    <xf fontId="17738" applyFont="true" borderId="8" applyBorder="true" applyNumberFormat="true" numFmtId="1" fillId="22" applyFill="true">
      <alignment horizontal="center" vertical="center"/>
    </xf>
    <xf fontId="17739" applyFont="true" borderId="8" applyBorder="true" applyNumberFormat="true" numFmtId="167" fillId="22" applyFill="true">
      <alignment horizontal="center" vertical="center"/>
    </xf>
    <xf fontId="17740" applyFont="true" borderId="8" applyBorder="true" applyNumberFormat="true" numFmtId="1" fillId="22" applyFill="true">
      <alignment horizontal="center" vertical="center"/>
    </xf>
    <xf fontId="17741" applyFont="true" borderId="8" applyBorder="true" applyNumberFormat="true" numFmtId="167" fillId="22" applyFill="true">
      <alignment horizontal="center" vertical="center"/>
    </xf>
    <xf fontId="17742" applyFont="true" borderId="8" applyBorder="true" applyNumberFormat="true" numFmtId="1" fillId="22" applyFill="true">
      <alignment horizontal="center" vertical="center"/>
    </xf>
    <xf fontId="17743" applyFont="true" borderId="8" applyBorder="true" applyNumberFormat="true" numFmtId="1" fillId="22" applyFill="true">
      <alignment horizontal="center" vertical="center"/>
    </xf>
    <xf fontId="17744" applyFont="true" borderId="8" applyBorder="true" applyNumberFormat="true" numFmtId="1" fillId="22" applyFill="true">
      <alignment horizontal="center" vertical="center"/>
    </xf>
    <xf fontId="17745" applyFont="true" borderId="8" applyBorder="true" applyNumberFormat="true" numFmtId="1" fillId="22" applyFill="true">
      <alignment horizontal="center" vertical="center"/>
    </xf>
    <xf fontId="17746" applyFont="true" borderId="8" applyBorder="true" applyNumberFormat="true" numFmtId="167" fillId="22" applyFill="true">
      <alignment horizontal="center" vertical="center"/>
    </xf>
    <xf fontId="17747" applyFont="true" borderId="8" applyBorder="true" applyNumberFormat="true" numFmtId="1" fillId="22" applyFill="true">
      <alignment horizontal="center" vertical="center"/>
    </xf>
    <xf fontId="17748" applyFont="true" borderId="8" applyBorder="true" applyNumberFormat="true" numFmtId="167" fillId="22" applyFill="true">
      <alignment horizontal="center" vertical="center"/>
    </xf>
    <xf fontId="17749" applyFont="true" borderId="8" applyBorder="true" applyNumberFormat="true" numFmtId="1" fillId="22" applyFill="true">
      <alignment horizontal="center" vertical="center"/>
    </xf>
    <xf fontId="17750" applyFont="true" borderId="8" applyBorder="true" applyNumberFormat="true" numFmtId="167" fillId="22" applyFill="true">
      <alignment horizontal="center" vertical="center"/>
    </xf>
    <xf fontId="17751" applyFont="true" borderId="8" applyBorder="true" applyNumberFormat="true" numFmtId="2" fillId="22" applyFill="true">
      <alignment horizontal="center" vertical="center"/>
    </xf>
    <xf fontId="17752" applyFont="true" borderId="8" applyBorder="true" applyNumberFormat="true" numFmtId="2" fillId="22" applyFill="true">
      <alignment horizontal="center" vertical="center"/>
    </xf>
    <xf fontId="17753" applyFont="true" borderId="8" applyBorder="true" applyNumberFormat="true" numFmtId="2" fillId="22" applyFill="true">
      <alignment horizontal="center" vertical="center"/>
    </xf>
    <xf fontId="17754" applyFont="true" borderId="8" applyBorder="true" applyNumberFormat="true" numFmtId="2" fillId="22" applyFill="true">
      <alignment horizontal="center" vertical="center"/>
    </xf>
    <xf fontId="17755" applyFont="true" borderId="8" applyBorder="true" applyNumberFormat="true" numFmtId="2" fillId="22" applyFill="true">
      <alignment horizontal="center" vertical="center"/>
    </xf>
    <xf fontId="17756" applyFont="true" borderId="8" applyBorder="true" applyNumberFormat="true" numFmtId="2" fillId="22" applyFill="true">
      <alignment horizontal="center" vertical="center"/>
    </xf>
    <xf fontId="17757" applyFont="true" borderId="8" applyBorder="true" applyNumberFormat="true" numFmtId="2" fillId="22" applyFill="true">
      <alignment horizontal="center" vertical="center"/>
    </xf>
    <xf fontId="17758" applyFont="true" borderId="8" applyBorder="true" applyNumberFormat="true" numFmtId="2" fillId="22" applyFill="true">
      <alignment horizontal="center" vertical="center"/>
    </xf>
    <xf fontId="17759" applyFont="true" borderId="8" applyBorder="true" applyNumberFormat="true" numFmtId="2" fillId="22" applyFill="true">
      <alignment horizontal="center" vertical="center"/>
    </xf>
    <xf fontId="17760" applyFont="true" borderId="8" applyBorder="true" applyNumberFormat="true" numFmtId="2" fillId="22" applyFill="true">
      <alignment horizontal="center" vertical="center"/>
    </xf>
    <xf fontId="17761" applyFont="true" borderId="8" applyBorder="true" applyNumberFormat="true" numFmtId="2" fillId="22" applyFill="true">
      <alignment horizontal="center" vertical="center"/>
    </xf>
    <xf fontId="17762" applyFont="true" borderId="8" applyBorder="true" applyNumberFormat="true" numFmtId="2" fillId="22" applyFill="true">
      <alignment horizontal="center" vertical="center"/>
    </xf>
    <xf fontId="17763" applyFont="true" borderId="8" applyBorder="true" applyNumberFormat="true" numFmtId="2" fillId="22" applyFill="true">
      <alignment horizontal="center" vertical="center"/>
    </xf>
    <xf fontId="17764" applyFont="true" borderId="8" applyBorder="true" applyNumberFormat="true" numFmtId="2" fillId="22" applyFill="true">
      <alignment horizontal="center" vertical="center"/>
    </xf>
    <xf fontId="17765" applyFont="true" borderId="8" applyBorder="true" applyNumberFormat="true" numFmtId="2" fillId="22" applyFill="true">
      <alignment horizontal="center" vertical="center"/>
    </xf>
    <xf fontId="17766" applyFont="true" borderId="8" applyBorder="true" applyNumberFormat="true" numFmtId="2" fillId="22" applyFill="true">
      <alignment horizontal="center" vertical="center"/>
    </xf>
    <xf fontId="17767" applyFont="true" borderId="8" applyBorder="true" applyNumberFormat="true" numFmtId="2" fillId="22" applyFill="true">
      <alignment horizontal="center" vertical="center"/>
    </xf>
    <xf fontId="17768" applyFont="true" borderId="8" applyBorder="true" applyNumberFormat="true" numFmtId="2" fillId="22" applyFill="true">
      <alignment horizontal="center" vertical="center"/>
    </xf>
    <xf fontId="17769" applyFont="true" borderId="8" applyBorder="true" applyNumberFormat="true" numFmtId="2" fillId="22" applyFill="true">
      <alignment horizontal="center" vertical="center"/>
    </xf>
    <xf fontId="17770" applyFont="true" borderId="8" applyBorder="true" applyNumberFormat="true" numFmtId="2" fillId="22" applyFill="true">
      <alignment horizontal="center" vertical="center"/>
    </xf>
    <xf fontId="17771" applyFont="true" borderId="8" applyBorder="true" applyNumberFormat="true" numFmtId="2" fillId="22" applyFill="true">
      <alignment horizontal="center" vertical="center"/>
    </xf>
    <xf fontId="17772" applyFont="true" borderId="8" applyBorder="true" applyNumberFormat="true" numFmtId="2" fillId="22" applyFill="true">
      <alignment horizontal="center" vertical="center"/>
    </xf>
    <xf fontId="17773" applyFont="true" borderId="8" applyBorder="true" applyNumberFormat="true" numFmtId="2" fillId="22" applyFill="true">
      <alignment horizontal="center" vertical="center"/>
    </xf>
    <xf fontId="17774" applyFont="true" borderId="8" applyBorder="true" applyNumberFormat="true" numFmtId="2" fillId="22" applyFill="true">
      <alignment horizontal="center" vertical="center"/>
    </xf>
    <xf fontId="17775" applyFont="true" borderId="8" applyBorder="true" applyNumberFormat="true" numFmtId="2" fillId="22" applyFill="true">
      <alignment horizontal="center" vertical="center"/>
    </xf>
    <xf fontId="17776" applyFont="true" borderId="8" applyBorder="true" applyNumberFormat="true" numFmtId="2" fillId="22" applyFill="true">
      <alignment horizontal="center" vertical="center"/>
    </xf>
    <xf fontId="17777" applyFont="true" borderId="8" applyBorder="true" applyNumberFormat="true" numFmtId="2" fillId="22" applyFill="true">
      <alignment horizontal="center" vertical="center"/>
    </xf>
    <xf fontId="17778" applyFont="true" borderId="8" applyBorder="true" applyNumberFormat="true" numFmtId="2" fillId="22" applyFill="true">
      <alignment horizontal="center" vertical="center"/>
    </xf>
    <xf fontId="17779" applyFont="true" borderId="8" applyBorder="true" applyNumberFormat="true" numFmtId="2" fillId="22" applyFill="true">
      <alignment horizontal="center" vertical="center"/>
    </xf>
    <xf fontId="17780" applyFont="true" borderId="8" applyBorder="true" applyNumberFormat="true" numFmtId="2" fillId="22" applyFill="true">
      <alignment horizontal="center" vertical="center"/>
    </xf>
    <xf fontId="17781" applyFont="true" borderId="8" applyBorder="true" applyNumberFormat="true" numFmtId="2" fillId="22" applyFill="true">
      <alignment horizontal="center" vertical="center"/>
    </xf>
    <xf fontId="17782" applyFont="true" borderId="8" applyBorder="true" applyNumberFormat="true" numFmtId="2" fillId="22" applyFill="true">
      <alignment horizontal="center" vertical="center"/>
    </xf>
    <xf fontId="17783" applyFont="true" borderId="8" applyBorder="true" applyNumberFormat="true" numFmtId="2" fillId="22" applyFill="true">
      <alignment horizontal="center" vertical="center"/>
    </xf>
    <xf fontId="17784" applyFont="true" borderId="8" applyBorder="true" applyNumberFormat="true" numFmtId="2" fillId="22" applyFill="true">
      <alignment horizontal="center" vertical="center"/>
    </xf>
    <xf fontId="17785" applyFont="true" borderId="8" applyBorder="true" applyNumberFormat="true" numFmtId="165" fillId="19" applyFill="true">
      <alignment horizontal="left" vertical="center"/>
    </xf>
    <xf fontId="17786" applyFont="true" borderId="8" applyBorder="true" applyNumberFormat="true" numFmtId="165" fillId="22" applyFill="true">
      <alignment horizontal="center" vertical="center"/>
    </xf>
    <xf fontId="17787" applyFont="true" borderId="8" applyBorder="true" applyNumberFormat="true" numFmtId="166" fillId="22" applyFill="true">
      <alignment horizontal="center" vertical="center"/>
    </xf>
    <xf fontId="17788" applyFont="true" borderId="8" applyBorder="true" applyNumberFormat="true" numFmtId="1" fillId="22" applyFill="true">
      <alignment horizontal="center" vertical="center"/>
    </xf>
    <xf fontId="17789" applyFont="true" borderId="8" applyBorder="true" applyNumberFormat="true" numFmtId="1" fillId="22" applyFill="true">
      <alignment horizontal="center" vertical="center"/>
    </xf>
    <xf fontId="17790" applyFont="true" borderId="8" applyBorder="true" applyNumberFormat="true" numFmtId="1" fillId="22" applyFill="true">
      <alignment horizontal="center" vertical="center"/>
    </xf>
    <xf fontId="17791" applyFont="true" borderId="8" applyBorder="true" applyNumberFormat="true" numFmtId="1" fillId="22" applyFill="true">
      <alignment horizontal="center" vertical="center"/>
    </xf>
    <xf fontId="17792" applyFont="true" borderId="8" applyBorder="true" applyNumberFormat="true" numFmtId="1" fillId="22" applyFill="true">
      <alignment horizontal="center" vertical="center"/>
    </xf>
    <xf fontId="17793" applyFont="true" borderId="8" applyBorder="true" applyNumberFormat="true" numFmtId="1" fillId="22" applyFill="true">
      <alignment horizontal="center" vertical="center"/>
    </xf>
    <xf fontId="17794" applyFont="true" borderId="8" applyBorder="true" applyNumberFormat="true" numFmtId="1" fillId="22" applyFill="true">
      <alignment horizontal="center" vertical="center"/>
    </xf>
    <xf fontId="17795" applyFont="true" borderId="8" applyBorder="true" applyNumberFormat="true" numFmtId="165" fillId="22" applyFill="true">
      <alignment horizontal="center" vertical="center"/>
    </xf>
    <xf fontId="17796" applyFont="true" borderId="8" applyBorder="true" applyNumberFormat="true" numFmtId="165" fillId="22" applyFill="true">
      <alignment horizontal="center" vertical="center"/>
    </xf>
    <xf fontId="17797" applyFont="true" borderId="8" applyBorder="true" applyNumberFormat="true" numFmtId="1" fillId="22" applyFill="true">
      <alignment horizontal="center" vertical="center"/>
    </xf>
    <xf fontId="17798" applyFont="true" borderId="8" applyBorder="true" applyNumberFormat="true" numFmtId="1" fillId="22" applyFill="true">
      <alignment horizontal="center" vertical="center"/>
    </xf>
    <xf fontId="17799" applyFont="true" borderId="8" applyBorder="true" applyNumberFormat="true" numFmtId="1" fillId="22" applyFill="true">
      <alignment horizontal="center" vertical="center"/>
    </xf>
    <xf fontId="17800" applyFont="true" borderId="8" applyBorder="true" applyNumberFormat="true" numFmtId="167" fillId="22" applyFill="true">
      <alignment horizontal="center" vertical="center"/>
    </xf>
    <xf fontId="17801" applyFont="true" borderId="8" applyBorder="true" applyNumberFormat="true" numFmtId="1" fillId="22" applyFill="true">
      <alignment horizontal="center" vertical="center"/>
    </xf>
    <xf fontId="17802" applyFont="true" borderId="8" applyBorder="true" applyNumberFormat="true" numFmtId="167" fillId="22" applyFill="true">
      <alignment horizontal="center" vertical="center"/>
    </xf>
    <xf fontId="17803" applyFont="true" borderId="8" applyBorder="true" applyNumberFormat="true" numFmtId="1" fillId="22" applyFill="true">
      <alignment horizontal="center" vertical="center"/>
    </xf>
    <xf fontId="17804" applyFont="true" borderId="8" applyBorder="true" applyNumberFormat="true" numFmtId="167" fillId="22" applyFill="true">
      <alignment horizontal="center" vertical="center"/>
    </xf>
    <xf fontId="17805" applyFont="true" borderId="8" applyBorder="true" applyNumberFormat="true" numFmtId="1" fillId="22" applyFill="true">
      <alignment horizontal="center" vertical="center"/>
    </xf>
    <xf fontId="17806" applyFont="true" borderId="8" applyBorder="true" applyNumberFormat="true" numFmtId="167" fillId="22" applyFill="true">
      <alignment horizontal="center" vertical="center"/>
    </xf>
    <xf fontId="17807" applyFont="true" borderId="8" applyBorder="true" applyNumberFormat="true" numFmtId="167" fillId="22" applyFill="true">
      <alignment horizontal="center" vertical="center"/>
    </xf>
    <xf fontId="17808" applyFont="true" borderId="8" applyBorder="true" applyNumberFormat="true" numFmtId="1" fillId="22" applyFill="true">
      <alignment horizontal="center" vertical="center"/>
    </xf>
    <xf fontId="17809" applyFont="true" borderId="8" applyBorder="true" applyNumberFormat="true" numFmtId="1" fillId="22" applyFill="true">
      <alignment horizontal="center" vertical="center"/>
    </xf>
    <xf fontId="17810" applyFont="true" borderId="8" applyBorder="true" applyNumberFormat="true" numFmtId="1" fillId="22" applyFill="true">
      <alignment horizontal="center" vertical="center"/>
    </xf>
    <xf fontId="17811" applyFont="true" borderId="8" applyBorder="true" applyNumberFormat="true" numFmtId="167" fillId="22" applyFill="true">
      <alignment horizontal="center" vertical="center"/>
    </xf>
    <xf fontId="17812" applyFont="true" borderId="8" applyBorder="true" applyNumberFormat="true" numFmtId="166" fillId="22" applyFill="true">
      <alignment horizontal="center" vertical="center"/>
    </xf>
    <xf fontId="17813" applyFont="true" borderId="8" applyBorder="true" applyNumberFormat="true" numFmtId="166" fillId="22" applyFill="true">
      <alignment horizontal="center" vertical="center"/>
    </xf>
    <xf fontId="17814" applyFont="true" borderId="8" applyBorder="true" applyNumberFormat="true" numFmtId="1" fillId="22" applyFill="true">
      <alignment horizontal="center" vertical="center"/>
    </xf>
    <xf fontId="17815" applyFont="true" borderId="8" applyBorder="true" applyNumberFormat="true" numFmtId="1" fillId="22" applyFill="true">
      <alignment horizontal="center" vertical="center"/>
    </xf>
    <xf fontId="17816" applyFont="true" borderId="8" applyBorder="true" applyNumberFormat="true" numFmtId="1" fillId="22" applyFill="true">
      <alignment horizontal="center" vertical="center"/>
    </xf>
    <xf fontId="17817" applyFont="true" borderId="8" applyBorder="true" applyNumberFormat="true" numFmtId="167" fillId="22" applyFill="true">
      <alignment horizontal="center" vertical="center"/>
    </xf>
    <xf fontId="17818" applyFont="true" borderId="8" applyBorder="true" applyNumberFormat="true" numFmtId="1" fillId="22" applyFill="true">
      <alignment horizontal="center" vertical="center"/>
    </xf>
    <xf fontId="17819" applyFont="true" borderId="8" applyBorder="true" applyNumberFormat="true" numFmtId="167" fillId="22" applyFill="true">
      <alignment horizontal="center" vertical="center"/>
    </xf>
    <xf fontId="17820" applyFont="true" borderId="8" applyBorder="true" applyNumberFormat="true" numFmtId="1" fillId="22" applyFill="true">
      <alignment horizontal="center" vertical="center"/>
    </xf>
    <xf fontId="17821" applyFont="true" borderId="8" applyBorder="true" applyNumberFormat="true" numFmtId="1" fillId="22" applyFill="true">
      <alignment horizontal="center" vertical="center"/>
    </xf>
    <xf fontId="17822" applyFont="true" borderId="8" applyBorder="true" applyNumberFormat="true" numFmtId="1" fillId="22" applyFill="true">
      <alignment horizontal="center" vertical="center"/>
    </xf>
    <xf fontId="17823" applyFont="true" borderId="8" applyBorder="true" applyNumberFormat="true" numFmtId="1" fillId="22" applyFill="true">
      <alignment horizontal="center" vertical="center"/>
    </xf>
    <xf fontId="17824" applyFont="true" borderId="8" applyBorder="true" applyNumberFormat="true" numFmtId="167" fillId="22" applyFill="true">
      <alignment horizontal="center" vertical="center"/>
    </xf>
    <xf fontId="17825" applyFont="true" borderId="8" applyBorder="true" applyNumberFormat="true" numFmtId="1" fillId="22" applyFill="true">
      <alignment horizontal="center" vertical="center"/>
    </xf>
    <xf fontId="17826" applyFont="true" borderId="8" applyBorder="true" applyNumberFormat="true" numFmtId="167" fillId="22" applyFill="true">
      <alignment horizontal="center" vertical="center"/>
    </xf>
    <xf fontId="17827" applyFont="true" borderId="8" applyBorder="true" applyNumberFormat="true" numFmtId="1" fillId="22" applyFill="true">
      <alignment horizontal="center" vertical="center"/>
    </xf>
    <xf fontId="17828" applyFont="true" borderId="8" applyBorder="true" applyNumberFormat="true" numFmtId="167" fillId="22" applyFill="true">
      <alignment horizontal="center" vertical="center"/>
    </xf>
    <xf fontId="17829" applyFont="true" borderId="8" applyBorder="true" applyNumberFormat="true" numFmtId="2" fillId="22" applyFill="true">
      <alignment horizontal="center" vertical="center"/>
    </xf>
    <xf fontId="17830" applyFont="true" borderId="8" applyBorder="true" applyNumberFormat="true" numFmtId="2" fillId="22" applyFill="true">
      <alignment horizontal="center" vertical="center"/>
    </xf>
    <xf fontId="17831" applyFont="true" borderId="8" applyBorder="true" applyNumberFormat="true" numFmtId="2" fillId="22" applyFill="true">
      <alignment horizontal="center" vertical="center"/>
    </xf>
    <xf fontId="17832" applyFont="true" borderId="8" applyBorder="true" applyNumberFormat="true" numFmtId="2" fillId="22" applyFill="true">
      <alignment horizontal="center" vertical="center"/>
    </xf>
    <xf fontId="17833" applyFont="true" borderId="8" applyBorder="true" applyNumberFormat="true" numFmtId="2" fillId="22" applyFill="true">
      <alignment horizontal="center" vertical="center"/>
    </xf>
    <xf fontId="17834" applyFont="true" borderId="8" applyBorder="true" applyNumberFormat="true" numFmtId="2" fillId="22" applyFill="true">
      <alignment horizontal="center" vertical="center"/>
    </xf>
    <xf fontId="17835" applyFont="true" borderId="8" applyBorder="true" applyNumberFormat="true" numFmtId="2" fillId="22" applyFill="true">
      <alignment horizontal="center" vertical="center"/>
    </xf>
    <xf fontId="17836" applyFont="true" borderId="8" applyBorder="true" applyNumberFormat="true" numFmtId="2" fillId="22" applyFill="true">
      <alignment horizontal="center" vertical="center"/>
    </xf>
    <xf fontId="17837" applyFont="true" borderId="8" applyBorder="true" applyNumberFormat="true" numFmtId="2" fillId="22" applyFill="true">
      <alignment horizontal="center" vertical="center"/>
    </xf>
    <xf fontId="17838" applyFont="true" borderId="8" applyBorder="true" applyNumberFormat="true" numFmtId="2" fillId="22" applyFill="true">
      <alignment horizontal="center" vertical="center"/>
    </xf>
    <xf fontId="17839" applyFont="true" borderId="8" applyBorder="true" applyNumberFormat="true" numFmtId="2" fillId="22" applyFill="true">
      <alignment horizontal="center" vertical="center"/>
    </xf>
    <xf fontId="17840" applyFont="true" borderId="8" applyBorder="true" applyNumberFormat="true" numFmtId="2" fillId="22" applyFill="true">
      <alignment horizontal="center" vertical="center"/>
    </xf>
    <xf fontId="17841" applyFont="true" borderId="8" applyBorder="true" applyNumberFormat="true" numFmtId="2" fillId="22" applyFill="true">
      <alignment horizontal="center" vertical="center"/>
    </xf>
    <xf fontId="17842" applyFont="true" borderId="8" applyBorder="true" applyNumberFormat="true" numFmtId="2" fillId="22" applyFill="true">
      <alignment horizontal="center" vertical="center"/>
    </xf>
    <xf fontId="17843" applyFont="true" borderId="8" applyBorder="true" applyNumberFormat="true" numFmtId="2" fillId="22" applyFill="true">
      <alignment horizontal="center" vertical="center"/>
    </xf>
    <xf fontId="17844" applyFont="true" borderId="8" applyBorder="true" applyNumberFormat="true" numFmtId="2" fillId="22" applyFill="true">
      <alignment horizontal="center" vertical="center"/>
    </xf>
    <xf fontId="17845" applyFont="true" borderId="8" applyBorder="true" applyNumberFormat="true" numFmtId="2" fillId="22" applyFill="true">
      <alignment horizontal="center" vertical="center"/>
    </xf>
    <xf fontId="17846" applyFont="true" borderId="8" applyBorder="true" applyNumberFormat="true" numFmtId="2" fillId="22" applyFill="true">
      <alignment horizontal="center" vertical="center"/>
    </xf>
    <xf fontId="17847" applyFont="true" borderId="8" applyBorder="true" applyNumberFormat="true" numFmtId="2" fillId="22" applyFill="true">
      <alignment horizontal="center" vertical="center"/>
    </xf>
    <xf fontId="17848" applyFont="true" borderId="8" applyBorder="true" applyNumberFormat="true" numFmtId="2" fillId="22" applyFill="true">
      <alignment horizontal="center" vertical="center"/>
    </xf>
    <xf fontId="17849" applyFont="true" borderId="8" applyBorder="true" applyNumberFormat="true" numFmtId="2" fillId="22" applyFill="true">
      <alignment horizontal="center" vertical="center"/>
    </xf>
    <xf fontId="17850" applyFont="true" borderId="8" applyBorder="true" applyNumberFormat="true" numFmtId="2" fillId="22" applyFill="true">
      <alignment horizontal="center" vertical="center"/>
    </xf>
    <xf fontId="17851" applyFont="true" borderId="8" applyBorder="true" applyNumberFormat="true" numFmtId="2" fillId="22" applyFill="true">
      <alignment horizontal="center" vertical="center"/>
    </xf>
    <xf fontId="17852" applyFont="true" borderId="8" applyBorder="true" applyNumberFormat="true" numFmtId="2" fillId="22" applyFill="true">
      <alignment horizontal="center" vertical="center"/>
    </xf>
    <xf fontId="17853" applyFont="true" borderId="8" applyBorder="true" applyNumberFormat="true" numFmtId="2" fillId="22" applyFill="true">
      <alignment horizontal="center" vertical="center"/>
    </xf>
    <xf fontId="17854" applyFont="true" borderId="8" applyBorder="true" applyNumberFormat="true" numFmtId="2" fillId="22" applyFill="true">
      <alignment horizontal="center" vertical="center"/>
    </xf>
    <xf fontId="17855" applyFont="true" borderId="8" applyBorder="true" applyNumberFormat="true" numFmtId="2" fillId="22" applyFill="true">
      <alignment horizontal="center" vertical="center"/>
    </xf>
    <xf fontId="17856" applyFont="true" borderId="8" applyBorder="true" applyNumberFormat="true" numFmtId="2" fillId="22" applyFill="true">
      <alignment horizontal="center" vertical="center"/>
    </xf>
    <xf fontId="17857" applyFont="true" borderId="8" applyBorder="true" applyNumberFormat="true" numFmtId="2" fillId="22" applyFill="true">
      <alignment horizontal="center" vertical="center"/>
    </xf>
    <xf fontId="17858" applyFont="true" borderId="8" applyBorder="true" applyNumberFormat="true" numFmtId="2" fillId="22" applyFill="true">
      <alignment horizontal="center" vertical="center"/>
    </xf>
    <xf fontId="17859" applyFont="true" borderId="8" applyBorder="true" applyNumberFormat="true" numFmtId="2" fillId="22" applyFill="true">
      <alignment horizontal="center" vertical="center"/>
    </xf>
    <xf fontId="17860" applyFont="true" borderId="8" applyBorder="true" applyNumberFormat="true" numFmtId="2" fillId="22" applyFill="true">
      <alignment horizontal="center" vertical="center"/>
    </xf>
    <xf fontId="17861" applyFont="true" borderId="8" applyBorder="true" applyNumberFormat="true" numFmtId="2" fillId="22" applyFill="true">
      <alignment horizontal="center" vertical="center"/>
    </xf>
    <xf fontId="17862" applyFont="true" borderId="8" applyBorder="true" applyNumberFormat="true" numFmtId="2" fillId="22" applyFill="true">
      <alignment horizontal="center" vertical="center"/>
    </xf>
    <xf fontId="17863" applyFont="true" borderId="8" applyBorder="true" applyNumberFormat="true" numFmtId="165" fillId="19" applyFill="true">
      <alignment horizontal="left" vertical="center"/>
    </xf>
    <xf fontId="17864" applyFont="true" borderId="8" applyBorder="true" applyNumberFormat="true" numFmtId="165" fillId="22" applyFill="true">
      <alignment horizontal="center" vertical="center"/>
    </xf>
    <xf fontId="17865" applyFont="true" borderId="8" applyBorder="true" applyNumberFormat="true" numFmtId="166" fillId="22" applyFill="true">
      <alignment horizontal="center" vertical="center"/>
    </xf>
    <xf fontId="17866" applyFont="true" borderId="8" applyBorder="true" applyNumberFormat="true" numFmtId="1" fillId="22" applyFill="true">
      <alignment horizontal="center" vertical="center"/>
    </xf>
    <xf fontId="17867" applyFont="true" borderId="8" applyBorder="true" applyNumberFormat="true" numFmtId="1" fillId="22" applyFill="true">
      <alignment horizontal="center" vertical="center"/>
    </xf>
    <xf fontId="17868" applyFont="true" borderId="8" applyBorder="true" applyNumberFormat="true" numFmtId="1" fillId="22" applyFill="true">
      <alignment horizontal="center" vertical="center"/>
    </xf>
    <xf fontId="17869" applyFont="true" borderId="8" applyBorder="true" applyNumberFormat="true" numFmtId="1" fillId="22" applyFill="true">
      <alignment horizontal="center" vertical="center"/>
    </xf>
    <xf fontId="17870" applyFont="true" borderId="8" applyBorder="true" applyNumberFormat="true" numFmtId="1" fillId="22" applyFill="true">
      <alignment horizontal="center" vertical="center"/>
    </xf>
    <xf fontId="17871" applyFont="true" borderId="8" applyBorder="true" applyNumberFormat="true" numFmtId="1" fillId="22" applyFill="true">
      <alignment horizontal="center" vertical="center"/>
    </xf>
    <xf fontId="17872" applyFont="true" borderId="8" applyBorder="true" applyNumberFormat="true" numFmtId="1" fillId="22" applyFill="true">
      <alignment horizontal="center" vertical="center"/>
    </xf>
    <xf fontId="17873" applyFont="true" borderId="8" applyBorder="true" applyNumberFormat="true" numFmtId="165" fillId="22" applyFill="true">
      <alignment horizontal="center" vertical="center"/>
    </xf>
    <xf fontId="17874" applyFont="true" borderId="8" applyBorder="true" applyNumberFormat="true" numFmtId="165" fillId="22" applyFill="true">
      <alignment horizontal="center" vertical="center"/>
    </xf>
    <xf fontId="17875" applyFont="true" borderId="8" applyBorder="true" applyNumberFormat="true" numFmtId="1" fillId="22" applyFill="true">
      <alignment horizontal="center" vertical="center"/>
    </xf>
    <xf fontId="17876" applyFont="true" borderId="8" applyBorder="true" applyNumberFormat="true" numFmtId="1" fillId="22" applyFill="true">
      <alignment horizontal="center" vertical="center"/>
    </xf>
    <xf fontId="17877" applyFont="true" borderId="8" applyBorder="true" applyNumberFormat="true" numFmtId="1" fillId="22" applyFill="true">
      <alignment horizontal="center" vertical="center"/>
    </xf>
    <xf fontId="17878" applyFont="true" borderId="8" applyBorder="true" applyNumberFormat="true" numFmtId="167" fillId="22" applyFill="true">
      <alignment horizontal="center" vertical="center"/>
    </xf>
    <xf fontId="17879" applyFont="true" borderId="8" applyBorder="true" applyNumberFormat="true" numFmtId="1" fillId="22" applyFill="true">
      <alignment horizontal="center" vertical="center"/>
    </xf>
    <xf fontId="17880" applyFont="true" borderId="8" applyBorder="true" applyNumberFormat="true" numFmtId="167" fillId="22" applyFill="true">
      <alignment horizontal="center" vertical="center"/>
    </xf>
    <xf fontId="17881" applyFont="true" borderId="8" applyBorder="true" applyNumberFormat="true" numFmtId="1" fillId="22" applyFill="true">
      <alignment horizontal="center" vertical="center"/>
    </xf>
    <xf fontId="17882" applyFont="true" borderId="8" applyBorder="true" applyNumberFormat="true" numFmtId="167" fillId="22" applyFill="true">
      <alignment horizontal="center" vertical="center"/>
    </xf>
    <xf fontId="17883" applyFont="true" borderId="8" applyBorder="true" applyNumberFormat="true" numFmtId="1" fillId="22" applyFill="true">
      <alignment horizontal="center" vertical="center"/>
    </xf>
    <xf fontId="17884" applyFont="true" borderId="8" applyBorder="true" applyNumberFormat="true" numFmtId="167" fillId="22" applyFill="true">
      <alignment horizontal="center" vertical="center"/>
    </xf>
    <xf fontId="17885" applyFont="true" borderId="8" applyBorder="true" applyNumberFormat="true" numFmtId="167" fillId="22" applyFill="true">
      <alignment horizontal="center" vertical="center"/>
    </xf>
    <xf fontId="17886" applyFont="true" borderId="8" applyBorder="true" applyNumberFormat="true" numFmtId="1" fillId="22" applyFill="true">
      <alignment horizontal="center" vertical="center"/>
    </xf>
    <xf fontId="17887" applyFont="true" borderId="8" applyBorder="true" applyNumberFormat="true" numFmtId="1" fillId="22" applyFill="true">
      <alignment horizontal="center" vertical="center"/>
    </xf>
    <xf fontId="17888" applyFont="true" borderId="8" applyBorder="true" applyNumberFormat="true" numFmtId="1" fillId="22" applyFill="true">
      <alignment horizontal="center" vertical="center"/>
    </xf>
    <xf fontId="17889" applyFont="true" borderId="8" applyBorder="true" applyNumberFormat="true" numFmtId="167" fillId="22" applyFill="true">
      <alignment horizontal="center" vertical="center"/>
    </xf>
    <xf fontId="17890" applyFont="true" borderId="8" applyBorder="true" applyNumberFormat="true" numFmtId="166" fillId="22" applyFill="true">
      <alignment horizontal="center" vertical="center"/>
    </xf>
    <xf fontId="17891" applyFont="true" borderId="8" applyBorder="true" applyNumberFormat="true" numFmtId="166" fillId="22" applyFill="true">
      <alignment horizontal="center" vertical="center"/>
    </xf>
    <xf fontId="17892" applyFont="true" borderId="8" applyBorder="true" applyNumberFormat="true" numFmtId="1" fillId="22" applyFill="true">
      <alignment horizontal="center" vertical="center"/>
    </xf>
    <xf fontId="17893" applyFont="true" borderId="8" applyBorder="true" applyNumberFormat="true" numFmtId="1" fillId="22" applyFill="true">
      <alignment horizontal="center" vertical="center"/>
    </xf>
    <xf fontId="17894" applyFont="true" borderId="8" applyBorder="true" applyNumberFormat="true" numFmtId="1" fillId="22" applyFill="true">
      <alignment horizontal="center" vertical="center"/>
    </xf>
    <xf fontId="17895" applyFont="true" borderId="8" applyBorder="true" applyNumberFormat="true" numFmtId="167" fillId="22" applyFill="true">
      <alignment horizontal="center" vertical="center"/>
    </xf>
    <xf fontId="17896" applyFont="true" borderId="8" applyBorder="true" applyNumberFormat="true" numFmtId="1" fillId="22" applyFill="true">
      <alignment horizontal="center" vertical="center"/>
    </xf>
    <xf fontId="17897" applyFont="true" borderId="8" applyBorder="true" applyNumberFormat="true" numFmtId="167" fillId="22" applyFill="true">
      <alignment horizontal="center" vertical="center"/>
    </xf>
    <xf fontId="17898" applyFont="true" borderId="8" applyBorder="true" applyNumberFormat="true" numFmtId="1" fillId="22" applyFill="true">
      <alignment horizontal="center" vertical="center"/>
    </xf>
    <xf fontId="17899" applyFont="true" borderId="8" applyBorder="true" applyNumberFormat="true" numFmtId="1" fillId="22" applyFill="true">
      <alignment horizontal="center" vertical="center"/>
    </xf>
    <xf fontId="17900" applyFont="true" borderId="8" applyBorder="true" applyNumberFormat="true" numFmtId="1" fillId="22" applyFill="true">
      <alignment horizontal="center" vertical="center"/>
    </xf>
    <xf fontId="17901" applyFont="true" borderId="8" applyBorder="true" applyNumberFormat="true" numFmtId="1" fillId="22" applyFill="true">
      <alignment horizontal="center" vertical="center"/>
    </xf>
    <xf fontId="17902" applyFont="true" borderId="8" applyBorder="true" applyNumberFormat="true" numFmtId="167" fillId="22" applyFill="true">
      <alignment horizontal="center" vertical="center"/>
    </xf>
    <xf fontId="17903" applyFont="true" borderId="8" applyBorder="true" applyNumberFormat="true" numFmtId="1" fillId="22" applyFill="true">
      <alignment horizontal="center" vertical="center"/>
    </xf>
    <xf fontId="17904" applyFont="true" borderId="8" applyBorder="true" applyNumberFormat="true" numFmtId="167" fillId="22" applyFill="true">
      <alignment horizontal="center" vertical="center"/>
    </xf>
    <xf fontId="17905" applyFont="true" borderId="8" applyBorder="true" applyNumberFormat="true" numFmtId="1" fillId="22" applyFill="true">
      <alignment horizontal="center" vertical="center"/>
    </xf>
    <xf fontId="17906" applyFont="true" borderId="8" applyBorder="true" applyNumberFormat="true" numFmtId="167" fillId="22" applyFill="true">
      <alignment horizontal="center" vertical="center"/>
    </xf>
    <xf fontId="17907" applyFont="true" borderId="8" applyBorder="true" applyNumberFormat="true" numFmtId="2" fillId="22" applyFill="true">
      <alignment horizontal="center" vertical="center"/>
    </xf>
    <xf fontId="17908" applyFont="true" borderId="8" applyBorder="true" applyNumberFormat="true" numFmtId="2" fillId="22" applyFill="true">
      <alignment horizontal="center" vertical="center"/>
    </xf>
    <xf fontId="17909" applyFont="true" borderId="8" applyBorder="true" applyNumberFormat="true" numFmtId="2" fillId="22" applyFill="true">
      <alignment horizontal="center" vertical="center"/>
    </xf>
    <xf fontId="17910" applyFont="true" borderId="8" applyBorder="true" applyNumberFormat="true" numFmtId="2" fillId="22" applyFill="true">
      <alignment horizontal="center" vertical="center"/>
    </xf>
    <xf fontId="17911" applyFont="true" borderId="8" applyBorder="true" applyNumberFormat="true" numFmtId="2" fillId="22" applyFill="true">
      <alignment horizontal="center" vertical="center"/>
    </xf>
    <xf fontId="17912" applyFont="true" borderId="8" applyBorder="true" applyNumberFormat="true" numFmtId="2" fillId="22" applyFill="true">
      <alignment horizontal="center" vertical="center"/>
    </xf>
    <xf fontId="17913" applyFont="true" borderId="8" applyBorder="true" applyNumberFormat="true" numFmtId="2" fillId="22" applyFill="true">
      <alignment horizontal="center" vertical="center"/>
    </xf>
    <xf fontId="17914" applyFont="true" borderId="8" applyBorder="true" applyNumberFormat="true" numFmtId="2" fillId="22" applyFill="true">
      <alignment horizontal="center" vertical="center"/>
    </xf>
    <xf fontId="17915" applyFont="true" borderId="8" applyBorder="true" applyNumberFormat="true" numFmtId="2" fillId="22" applyFill="true">
      <alignment horizontal="center" vertical="center"/>
    </xf>
    <xf fontId="17916" applyFont="true" borderId="8" applyBorder="true" applyNumberFormat="true" numFmtId="2" fillId="22" applyFill="true">
      <alignment horizontal="center" vertical="center"/>
    </xf>
    <xf fontId="17917" applyFont="true" borderId="8" applyBorder="true" applyNumberFormat="true" numFmtId="2" fillId="22" applyFill="true">
      <alignment horizontal="center" vertical="center"/>
    </xf>
    <xf fontId="17918" applyFont="true" borderId="8" applyBorder="true" applyNumberFormat="true" numFmtId="2" fillId="22" applyFill="true">
      <alignment horizontal="center" vertical="center"/>
    </xf>
    <xf fontId="17919" applyFont="true" borderId="8" applyBorder="true" applyNumberFormat="true" numFmtId="2" fillId="22" applyFill="true">
      <alignment horizontal="center" vertical="center"/>
    </xf>
    <xf fontId="17920" applyFont="true" borderId="8" applyBorder="true" applyNumberFormat="true" numFmtId="2" fillId="22" applyFill="true">
      <alignment horizontal="center" vertical="center"/>
    </xf>
    <xf fontId="17921" applyFont="true" borderId="8" applyBorder="true" applyNumberFormat="true" numFmtId="2" fillId="22" applyFill="true">
      <alignment horizontal="center" vertical="center"/>
    </xf>
    <xf fontId="17922" applyFont="true" borderId="8" applyBorder="true" applyNumberFormat="true" numFmtId="2" fillId="22" applyFill="true">
      <alignment horizontal="center" vertical="center"/>
    </xf>
    <xf fontId="17923" applyFont="true" borderId="8" applyBorder="true" applyNumberFormat="true" numFmtId="2" fillId="22" applyFill="true">
      <alignment horizontal="center" vertical="center"/>
    </xf>
    <xf fontId="17924" applyFont="true" borderId="8" applyBorder="true" applyNumberFormat="true" numFmtId="2" fillId="22" applyFill="true">
      <alignment horizontal="center" vertical="center"/>
    </xf>
    <xf fontId="17925" applyFont="true" borderId="8" applyBorder="true" applyNumberFormat="true" numFmtId="2" fillId="22" applyFill="true">
      <alignment horizontal="center" vertical="center"/>
    </xf>
    <xf fontId="17926" applyFont="true" borderId="8" applyBorder="true" applyNumberFormat="true" numFmtId="2" fillId="22" applyFill="true">
      <alignment horizontal="center" vertical="center"/>
    </xf>
    <xf fontId="17927" applyFont="true" borderId="8" applyBorder="true" applyNumberFormat="true" numFmtId="2" fillId="22" applyFill="true">
      <alignment horizontal="center" vertical="center"/>
    </xf>
    <xf fontId="17928" applyFont="true" borderId="8" applyBorder="true" applyNumberFormat="true" numFmtId="2" fillId="22" applyFill="true">
      <alignment horizontal="center" vertical="center"/>
    </xf>
    <xf fontId="17929" applyFont="true" borderId="8" applyBorder="true" applyNumberFormat="true" numFmtId="2" fillId="22" applyFill="true">
      <alignment horizontal="center" vertical="center"/>
    </xf>
    <xf fontId="17930" applyFont="true" borderId="8" applyBorder="true" applyNumberFormat="true" numFmtId="2" fillId="22" applyFill="true">
      <alignment horizontal="center" vertical="center"/>
    </xf>
    <xf fontId="17931" applyFont="true" borderId="8" applyBorder="true" applyNumberFormat="true" numFmtId="2" fillId="22" applyFill="true">
      <alignment horizontal="center" vertical="center"/>
    </xf>
    <xf fontId="17932" applyFont="true" borderId="8" applyBorder="true" applyNumberFormat="true" numFmtId="2" fillId="22" applyFill="true">
      <alignment horizontal="center" vertical="center"/>
    </xf>
    <xf fontId="17933" applyFont="true" borderId="8" applyBorder="true" applyNumberFormat="true" numFmtId="2" fillId="22" applyFill="true">
      <alignment horizontal="center" vertical="center"/>
    </xf>
    <xf fontId="17934" applyFont="true" borderId="8" applyBorder="true" applyNumberFormat="true" numFmtId="2" fillId="22" applyFill="true">
      <alignment horizontal="center" vertical="center"/>
    </xf>
    <xf fontId="17935" applyFont="true" borderId="8" applyBorder="true" applyNumberFormat="true" numFmtId="2" fillId="22" applyFill="true">
      <alignment horizontal="center" vertical="center"/>
    </xf>
    <xf fontId="17936" applyFont="true" borderId="8" applyBorder="true" applyNumberFormat="true" numFmtId="2" fillId="22" applyFill="true">
      <alignment horizontal="center" vertical="center"/>
    </xf>
    <xf fontId="17937" applyFont="true" borderId="8" applyBorder="true" applyNumberFormat="true" numFmtId="2" fillId="22" applyFill="true">
      <alignment horizontal="center" vertical="center"/>
    </xf>
    <xf fontId="17938" applyFont="true" borderId="8" applyBorder="true" applyNumberFormat="true" numFmtId="2" fillId="22" applyFill="true">
      <alignment horizontal="center" vertical="center"/>
    </xf>
    <xf fontId="17939" applyFont="true" borderId="8" applyBorder="true" applyNumberFormat="true" numFmtId="2" fillId="22" applyFill="true">
      <alignment horizontal="center" vertical="center"/>
    </xf>
    <xf fontId="17940" applyFont="true" borderId="8" applyBorder="true" applyNumberFormat="true" numFmtId="2" fillId="22" applyFill="true">
      <alignment horizontal="center" vertical="center"/>
    </xf>
    <xf fontId="17941" applyFont="true" borderId="8" applyBorder="true" applyNumberFormat="true" numFmtId="165" fillId="19" applyFill="true">
      <alignment horizontal="left" vertical="center"/>
    </xf>
    <xf fontId="17942" applyFont="true" borderId="8" applyBorder="true" applyNumberFormat="true" numFmtId="165" fillId="22" applyFill="true">
      <alignment horizontal="center" vertical="center"/>
    </xf>
    <xf fontId="17943" applyFont="true" borderId="8" applyBorder="true" applyNumberFormat="true" numFmtId="166" fillId="22" applyFill="true">
      <alignment horizontal="center" vertical="center"/>
    </xf>
    <xf fontId="17944" applyFont="true" borderId="8" applyBorder="true" applyNumberFormat="true" numFmtId="1" fillId="22" applyFill="true">
      <alignment horizontal="center" vertical="center"/>
    </xf>
    <xf fontId="17945" applyFont="true" borderId="8" applyBorder="true" applyNumberFormat="true" numFmtId="1" fillId="22" applyFill="true">
      <alignment horizontal="center" vertical="center"/>
    </xf>
    <xf fontId="17946" applyFont="true" borderId="8" applyBorder="true" applyNumberFormat="true" numFmtId="1" fillId="22" applyFill="true">
      <alignment horizontal="center" vertical="center"/>
    </xf>
    <xf fontId="17947" applyFont="true" borderId="8" applyBorder="true" applyNumberFormat="true" numFmtId="1" fillId="22" applyFill="true">
      <alignment horizontal="center" vertical="center"/>
    </xf>
    <xf fontId="17948" applyFont="true" borderId="8" applyBorder="true" applyNumberFormat="true" numFmtId="1" fillId="22" applyFill="true">
      <alignment horizontal="center" vertical="center"/>
    </xf>
    <xf fontId="17949" applyFont="true" borderId="8" applyBorder="true" applyNumberFormat="true" numFmtId="1" fillId="22" applyFill="true">
      <alignment horizontal="center" vertical="center"/>
    </xf>
    <xf fontId="17950" applyFont="true" borderId="8" applyBorder="true" applyNumberFormat="true" numFmtId="1" fillId="22" applyFill="true">
      <alignment horizontal="center" vertical="center"/>
    </xf>
    <xf fontId="17951" applyFont="true" borderId="8" applyBorder="true" applyNumberFormat="true" numFmtId="165" fillId="22" applyFill="true">
      <alignment horizontal="center" vertical="center"/>
    </xf>
    <xf fontId="17952" applyFont="true" borderId="8" applyBorder="true" applyNumberFormat="true" numFmtId="165" fillId="22" applyFill="true">
      <alignment horizontal="center" vertical="center"/>
    </xf>
    <xf fontId="17953" applyFont="true" borderId="8" applyBorder="true" applyNumberFormat="true" numFmtId="1" fillId="22" applyFill="true">
      <alignment horizontal="center" vertical="center"/>
    </xf>
    <xf fontId="17954" applyFont="true" borderId="8" applyBorder="true" applyNumberFormat="true" numFmtId="1" fillId="22" applyFill="true">
      <alignment horizontal="center" vertical="center"/>
    </xf>
    <xf fontId="17955" applyFont="true" borderId="8" applyBorder="true" applyNumberFormat="true" numFmtId="1" fillId="22" applyFill="true">
      <alignment horizontal="center" vertical="center"/>
    </xf>
    <xf fontId="17956" applyFont="true" borderId="8" applyBorder="true" applyNumberFormat="true" numFmtId="167" fillId="22" applyFill="true">
      <alignment horizontal="center" vertical="center"/>
    </xf>
    <xf fontId="17957" applyFont="true" borderId="8" applyBorder="true" applyNumberFormat="true" numFmtId="1" fillId="22" applyFill="true">
      <alignment horizontal="center" vertical="center"/>
    </xf>
    <xf fontId="17958" applyFont="true" borderId="8" applyBorder="true" applyNumberFormat="true" numFmtId="167" fillId="22" applyFill="true">
      <alignment horizontal="center" vertical="center"/>
    </xf>
    <xf fontId="17959" applyFont="true" borderId="8" applyBorder="true" applyNumberFormat="true" numFmtId="1" fillId="22" applyFill="true">
      <alignment horizontal="center" vertical="center"/>
    </xf>
    <xf fontId="17960" applyFont="true" borderId="8" applyBorder="true" applyNumberFormat="true" numFmtId="167" fillId="22" applyFill="true">
      <alignment horizontal="center" vertical="center"/>
    </xf>
    <xf fontId="17961" applyFont="true" borderId="8" applyBorder="true" applyNumberFormat="true" numFmtId="1" fillId="22" applyFill="true">
      <alignment horizontal="center" vertical="center"/>
    </xf>
    <xf fontId="17962" applyFont="true" borderId="8" applyBorder="true" applyNumberFormat="true" numFmtId="167" fillId="22" applyFill="true">
      <alignment horizontal="center" vertical="center"/>
    </xf>
    <xf fontId="17963" applyFont="true" borderId="8" applyBorder="true" applyNumberFormat="true" numFmtId="167" fillId="22" applyFill="true">
      <alignment horizontal="center" vertical="center"/>
    </xf>
    <xf fontId="17964" applyFont="true" borderId="8" applyBorder="true" applyNumberFormat="true" numFmtId="1" fillId="22" applyFill="true">
      <alignment horizontal="center" vertical="center"/>
    </xf>
    <xf fontId="17965" applyFont="true" borderId="8" applyBorder="true" applyNumberFormat="true" numFmtId="1" fillId="22" applyFill="true">
      <alignment horizontal="center" vertical="center"/>
    </xf>
    <xf fontId="17966" applyFont="true" borderId="8" applyBorder="true" applyNumberFormat="true" numFmtId="1" fillId="22" applyFill="true">
      <alignment horizontal="center" vertical="center"/>
    </xf>
    <xf fontId="17967" applyFont="true" borderId="8" applyBorder="true" applyNumberFormat="true" numFmtId="167" fillId="22" applyFill="true">
      <alignment horizontal="center" vertical="center"/>
    </xf>
    <xf fontId="17968" applyFont="true" borderId="8" applyBorder="true" applyNumberFormat="true" numFmtId="166" fillId="22" applyFill="true">
      <alignment horizontal="center" vertical="center"/>
    </xf>
    <xf fontId="17969" applyFont="true" borderId="8" applyBorder="true" applyNumberFormat="true" numFmtId="166" fillId="22" applyFill="true">
      <alignment horizontal="center" vertical="center"/>
    </xf>
    <xf fontId="17970" applyFont="true" borderId="8" applyBorder="true" applyNumberFormat="true" numFmtId="1" fillId="22" applyFill="true">
      <alignment horizontal="center" vertical="center"/>
    </xf>
    <xf fontId="17971" applyFont="true" borderId="8" applyBorder="true" applyNumberFormat="true" numFmtId="1" fillId="22" applyFill="true">
      <alignment horizontal="center" vertical="center"/>
    </xf>
    <xf fontId="17972" applyFont="true" borderId="8" applyBorder="true" applyNumberFormat="true" numFmtId="1" fillId="22" applyFill="true">
      <alignment horizontal="center" vertical="center"/>
    </xf>
    <xf fontId="17973" applyFont="true" borderId="8" applyBorder="true" applyNumberFormat="true" numFmtId="167" fillId="22" applyFill="true">
      <alignment horizontal="center" vertical="center"/>
    </xf>
    <xf fontId="17974" applyFont="true" borderId="8" applyBorder="true" applyNumberFormat="true" numFmtId="1" fillId="22" applyFill="true">
      <alignment horizontal="center" vertical="center"/>
    </xf>
    <xf fontId="17975" applyFont="true" borderId="8" applyBorder="true" applyNumberFormat="true" numFmtId="167" fillId="22" applyFill="true">
      <alignment horizontal="center" vertical="center"/>
    </xf>
    <xf fontId="17976" applyFont="true" borderId="8" applyBorder="true" applyNumberFormat="true" numFmtId="1" fillId="22" applyFill="true">
      <alignment horizontal="center" vertical="center"/>
    </xf>
    <xf fontId="17977" applyFont="true" borderId="8" applyBorder="true" applyNumberFormat="true" numFmtId="1" fillId="22" applyFill="true">
      <alignment horizontal="center" vertical="center"/>
    </xf>
    <xf fontId="17978" applyFont="true" borderId="8" applyBorder="true" applyNumberFormat="true" numFmtId="1" fillId="22" applyFill="true">
      <alignment horizontal="center" vertical="center"/>
    </xf>
    <xf fontId="17979" applyFont="true" borderId="8" applyBorder="true" applyNumberFormat="true" numFmtId="1" fillId="22" applyFill="true">
      <alignment horizontal="center" vertical="center"/>
    </xf>
    <xf fontId="17980" applyFont="true" borderId="8" applyBorder="true" applyNumberFormat="true" numFmtId="167" fillId="22" applyFill="true">
      <alignment horizontal="center" vertical="center"/>
    </xf>
    <xf fontId="17981" applyFont="true" borderId="8" applyBorder="true" applyNumberFormat="true" numFmtId="1" fillId="22" applyFill="true">
      <alignment horizontal="center" vertical="center"/>
    </xf>
    <xf fontId="17982" applyFont="true" borderId="8" applyBorder="true" applyNumberFormat="true" numFmtId="167" fillId="22" applyFill="true">
      <alignment horizontal="center" vertical="center"/>
    </xf>
    <xf fontId="17983" applyFont="true" borderId="8" applyBorder="true" applyNumberFormat="true" numFmtId="1" fillId="22" applyFill="true">
      <alignment horizontal="center" vertical="center"/>
    </xf>
    <xf fontId="17984" applyFont="true" borderId="8" applyBorder="true" applyNumberFormat="true" numFmtId="167" fillId="22" applyFill="true">
      <alignment horizontal="center" vertical="center"/>
    </xf>
    <xf fontId="17985" applyFont="true" borderId="8" applyBorder="true" applyNumberFormat="true" numFmtId="2" fillId="22" applyFill="true">
      <alignment horizontal="center" vertical="center"/>
    </xf>
    <xf fontId="17986" applyFont="true" borderId="8" applyBorder="true" applyNumberFormat="true" numFmtId="2" fillId="22" applyFill="true">
      <alignment horizontal="center" vertical="center"/>
    </xf>
    <xf fontId="17987" applyFont="true" borderId="8" applyBorder="true" applyNumberFormat="true" numFmtId="2" fillId="22" applyFill="true">
      <alignment horizontal="center" vertical="center"/>
    </xf>
    <xf fontId="17988" applyFont="true" borderId="8" applyBorder="true" applyNumberFormat="true" numFmtId="2" fillId="22" applyFill="true">
      <alignment horizontal="center" vertical="center"/>
    </xf>
    <xf fontId="17989" applyFont="true" borderId="8" applyBorder="true" applyNumberFormat="true" numFmtId="2" fillId="22" applyFill="true">
      <alignment horizontal="center" vertical="center"/>
    </xf>
    <xf fontId="17990" applyFont="true" borderId="8" applyBorder="true" applyNumberFormat="true" numFmtId="2" fillId="22" applyFill="true">
      <alignment horizontal="center" vertical="center"/>
    </xf>
    <xf fontId="17991" applyFont="true" borderId="8" applyBorder="true" applyNumberFormat="true" numFmtId="2" fillId="22" applyFill="true">
      <alignment horizontal="center" vertical="center"/>
    </xf>
    <xf fontId="17992" applyFont="true" borderId="8" applyBorder="true" applyNumberFormat="true" numFmtId="2" fillId="22" applyFill="true">
      <alignment horizontal="center" vertical="center"/>
    </xf>
    <xf fontId="17993" applyFont="true" borderId="8" applyBorder="true" applyNumberFormat="true" numFmtId="2" fillId="22" applyFill="true">
      <alignment horizontal="center" vertical="center"/>
    </xf>
    <xf fontId="17994" applyFont="true" borderId="8" applyBorder="true" applyNumberFormat="true" numFmtId="2" fillId="22" applyFill="true">
      <alignment horizontal="center" vertical="center"/>
    </xf>
    <xf fontId="17995" applyFont="true" borderId="8" applyBorder="true" applyNumberFormat="true" numFmtId="2" fillId="22" applyFill="true">
      <alignment horizontal="center" vertical="center"/>
    </xf>
    <xf fontId="17996" applyFont="true" borderId="8" applyBorder="true" applyNumberFormat="true" numFmtId="2" fillId="22" applyFill="true">
      <alignment horizontal="center" vertical="center"/>
    </xf>
    <xf fontId="17997" applyFont="true" borderId="8" applyBorder="true" applyNumberFormat="true" numFmtId="2" fillId="22" applyFill="true">
      <alignment horizontal="center" vertical="center"/>
    </xf>
    <xf fontId="17998" applyFont="true" borderId="8" applyBorder="true" applyNumberFormat="true" numFmtId="2" fillId="22" applyFill="true">
      <alignment horizontal="center" vertical="center"/>
    </xf>
    <xf fontId="17999" applyFont="true" borderId="8" applyBorder="true" applyNumberFormat="true" numFmtId="2" fillId="22" applyFill="true">
      <alignment horizontal="center" vertical="center"/>
    </xf>
    <xf fontId="18000" applyFont="true" borderId="8" applyBorder="true" applyNumberFormat="true" numFmtId="2" fillId="22" applyFill="true">
      <alignment horizontal="center" vertical="center"/>
    </xf>
    <xf fontId="18001" applyFont="true" borderId="8" applyBorder="true" applyNumberFormat="true" numFmtId="2" fillId="22" applyFill="true">
      <alignment horizontal="center" vertical="center"/>
    </xf>
    <xf fontId="18002" applyFont="true" borderId="8" applyBorder="true" applyNumberFormat="true" numFmtId="2" fillId="22" applyFill="true">
      <alignment horizontal="center" vertical="center"/>
    </xf>
    <xf fontId="18003" applyFont="true" borderId="8" applyBorder="true" applyNumberFormat="true" numFmtId="2" fillId="22" applyFill="true">
      <alignment horizontal="center" vertical="center"/>
    </xf>
    <xf fontId="18004" applyFont="true" borderId="8" applyBorder="true" applyNumberFormat="true" numFmtId="2" fillId="22" applyFill="true">
      <alignment horizontal="center" vertical="center"/>
    </xf>
    <xf fontId="18005" applyFont="true" borderId="8" applyBorder="true" applyNumberFormat="true" numFmtId="2" fillId="22" applyFill="true">
      <alignment horizontal="center" vertical="center"/>
    </xf>
    <xf fontId="18006" applyFont="true" borderId="8" applyBorder="true" applyNumberFormat="true" numFmtId="2" fillId="22" applyFill="true">
      <alignment horizontal="center" vertical="center"/>
    </xf>
    <xf fontId="18007" applyFont="true" borderId="8" applyBorder="true" applyNumberFormat="true" numFmtId="2" fillId="22" applyFill="true">
      <alignment horizontal="center" vertical="center"/>
    </xf>
    <xf fontId="18008" applyFont="true" borderId="8" applyBorder="true" applyNumberFormat="true" numFmtId="2" fillId="22" applyFill="true">
      <alignment horizontal="center" vertical="center"/>
    </xf>
    <xf fontId="18009" applyFont="true" borderId="8" applyBorder="true" applyNumberFormat="true" numFmtId="2" fillId="22" applyFill="true">
      <alignment horizontal="center" vertical="center"/>
    </xf>
    <xf fontId="18010" applyFont="true" borderId="8" applyBorder="true" applyNumberFormat="true" numFmtId="2" fillId="22" applyFill="true">
      <alignment horizontal="center" vertical="center"/>
    </xf>
    <xf fontId="18011" applyFont="true" borderId="8" applyBorder="true" applyNumberFormat="true" numFmtId="2" fillId="22" applyFill="true">
      <alignment horizontal="center" vertical="center"/>
    </xf>
    <xf fontId="18012" applyFont="true" borderId="8" applyBorder="true" applyNumberFormat="true" numFmtId="2" fillId="22" applyFill="true">
      <alignment horizontal="center" vertical="center"/>
    </xf>
    <xf fontId="18013" applyFont="true" borderId="8" applyBorder="true" applyNumberFormat="true" numFmtId="2" fillId="22" applyFill="true">
      <alignment horizontal="center" vertical="center"/>
    </xf>
    <xf fontId="18014" applyFont="true" borderId="8" applyBorder="true" applyNumberFormat="true" numFmtId="2" fillId="22" applyFill="true">
      <alignment horizontal="center" vertical="center"/>
    </xf>
    <xf fontId="18015" applyFont="true" borderId="8" applyBorder="true" applyNumberFormat="true" numFmtId="2" fillId="22" applyFill="true">
      <alignment horizontal="center" vertical="center"/>
    </xf>
    <xf fontId="18016" applyFont="true" borderId="8" applyBorder="true" applyNumberFormat="true" numFmtId="2" fillId="22" applyFill="true">
      <alignment horizontal="center" vertical="center"/>
    </xf>
    <xf fontId="18017" applyFont="true" borderId="8" applyBorder="true" applyNumberFormat="true" numFmtId="2" fillId="22" applyFill="true">
      <alignment horizontal="center" vertical="center"/>
    </xf>
    <xf fontId="18018" applyFont="true" borderId="8" applyBorder="true" applyNumberFormat="true" numFmtId="2" fillId="22" applyFill="true">
      <alignment horizontal="center" vertical="center"/>
    </xf>
    <xf fontId="18019" applyFont="true" borderId="8" applyBorder="true" applyNumberFormat="true" numFmtId="165" fillId="19" applyFill="true">
      <alignment horizontal="left" vertical="center"/>
    </xf>
    <xf fontId="18020" applyFont="true" borderId="8" applyBorder="true" applyNumberFormat="true" numFmtId="165" fillId="22" applyFill="true">
      <alignment horizontal="center" vertical="center"/>
    </xf>
    <xf fontId="18021" applyFont="true" borderId="8" applyBorder="true" applyNumberFormat="true" numFmtId="166" fillId="22" applyFill="true">
      <alignment horizontal="center" vertical="center"/>
    </xf>
    <xf fontId="18022" applyFont="true" borderId="8" applyBorder="true" applyNumberFormat="true" numFmtId="1" fillId="22" applyFill="true">
      <alignment horizontal="center" vertical="center"/>
    </xf>
    <xf fontId="18023" applyFont="true" borderId="8" applyBorder="true" applyNumberFormat="true" numFmtId="1" fillId="22" applyFill="true">
      <alignment horizontal="center" vertical="center"/>
    </xf>
    <xf fontId="18024" applyFont="true" borderId="8" applyBorder="true" applyNumberFormat="true" numFmtId="1" fillId="22" applyFill="true">
      <alignment horizontal="center" vertical="center"/>
    </xf>
    <xf fontId="18025" applyFont="true" borderId="8" applyBorder="true" applyNumberFormat="true" numFmtId="1" fillId="22" applyFill="true">
      <alignment horizontal="center" vertical="center"/>
    </xf>
    <xf fontId="18026" applyFont="true" borderId="8" applyBorder="true" applyNumberFormat="true" numFmtId="1" fillId="22" applyFill="true">
      <alignment horizontal="center" vertical="center"/>
    </xf>
    <xf fontId="18027" applyFont="true" borderId="8" applyBorder="true" applyNumberFormat="true" numFmtId="1" fillId="22" applyFill="true">
      <alignment horizontal="center" vertical="center"/>
    </xf>
    <xf fontId="18028" applyFont="true" borderId="8" applyBorder="true" applyNumberFormat="true" numFmtId="1" fillId="22" applyFill="true">
      <alignment horizontal="center" vertical="center"/>
    </xf>
    <xf fontId="18029" applyFont="true" borderId="8" applyBorder="true" applyNumberFormat="true" numFmtId="165" fillId="22" applyFill="true">
      <alignment horizontal="center" vertical="center"/>
    </xf>
    <xf fontId="18030" applyFont="true" borderId="8" applyBorder="true" applyNumberFormat="true" numFmtId="165" fillId="22" applyFill="true">
      <alignment horizontal="center" vertical="center"/>
    </xf>
    <xf fontId="18031" applyFont="true" borderId="8" applyBorder="true" applyNumberFormat="true" numFmtId="1" fillId="22" applyFill="true">
      <alignment horizontal="center" vertical="center"/>
    </xf>
    <xf fontId="18032" applyFont="true" borderId="8" applyBorder="true" applyNumberFormat="true" numFmtId="1" fillId="22" applyFill="true">
      <alignment horizontal="center" vertical="center"/>
    </xf>
    <xf fontId="18033" applyFont="true" borderId="8" applyBorder="true" applyNumberFormat="true" numFmtId="1" fillId="22" applyFill="true">
      <alignment horizontal="center" vertical="center"/>
    </xf>
    <xf fontId="18034" applyFont="true" borderId="8" applyBorder="true" applyNumberFormat="true" numFmtId="167" fillId="22" applyFill="true">
      <alignment horizontal="center" vertical="center"/>
    </xf>
    <xf fontId="18035" applyFont="true" borderId="8" applyBorder="true" applyNumberFormat="true" numFmtId="1" fillId="22" applyFill="true">
      <alignment horizontal="center" vertical="center"/>
    </xf>
    <xf fontId="18036" applyFont="true" borderId="8" applyBorder="true" applyNumberFormat="true" numFmtId="167" fillId="22" applyFill="true">
      <alignment horizontal="center" vertical="center"/>
    </xf>
    <xf fontId="18037" applyFont="true" borderId="8" applyBorder="true" applyNumberFormat="true" numFmtId="1" fillId="22" applyFill="true">
      <alignment horizontal="center" vertical="center"/>
    </xf>
    <xf fontId="18038" applyFont="true" borderId="8" applyBorder="true" applyNumberFormat="true" numFmtId="167" fillId="22" applyFill="true">
      <alignment horizontal="center" vertical="center"/>
    </xf>
    <xf fontId="18039" applyFont="true" borderId="8" applyBorder="true" applyNumberFormat="true" numFmtId="1" fillId="22" applyFill="true">
      <alignment horizontal="center" vertical="center"/>
    </xf>
    <xf fontId="18040" applyFont="true" borderId="8" applyBorder="true" applyNumberFormat="true" numFmtId="167" fillId="22" applyFill="true">
      <alignment horizontal="center" vertical="center"/>
    </xf>
    <xf fontId="18041" applyFont="true" borderId="8" applyBorder="true" applyNumberFormat="true" numFmtId="167" fillId="22" applyFill="true">
      <alignment horizontal="center" vertical="center"/>
    </xf>
    <xf fontId="18042" applyFont="true" borderId="8" applyBorder="true" applyNumberFormat="true" numFmtId="1" fillId="22" applyFill="true">
      <alignment horizontal="center" vertical="center"/>
    </xf>
    <xf fontId="18043" applyFont="true" borderId="8" applyBorder="true" applyNumberFormat="true" numFmtId="1" fillId="22" applyFill="true">
      <alignment horizontal="center" vertical="center"/>
    </xf>
    <xf fontId="18044" applyFont="true" borderId="8" applyBorder="true" applyNumberFormat="true" numFmtId="1" fillId="22" applyFill="true">
      <alignment horizontal="center" vertical="center"/>
    </xf>
    <xf fontId="18045" applyFont="true" borderId="8" applyBorder="true" applyNumberFormat="true" numFmtId="167" fillId="22" applyFill="true">
      <alignment horizontal="center" vertical="center"/>
    </xf>
    <xf fontId="18046" applyFont="true" borderId="8" applyBorder="true" applyNumberFormat="true" numFmtId="166" fillId="22" applyFill="true">
      <alignment horizontal="center" vertical="center"/>
    </xf>
    <xf fontId="18047" applyFont="true" borderId="8" applyBorder="true" applyNumberFormat="true" numFmtId="166" fillId="22" applyFill="true">
      <alignment horizontal="center" vertical="center"/>
    </xf>
    <xf fontId="18048" applyFont="true" borderId="8" applyBorder="true" applyNumberFormat="true" numFmtId="1" fillId="22" applyFill="true">
      <alignment horizontal="center" vertical="center"/>
    </xf>
    <xf fontId="18049" applyFont="true" borderId="8" applyBorder="true" applyNumberFormat="true" numFmtId="1" fillId="22" applyFill="true">
      <alignment horizontal="center" vertical="center"/>
    </xf>
    <xf fontId="18050" applyFont="true" borderId="8" applyBorder="true" applyNumberFormat="true" numFmtId="1" fillId="22" applyFill="true">
      <alignment horizontal="center" vertical="center"/>
    </xf>
    <xf fontId="18051" applyFont="true" borderId="8" applyBorder="true" applyNumberFormat="true" numFmtId="167" fillId="22" applyFill="true">
      <alignment horizontal="center" vertical="center"/>
    </xf>
    <xf fontId="18052" applyFont="true" borderId="8" applyBorder="true" applyNumberFormat="true" numFmtId="1" fillId="22" applyFill="true">
      <alignment horizontal="center" vertical="center"/>
    </xf>
    <xf fontId="18053" applyFont="true" borderId="8" applyBorder="true" applyNumberFormat="true" numFmtId="167" fillId="22" applyFill="true">
      <alignment horizontal="center" vertical="center"/>
    </xf>
    <xf fontId="18054" applyFont="true" borderId="8" applyBorder="true" applyNumberFormat="true" numFmtId="1" fillId="22" applyFill="true">
      <alignment horizontal="center" vertical="center"/>
    </xf>
    <xf fontId="18055" applyFont="true" borderId="8" applyBorder="true" applyNumberFormat="true" numFmtId="1" fillId="22" applyFill="true">
      <alignment horizontal="center" vertical="center"/>
    </xf>
    <xf fontId="18056" applyFont="true" borderId="8" applyBorder="true" applyNumberFormat="true" numFmtId="1" fillId="22" applyFill="true">
      <alignment horizontal="center" vertical="center"/>
    </xf>
    <xf fontId="18057" applyFont="true" borderId="8" applyBorder="true" applyNumberFormat="true" numFmtId="1" fillId="22" applyFill="true">
      <alignment horizontal="center" vertical="center"/>
    </xf>
    <xf fontId="18058" applyFont="true" borderId="8" applyBorder="true" applyNumberFormat="true" numFmtId="167" fillId="22" applyFill="true">
      <alignment horizontal="center" vertical="center"/>
    </xf>
    <xf fontId="18059" applyFont="true" borderId="8" applyBorder="true" applyNumberFormat="true" numFmtId="1" fillId="22" applyFill="true">
      <alignment horizontal="center" vertical="center"/>
    </xf>
    <xf fontId="18060" applyFont="true" borderId="8" applyBorder="true" applyNumberFormat="true" numFmtId="167" fillId="22" applyFill="true">
      <alignment horizontal="center" vertical="center"/>
    </xf>
    <xf fontId="18061" applyFont="true" borderId="8" applyBorder="true" applyNumberFormat="true" numFmtId="1" fillId="22" applyFill="true">
      <alignment horizontal="center" vertical="center"/>
    </xf>
    <xf fontId="18062" applyFont="true" borderId="8" applyBorder="true" applyNumberFormat="true" numFmtId="167" fillId="22" applyFill="true">
      <alignment horizontal="center" vertical="center"/>
    </xf>
    <xf fontId="18063" applyFont="true" borderId="8" applyBorder="true" applyNumberFormat="true" numFmtId="2" fillId="22" applyFill="true">
      <alignment horizontal="center" vertical="center"/>
    </xf>
    <xf fontId="18064" applyFont="true" borderId="8" applyBorder="true" applyNumberFormat="true" numFmtId="2" fillId="22" applyFill="true">
      <alignment horizontal="center" vertical="center"/>
    </xf>
    <xf fontId="18065" applyFont="true" borderId="8" applyBorder="true" applyNumberFormat="true" numFmtId="2" fillId="22" applyFill="true">
      <alignment horizontal="center" vertical="center"/>
    </xf>
    <xf fontId="18066" applyFont="true" borderId="8" applyBorder="true" applyNumberFormat="true" numFmtId="2" fillId="22" applyFill="true">
      <alignment horizontal="center" vertical="center"/>
    </xf>
    <xf fontId="18067" applyFont="true" borderId="8" applyBorder="true" applyNumberFormat="true" numFmtId="2" fillId="22" applyFill="true">
      <alignment horizontal="center" vertical="center"/>
    </xf>
    <xf fontId="18068" applyFont="true" borderId="8" applyBorder="true" applyNumberFormat="true" numFmtId="2" fillId="22" applyFill="true">
      <alignment horizontal="center" vertical="center"/>
    </xf>
    <xf fontId="18069" applyFont="true" borderId="8" applyBorder="true" applyNumberFormat="true" numFmtId="2" fillId="22" applyFill="true">
      <alignment horizontal="center" vertical="center"/>
    </xf>
    <xf fontId="18070" applyFont="true" borderId="8" applyBorder="true" applyNumberFormat="true" numFmtId="2" fillId="22" applyFill="true">
      <alignment horizontal="center" vertical="center"/>
    </xf>
    <xf fontId="18071" applyFont="true" borderId="8" applyBorder="true" applyNumberFormat="true" numFmtId="2" fillId="22" applyFill="true">
      <alignment horizontal="center" vertical="center"/>
    </xf>
    <xf fontId="18072" applyFont="true" borderId="8" applyBorder="true" applyNumberFormat="true" numFmtId="2" fillId="22" applyFill="true">
      <alignment horizontal="center" vertical="center"/>
    </xf>
    <xf fontId="18073" applyFont="true" borderId="8" applyBorder="true" applyNumberFormat="true" numFmtId="2" fillId="22" applyFill="true">
      <alignment horizontal="center" vertical="center"/>
    </xf>
    <xf fontId="18074" applyFont="true" borderId="8" applyBorder="true" applyNumberFormat="true" numFmtId="2" fillId="22" applyFill="true">
      <alignment horizontal="center" vertical="center"/>
    </xf>
    <xf fontId="18075" applyFont="true" borderId="8" applyBorder="true" applyNumberFormat="true" numFmtId="2" fillId="22" applyFill="true">
      <alignment horizontal="center" vertical="center"/>
    </xf>
    <xf fontId="18076" applyFont="true" borderId="8" applyBorder="true" applyNumberFormat="true" numFmtId="2" fillId="22" applyFill="true">
      <alignment horizontal="center" vertical="center"/>
    </xf>
    <xf fontId="18077" applyFont="true" borderId="8" applyBorder="true" applyNumberFormat="true" numFmtId="2" fillId="22" applyFill="true">
      <alignment horizontal="center" vertical="center"/>
    </xf>
    <xf fontId="18078" applyFont="true" borderId="8" applyBorder="true" applyNumberFormat="true" numFmtId="2" fillId="22" applyFill="true">
      <alignment horizontal="center" vertical="center"/>
    </xf>
    <xf fontId="18079" applyFont="true" borderId="8" applyBorder="true" applyNumberFormat="true" numFmtId="2" fillId="22" applyFill="true">
      <alignment horizontal="center" vertical="center"/>
    </xf>
    <xf fontId="18080" applyFont="true" borderId="8" applyBorder="true" applyNumberFormat="true" numFmtId="2" fillId="22" applyFill="true">
      <alignment horizontal="center" vertical="center"/>
    </xf>
    <xf fontId="18081" applyFont="true" borderId="8" applyBorder="true" applyNumberFormat="true" numFmtId="2" fillId="22" applyFill="true">
      <alignment horizontal="center" vertical="center"/>
    </xf>
    <xf fontId="18082" applyFont="true" borderId="8" applyBorder="true" applyNumberFormat="true" numFmtId="2" fillId="22" applyFill="true">
      <alignment horizontal="center" vertical="center"/>
    </xf>
    <xf fontId="18083" applyFont="true" borderId="8" applyBorder="true" applyNumberFormat="true" numFmtId="2" fillId="22" applyFill="true">
      <alignment horizontal="center" vertical="center"/>
    </xf>
    <xf fontId="18084" applyFont="true" borderId="8" applyBorder="true" applyNumberFormat="true" numFmtId="2" fillId="22" applyFill="true">
      <alignment horizontal="center" vertical="center"/>
    </xf>
    <xf fontId="18085" applyFont="true" borderId="8" applyBorder="true" applyNumberFormat="true" numFmtId="2" fillId="22" applyFill="true">
      <alignment horizontal="center" vertical="center"/>
    </xf>
    <xf fontId="18086" applyFont="true" borderId="8" applyBorder="true" applyNumberFormat="true" numFmtId="2" fillId="22" applyFill="true">
      <alignment horizontal="center" vertical="center"/>
    </xf>
    <xf fontId="18087" applyFont="true" borderId="8" applyBorder="true" applyNumberFormat="true" numFmtId="2" fillId="22" applyFill="true">
      <alignment horizontal="center" vertical="center"/>
    </xf>
    <xf fontId="18088" applyFont="true" borderId="8" applyBorder="true" applyNumberFormat="true" numFmtId="2" fillId="22" applyFill="true">
      <alignment horizontal="center" vertical="center"/>
    </xf>
    <xf fontId="18089" applyFont="true" borderId="8" applyBorder="true" applyNumberFormat="true" numFmtId="2" fillId="22" applyFill="true">
      <alignment horizontal="center" vertical="center"/>
    </xf>
    <xf fontId="18090" applyFont="true" borderId="8" applyBorder="true" applyNumberFormat="true" numFmtId="2" fillId="22" applyFill="true">
      <alignment horizontal="center" vertical="center"/>
    </xf>
    <xf fontId="18091" applyFont="true" borderId="8" applyBorder="true" applyNumberFormat="true" numFmtId="2" fillId="22" applyFill="true">
      <alignment horizontal="center" vertical="center"/>
    </xf>
    <xf fontId="18092" applyFont="true" borderId="8" applyBorder="true" applyNumberFormat="true" numFmtId="2" fillId="22" applyFill="true">
      <alignment horizontal="center" vertical="center"/>
    </xf>
    <xf fontId="18093" applyFont="true" borderId="8" applyBorder="true" applyNumberFormat="true" numFmtId="2" fillId="22" applyFill="true">
      <alignment horizontal="center" vertical="center"/>
    </xf>
    <xf fontId="18094" applyFont="true" borderId="8" applyBorder="true" applyNumberFormat="true" numFmtId="2" fillId="22" applyFill="true">
      <alignment horizontal="center" vertical="center"/>
    </xf>
    <xf fontId="18095" applyFont="true" borderId="8" applyBorder="true" applyNumberFormat="true" numFmtId="2" fillId="22" applyFill="true">
      <alignment horizontal="center" vertical="center"/>
    </xf>
    <xf fontId="18096" applyFont="true" borderId="8" applyBorder="true" applyNumberFormat="true" numFmtId="2" fillId="22" applyFill="true">
      <alignment horizontal="center" vertical="center"/>
    </xf>
    <xf fontId="18097" applyFont="true" borderId="8" applyBorder="true" applyNumberFormat="true" numFmtId="165" fillId="19" applyFill="true">
      <alignment horizontal="left" vertical="center"/>
    </xf>
    <xf fontId="18098" applyFont="true" borderId="8" applyBorder="true" applyNumberFormat="true" numFmtId="165" fillId="22" applyFill="true">
      <alignment horizontal="center" vertical="center"/>
    </xf>
    <xf fontId="18099" applyFont="true" borderId="8" applyBorder="true" applyNumberFormat="true" numFmtId="166" fillId="22" applyFill="true">
      <alignment horizontal="center" vertical="center"/>
    </xf>
    <xf fontId="18100" applyFont="true" borderId="8" applyBorder="true" applyNumberFormat="true" numFmtId="1" fillId="22" applyFill="true">
      <alignment horizontal="center" vertical="center"/>
    </xf>
    <xf fontId="18101" applyFont="true" borderId="8" applyBorder="true" applyNumberFormat="true" numFmtId="1" fillId="22" applyFill="true">
      <alignment horizontal="center" vertical="center"/>
    </xf>
    <xf fontId="18102" applyFont="true" borderId="8" applyBorder="true" applyNumberFormat="true" numFmtId="1" fillId="22" applyFill="true">
      <alignment horizontal="center" vertical="center"/>
    </xf>
    <xf fontId="18103" applyFont="true" borderId="8" applyBorder="true" applyNumberFormat="true" numFmtId="1" fillId="22" applyFill="true">
      <alignment horizontal="center" vertical="center"/>
    </xf>
    <xf fontId="18104" applyFont="true" borderId="8" applyBorder="true" applyNumberFormat="true" numFmtId="1" fillId="22" applyFill="true">
      <alignment horizontal="center" vertical="center"/>
    </xf>
    <xf fontId="18105" applyFont="true" borderId="8" applyBorder="true" applyNumberFormat="true" numFmtId="1" fillId="22" applyFill="true">
      <alignment horizontal="center" vertical="center"/>
    </xf>
    <xf fontId="18106" applyFont="true" borderId="8" applyBorder="true" applyNumberFormat="true" numFmtId="1" fillId="22" applyFill="true">
      <alignment horizontal="center" vertical="center"/>
    </xf>
    <xf fontId="18107" applyFont="true" borderId="8" applyBorder="true" applyNumberFormat="true" numFmtId="165" fillId="22" applyFill="true">
      <alignment horizontal="center" vertical="center"/>
    </xf>
    <xf fontId="18108" applyFont="true" borderId="8" applyBorder="true" applyNumberFormat="true" numFmtId="165" fillId="22" applyFill="true">
      <alignment horizontal="center" vertical="center"/>
    </xf>
    <xf fontId="18109" applyFont="true" borderId="8" applyBorder="true" applyNumberFormat="true" numFmtId="1" fillId="22" applyFill="true">
      <alignment horizontal="center" vertical="center"/>
    </xf>
    <xf fontId="18110" applyFont="true" borderId="8" applyBorder="true" applyNumberFormat="true" numFmtId="1" fillId="22" applyFill="true">
      <alignment horizontal="center" vertical="center"/>
    </xf>
    <xf fontId="18111" applyFont="true" borderId="8" applyBorder="true" applyNumberFormat="true" numFmtId="1" fillId="22" applyFill="true">
      <alignment horizontal="center" vertical="center"/>
    </xf>
    <xf fontId="18112" applyFont="true" borderId="8" applyBorder="true" applyNumberFormat="true" numFmtId="167" fillId="22" applyFill="true">
      <alignment horizontal="center" vertical="center"/>
    </xf>
    <xf fontId="18113" applyFont="true" borderId="8" applyBorder="true" applyNumberFormat="true" numFmtId="1" fillId="22" applyFill="true">
      <alignment horizontal="center" vertical="center"/>
    </xf>
    <xf fontId="18114" applyFont="true" borderId="8" applyBorder="true" applyNumberFormat="true" numFmtId="167" fillId="22" applyFill="true">
      <alignment horizontal="center" vertical="center"/>
    </xf>
    <xf fontId="18115" applyFont="true" borderId="8" applyBorder="true" applyNumberFormat="true" numFmtId="1" fillId="22" applyFill="true">
      <alignment horizontal="center" vertical="center"/>
    </xf>
    <xf fontId="18116" applyFont="true" borderId="8" applyBorder="true" applyNumberFormat="true" numFmtId="167" fillId="22" applyFill="true">
      <alignment horizontal="center" vertical="center"/>
    </xf>
    <xf fontId="18117" applyFont="true" borderId="8" applyBorder="true" applyNumberFormat="true" numFmtId="1" fillId="22" applyFill="true">
      <alignment horizontal="center" vertical="center"/>
    </xf>
    <xf fontId="18118" applyFont="true" borderId="8" applyBorder="true" applyNumberFormat="true" numFmtId="167" fillId="22" applyFill="true">
      <alignment horizontal="center" vertical="center"/>
    </xf>
    <xf fontId="18119" applyFont="true" borderId="8" applyBorder="true" applyNumberFormat="true" numFmtId="167" fillId="22" applyFill="true">
      <alignment horizontal="center" vertical="center"/>
    </xf>
    <xf fontId="18120" applyFont="true" borderId="8" applyBorder="true" applyNumberFormat="true" numFmtId="1" fillId="22" applyFill="true">
      <alignment horizontal="center" vertical="center"/>
    </xf>
    <xf fontId="18121" applyFont="true" borderId="8" applyBorder="true" applyNumberFormat="true" numFmtId="1" fillId="22" applyFill="true">
      <alignment horizontal="center" vertical="center"/>
    </xf>
    <xf fontId="18122" applyFont="true" borderId="8" applyBorder="true" applyNumberFormat="true" numFmtId="1" fillId="22" applyFill="true">
      <alignment horizontal="center" vertical="center"/>
    </xf>
    <xf fontId="18123" applyFont="true" borderId="8" applyBorder="true" applyNumberFormat="true" numFmtId="167" fillId="22" applyFill="true">
      <alignment horizontal="center" vertical="center"/>
    </xf>
    <xf fontId="18124" applyFont="true" borderId="8" applyBorder="true" applyNumberFormat="true" numFmtId="166" fillId="22" applyFill="true">
      <alignment horizontal="center" vertical="center"/>
    </xf>
    <xf fontId="18125" applyFont="true" borderId="8" applyBorder="true" applyNumberFormat="true" numFmtId="166" fillId="22" applyFill="true">
      <alignment horizontal="center" vertical="center"/>
    </xf>
    <xf fontId="18126" applyFont="true" borderId="8" applyBorder="true" applyNumberFormat="true" numFmtId="1" fillId="22" applyFill="true">
      <alignment horizontal="center" vertical="center"/>
    </xf>
    <xf fontId="18127" applyFont="true" borderId="8" applyBorder="true" applyNumberFormat="true" numFmtId="1" fillId="22" applyFill="true">
      <alignment horizontal="center" vertical="center"/>
    </xf>
    <xf fontId="18128" applyFont="true" borderId="8" applyBorder="true" applyNumberFormat="true" numFmtId="1" fillId="22" applyFill="true">
      <alignment horizontal="center" vertical="center"/>
    </xf>
    <xf fontId="18129" applyFont="true" borderId="8" applyBorder="true" applyNumberFormat="true" numFmtId="167" fillId="22" applyFill="true">
      <alignment horizontal="center" vertical="center"/>
    </xf>
    <xf fontId="18130" applyFont="true" borderId="8" applyBorder="true" applyNumberFormat="true" numFmtId="1" fillId="22" applyFill="true">
      <alignment horizontal="center" vertical="center"/>
    </xf>
    <xf fontId="18131" applyFont="true" borderId="8" applyBorder="true" applyNumberFormat="true" numFmtId="167" fillId="22" applyFill="true">
      <alignment horizontal="center" vertical="center"/>
    </xf>
    <xf fontId="18132" applyFont="true" borderId="8" applyBorder="true" applyNumberFormat="true" numFmtId="1" fillId="22" applyFill="true">
      <alignment horizontal="center" vertical="center"/>
    </xf>
    <xf fontId="18133" applyFont="true" borderId="8" applyBorder="true" applyNumberFormat="true" numFmtId="1" fillId="22" applyFill="true">
      <alignment horizontal="center" vertical="center"/>
    </xf>
    <xf fontId="18134" applyFont="true" borderId="8" applyBorder="true" applyNumberFormat="true" numFmtId="1" fillId="22" applyFill="true">
      <alignment horizontal="center" vertical="center"/>
    </xf>
    <xf fontId="18135" applyFont="true" borderId="8" applyBorder="true" applyNumberFormat="true" numFmtId="1" fillId="22" applyFill="true">
      <alignment horizontal="center" vertical="center"/>
    </xf>
    <xf fontId="18136" applyFont="true" borderId="8" applyBorder="true" applyNumberFormat="true" numFmtId="167" fillId="22" applyFill="true">
      <alignment horizontal="center" vertical="center"/>
    </xf>
    <xf fontId="18137" applyFont="true" borderId="8" applyBorder="true" applyNumberFormat="true" numFmtId="1" fillId="22" applyFill="true">
      <alignment horizontal="center" vertical="center"/>
    </xf>
    <xf fontId="18138" applyFont="true" borderId="8" applyBorder="true" applyNumberFormat="true" numFmtId="167" fillId="22" applyFill="true">
      <alignment horizontal="center" vertical="center"/>
    </xf>
    <xf fontId="18139" applyFont="true" borderId="8" applyBorder="true" applyNumberFormat="true" numFmtId="1" fillId="22" applyFill="true">
      <alignment horizontal="center" vertical="center"/>
    </xf>
    <xf fontId="18140" applyFont="true" borderId="8" applyBorder="true" applyNumberFormat="true" numFmtId="167" fillId="22" applyFill="true">
      <alignment horizontal="center" vertical="center"/>
    </xf>
    <xf fontId="18141" applyFont="true" borderId="8" applyBorder="true" applyNumberFormat="true" numFmtId="2" fillId="22" applyFill="true">
      <alignment horizontal="center" vertical="center"/>
    </xf>
    <xf fontId="18142" applyFont="true" borderId="8" applyBorder="true" applyNumberFormat="true" numFmtId="2" fillId="22" applyFill="true">
      <alignment horizontal="center" vertical="center"/>
    </xf>
    <xf fontId="18143" applyFont="true" borderId="8" applyBorder="true" applyNumberFormat="true" numFmtId="2" fillId="22" applyFill="true">
      <alignment horizontal="center" vertical="center"/>
    </xf>
    <xf fontId="18144" applyFont="true" borderId="8" applyBorder="true" applyNumberFormat="true" numFmtId="2" fillId="22" applyFill="true">
      <alignment horizontal="center" vertical="center"/>
    </xf>
    <xf fontId="18145" applyFont="true" borderId="8" applyBorder="true" applyNumberFormat="true" numFmtId="2" fillId="22" applyFill="true">
      <alignment horizontal="center" vertical="center"/>
    </xf>
    <xf fontId="18146" applyFont="true" borderId="8" applyBorder="true" applyNumberFormat="true" numFmtId="2" fillId="22" applyFill="true">
      <alignment horizontal="center" vertical="center"/>
    </xf>
    <xf fontId="18147" applyFont="true" borderId="8" applyBorder="true" applyNumberFormat="true" numFmtId="2" fillId="22" applyFill="true">
      <alignment horizontal="center" vertical="center"/>
    </xf>
    <xf fontId="18148" applyFont="true" borderId="8" applyBorder="true" applyNumberFormat="true" numFmtId="2" fillId="22" applyFill="true">
      <alignment horizontal="center" vertical="center"/>
    </xf>
    <xf fontId="18149" applyFont="true" borderId="8" applyBorder="true" applyNumberFormat="true" numFmtId="2" fillId="22" applyFill="true">
      <alignment horizontal="center" vertical="center"/>
    </xf>
    <xf fontId="18150" applyFont="true" borderId="8" applyBorder="true" applyNumberFormat="true" numFmtId="2" fillId="22" applyFill="true">
      <alignment horizontal="center" vertical="center"/>
    </xf>
    <xf fontId="18151" applyFont="true" borderId="8" applyBorder="true" applyNumberFormat="true" numFmtId="2" fillId="22" applyFill="true">
      <alignment horizontal="center" vertical="center"/>
    </xf>
    <xf fontId="18152" applyFont="true" borderId="8" applyBorder="true" applyNumberFormat="true" numFmtId="2" fillId="22" applyFill="true">
      <alignment horizontal="center" vertical="center"/>
    </xf>
    <xf fontId="18153" applyFont="true" borderId="8" applyBorder="true" applyNumberFormat="true" numFmtId="2" fillId="22" applyFill="true">
      <alignment horizontal="center" vertical="center"/>
    </xf>
    <xf fontId="18154" applyFont="true" borderId="8" applyBorder="true" applyNumberFormat="true" numFmtId="2" fillId="22" applyFill="true">
      <alignment horizontal="center" vertical="center"/>
    </xf>
    <xf fontId="18155" applyFont="true" borderId="8" applyBorder="true" applyNumberFormat="true" numFmtId="2" fillId="22" applyFill="true">
      <alignment horizontal="center" vertical="center"/>
    </xf>
    <xf fontId="18156" applyFont="true" borderId="8" applyBorder="true" applyNumberFormat="true" numFmtId="2" fillId="22" applyFill="true">
      <alignment horizontal="center" vertical="center"/>
    </xf>
    <xf fontId="18157" applyFont="true" borderId="8" applyBorder="true" applyNumberFormat="true" numFmtId="2" fillId="22" applyFill="true">
      <alignment horizontal="center" vertical="center"/>
    </xf>
    <xf fontId="18158" applyFont="true" borderId="8" applyBorder="true" applyNumberFormat="true" numFmtId="2" fillId="22" applyFill="true">
      <alignment horizontal="center" vertical="center"/>
    </xf>
    <xf fontId="18159" applyFont="true" borderId="8" applyBorder="true" applyNumberFormat="true" numFmtId="2" fillId="22" applyFill="true">
      <alignment horizontal="center" vertical="center"/>
    </xf>
    <xf fontId="18160" applyFont="true" borderId="8" applyBorder="true" applyNumberFormat="true" numFmtId="2" fillId="22" applyFill="true">
      <alignment horizontal="center" vertical="center"/>
    </xf>
    <xf fontId="18161" applyFont="true" borderId="8" applyBorder="true" applyNumberFormat="true" numFmtId="2" fillId="22" applyFill="true">
      <alignment horizontal="center" vertical="center"/>
    </xf>
    <xf fontId="18162" applyFont="true" borderId="8" applyBorder="true" applyNumberFormat="true" numFmtId="2" fillId="22" applyFill="true">
      <alignment horizontal="center" vertical="center"/>
    </xf>
    <xf fontId="18163" applyFont="true" borderId="8" applyBorder="true" applyNumberFormat="true" numFmtId="2" fillId="22" applyFill="true">
      <alignment horizontal="center" vertical="center"/>
    </xf>
    <xf fontId="18164" applyFont="true" borderId="8" applyBorder="true" applyNumberFormat="true" numFmtId="2" fillId="22" applyFill="true">
      <alignment horizontal="center" vertical="center"/>
    </xf>
    <xf fontId="18165" applyFont="true" borderId="8" applyBorder="true" applyNumberFormat="true" numFmtId="2" fillId="22" applyFill="true">
      <alignment horizontal="center" vertical="center"/>
    </xf>
    <xf fontId="18166" applyFont="true" borderId="8" applyBorder="true" applyNumberFormat="true" numFmtId="2" fillId="22" applyFill="true">
      <alignment horizontal="center" vertical="center"/>
    </xf>
    <xf fontId="18167" applyFont="true" borderId="8" applyBorder="true" applyNumberFormat="true" numFmtId="2" fillId="22" applyFill="true">
      <alignment horizontal="center" vertical="center"/>
    </xf>
    <xf fontId="18168" applyFont="true" borderId="8" applyBorder="true" applyNumberFormat="true" numFmtId="2" fillId="22" applyFill="true">
      <alignment horizontal="center" vertical="center"/>
    </xf>
    <xf fontId="18169" applyFont="true" borderId="8" applyBorder="true" applyNumberFormat="true" numFmtId="2" fillId="22" applyFill="true">
      <alignment horizontal="center" vertical="center"/>
    </xf>
    <xf fontId="18170" applyFont="true" borderId="8" applyBorder="true" applyNumberFormat="true" numFmtId="2" fillId="22" applyFill="true">
      <alignment horizontal="center" vertical="center"/>
    </xf>
    <xf fontId="18171" applyFont="true" borderId="8" applyBorder="true" applyNumberFormat="true" numFmtId="2" fillId="22" applyFill="true">
      <alignment horizontal="center" vertical="center"/>
    </xf>
    <xf fontId="18172" applyFont="true" borderId="8" applyBorder="true" applyNumberFormat="true" numFmtId="2" fillId="22" applyFill="true">
      <alignment horizontal="center" vertical="center"/>
    </xf>
    <xf fontId="18173" applyFont="true" borderId="8" applyBorder="true" applyNumberFormat="true" numFmtId="2" fillId="22" applyFill="true">
      <alignment horizontal="center" vertical="center"/>
    </xf>
    <xf fontId="18174" applyFont="true" borderId="8" applyBorder="true" applyNumberFormat="true" numFmtId="2" fillId="22" applyFill="true">
      <alignment horizontal="center" vertical="center"/>
    </xf>
    <xf fontId="18175" applyFont="true" borderId="8" applyBorder="true" applyNumberFormat="true" numFmtId="165" fillId="19" applyFill="true">
      <alignment horizontal="left" vertical="center"/>
    </xf>
    <xf fontId="18176" applyFont="true" borderId="8" applyBorder="true" applyNumberFormat="true" numFmtId="165" fillId="22" applyFill="true">
      <alignment horizontal="center" vertical="center"/>
    </xf>
    <xf fontId="18177" applyFont="true" borderId="8" applyBorder="true" applyNumberFormat="true" numFmtId="166" fillId="22" applyFill="true">
      <alignment horizontal="center" vertical="center"/>
    </xf>
    <xf fontId="18178" applyFont="true" borderId="8" applyBorder="true" applyNumberFormat="true" numFmtId="1" fillId="22" applyFill="true">
      <alignment horizontal="center" vertical="center"/>
    </xf>
    <xf fontId="18179" applyFont="true" borderId="8" applyBorder="true" applyNumberFormat="true" numFmtId="1" fillId="22" applyFill="true">
      <alignment horizontal="center" vertical="center"/>
    </xf>
    <xf fontId="18180" applyFont="true" borderId="8" applyBorder="true" applyNumberFormat="true" numFmtId="1" fillId="22" applyFill="true">
      <alignment horizontal="center" vertical="center"/>
    </xf>
    <xf fontId="18181" applyFont="true" borderId="8" applyBorder="true" applyNumberFormat="true" numFmtId="1" fillId="22" applyFill="true">
      <alignment horizontal="center" vertical="center"/>
    </xf>
    <xf fontId="18182" applyFont="true" borderId="8" applyBorder="true" applyNumberFormat="true" numFmtId="1" fillId="22" applyFill="true">
      <alignment horizontal="center" vertical="center"/>
    </xf>
    <xf fontId="18183" applyFont="true" borderId="8" applyBorder="true" applyNumberFormat="true" numFmtId="1" fillId="22" applyFill="true">
      <alignment horizontal="center" vertical="center"/>
    </xf>
    <xf fontId="18184" applyFont="true" borderId="8" applyBorder="true" applyNumberFormat="true" numFmtId="1" fillId="22" applyFill="true">
      <alignment horizontal="center" vertical="center"/>
    </xf>
    <xf fontId="18185" applyFont="true" borderId="8" applyBorder="true" applyNumberFormat="true" numFmtId="165" fillId="22" applyFill="true">
      <alignment horizontal="center" vertical="center"/>
    </xf>
    <xf fontId="18186" applyFont="true" borderId="8" applyBorder="true" applyNumberFormat="true" numFmtId="165" fillId="22" applyFill="true">
      <alignment horizontal="center" vertical="center"/>
    </xf>
    <xf fontId="18187" applyFont="true" borderId="8" applyBorder="true" applyNumberFormat="true" numFmtId="1" fillId="22" applyFill="true">
      <alignment horizontal="center" vertical="center"/>
    </xf>
    <xf fontId="18188" applyFont="true" borderId="8" applyBorder="true" applyNumberFormat="true" numFmtId="1" fillId="22" applyFill="true">
      <alignment horizontal="center" vertical="center"/>
    </xf>
    <xf fontId="18189" applyFont="true" borderId="8" applyBorder="true" applyNumberFormat="true" numFmtId="1" fillId="22" applyFill="true">
      <alignment horizontal="center" vertical="center"/>
    </xf>
    <xf fontId="18190" applyFont="true" borderId="8" applyBorder="true" applyNumberFormat="true" numFmtId="167" fillId="22" applyFill="true">
      <alignment horizontal="center" vertical="center"/>
    </xf>
    <xf fontId="18191" applyFont="true" borderId="8" applyBorder="true" applyNumberFormat="true" numFmtId="1" fillId="22" applyFill="true">
      <alignment horizontal="center" vertical="center"/>
    </xf>
    <xf fontId="18192" applyFont="true" borderId="8" applyBorder="true" applyNumberFormat="true" numFmtId="167" fillId="22" applyFill="true">
      <alignment horizontal="center" vertical="center"/>
    </xf>
    <xf fontId="18193" applyFont="true" borderId="8" applyBorder="true" applyNumberFormat="true" numFmtId="1" fillId="22" applyFill="true">
      <alignment horizontal="center" vertical="center"/>
    </xf>
    <xf fontId="18194" applyFont="true" borderId="8" applyBorder="true" applyNumberFormat="true" numFmtId="167" fillId="22" applyFill="true">
      <alignment horizontal="center" vertical="center"/>
    </xf>
    <xf fontId="18195" applyFont="true" borderId="8" applyBorder="true" applyNumberFormat="true" numFmtId="1" fillId="22" applyFill="true">
      <alignment horizontal="center" vertical="center"/>
    </xf>
    <xf fontId="18196" applyFont="true" borderId="8" applyBorder="true" applyNumberFormat="true" numFmtId="167" fillId="22" applyFill="true">
      <alignment horizontal="center" vertical="center"/>
    </xf>
    <xf fontId="18197" applyFont="true" borderId="8" applyBorder="true" applyNumberFormat="true" numFmtId="167" fillId="22" applyFill="true">
      <alignment horizontal="center" vertical="center"/>
    </xf>
    <xf fontId="18198" applyFont="true" borderId="8" applyBorder="true" applyNumberFormat="true" numFmtId="1" fillId="22" applyFill="true">
      <alignment horizontal="center" vertical="center"/>
    </xf>
    <xf fontId="18199" applyFont="true" borderId="8" applyBorder="true" applyNumberFormat="true" numFmtId="1" fillId="22" applyFill="true">
      <alignment horizontal="center" vertical="center"/>
    </xf>
    <xf fontId="18200" applyFont="true" borderId="8" applyBorder="true" applyNumberFormat="true" numFmtId="1" fillId="22" applyFill="true">
      <alignment horizontal="center" vertical="center"/>
    </xf>
    <xf fontId="18201" applyFont="true" borderId="8" applyBorder="true" applyNumberFormat="true" numFmtId="167" fillId="22" applyFill="true">
      <alignment horizontal="center" vertical="center"/>
    </xf>
    <xf fontId="18202" applyFont="true" borderId="8" applyBorder="true" applyNumberFormat="true" numFmtId="166" fillId="22" applyFill="true">
      <alignment horizontal="center" vertical="center"/>
    </xf>
    <xf fontId="18203" applyFont="true" borderId="8" applyBorder="true" applyNumberFormat="true" numFmtId="166" fillId="22" applyFill="true">
      <alignment horizontal="center" vertical="center"/>
    </xf>
    <xf fontId="18204" applyFont="true" borderId="8" applyBorder="true" applyNumberFormat="true" numFmtId="1" fillId="22" applyFill="true">
      <alignment horizontal="center" vertical="center"/>
    </xf>
    <xf fontId="18205" applyFont="true" borderId="8" applyBorder="true" applyNumberFormat="true" numFmtId="1" fillId="22" applyFill="true">
      <alignment horizontal="center" vertical="center"/>
    </xf>
    <xf fontId="18206" applyFont="true" borderId="8" applyBorder="true" applyNumberFormat="true" numFmtId="1" fillId="22" applyFill="true">
      <alignment horizontal="center" vertical="center"/>
    </xf>
    <xf fontId="18207" applyFont="true" borderId="8" applyBorder="true" applyNumberFormat="true" numFmtId="167" fillId="22" applyFill="true">
      <alignment horizontal="center" vertical="center"/>
    </xf>
    <xf fontId="18208" applyFont="true" borderId="8" applyBorder="true" applyNumberFormat="true" numFmtId="1" fillId="22" applyFill="true">
      <alignment horizontal="center" vertical="center"/>
    </xf>
    <xf fontId="18209" applyFont="true" borderId="8" applyBorder="true" applyNumberFormat="true" numFmtId="167" fillId="22" applyFill="true">
      <alignment horizontal="center" vertical="center"/>
    </xf>
    <xf fontId="18210" applyFont="true" borderId="8" applyBorder="true" applyNumberFormat="true" numFmtId="1" fillId="22" applyFill="true">
      <alignment horizontal="center" vertical="center"/>
    </xf>
    <xf fontId="18211" applyFont="true" borderId="8" applyBorder="true" applyNumberFormat="true" numFmtId="1" fillId="22" applyFill="true">
      <alignment horizontal="center" vertical="center"/>
    </xf>
    <xf fontId="18212" applyFont="true" borderId="8" applyBorder="true" applyNumberFormat="true" numFmtId="1" fillId="22" applyFill="true">
      <alignment horizontal="center" vertical="center"/>
    </xf>
    <xf fontId="18213" applyFont="true" borderId="8" applyBorder="true" applyNumberFormat="true" numFmtId="1" fillId="22" applyFill="true">
      <alignment horizontal="center" vertical="center"/>
    </xf>
    <xf fontId="18214" applyFont="true" borderId="8" applyBorder="true" applyNumberFormat="true" numFmtId="167" fillId="22" applyFill="true">
      <alignment horizontal="center" vertical="center"/>
    </xf>
    <xf fontId="18215" applyFont="true" borderId="8" applyBorder="true" applyNumberFormat="true" numFmtId="1" fillId="22" applyFill="true">
      <alignment horizontal="center" vertical="center"/>
    </xf>
    <xf fontId="18216" applyFont="true" borderId="8" applyBorder="true" applyNumberFormat="true" numFmtId="167" fillId="22" applyFill="true">
      <alignment horizontal="center" vertical="center"/>
    </xf>
    <xf fontId="18217" applyFont="true" borderId="8" applyBorder="true" applyNumberFormat="true" numFmtId="1" fillId="22" applyFill="true">
      <alignment horizontal="center" vertical="center"/>
    </xf>
    <xf fontId="18218" applyFont="true" borderId="8" applyBorder="true" applyNumberFormat="true" numFmtId="167" fillId="22" applyFill="true">
      <alignment horizontal="center" vertical="center"/>
    </xf>
    <xf fontId="18219" applyFont="true" borderId="8" applyBorder="true" applyNumberFormat="true" numFmtId="2" fillId="22" applyFill="true">
      <alignment horizontal="center" vertical="center"/>
    </xf>
    <xf fontId="18220" applyFont="true" borderId="8" applyBorder="true" applyNumberFormat="true" numFmtId="2" fillId="22" applyFill="true">
      <alignment horizontal="center" vertical="center"/>
    </xf>
    <xf fontId="18221" applyFont="true" borderId="8" applyBorder="true" applyNumberFormat="true" numFmtId="2" fillId="22" applyFill="true">
      <alignment horizontal="center" vertical="center"/>
    </xf>
    <xf fontId="18222" applyFont="true" borderId="8" applyBorder="true" applyNumberFormat="true" numFmtId="2" fillId="22" applyFill="true">
      <alignment horizontal="center" vertical="center"/>
    </xf>
    <xf fontId="18223" applyFont="true" borderId="8" applyBorder="true" applyNumberFormat="true" numFmtId="2" fillId="22" applyFill="true">
      <alignment horizontal="center" vertical="center"/>
    </xf>
    <xf fontId="18224" applyFont="true" borderId="8" applyBorder="true" applyNumberFormat="true" numFmtId="2" fillId="22" applyFill="true">
      <alignment horizontal="center" vertical="center"/>
    </xf>
    <xf fontId="18225" applyFont="true" borderId="8" applyBorder="true" applyNumberFormat="true" numFmtId="2" fillId="22" applyFill="true">
      <alignment horizontal="center" vertical="center"/>
    </xf>
    <xf fontId="18226" applyFont="true" borderId="8" applyBorder="true" applyNumberFormat="true" numFmtId="2" fillId="22" applyFill="true">
      <alignment horizontal="center" vertical="center"/>
    </xf>
    <xf fontId="18227" applyFont="true" borderId="8" applyBorder="true" applyNumberFormat="true" numFmtId="2" fillId="22" applyFill="true">
      <alignment horizontal="center" vertical="center"/>
    </xf>
    <xf fontId="18228" applyFont="true" borderId="8" applyBorder="true" applyNumberFormat="true" numFmtId="2" fillId="22" applyFill="true">
      <alignment horizontal="center" vertical="center"/>
    </xf>
    <xf fontId="18229" applyFont="true" borderId="8" applyBorder="true" applyNumberFormat="true" numFmtId="2" fillId="22" applyFill="true">
      <alignment horizontal="center" vertical="center"/>
    </xf>
    <xf fontId="18230" applyFont="true" borderId="8" applyBorder="true" applyNumberFormat="true" numFmtId="2" fillId="22" applyFill="true">
      <alignment horizontal="center" vertical="center"/>
    </xf>
    <xf fontId="18231" applyFont="true" borderId="8" applyBorder="true" applyNumberFormat="true" numFmtId="2" fillId="22" applyFill="true">
      <alignment horizontal="center" vertical="center"/>
    </xf>
    <xf fontId="18232" applyFont="true" borderId="8" applyBorder="true" applyNumberFormat="true" numFmtId="2" fillId="22" applyFill="true">
      <alignment horizontal="center" vertical="center"/>
    </xf>
    <xf fontId="18233" applyFont="true" borderId="8" applyBorder="true" applyNumberFormat="true" numFmtId="2" fillId="22" applyFill="true">
      <alignment horizontal="center" vertical="center"/>
    </xf>
    <xf fontId="18234" applyFont="true" borderId="8" applyBorder="true" applyNumberFormat="true" numFmtId="2" fillId="22" applyFill="true">
      <alignment horizontal="center" vertical="center"/>
    </xf>
    <xf fontId="18235" applyFont="true" borderId="8" applyBorder="true" applyNumberFormat="true" numFmtId="2" fillId="22" applyFill="true">
      <alignment horizontal="center" vertical="center"/>
    </xf>
    <xf fontId="18236" applyFont="true" borderId="8" applyBorder="true" applyNumberFormat="true" numFmtId="2" fillId="22" applyFill="true">
      <alignment horizontal="center" vertical="center"/>
    </xf>
    <xf fontId="18237" applyFont="true" borderId="8" applyBorder="true" applyNumberFormat="true" numFmtId="2" fillId="22" applyFill="true">
      <alignment horizontal="center" vertical="center"/>
    </xf>
    <xf fontId="18238" applyFont="true" borderId="8" applyBorder="true" applyNumberFormat="true" numFmtId="2" fillId="22" applyFill="true">
      <alignment horizontal="center" vertical="center"/>
    </xf>
    <xf fontId="18239" applyFont="true" borderId="8" applyBorder="true" applyNumberFormat="true" numFmtId="2" fillId="22" applyFill="true">
      <alignment horizontal="center" vertical="center"/>
    </xf>
    <xf fontId="18240" applyFont="true" borderId="8" applyBorder="true" applyNumberFormat="true" numFmtId="2" fillId="22" applyFill="true">
      <alignment horizontal="center" vertical="center"/>
    </xf>
    <xf fontId="18241" applyFont="true" borderId="8" applyBorder="true" applyNumberFormat="true" numFmtId="2" fillId="22" applyFill="true">
      <alignment horizontal="center" vertical="center"/>
    </xf>
    <xf fontId="18242" applyFont="true" borderId="8" applyBorder="true" applyNumberFormat="true" numFmtId="2" fillId="22" applyFill="true">
      <alignment horizontal="center" vertical="center"/>
    </xf>
    <xf fontId="18243" applyFont="true" borderId="8" applyBorder="true" applyNumberFormat="true" numFmtId="2" fillId="22" applyFill="true">
      <alignment horizontal="center" vertical="center"/>
    </xf>
    <xf fontId="18244" applyFont="true" borderId="8" applyBorder="true" applyNumberFormat="true" numFmtId="2" fillId="22" applyFill="true">
      <alignment horizontal="center" vertical="center"/>
    </xf>
    <xf fontId="18245" applyFont="true" borderId="8" applyBorder="true" applyNumberFormat="true" numFmtId="2" fillId="22" applyFill="true">
      <alignment horizontal="center" vertical="center"/>
    </xf>
    <xf fontId="18246" applyFont="true" borderId="8" applyBorder="true" applyNumberFormat="true" numFmtId="2" fillId="22" applyFill="true">
      <alignment horizontal="center" vertical="center"/>
    </xf>
    <xf fontId="18247" applyFont="true" borderId="8" applyBorder="true" applyNumberFormat="true" numFmtId="2" fillId="22" applyFill="true">
      <alignment horizontal="center" vertical="center"/>
    </xf>
    <xf fontId="18248" applyFont="true" borderId="8" applyBorder="true" applyNumberFormat="true" numFmtId="2" fillId="22" applyFill="true">
      <alignment horizontal="center" vertical="center"/>
    </xf>
    <xf fontId="18249" applyFont="true" borderId="8" applyBorder="true" applyNumberFormat="true" numFmtId="2" fillId="22" applyFill="true">
      <alignment horizontal="center" vertical="center"/>
    </xf>
    <xf fontId="18250" applyFont="true" borderId="8" applyBorder="true" applyNumberFormat="true" numFmtId="2" fillId="22" applyFill="true">
      <alignment horizontal="center" vertical="center"/>
    </xf>
    <xf fontId="18251" applyFont="true" borderId="8" applyBorder="true" applyNumberFormat="true" numFmtId="2" fillId="22" applyFill="true">
      <alignment horizontal="center" vertical="center"/>
    </xf>
    <xf fontId="18252" applyFont="true" borderId="8" applyBorder="true" applyNumberFormat="true" numFmtId="2" fillId="22" applyFill="true">
      <alignment horizontal="center" vertical="center"/>
    </xf>
    <xf fontId="18253" applyFont="true" borderId="8" applyBorder="true" applyNumberFormat="true" numFmtId="165" fillId="19" applyFill="true">
      <alignment horizontal="left" vertical="center"/>
    </xf>
    <xf fontId="18254" applyFont="true" borderId="8" applyBorder="true" applyNumberFormat="true" numFmtId="165" fillId="22" applyFill="true">
      <alignment horizontal="center" vertical="center"/>
    </xf>
    <xf fontId="18255" applyFont="true" borderId="8" applyBorder="true" applyNumberFormat="true" numFmtId="166" fillId="22" applyFill="true">
      <alignment horizontal="center" vertical="center"/>
    </xf>
    <xf fontId="18256" applyFont="true" borderId="8" applyBorder="true" applyNumberFormat="true" numFmtId="1" fillId="22" applyFill="true">
      <alignment horizontal="center" vertical="center"/>
    </xf>
    <xf fontId="18257" applyFont="true" borderId="8" applyBorder="true" applyNumberFormat="true" numFmtId="1" fillId="22" applyFill="true">
      <alignment horizontal="center" vertical="center"/>
    </xf>
    <xf fontId="18258" applyFont="true" borderId="8" applyBorder="true" applyNumberFormat="true" numFmtId="1" fillId="22" applyFill="true">
      <alignment horizontal="center" vertical="center"/>
    </xf>
    <xf fontId="18259" applyFont="true" borderId="8" applyBorder="true" applyNumberFormat="true" numFmtId="1" fillId="22" applyFill="true">
      <alignment horizontal="center" vertical="center"/>
    </xf>
    <xf fontId="18260" applyFont="true" borderId="8" applyBorder="true" applyNumberFormat="true" numFmtId="1" fillId="22" applyFill="true">
      <alignment horizontal="center" vertical="center"/>
    </xf>
    <xf fontId="18261" applyFont="true" borderId="8" applyBorder="true" applyNumberFormat="true" numFmtId="1" fillId="22" applyFill="true">
      <alignment horizontal="center" vertical="center"/>
    </xf>
    <xf fontId="18262" applyFont="true" borderId="8" applyBorder="true" applyNumberFormat="true" numFmtId="1" fillId="22" applyFill="true">
      <alignment horizontal="center" vertical="center"/>
    </xf>
    <xf fontId="18263" applyFont="true" borderId="8" applyBorder="true" applyNumberFormat="true" numFmtId="165" fillId="22" applyFill="true">
      <alignment horizontal="center" vertical="center"/>
    </xf>
    <xf fontId="18264" applyFont="true" borderId="8" applyBorder="true" applyNumberFormat="true" numFmtId="165" fillId="22" applyFill="true">
      <alignment horizontal="center" vertical="center"/>
    </xf>
    <xf fontId="18265" applyFont="true" borderId="8" applyBorder="true" applyNumberFormat="true" numFmtId="1" fillId="22" applyFill="true">
      <alignment horizontal="center" vertical="center"/>
    </xf>
    <xf fontId="18266" applyFont="true" borderId="8" applyBorder="true" applyNumberFormat="true" numFmtId="1" fillId="22" applyFill="true">
      <alignment horizontal="center" vertical="center"/>
    </xf>
    <xf fontId="18267" applyFont="true" borderId="8" applyBorder="true" applyNumberFormat="true" numFmtId="1" fillId="22" applyFill="true">
      <alignment horizontal="center" vertical="center"/>
    </xf>
    <xf fontId="18268" applyFont="true" borderId="8" applyBorder="true" applyNumberFormat="true" numFmtId="167" fillId="22" applyFill="true">
      <alignment horizontal="center" vertical="center"/>
    </xf>
    <xf fontId="18269" applyFont="true" borderId="8" applyBorder="true" applyNumberFormat="true" numFmtId="1" fillId="22" applyFill="true">
      <alignment horizontal="center" vertical="center"/>
    </xf>
    <xf fontId="18270" applyFont="true" borderId="8" applyBorder="true" applyNumberFormat="true" numFmtId="167" fillId="22" applyFill="true">
      <alignment horizontal="center" vertical="center"/>
    </xf>
    <xf fontId="18271" applyFont="true" borderId="8" applyBorder="true" applyNumberFormat="true" numFmtId="1" fillId="22" applyFill="true">
      <alignment horizontal="center" vertical="center"/>
    </xf>
    <xf fontId="18272" applyFont="true" borderId="8" applyBorder="true" applyNumberFormat="true" numFmtId="167" fillId="22" applyFill="true">
      <alignment horizontal="center" vertical="center"/>
    </xf>
    <xf fontId="18273" applyFont="true" borderId="8" applyBorder="true" applyNumberFormat="true" numFmtId="1" fillId="22" applyFill="true">
      <alignment horizontal="center" vertical="center"/>
    </xf>
    <xf fontId="18274" applyFont="true" borderId="8" applyBorder="true" applyNumberFormat="true" numFmtId="167" fillId="22" applyFill="true">
      <alignment horizontal="center" vertical="center"/>
    </xf>
    <xf fontId="18275" applyFont="true" borderId="8" applyBorder="true" applyNumberFormat="true" numFmtId="167" fillId="22" applyFill="true">
      <alignment horizontal="center" vertical="center"/>
    </xf>
    <xf fontId="18276" applyFont="true" borderId="8" applyBorder="true" applyNumberFormat="true" numFmtId="1" fillId="22" applyFill="true">
      <alignment horizontal="center" vertical="center"/>
    </xf>
    <xf fontId="18277" applyFont="true" borderId="8" applyBorder="true" applyNumberFormat="true" numFmtId="1" fillId="22" applyFill="true">
      <alignment horizontal="center" vertical="center"/>
    </xf>
    <xf fontId="18278" applyFont="true" borderId="8" applyBorder="true" applyNumberFormat="true" numFmtId="1" fillId="22" applyFill="true">
      <alignment horizontal="center" vertical="center"/>
    </xf>
    <xf fontId="18279" applyFont="true" borderId="8" applyBorder="true" applyNumberFormat="true" numFmtId="167" fillId="22" applyFill="true">
      <alignment horizontal="center" vertical="center"/>
    </xf>
    <xf fontId="18280" applyFont="true" borderId="8" applyBorder="true" applyNumberFormat="true" numFmtId="166" fillId="22" applyFill="true">
      <alignment horizontal="center" vertical="center"/>
    </xf>
    <xf fontId="18281" applyFont="true" borderId="8" applyBorder="true" applyNumberFormat="true" numFmtId="166" fillId="22" applyFill="true">
      <alignment horizontal="center" vertical="center"/>
    </xf>
    <xf fontId="18282" applyFont="true" borderId="8" applyBorder="true" applyNumberFormat="true" numFmtId="1" fillId="22" applyFill="true">
      <alignment horizontal="center" vertical="center"/>
    </xf>
    <xf fontId="18283" applyFont="true" borderId="8" applyBorder="true" applyNumberFormat="true" numFmtId="1" fillId="22" applyFill="true">
      <alignment horizontal="center" vertical="center"/>
    </xf>
    <xf fontId="18284" applyFont="true" borderId="8" applyBorder="true" applyNumberFormat="true" numFmtId="1" fillId="22" applyFill="true">
      <alignment horizontal="center" vertical="center"/>
    </xf>
    <xf fontId="18285" applyFont="true" borderId="8" applyBorder="true" applyNumberFormat="true" numFmtId="167" fillId="22" applyFill="true">
      <alignment horizontal="center" vertical="center"/>
    </xf>
    <xf fontId="18286" applyFont="true" borderId="8" applyBorder="true" applyNumberFormat="true" numFmtId="1" fillId="22" applyFill="true">
      <alignment horizontal="center" vertical="center"/>
    </xf>
    <xf fontId="18287" applyFont="true" borderId="8" applyBorder="true" applyNumberFormat="true" numFmtId="167" fillId="22" applyFill="true">
      <alignment horizontal="center" vertical="center"/>
    </xf>
    <xf fontId="18288" applyFont="true" borderId="8" applyBorder="true" applyNumberFormat="true" numFmtId="1" fillId="22" applyFill="true">
      <alignment horizontal="center" vertical="center"/>
    </xf>
    <xf fontId="18289" applyFont="true" borderId="8" applyBorder="true" applyNumberFormat="true" numFmtId="1" fillId="22" applyFill="true">
      <alignment horizontal="center" vertical="center"/>
    </xf>
    <xf fontId="18290" applyFont="true" borderId="8" applyBorder="true" applyNumberFormat="true" numFmtId="1" fillId="22" applyFill="true">
      <alignment horizontal="center" vertical="center"/>
    </xf>
    <xf fontId="18291" applyFont="true" borderId="8" applyBorder="true" applyNumberFormat="true" numFmtId="1" fillId="22" applyFill="true">
      <alignment horizontal="center" vertical="center"/>
    </xf>
    <xf fontId="18292" applyFont="true" borderId="8" applyBorder="true" applyNumberFormat="true" numFmtId="167" fillId="22" applyFill="true">
      <alignment horizontal="center" vertical="center"/>
    </xf>
    <xf fontId="18293" applyFont="true" borderId="8" applyBorder="true" applyNumberFormat="true" numFmtId="1" fillId="22" applyFill="true">
      <alignment horizontal="center" vertical="center"/>
    </xf>
    <xf fontId="18294" applyFont="true" borderId="8" applyBorder="true" applyNumberFormat="true" numFmtId="167" fillId="22" applyFill="true">
      <alignment horizontal="center" vertical="center"/>
    </xf>
    <xf fontId="18295" applyFont="true" borderId="8" applyBorder="true" applyNumberFormat="true" numFmtId="1" fillId="22" applyFill="true">
      <alignment horizontal="center" vertical="center"/>
    </xf>
    <xf fontId="18296" applyFont="true" borderId="8" applyBorder="true" applyNumberFormat="true" numFmtId="167" fillId="22" applyFill="true">
      <alignment horizontal="center" vertical="center"/>
    </xf>
    <xf fontId="18297" applyFont="true" borderId="8" applyBorder="true" applyNumberFormat="true" numFmtId="2" fillId="22" applyFill="true">
      <alignment horizontal="center" vertical="center"/>
    </xf>
    <xf fontId="18298" applyFont="true" borderId="8" applyBorder="true" applyNumberFormat="true" numFmtId="2" fillId="22" applyFill="true">
      <alignment horizontal="center" vertical="center"/>
    </xf>
    <xf fontId="18299" applyFont="true" borderId="8" applyBorder="true" applyNumberFormat="true" numFmtId="2" fillId="22" applyFill="true">
      <alignment horizontal="center" vertical="center"/>
    </xf>
    <xf fontId="18300" applyFont="true" borderId="8" applyBorder="true" applyNumberFormat="true" numFmtId="2" fillId="22" applyFill="true">
      <alignment horizontal="center" vertical="center"/>
    </xf>
    <xf fontId="18301" applyFont="true" borderId="8" applyBorder="true" applyNumberFormat="true" numFmtId="2" fillId="22" applyFill="true">
      <alignment horizontal="center" vertical="center"/>
    </xf>
    <xf fontId="18302" applyFont="true" borderId="8" applyBorder="true" applyNumberFormat="true" numFmtId="2" fillId="22" applyFill="true">
      <alignment horizontal="center" vertical="center"/>
    </xf>
    <xf fontId="18303" applyFont="true" borderId="8" applyBorder="true" applyNumberFormat="true" numFmtId="2" fillId="22" applyFill="true">
      <alignment horizontal="center" vertical="center"/>
    </xf>
    <xf fontId="18304" applyFont="true" borderId="8" applyBorder="true" applyNumberFormat="true" numFmtId="2" fillId="22" applyFill="true">
      <alignment horizontal="center" vertical="center"/>
    </xf>
    <xf fontId="18305" applyFont="true" borderId="8" applyBorder="true" applyNumberFormat="true" numFmtId="2" fillId="22" applyFill="true">
      <alignment horizontal="center" vertical="center"/>
    </xf>
    <xf fontId="18306" applyFont="true" borderId="8" applyBorder="true" applyNumberFormat="true" numFmtId="2" fillId="22" applyFill="true">
      <alignment horizontal="center" vertical="center"/>
    </xf>
    <xf fontId="18307" applyFont="true" borderId="8" applyBorder="true" applyNumberFormat="true" numFmtId="2" fillId="22" applyFill="true">
      <alignment horizontal="center" vertical="center"/>
    </xf>
    <xf fontId="18308" applyFont="true" borderId="8" applyBorder="true" applyNumberFormat="true" numFmtId="2" fillId="22" applyFill="true">
      <alignment horizontal="center" vertical="center"/>
    </xf>
    <xf fontId="18309" applyFont="true" borderId="8" applyBorder="true" applyNumberFormat="true" numFmtId="2" fillId="22" applyFill="true">
      <alignment horizontal="center" vertical="center"/>
    </xf>
    <xf fontId="18310" applyFont="true" borderId="8" applyBorder="true" applyNumberFormat="true" numFmtId="2" fillId="22" applyFill="true">
      <alignment horizontal="center" vertical="center"/>
    </xf>
    <xf fontId="18311" applyFont="true" borderId="8" applyBorder="true" applyNumberFormat="true" numFmtId="2" fillId="22" applyFill="true">
      <alignment horizontal="center" vertical="center"/>
    </xf>
    <xf fontId="18312" applyFont="true" borderId="8" applyBorder="true" applyNumberFormat="true" numFmtId="2" fillId="22" applyFill="true">
      <alignment horizontal="center" vertical="center"/>
    </xf>
    <xf fontId="18313" applyFont="true" borderId="8" applyBorder="true" applyNumberFormat="true" numFmtId="2" fillId="22" applyFill="true">
      <alignment horizontal="center" vertical="center"/>
    </xf>
    <xf fontId="18314" applyFont="true" borderId="8" applyBorder="true" applyNumberFormat="true" numFmtId="2" fillId="22" applyFill="true">
      <alignment horizontal="center" vertical="center"/>
    </xf>
    <xf fontId="18315" applyFont="true" borderId="8" applyBorder="true" applyNumberFormat="true" numFmtId="2" fillId="22" applyFill="true">
      <alignment horizontal="center" vertical="center"/>
    </xf>
    <xf fontId="18316" applyFont="true" borderId="8" applyBorder="true" applyNumberFormat="true" numFmtId="2" fillId="22" applyFill="true">
      <alignment horizontal="center" vertical="center"/>
    </xf>
    <xf fontId="18317" applyFont="true" borderId="8" applyBorder="true" applyNumberFormat="true" numFmtId="2" fillId="22" applyFill="true">
      <alignment horizontal="center" vertical="center"/>
    </xf>
    <xf fontId="18318" applyFont="true" borderId="8" applyBorder="true" applyNumberFormat="true" numFmtId="2" fillId="22" applyFill="true">
      <alignment horizontal="center" vertical="center"/>
    </xf>
    <xf fontId="18319" applyFont="true" borderId="8" applyBorder="true" applyNumberFormat="true" numFmtId="2" fillId="22" applyFill="true">
      <alignment horizontal="center" vertical="center"/>
    </xf>
    <xf fontId="18320" applyFont="true" borderId="8" applyBorder="true" applyNumberFormat="true" numFmtId="2" fillId="22" applyFill="true">
      <alignment horizontal="center" vertical="center"/>
    </xf>
    <xf fontId="18321" applyFont="true" borderId="8" applyBorder="true" applyNumberFormat="true" numFmtId="2" fillId="22" applyFill="true">
      <alignment horizontal="center" vertical="center"/>
    </xf>
    <xf fontId="18322" applyFont="true" borderId="8" applyBorder="true" applyNumberFormat="true" numFmtId="2" fillId="22" applyFill="true">
      <alignment horizontal="center" vertical="center"/>
    </xf>
    <xf fontId="18323" applyFont="true" borderId="8" applyBorder="true" applyNumberFormat="true" numFmtId="2" fillId="22" applyFill="true">
      <alignment horizontal="center" vertical="center"/>
    </xf>
    <xf fontId="18324" applyFont="true" borderId="8" applyBorder="true" applyNumberFormat="true" numFmtId="2" fillId="22" applyFill="true">
      <alignment horizontal="center" vertical="center"/>
    </xf>
    <xf fontId="18325" applyFont="true" borderId="8" applyBorder="true" applyNumberFormat="true" numFmtId="2" fillId="22" applyFill="true">
      <alignment horizontal="center" vertical="center"/>
    </xf>
    <xf fontId="18326" applyFont="true" borderId="8" applyBorder="true" applyNumberFormat="true" numFmtId="2" fillId="22" applyFill="true">
      <alignment horizontal="center" vertical="center"/>
    </xf>
    <xf fontId="18327" applyFont="true" borderId="8" applyBorder="true" applyNumberFormat="true" numFmtId="2" fillId="22" applyFill="true">
      <alignment horizontal="center" vertical="center"/>
    </xf>
    <xf fontId="18328" applyFont="true" borderId="8" applyBorder="true" applyNumberFormat="true" numFmtId="2" fillId="22" applyFill="true">
      <alignment horizontal="center" vertical="center"/>
    </xf>
    <xf fontId="18329" applyFont="true" borderId="8" applyBorder="true" applyNumberFormat="true" numFmtId="2" fillId="22" applyFill="true">
      <alignment horizontal="center" vertical="center"/>
    </xf>
    <xf fontId="18330" applyFont="true" borderId="8" applyBorder="true" applyNumberFormat="true" numFmtId="2" fillId="22" applyFill="true">
      <alignment horizontal="center" vertical="center"/>
    </xf>
    <xf fontId="18331" applyFont="true" borderId="8" applyBorder="true" applyNumberFormat="true" numFmtId="165" fillId="19" applyFill="true">
      <alignment horizontal="left" vertical="center"/>
    </xf>
    <xf fontId="18332" applyFont="true" borderId="8" applyBorder="true" applyNumberFormat="true" numFmtId="165" fillId="22" applyFill="true">
      <alignment horizontal="center" vertical="center"/>
    </xf>
    <xf fontId="18333" applyFont="true" borderId="8" applyBorder="true" applyNumberFormat="true" numFmtId="166" fillId="22" applyFill="true">
      <alignment horizontal="center" vertical="center"/>
    </xf>
    <xf fontId="18334" applyFont="true" borderId="8" applyBorder="true" applyNumberFormat="true" numFmtId="1" fillId="22" applyFill="true">
      <alignment horizontal="center" vertical="center"/>
    </xf>
    <xf fontId="18335" applyFont="true" borderId="8" applyBorder="true" applyNumberFormat="true" numFmtId="1" fillId="22" applyFill="true">
      <alignment horizontal="center" vertical="center"/>
    </xf>
    <xf fontId="18336" applyFont="true" borderId="8" applyBorder="true" applyNumberFormat="true" numFmtId="1" fillId="22" applyFill="true">
      <alignment horizontal="center" vertical="center"/>
    </xf>
    <xf fontId="18337" applyFont="true" borderId="8" applyBorder="true" applyNumberFormat="true" numFmtId="1" fillId="22" applyFill="true">
      <alignment horizontal="center" vertical="center"/>
    </xf>
    <xf fontId="18338" applyFont="true" borderId="8" applyBorder="true" applyNumberFormat="true" numFmtId="1" fillId="22" applyFill="true">
      <alignment horizontal="center" vertical="center"/>
    </xf>
    <xf fontId="18339" applyFont="true" borderId="8" applyBorder="true" applyNumberFormat="true" numFmtId="1" fillId="22" applyFill="true">
      <alignment horizontal="center" vertical="center"/>
    </xf>
    <xf fontId="18340" applyFont="true" borderId="8" applyBorder="true" applyNumberFormat="true" numFmtId="1" fillId="22" applyFill="true">
      <alignment horizontal="center" vertical="center"/>
    </xf>
    <xf fontId="18341" applyFont="true" borderId="8" applyBorder="true" applyNumberFormat="true" numFmtId="165" fillId="22" applyFill="true">
      <alignment horizontal="center" vertical="center"/>
    </xf>
    <xf fontId="18342" applyFont="true" borderId="8" applyBorder="true" applyNumberFormat="true" numFmtId="165" fillId="22" applyFill="true">
      <alignment horizontal="center" vertical="center"/>
    </xf>
    <xf fontId="18343" applyFont="true" borderId="8" applyBorder="true" applyNumberFormat="true" numFmtId="1" fillId="22" applyFill="true">
      <alignment horizontal="center" vertical="center"/>
    </xf>
    <xf fontId="18344" applyFont="true" borderId="8" applyBorder="true" applyNumberFormat="true" numFmtId="1" fillId="22" applyFill="true">
      <alignment horizontal="center" vertical="center"/>
    </xf>
    <xf fontId="18345" applyFont="true" borderId="8" applyBorder="true" applyNumberFormat="true" numFmtId="1" fillId="22" applyFill="true">
      <alignment horizontal="center" vertical="center"/>
    </xf>
    <xf fontId="18346" applyFont="true" borderId="8" applyBorder="true" applyNumberFormat="true" numFmtId="167" fillId="22" applyFill="true">
      <alignment horizontal="center" vertical="center"/>
    </xf>
    <xf fontId="18347" applyFont="true" borderId="8" applyBorder="true" applyNumberFormat="true" numFmtId="1" fillId="22" applyFill="true">
      <alignment horizontal="center" vertical="center"/>
    </xf>
    <xf fontId="18348" applyFont="true" borderId="8" applyBorder="true" applyNumberFormat="true" numFmtId="167" fillId="22" applyFill="true">
      <alignment horizontal="center" vertical="center"/>
    </xf>
    <xf fontId="18349" applyFont="true" borderId="8" applyBorder="true" applyNumberFormat="true" numFmtId="1" fillId="22" applyFill="true">
      <alignment horizontal="center" vertical="center"/>
    </xf>
    <xf fontId="18350" applyFont="true" borderId="8" applyBorder="true" applyNumberFormat="true" numFmtId="167" fillId="22" applyFill="true">
      <alignment horizontal="center" vertical="center"/>
    </xf>
    <xf fontId="18351" applyFont="true" borderId="8" applyBorder="true" applyNumberFormat="true" numFmtId="1" fillId="22" applyFill="true">
      <alignment horizontal="center" vertical="center"/>
    </xf>
    <xf fontId="18352" applyFont="true" borderId="8" applyBorder="true" applyNumberFormat="true" numFmtId="167" fillId="22" applyFill="true">
      <alignment horizontal="center" vertical="center"/>
    </xf>
    <xf fontId="18353" applyFont="true" borderId="8" applyBorder="true" applyNumberFormat="true" numFmtId="167" fillId="22" applyFill="true">
      <alignment horizontal="center" vertical="center"/>
    </xf>
    <xf fontId="18354" applyFont="true" borderId="8" applyBorder="true" applyNumberFormat="true" numFmtId="1" fillId="22" applyFill="true">
      <alignment horizontal="center" vertical="center"/>
    </xf>
    <xf fontId="18355" applyFont="true" borderId="8" applyBorder="true" applyNumberFormat="true" numFmtId="1" fillId="22" applyFill="true">
      <alignment horizontal="center" vertical="center"/>
    </xf>
    <xf fontId="18356" applyFont="true" borderId="8" applyBorder="true" applyNumberFormat="true" numFmtId="1" fillId="22" applyFill="true">
      <alignment horizontal="center" vertical="center"/>
    </xf>
    <xf fontId="18357" applyFont="true" borderId="8" applyBorder="true" applyNumberFormat="true" numFmtId="167" fillId="22" applyFill="true">
      <alignment horizontal="center" vertical="center"/>
    </xf>
    <xf fontId="18358" applyFont="true" borderId="8" applyBorder="true" applyNumberFormat="true" numFmtId="166" fillId="22" applyFill="true">
      <alignment horizontal="center" vertical="center"/>
    </xf>
    <xf fontId="18359" applyFont="true" borderId="8" applyBorder="true" applyNumberFormat="true" numFmtId="166" fillId="22" applyFill="true">
      <alignment horizontal="center" vertical="center"/>
    </xf>
    <xf fontId="18360" applyFont="true" borderId="8" applyBorder="true" applyNumberFormat="true" numFmtId="1" fillId="22" applyFill="true">
      <alignment horizontal="center" vertical="center"/>
    </xf>
    <xf fontId="18361" applyFont="true" borderId="8" applyBorder="true" applyNumberFormat="true" numFmtId="1" fillId="22" applyFill="true">
      <alignment horizontal="center" vertical="center"/>
    </xf>
    <xf fontId="18362" applyFont="true" borderId="8" applyBorder="true" applyNumberFormat="true" numFmtId="1" fillId="22" applyFill="true">
      <alignment horizontal="center" vertical="center"/>
    </xf>
    <xf fontId="18363" applyFont="true" borderId="8" applyBorder="true" applyNumberFormat="true" numFmtId="167" fillId="22" applyFill="true">
      <alignment horizontal="center" vertical="center"/>
    </xf>
    <xf fontId="18364" applyFont="true" borderId="8" applyBorder="true" applyNumberFormat="true" numFmtId="1" fillId="22" applyFill="true">
      <alignment horizontal="center" vertical="center"/>
    </xf>
    <xf fontId="18365" applyFont="true" borderId="8" applyBorder="true" applyNumberFormat="true" numFmtId="167" fillId="22" applyFill="true">
      <alignment horizontal="center" vertical="center"/>
    </xf>
    <xf fontId="18366" applyFont="true" borderId="8" applyBorder="true" applyNumberFormat="true" numFmtId="1" fillId="22" applyFill="true">
      <alignment horizontal="center" vertical="center"/>
    </xf>
    <xf fontId="18367" applyFont="true" borderId="8" applyBorder="true" applyNumberFormat="true" numFmtId="1" fillId="22" applyFill="true">
      <alignment horizontal="center" vertical="center"/>
    </xf>
    <xf fontId="18368" applyFont="true" borderId="8" applyBorder="true" applyNumberFormat="true" numFmtId="1" fillId="22" applyFill="true">
      <alignment horizontal="center" vertical="center"/>
    </xf>
    <xf fontId="18369" applyFont="true" borderId="8" applyBorder="true" applyNumberFormat="true" numFmtId="1" fillId="22" applyFill="true">
      <alignment horizontal="center" vertical="center"/>
    </xf>
    <xf fontId="18370" applyFont="true" borderId="8" applyBorder="true" applyNumberFormat="true" numFmtId="167" fillId="22" applyFill="true">
      <alignment horizontal="center" vertical="center"/>
    </xf>
    <xf fontId="18371" applyFont="true" borderId="8" applyBorder="true" applyNumberFormat="true" numFmtId="1" fillId="22" applyFill="true">
      <alignment horizontal="center" vertical="center"/>
    </xf>
    <xf fontId="18372" applyFont="true" borderId="8" applyBorder="true" applyNumberFormat="true" numFmtId="167" fillId="22" applyFill="true">
      <alignment horizontal="center" vertical="center"/>
    </xf>
    <xf fontId="18373" applyFont="true" borderId="8" applyBorder="true" applyNumberFormat="true" numFmtId="1" fillId="22" applyFill="true">
      <alignment horizontal="center" vertical="center"/>
    </xf>
    <xf fontId="18374" applyFont="true" borderId="8" applyBorder="true" applyNumberFormat="true" numFmtId="167" fillId="22" applyFill="true">
      <alignment horizontal="center" vertical="center"/>
    </xf>
    <xf fontId="18375" applyFont="true" borderId="8" applyBorder="true" applyNumberFormat="true" numFmtId="2" fillId="22" applyFill="true">
      <alignment horizontal="center" vertical="center"/>
    </xf>
    <xf fontId="18376" applyFont="true" borderId="8" applyBorder="true" applyNumberFormat="true" numFmtId="2" fillId="22" applyFill="true">
      <alignment horizontal="center" vertical="center"/>
    </xf>
    <xf fontId="18377" applyFont="true" borderId="8" applyBorder="true" applyNumberFormat="true" numFmtId="2" fillId="22" applyFill="true">
      <alignment horizontal="center" vertical="center"/>
    </xf>
    <xf fontId="18378" applyFont="true" borderId="8" applyBorder="true" applyNumberFormat="true" numFmtId="2" fillId="22" applyFill="true">
      <alignment horizontal="center" vertical="center"/>
    </xf>
    <xf fontId="18379" applyFont="true" borderId="8" applyBorder="true" applyNumberFormat="true" numFmtId="2" fillId="22" applyFill="true">
      <alignment horizontal="center" vertical="center"/>
    </xf>
    <xf fontId="18380" applyFont="true" borderId="8" applyBorder="true" applyNumberFormat="true" numFmtId="2" fillId="22" applyFill="true">
      <alignment horizontal="center" vertical="center"/>
    </xf>
    <xf fontId="18381" applyFont="true" borderId="8" applyBorder="true" applyNumberFormat="true" numFmtId="2" fillId="22" applyFill="true">
      <alignment horizontal="center" vertical="center"/>
    </xf>
    <xf fontId="18382" applyFont="true" borderId="8" applyBorder="true" applyNumberFormat="true" numFmtId="2" fillId="22" applyFill="true">
      <alignment horizontal="center" vertical="center"/>
    </xf>
    <xf fontId="18383" applyFont="true" borderId="8" applyBorder="true" applyNumberFormat="true" numFmtId="2" fillId="22" applyFill="true">
      <alignment horizontal="center" vertical="center"/>
    </xf>
    <xf fontId="18384" applyFont="true" borderId="8" applyBorder="true" applyNumberFormat="true" numFmtId="2" fillId="22" applyFill="true">
      <alignment horizontal="center" vertical="center"/>
    </xf>
    <xf fontId="18385" applyFont="true" borderId="8" applyBorder="true" applyNumberFormat="true" numFmtId="2" fillId="22" applyFill="true">
      <alignment horizontal="center" vertical="center"/>
    </xf>
    <xf fontId="18386" applyFont="true" borderId="8" applyBorder="true" applyNumberFormat="true" numFmtId="2" fillId="22" applyFill="true">
      <alignment horizontal="center" vertical="center"/>
    </xf>
    <xf fontId="18387" applyFont="true" borderId="8" applyBorder="true" applyNumberFormat="true" numFmtId="2" fillId="22" applyFill="true">
      <alignment horizontal="center" vertical="center"/>
    </xf>
    <xf fontId="18388" applyFont="true" borderId="8" applyBorder="true" applyNumberFormat="true" numFmtId="2" fillId="22" applyFill="true">
      <alignment horizontal="center" vertical="center"/>
    </xf>
    <xf fontId="18389" applyFont="true" borderId="8" applyBorder="true" applyNumberFormat="true" numFmtId="2" fillId="22" applyFill="true">
      <alignment horizontal="center" vertical="center"/>
    </xf>
    <xf fontId="18390" applyFont="true" borderId="8" applyBorder="true" applyNumberFormat="true" numFmtId="2" fillId="22" applyFill="true">
      <alignment horizontal="center" vertical="center"/>
    </xf>
    <xf fontId="18391" applyFont="true" borderId="8" applyBorder="true" applyNumberFormat="true" numFmtId="2" fillId="22" applyFill="true">
      <alignment horizontal="center" vertical="center"/>
    </xf>
    <xf fontId="18392" applyFont="true" borderId="8" applyBorder="true" applyNumberFormat="true" numFmtId="2" fillId="22" applyFill="true">
      <alignment horizontal="center" vertical="center"/>
    </xf>
    <xf fontId="18393" applyFont="true" borderId="8" applyBorder="true" applyNumberFormat="true" numFmtId="2" fillId="22" applyFill="true">
      <alignment horizontal="center" vertical="center"/>
    </xf>
    <xf fontId="18394" applyFont="true" borderId="8" applyBorder="true" applyNumberFormat="true" numFmtId="2" fillId="22" applyFill="true">
      <alignment horizontal="center" vertical="center"/>
    </xf>
    <xf fontId="18395" applyFont="true" borderId="8" applyBorder="true" applyNumberFormat="true" numFmtId="2" fillId="22" applyFill="true">
      <alignment horizontal="center" vertical="center"/>
    </xf>
    <xf fontId="18396" applyFont="true" borderId="8" applyBorder="true" applyNumberFormat="true" numFmtId="2" fillId="22" applyFill="true">
      <alignment horizontal="center" vertical="center"/>
    </xf>
    <xf fontId="18397" applyFont="true" borderId="8" applyBorder="true" applyNumberFormat="true" numFmtId="2" fillId="22" applyFill="true">
      <alignment horizontal="center" vertical="center"/>
    </xf>
    <xf fontId="18398" applyFont="true" borderId="8" applyBorder="true" applyNumberFormat="true" numFmtId="2" fillId="22" applyFill="true">
      <alignment horizontal="center" vertical="center"/>
    </xf>
    <xf fontId="18399" applyFont="true" borderId="8" applyBorder="true" applyNumberFormat="true" numFmtId="2" fillId="22" applyFill="true">
      <alignment horizontal="center" vertical="center"/>
    </xf>
    <xf fontId="18400" applyFont="true" borderId="8" applyBorder="true" applyNumberFormat="true" numFmtId="2" fillId="22" applyFill="true">
      <alignment horizontal="center" vertical="center"/>
    </xf>
    <xf fontId="18401" applyFont="true" borderId="8" applyBorder="true" applyNumberFormat="true" numFmtId="2" fillId="22" applyFill="true">
      <alignment horizontal="center" vertical="center"/>
    </xf>
    <xf fontId="18402" applyFont="true" borderId="8" applyBorder="true" applyNumberFormat="true" numFmtId="2" fillId="22" applyFill="true">
      <alignment horizontal="center" vertical="center"/>
    </xf>
    <xf fontId="18403" applyFont="true" borderId="8" applyBorder="true" applyNumberFormat="true" numFmtId="2" fillId="22" applyFill="true">
      <alignment horizontal="center" vertical="center"/>
    </xf>
    <xf fontId="18404" applyFont="true" borderId="8" applyBorder="true" applyNumberFormat="true" numFmtId="2" fillId="22" applyFill="true">
      <alignment horizontal="center" vertical="center"/>
    </xf>
    <xf fontId="18405" applyFont="true" borderId="8" applyBorder="true" applyNumberFormat="true" numFmtId="2" fillId="22" applyFill="true">
      <alignment horizontal="center" vertical="center"/>
    </xf>
    <xf fontId="18406" applyFont="true" borderId="8" applyBorder="true" applyNumberFormat="true" numFmtId="2" fillId="22" applyFill="true">
      <alignment horizontal="center" vertical="center"/>
    </xf>
    <xf fontId="18407" applyFont="true" borderId="8" applyBorder="true" applyNumberFormat="true" numFmtId="2" fillId="22" applyFill="true">
      <alignment horizontal="center" vertical="center"/>
    </xf>
    <xf fontId="18408" applyFont="true" borderId="8" applyBorder="true" applyNumberFormat="true" numFmtId="2" fillId="22" applyFill="true">
      <alignment horizontal="center" vertical="center"/>
    </xf>
    <xf fontId="18409" applyFont="true" borderId="8" applyBorder="true" applyNumberFormat="true" numFmtId="165" fillId="19" applyFill="true">
      <alignment horizontal="left" vertical="center"/>
    </xf>
    <xf fontId="18410" applyFont="true" borderId="8" applyBorder="true" applyNumberFormat="true" numFmtId="165" fillId="22" applyFill="true">
      <alignment horizontal="center" vertical="center"/>
    </xf>
    <xf fontId="18411" applyFont="true" borderId="8" applyBorder="true" applyNumberFormat="true" numFmtId="166" fillId="22" applyFill="true">
      <alignment horizontal="center" vertical="center"/>
    </xf>
    <xf fontId="18412" applyFont="true" borderId="8" applyBorder="true" applyNumberFormat="true" numFmtId="1" fillId="22" applyFill="true">
      <alignment horizontal="center" vertical="center"/>
    </xf>
    <xf fontId="18413" applyFont="true" borderId="8" applyBorder="true" applyNumberFormat="true" numFmtId="1" fillId="22" applyFill="true">
      <alignment horizontal="center" vertical="center"/>
    </xf>
    <xf fontId="18414" applyFont="true" borderId="8" applyBorder="true" applyNumberFormat="true" numFmtId="1" fillId="22" applyFill="true">
      <alignment horizontal="center" vertical="center"/>
    </xf>
    <xf fontId="18415" applyFont="true" borderId="8" applyBorder="true" applyNumberFormat="true" numFmtId="1" fillId="22" applyFill="true">
      <alignment horizontal="center" vertical="center"/>
    </xf>
    <xf fontId="18416" applyFont="true" borderId="8" applyBorder="true" applyNumberFormat="true" numFmtId="1" fillId="22" applyFill="true">
      <alignment horizontal="center" vertical="center"/>
    </xf>
    <xf fontId="18417" applyFont="true" borderId="8" applyBorder="true" applyNumberFormat="true" numFmtId="1" fillId="22" applyFill="true">
      <alignment horizontal="center" vertical="center"/>
    </xf>
    <xf fontId="18418" applyFont="true" borderId="8" applyBorder="true" applyNumberFormat="true" numFmtId="1" fillId="22" applyFill="true">
      <alignment horizontal="center" vertical="center"/>
    </xf>
    <xf fontId="18419" applyFont="true" borderId="8" applyBorder="true" applyNumberFormat="true" numFmtId="165" fillId="22" applyFill="true">
      <alignment horizontal="center" vertical="center"/>
    </xf>
    <xf fontId="18420" applyFont="true" borderId="8" applyBorder="true" applyNumberFormat="true" numFmtId="165" fillId="22" applyFill="true">
      <alignment horizontal="center" vertical="center"/>
    </xf>
    <xf fontId="18421" applyFont="true" borderId="8" applyBorder="true" applyNumberFormat="true" numFmtId="1" fillId="22" applyFill="true">
      <alignment horizontal="center" vertical="center"/>
    </xf>
    <xf fontId="18422" applyFont="true" borderId="8" applyBorder="true" applyNumberFormat="true" numFmtId="1" fillId="22" applyFill="true">
      <alignment horizontal="center" vertical="center"/>
    </xf>
    <xf fontId="18423" applyFont="true" borderId="8" applyBorder="true" applyNumberFormat="true" numFmtId="1" fillId="22" applyFill="true">
      <alignment horizontal="center" vertical="center"/>
    </xf>
    <xf fontId="18424" applyFont="true" borderId="8" applyBorder="true" applyNumberFormat="true" numFmtId="167" fillId="22" applyFill="true">
      <alignment horizontal="center" vertical="center"/>
    </xf>
    <xf fontId="18425" applyFont="true" borderId="8" applyBorder="true" applyNumberFormat="true" numFmtId="1" fillId="22" applyFill="true">
      <alignment horizontal="center" vertical="center"/>
    </xf>
    <xf fontId="18426" applyFont="true" borderId="8" applyBorder="true" applyNumberFormat="true" numFmtId="167" fillId="22" applyFill="true">
      <alignment horizontal="center" vertical="center"/>
    </xf>
    <xf fontId="18427" applyFont="true" borderId="8" applyBorder="true" applyNumberFormat="true" numFmtId="1" fillId="22" applyFill="true">
      <alignment horizontal="center" vertical="center"/>
    </xf>
    <xf fontId="18428" applyFont="true" borderId="8" applyBorder="true" applyNumberFormat="true" numFmtId="167" fillId="22" applyFill="true">
      <alignment horizontal="center" vertical="center"/>
    </xf>
    <xf fontId="18429" applyFont="true" borderId="8" applyBorder="true" applyNumberFormat="true" numFmtId="1" fillId="22" applyFill="true">
      <alignment horizontal="center" vertical="center"/>
    </xf>
    <xf fontId="18430" applyFont="true" borderId="8" applyBorder="true" applyNumberFormat="true" numFmtId="167" fillId="22" applyFill="true">
      <alignment horizontal="center" vertical="center"/>
    </xf>
    <xf fontId="18431" applyFont="true" borderId="8" applyBorder="true" applyNumberFormat="true" numFmtId="167" fillId="22" applyFill="true">
      <alignment horizontal="center" vertical="center"/>
    </xf>
    <xf fontId="18432" applyFont="true" borderId="8" applyBorder="true" applyNumberFormat="true" numFmtId="1" fillId="22" applyFill="true">
      <alignment horizontal="center" vertical="center"/>
    </xf>
    <xf fontId="18433" applyFont="true" borderId="8" applyBorder="true" applyNumberFormat="true" numFmtId="1" fillId="22" applyFill="true">
      <alignment horizontal="center" vertical="center"/>
    </xf>
    <xf fontId="18434" applyFont="true" borderId="8" applyBorder="true" applyNumberFormat="true" numFmtId="1" fillId="22" applyFill="true">
      <alignment horizontal="center" vertical="center"/>
    </xf>
    <xf fontId="18435" applyFont="true" borderId="8" applyBorder="true" applyNumberFormat="true" numFmtId="167" fillId="22" applyFill="true">
      <alignment horizontal="center" vertical="center"/>
    </xf>
    <xf fontId="18436" applyFont="true" borderId="8" applyBorder="true" applyNumberFormat="true" numFmtId="166" fillId="22" applyFill="true">
      <alignment horizontal="center" vertical="center"/>
    </xf>
    <xf fontId="18437" applyFont="true" borderId="8" applyBorder="true" applyNumberFormat="true" numFmtId="166" fillId="22" applyFill="true">
      <alignment horizontal="center" vertical="center"/>
    </xf>
    <xf fontId="18438" applyFont="true" borderId="8" applyBorder="true" applyNumberFormat="true" numFmtId="1" fillId="22" applyFill="true">
      <alignment horizontal="center" vertical="center"/>
    </xf>
    <xf fontId="18439" applyFont="true" borderId="8" applyBorder="true" applyNumberFormat="true" numFmtId="1" fillId="22" applyFill="true">
      <alignment horizontal="center" vertical="center"/>
    </xf>
    <xf fontId="18440" applyFont="true" borderId="8" applyBorder="true" applyNumberFormat="true" numFmtId="1" fillId="22" applyFill="true">
      <alignment horizontal="center" vertical="center"/>
    </xf>
    <xf fontId="18441" applyFont="true" borderId="8" applyBorder="true" applyNumberFormat="true" numFmtId="167" fillId="22" applyFill="true">
      <alignment horizontal="center" vertical="center"/>
    </xf>
    <xf fontId="18442" applyFont="true" borderId="8" applyBorder="true" applyNumberFormat="true" numFmtId="1" fillId="22" applyFill="true">
      <alignment horizontal="center" vertical="center"/>
    </xf>
    <xf fontId="18443" applyFont="true" borderId="8" applyBorder="true" applyNumberFormat="true" numFmtId="167" fillId="22" applyFill="true">
      <alignment horizontal="center" vertical="center"/>
    </xf>
    <xf fontId="18444" applyFont="true" borderId="8" applyBorder="true" applyNumberFormat="true" numFmtId="1" fillId="22" applyFill="true">
      <alignment horizontal="center" vertical="center"/>
    </xf>
    <xf fontId="18445" applyFont="true" borderId="8" applyBorder="true" applyNumberFormat="true" numFmtId="1" fillId="22" applyFill="true">
      <alignment horizontal="center" vertical="center"/>
    </xf>
    <xf fontId="18446" applyFont="true" borderId="8" applyBorder="true" applyNumberFormat="true" numFmtId="1" fillId="22" applyFill="true">
      <alignment horizontal="center" vertical="center"/>
    </xf>
    <xf fontId="18447" applyFont="true" borderId="8" applyBorder="true" applyNumberFormat="true" numFmtId="1" fillId="22" applyFill="true">
      <alignment horizontal="center" vertical="center"/>
    </xf>
    <xf fontId="18448" applyFont="true" borderId="8" applyBorder="true" applyNumberFormat="true" numFmtId="167" fillId="22" applyFill="true">
      <alignment horizontal="center" vertical="center"/>
    </xf>
    <xf fontId="18449" applyFont="true" borderId="8" applyBorder="true" applyNumberFormat="true" numFmtId="1" fillId="22" applyFill="true">
      <alignment horizontal="center" vertical="center"/>
    </xf>
    <xf fontId="18450" applyFont="true" borderId="8" applyBorder="true" applyNumberFormat="true" numFmtId="167" fillId="22" applyFill="true">
      <alignment horizontal="center" vertical="center"/>
    </xf>
    <xf fontId="18451" applyFont="true" borderId="8" applyBorder="true" applyNumberFormat="true" numFmtId="1" fillId="22" applyFill="true">
      <alignment horizontal="center" vertical="center"/>
    </xf>
    <xf fontId="18452" applyFont="true" borderId="8" applyBorder="true" applyNumberFormat="true" numFmtId="167" fillId="22" applyFill="true">
      <alignment horizontal="center" vertical="center"/>
    </xf>
    <xf fontId="18453" applyFont="true" borderId="8" applyBorder="true" applyNumberFormat="true" numFmtId="2" fillId="22" applyFill="true">
      <alignment horizontal="center" vertical="center"/>
    </xf>
    <xf fontId="18454" applyFont="true" borderId="8" applyBorder="true" applyNumberFormat="true" numFmtId="2" fillId="22" applyFill="true">
      <alignment horizontal="center" vertical="center"/>
    </xf>
    <xf fontId="18455" applyFont="true" borderId="8" applyBorder="true" applyNumberFormat="true" numFmtId="2" fillId="22" applyFill="true">
      <alignment horizontal="center" vertical="center"/>
    </xf>
    <xf fontId="18456" applyFont="true" borderId="8" applyBorder="true" applyNumberFormat="true" numFmtId="2" fillId="22" applyFill="true">
      <alignment horizontal="center" vertical="center"/>
    </xf>
    <xf fontId="18457" applyFont="true" borderId="8" applyBorder="true" applyNumberFormat="true" numFmtId="2" fillId="22" applyFill="true">
      <alignment horizontal="center" vertical="center"/>
    </xf>
    <xf fontId="18458" applyFont="true" borderId="8" applyBorder="true" applyNumberFormat="true" numFmtId="2" fillId="22" applyFill="true">
      <alignment horizontal="center" vertical="center"/>
    </xf>
    <xf fontId="18459" applyFont="true" borderId="8" applyBorder="true" applyNumberFormat="true" numFmtId="2" fillId="22" applyFill="true">
      <alignment horizontal="center" vertical="center"/>
    </xf>
    <xf fontId="18460" applyFont="true" borderId="8" applyBorder="true" applyNumberFormat="true" numFmtId="2" fillId="22" applyFill="true">
      <alignment horizontal="center" vertical="center"/>
    </xf>
    <xf fontId="18461" applyFont="true" borderId="8" applyBorder="true" applyNumberFormat="true" numFmtId="2" fillId="22" applyFill="true">
      <alignment horizontal="center" vertical="center"/>
    </xf>
    <xf fontId="18462" applyFont="true" borderId="8" applyBorder="true" applyNumberFormat="true" numFmtId="2" fillId="22" applyFill="true">
      <alignment horizontal="center" vertical="center"/>
    </xf>
    <xf fontId="18463" applyFont="true" borderId="8" applyBorder="true" applyNumberFormat="true" numFmtId="2" fillId="22" applyFill="true">
      <alignment horizontal="center" vertical="center"/>
    </xf>
    <xf fontId="18464" applyFont="true" borderId="8" applyBorder="true" applyNumberFormat="true" numFmtId="2" fillId="22" applyFill="true">
      <alignment horizontal="center" vertical="center"/>
    </xf>
    <xf fontId="18465" applyFont="true" borderId="8" applyBorder="true" applyNumberFormat="true" numFmtId="2" fillId="22" applyFill="true">
      <alignment horizontal="center" vertical="center"/>
    </xf>
    <xf fontId="18466" applyFont="true" borderId="8" applyBorder="true" applyNumberFormat="true" numFmtId="2" fillId="22" applyFill="true">
      <alignment horizontal="center" vertical="center"/>
    </xf>
    <xf fontId="18467" applyFont="true" borderId="8" applyBorder="true" applyNumberFormat="true" numFmtId="2" fillId="22" applyFill="true">
      <alignment horizontal="center" vertical="center"/>
    </xf>
    <xf fontId="18468" applyFont="true" borderId="8" applyBorder="true" applyNumberFormat="true" numFmtId="2" fillId="22" applyFill="true">
      <alignment horizontal="center" vertical="center"/>
    </xf>
    <xf fontId="18469" applyFont="true" borderId="8" applyBorder="true" applyNumberFormat="true" numFmtId="2" fillId="22" applyFill="true">
      <alignment horizontal="center" vertical="center"/>
    </xf>
    <xf fontId="18470" applyFont="true" borderId="8" applyBorder="true" applyNumberFormat="true" numFmtId="2" fillId="22" applyFill="true">
      <alignment horizontal="center" vertical="center"/>
    </xf>
    <xf fontId="18471" applyFont="true" borderId="8" applyBorder="true" applyNumberFormat="true" numFmtId="2" fillId="22" applyFill="true">
      <alignment horizontal="center" vertical="center"/>
    </xf>
    <xf fontId="18472" applyFont="true" borderId="8" applyBorder="true" applyNumberFormat="true" numFmtId="2" fillId="22" applyFill="true">
      <alignment horizontal="center" vertical="center"/>
    </xf>
    <xf fontId="18473" applyFont="true" borderId="8" applyBorder="true" applyNumberFormat="true" numFmtId="2" fillId="22" applyFill="true">
      <alignment horizontal="center" vertical="center"/>
    </xf>
    <xf fontId="18474" applyFont="true" borderId="8" applyBorder="true" applyNumberFormat="true" numFmtId="2" fillId="22" applyFill="true">
      <alignment horizontal="center" vertical="center"/>
    </xf>
    <xf fontId="18475" applyFont="true" borderId="8" applyBorder="true" applyNumberFormat="true" numFmtId="2" fillId="22" applyFill="true">
      <alignment horizontal="center" vertical="center"/>
    </xf>
    <xf fontId="18476" applyFont="true" borderId="8" applyBorder="true" applyNumberFormat="true" numFmtId="2" fillId="22" applyFill="true">
      <alignment horizontal="center" vertical="center"/>
    </xf>
    <xf fontId="18477" applyFont="true" borderId="8" applyBorder="true" applyNumberFormat="true" numFmtId="2" fillId="22" applyFill="true">
      <alignment horizontal="center" vertical="center"/>
    </xf>
    <xf fontId="18478" applyFont="true" borderId="8" applyBorder="true" applyNumberFormat="true" numFmtId="2" fillId="22" applyFill="true">
      <alignment horizontal="center" vertical="center"/>
    </xf>
    <xf fontId="18479" applyFont="true" borderId="8" applyBorder="true" applyNumberFormat="true" numFmtId="2" fillId="22" applyFill="true">
      <alignment horizontal="center" vertical="center"/>
    </xf>
    <xf fontId="18480" applyFont="true" borderId="8" applyBorder="true" applyNumberFormat="true" numFmtId="2" fillId="22" applyFill="true">
      <alignment horizontal="center" vertical="center"/>
    </xf>
    <xf fontId="18481" applyFont="true" borderId="8" applyBorder="true" applyNumberFormat="true" numFmtId="2" fillId="22" applyFill="true">
      <alignment horizontal="center" vertical="center"/>
    </xf>
    <xf fontId="18482" applyFont="true" borderId="8" applyBorder="true" applyNumberFormat="true" numFmtId="2" fillId="22" applyFill="true">
      <alignment horizontal="center" vertical="center"/>
    </xf>
    <xf fontId="18483" applyFont="true" borderId="8" applyBorder="true" applyNumberFormat="true" numFmtId="2" fillId="22" applyFill="true">
      <alignment horizontal="center" vertical="center"/>
    </xf>
    <xf fontId="18484" applyFont="true" borderId="8" applyBorder="true" applyNumberFormat="true" numFmtId="2" fillId="22" applyFill="true">
      <alignment horizontal="center" vertical="center"/>
    </xf>
    <xf fontId="18485" applyFont="true" borderId="8" applyBorder="true" applyNumberFormat="true" numFmtId="2" fillId="22" applyFill="true">
      <alignment horizontal="center" vertical="center"/>
    </xf>
    <xf fontId="18486" applyFont="true" borderId="8" applyBorder="true" applyNumberFormat="true" numFmtId="2" fillId="22" applyFill="true">
      <alignment horizontal="center" vertical="center"/>
    </xf>
    <xf fontId="18487" applyFont="true" borderId="8" applyBorder="true" applyNumberFormat="true" numFmtId="165" fillId="19" applyFill="true">
      <alignment horizontal="left" vertical="center"/>
    </xf>
    <xf fontId="18488" applyFont="true" borderId="8" applyBorder="true" applyNumberFormat="true" numFmtId="165" fillId="22" applyFill="true">
      <alignment horizontal="center" vertical="center"/>
    </xf>
    <xf fontId="18489" applyFont="true" borderId="8" applyBorder="true" applyNumberFormat="true" numFmtId="166" fillId="22" applyFill="true">
      <alignment horizontal="center" vertical="center"/>
    </xf>
    <xf fontId="18490" applyFont="true" borderId="8" applyBorder="true" applyNumberFormat="true" numFmtId="1" fillId="22" applyFill="true">
      <alignment horizontal="center" vertical="center"/>
    </xf>
    <xf fontId="18491" applyFont="true" borderId="8" applyBorder="true" applyNumberFormat="true" numFmtId="1" fillId="22" applyFill="true">
      <alignment horizontal="center" vertical="center"/>
    </xf>
    <xf fontId="18492" applyFont="true" borderId="8" applyBorder="true" applyNumberFormat="true" numFmtId="1" fillId="22" applyFill="true">
      <alignment horizontal="center" vertical="center"/>
    </xf>
    <xf fontId="18493" applyFont="true" borderId="8" applyBorder="true" applyNumberFormat="true" numFmtId="1" fillId="22" applyFill="true">
      <alignment horizontal="center" vertical="center"/>
    </xf>
    <xf fontId="18494" applyFont="true" borderId="8" applyBorder="true" applyNumberFormat="true" numFmtId="1" fillId="22" applyFill="true">
      <alignment horizontal="center" vertical="center"/>
    </xf>
    <xf fontId="18495" applyFont="true" borderId="8" applyBorder="true" applyNumberFormat="true" numFmtId="1" fillId="22" applyFill="true">
      <alignment horizontal="center" vertical="center"/>
    </xf>
    <xf fontId="18496" applyFont="true" borderId="8" applyBorder="true" applyNumberFormat="true" numFmtId="1" fillId="22" applyFill="true">
      <alignment horizontal="center" vertical="center"/>
    </xf>
    <xf fontId="18497" applyFont="true" borderId="8" applyBorder="true" applyNumberFormat="true" numFmtId="165" fillId="22" applyFill="true">
      <alignment horizontal="center" vertical="center"/>
    </xf>
    <xf fontId="18498" applyFont="true" borderId="8" applyBorder="true" applyNumberFormat="true" numFmtId="165" fillId="22" applyFill="true">
      <alignment horizontal="center" vertical="center"/>
    </xf>
    <xf fontId="18499" applyFont="true" borderId="8" applyBorder="true" applyNumberFormat="true" numFmtId="1" fillId="22" applyFill="true">
      <alignment horizontal="center" vertical="center"/>
    </xf>
    <xf fontId="18500" applyFont="true" borderId="8" applyBorder="true" applyNumberFormat="true" numFmtId="1" fillId="22" applyFill="true">
      <alignment horizontal="center" vertical="center"/>
    </xf>
    <xf fontId="18501" applyFont="true" borderId="8" applyBorder="true" applyNumberFormat="true" numFmtId="1" fillId="22" applyFill="true">
      <alignment horizontal="center" vertical="center"/>
    </xf>
    <xf fontId="18502" applyFont="true" borderId="8" applyBorder="true" applyNumberFormat="true" numFmtId="167" fillId="22" applyFill="true">
      <alignment horizontal="center" vertical="center"/>
    </xf>
    <xf fontId="18503" applyFont="true" borderId="8" applyBorder="true" applyNumberFormat="true" numFmtId="1" fillId="22" applyFill="true">
      <alignment horizontal="center" vertical="center"/>
    </xf>
    <xf fontId="18504" applyFont="true" borderId="8" applyBorder="true" applyNumberFormat="true" numFmtId="167" fillId="22" applyFill="true">
      <alignment horizontal="center" vertical="center"/>
    </xf>
    <xf fontId="18505" applyFont="true" borderId="8" applyBorder="true" applyNumberFormat="true" numFmtId="1" fillId="22" applyFill="true">
      <alignment horizontal="center" vertical="center"/>
    </xf>
    <xf fontId="18506" applyFont="true" borderId="8" applyBorder="true" applyNumberFormat="true" numFmtId="167" fillId="22" applyFill="true">
      <alignment horizontal="center" vertical="center"/>
    </xf>
    <xf fontId="18507" applyFont="true" borderId="8" applyBorder="true" applyNumberFormat="true" numFmtId="1" fillId="22" applyFill="true">
      <alignment horizontal="center" vertical="center"/>
    </xf>
    <xf fontId="18508" applyFont="true" borderId="8" applyBorder="true" applyNumberFormat="true" numFmtId="167" fillId="22" applyFill="true">
      <alignment horizontal="center" vertical="center"/>
    </xf>
    <xf fontId="18509" applyFont="true" borderId="8" applyBorder="true" applyNumberFormat="true" numFmtId="167" fillId="22" applyFill="true">
      <alignment horizontal="center" vertical="center"/>
    </xf>
    <xf fontId="18510" applyFont="true" borderId="8" applyBorder="true" applyNumberFormat="true" numFmtId="1" fillId="22" applyFill="true">
      <alignment horizontal="center" vertical="center"/>
    </xf>
    <xf fontId="18511" applyFont="true" borderId="8" applyBorder="true" applyNumberFormat="true" numFmtId="1" fillId="22" applyFill="true">
      <alignment horizontal="center" vertical="center"/>
    </xf>
    <xf fontId="18512" applyFont="true" borderId="8" applyBorder="true" applyNumberFormat="true" numFmtId="1" fillId="22" applyFill="true">
      <alignment horizontal="center" vertical="center"/>
    </xf>
    <xf fontId="18513" applyFont="true" borderId="8" applyBorder="true" applyNumberFormat="true" numFmtId="167" fillId="22" applyFill="true">
      <alignment horizontal="center" vertical="center"/>
    </xf>
    <xf fontId="18514" applyFont="true" borderId="8" applyBorder="true" applyNumberFormat="true" numFmtId="166" fillId="22" applyFill="true">
      <alignment horizontal="center" vertical="center"/>
    </xf>
    <xf fontId="18515" applyFont="true" borderId="8" applyBorder="true" applyNumberFormat="true" numFmtId="166" fillId="22" applyFill="true">
      <alignment horizontal="center" vertical="center"/>
    </xf>
    <xf fontId="18516" applyFont="true" borderId="8" applyBorder="true" applyNumberFormat="true" numFmtId="1" fillId="22" applyFill="true">
      <alignment horizontal="center" vertical="center"/>
    </xf>
    <xf fontId="18517" applyFont="true" borderId="8" applyBorder="true" applyNumberFormat="true" numFmtId="1" fillId="22" applyFill="true">
      <alignment horizontal="center" vertical="center"/>
    </xf>
    <xf fontId="18518" applyFont="true" borderId="8" applyBorder="true" applyNumberFormat="true" numFmtId="1" fillId="22" applyFill="true">
      <alignment horizontal="center" vertical="center"/>
    </xf>
    <xf fontId="18519" applyFont="true" borderId="8" applyBorder="true" applyNumberFormat="true" numFmtId="167" fillId="22" applyFill="true">
      <alignment horizontal="center" vertical="center"/>
    </xf>
    <xf fontId="18520" applyFont="true" borderId="8" applyBorder="true" applyNumberFormat="true" numFmtId="1" fillId="22" applyFill="true">
      <alignment horizontal="center" vertical="center"/>
    </xf>
    <xf fontId="18521" applyFont="true" borderId="8" applyBorder="true" applyNumberFormat="true" numFmtId="167" fillId="22" applyFill="true">
      <alignment horizontal="center" vertical="center"/>
    </xf>
    <xf fontId="18522" applyFont="true" borderId="8" applyBorder="true" applyNumberFormat="true" numFmtId="1" fillId="22" applyFill="true">
      <alignment horizontal="center" vertical="center"/>
    </xf>
    <xf fontId="18523" applyFont="true" borderId="8" applyBorder="true" applyNumberFormat="true" numFmtId="1" fillId="22" applyFill="true">
      <alignment horizontal="center" vertical="center"/>
    </xf>
    <xf fontId="18524" applyFont="true" borderId="8" applyBorder="true" applyNumberFormat="true" numFmtId="1" fillId="22" applyFill="true">
      <alignment horizontal="center" vertical="center"/>
    </xf>
    <xf fontId="18525" applyFont="true" borderId="8" applyBorder="true" applyNumberFormat="true" numFmtId="1" fillId="22" applyFill="true">
      <alignment horizontal="center" vertical="center"/>
    </xf>
    <xf fontId="18526" applyFont="true" borderId="8" applyBorder="true" applyNumberFormat="true" numFmtId="167" fillId="22" applyFill="true">
      <alignment horizontal="center" vertical="center"/>
    </xf>
    <xf fontId="18527" applyFont="true" borderId="8" applyBorder="true" applyNumberFormat="true" numFmtId="1" fillId="22" applyFill="true">
      <alignment horizontal="center" vertical="center"/>
    </xf>
    <xf fontId="18528" applyFont="true" borderId="8" applyBorder="true" applyNumberFormat="true" numFmtId="167" fillId="22" applyFill="true">
      <alignment horizontal="center" vertical="center"/>
    </xf>
    <xf fontId="18529" applyFont="true" borderId="8" applyBorder="true" applyNumberFormat="true" numFmtId="1" fillId="22" applyFill="true">
      <alignment horizontal="center" vertical="center"/>
    </xf>
    <xf fontId="18530" applyFont="true" borderId="8" applyBorder="true" applyNumberFormat="true" numFmtId="167" fillId="22" applyFill="true">
      <alignment horizontal="center" vertical="center"/>
    </xf>
    <xf fontId="18531" applyFont="true" borderId="8" applyBorder="true" applyNumberFormat="true" numFmtId="2" fillId="22" applyFill="true">
      <alignment horizontal="center" vertical="center"/>
    </xf>
    <xf fontId="18532" applyFont="true" borderId="8" applyBorder="true" applyNumberFormat="true" numFmtId="2" fillId="22" applyFill="true">
      <alignment horizontal="center" vertical="center"/>
    </xf>
    <xf fontId="18533" applyFont="true" borderId="8" applyBorder="true" applyNumberFormat="true" numFmtId="2" fillId="22" applyFill="true">
      <alignment horizontal="center" vertical="center"/>
    </xf>
    <xf fontId="18534" applyFont="true" borderId="8" applyBorder="true" applyNumberFormat="true" numFmtId="2" fillId="22" applyFill="true">
      <alignment horizontal="center" vertical="center"/>
    </xf>
    <xf fontId="18535" applyFont="true" borderId="8" applyBorder="true" applyNumberFormat="true" numFmtId="2" fillId="22" applyFill="true">
      <alignment horizontal="center" vertical="center"/>
    </xf>
    <xf fontId="18536" applyFont="true" borderId="8" applyBorder="true" applyNumberFormat="true" numFmtId="2" fillId="22" applyFill="true">
      <alignment horizontal="center" vertical="center"/>
    </xf>
    <xf fontId="18537" applyFont="true" borderId="8" applyBorder="true" applyNumberFormat="true" numFmtId="2" fillId="22" applyFill="true">
      <alignment horizontal="center" vertical="center"/>
    </xf>
    <xf fontId="18538" applyFont="true" borderId="8" applyBorder="true" applyNumberFormat="true" numFmtId="2" fillId="22" applyFill="true">
      <alignment horizontal="center" vertical="center"/>
    </xf>
    <xf fontId="18539" applyFont="true" borderId="8" applyBorder="true" applyNumberFormat="true" numFmtId="2" fillId="22" applyFill="true">
      <alignment horizontal="center" vertical="center"/>
    </xf>
    <xf fontId="18540" applyFont="true" borderId="8" applyBorder="true" applyNumberFormat="true" numFmtId="2" fillId="22" applyFill="true">
      <alignment horizontal="center" vertical="center"/>
    </xf>
    <xf fontId="18541" applyFont="true" borderId="8" applyBorder="true" applyNumberFormat="true" numFmtId="2" fillId="22" applyFill="true">
      <alignment horizontal="center" vertical="center"/>
    </xf>
    <xf fontId="18542" applyFont="true" borderId="8" applyBorder="true" applyNumberFormat="true" numFmtId="2" fillId="22" applyFill="true">
      <alignment horizontal="center" vertical="center"/>
    </xf>
    <xf fontId="18543" applyFont="true" borderId="8" applyBorder="true" applyNumberFormat="true" numFmtId="2" fillId="22" applyFill="true">
      <alignment horizontal="center" vertical="center"/>
    </xf>
    <xf fontId="18544" applyFont="true" borderId="8" applyBorder="true" applyNumberFormat="true" numFmtId="2" fillId="22" applyFill="true">
      <alignment horizontal="center" vertical="center"/>
    </xf>
    <xf fontId="18545" applyFont="true" borderId="8" applyBorder="true" applyNumberFormat="true" numFmtId="2" fillId="22" applyFill="true">
      <alignment horizontal="center" vertical="center"/>
    </xf>
    <xf fontId="18546" applyFont="true" borderId="8" applyBorder="true" applyNumberFormat="true" numFmtId="2" fillId="22" applyFill="true">
      <alignment horizontal="center" vertical="center"/>
    </xf>
    <xf fontId="18547" applyFont="true" borderId="8" applyBorder="true" applyNumberFormat="true" numFmtId="2" fillId="22" applyFill="true">
      <alignment horizontal="center" vertical="center"/>
    </xf>
    <xf fontId="18548" applyFont="true" borderId="8" applyBorder="true" applyNumberFormat="true" numFmtId="2" fillId="22" applyFill="true">
      <alignment horizontal="center" vertical="center"/>
    </xf>
    <xf fontId="18549" applyFont="true" borderId="8" applyBorder="true" applyNumberFormat="true" numFmtId="2" fillId="22" applyFill="true">
      <alignment horizontal="center" vertical="center"/>
    </xf>
    <xf fontId="18550" applyFont="true" borderId="8" applyBorder="true" applyNumberFormat="true" numFmtId="2" fillId="22" applyFill="true">
      <alignment horizontal="center" vertical="center"/>
    </xf>
    <xf fontId="18551" applyFont="true" borderId="8" applyBorder="true" applyNumberFormat="true" numFmtId="2" fillId="22" applyFill="true">
      <alignment horizontal="center" vertical="center"/>
    </xf>
    <xf fontId="18552" applyFont="true" borderId="8" applyBorder="true" applyNumberFormat="true" numFmtId="2" fillId="22" applyFill="true">
      <alignment horizontal="center" vertical="center"/>
    </xf>
    <xf fontId="18553" applyFont="true" borderId="8" applyBorder="true" applyNumberFormat="true" numFmtId="2" fillId="22" applyFill="true">
      <alignment horizontal="center" vertical="center"/>
    </xf>
    <xf fontId="18554" applyFont="true" borderId="8" applyBorder="true" applyNumberFormat="true" numFmtId="2" fillId="22" applyFill="true">
      <alignment horizontal="center" vertical="center"/>
    </xf>
    <xf fontId="18555" applyFont="true" borderId="8" applyBorder="true" applyNumberFormat="true" numFmtId="2" fillId="22" applyFill="true">
      <alignment horizontal="center" vertical="center"/>
    </xf>
    <xf fontId="18556" applyFont="true" borderId="8" applyBorder="true" applyNumberFormat="true" numFmtId="2" fillId="22" applyFill="true">
      <alignment horizontal="center" vertical="center"/>
    </xf>
    <xf fontId="18557" applyFont="true" borderId="8" applyBorder="true" applyNumberFormat="true" numFmtId="2" fillId="22" applyFill="true">
      <alignment horizontal="center" vertical="center"/>
    </xf>
    <xf fontId="18558" applyFont="true" borderId="8" applyBorder="true" applyNumberFormat="true" numFmtId="2" fillId="22" applyFill="true">
      <alignment horizontal="center" vertical="center"/>
    </xf>
    <xf fontId="18559" applyFont="true" borderId="8" applyBorder="true" applyNumberFormat="true" numFmtId="2" fillId="22" applyFill="true">
      <alignment horizontal="center" vertical="center"/>
    </xf>
    <xf fontId="18560" applyFont="true" borderId="8" applyBorder="true" applyNumberFormat="true" numFmtId="2" fillId="22" applyFill="true">
      <alignment horizontal="center" vertical="center"/>
    </xf>
    <xf fontId="18561" applyFont="true" borderId="8" applyBorder="true" applyNumberFormat="true" numFmtId="2" fillId="22" applyFill="true">
      <alignment horizontal="center" vertical="center"/>
    </xf>
    <xf fontId="18562" applyFont="true" borderId="8" applyBorder="true" applyNumberFormat="true" numFmtId="2" fillId="22" applyFill="true">
      <alignment horizontal="center" vertical="center"/>
    </xf>
    <xf fontId="18563" applyFont="true" borderId="8" applyBorder="true" applyNumberFormat="true" numFmtId="2" fillId="22" applyFill="true">
      <alignment horizontal="center" vertical="center"/>
    </xf>
    <xf fontId="18564" applyFont="true" borderId="8" applyBorder="true" applyNumberFormat="true" numFmtId="2" fillId="22" applyFill="true">
      <alignment horizontal="center" vertical="center"/>
    </xf>
    <xf fontId="18565" applyFont="true" borderId="8" applyBorder="true" applyNumberFormat="true" numFmtId="165" fillId="25" applyFill="true">
      <alignment horizontal="left" vertical="center"/>
    </xf>
    <xf fontId="18566" applyFont="true" borderId="8" applyBorder="true" applyNumberFormat="true" numFmtId="165" fillId="22" applyFill="true">
      <alignment horizontal="center" vertical="center"/>
    </xf>
    <xf fontId="18567" applyFont="true" borderId="8" applyBorder="true" applyNumberFormat="true" numFmtId="166" fillId="22" applyFill="true">
      <alignment horizontal="center" vertical="center"/>
    </xf>
    <xf fontId="18568" applyFont="true" borderId="8" applyBorder="true" applyNumberFormat="true" numFmtId="1" fillId="22" applyFill="true">
      <alignment horizontal="center" vertical="center"/>
    </xf>
    <xf fontId="18569" applyFont="true" borderId="8" applyBorder="true" applyNumberFormat="true" numFmtId="1" fillId="22" applyFill="true">
      <alignment horizontal="center" vertical="center"/>
    </xf>
    <xf fontId="18570" applyFont="true" borderId="8" applyBorder="true" applyNumberFormat="true" numFmtId="1" fillId="22" applyFill="true">
      <alignment horizontal="center" vertical="center"/>
    </xf>
    <xf fontId="18571" applyFont="true" borderId="8" applyBorder="true" applyNumberFormat="true" numFmtId="1" fillId="22" applyFill="true">
      <alignment horizontal="center" vertical="center"/>
    </xf>
    <xf fontId="18572" applyFont="true" borderId="8" applyBorder="true" applyNumberFormat="true" numFmtId="1" fillId="22" applyFill="true">
      <alignment horizontal="center" vertical="center"/>
    </xf>
    <xf fontId="18573" applyFont="true" borderId="8" applyBorder="true" applyNumberFormat="true" numFmtId="1" fillId="22" applyFill="true">
      <alignment horizontal="center" vertical="center"/>
    </xf>
    <xf fontId="18574" applyFont="true" borderId="8" applyBorder="true" applyNumberFormat="true" numFmtId="1" fillId="22" applyFill="true">
      <alignment horizontal="center" vertical="center"/>
    </xf>
    <xf fontId="18575" applyFont="true" borderId="8" applyBorder="true" applyNumberFormat="true" numFmtId="165" fillId="22" applyFill="true">
      <alignment horizontal="center" vertical="center"/>
    </xf>
    <xf fontId="18576" applyFont="true" borderId="8" applyBorder="true" applyNumberFormat="true" numFmtId="165" fillId="22" applyFill="true">
      <alignment horizontal="center" vertical="center"/>
    </xf>
    <xf fontId="18577" applyFont="true" borderId="8" applyBorder="true" applyNumberFormat="true" numFmtId="1" fillId="22" applyFill="true">
      <alignment horizontal="center" vertical="center"/>
    </xf>
    <xf fontId="18578" applyFont="true" borderId="8" applyBorder="true" applyNumberFormat="true" numFmtId="1" fillId="22" applyFill="true">
      <alignment horizontal="center" vertical="center"/>
    </xf>
    <xf fontId="18579" applyFont="true" borderId="8" applyBorder="true" applyNumberFormat="true" numFmtId="1" fillId="22" applyFill="true">
      <alignment horizontal="center" vertical="center"/>
    </xf>
    <xf fontId="18580" applyFont="true" borderId="8" applyBorder="true" applyNumberFormat="true" numFmtId="167" fillId="22" applyFill="true">
      <alignment horizontal="center" vertical="center"/>
    </xf>
    <xf fontId="18581" applyFont="true" borderId="8" applyBorder="true" applyNumberFormat="true" numFmtId="1" fillId="22" applyFill="true">
      <alignment horizontal="center" vertical="center"/>
    </xf>
    <xf fontId="18582" applyFont="true" borderId="8" applyBorder="true" applyNumberFormat="true" numFmtId="167" fillId="22" applyFill="true">
      <alignment horizontal="center" vertical="center"/>
    </xf>
    <xf fontId="18583" applyFont="true" borderId="8" applyBorder="true" applyNumberFormat="true" numFmtId="1" fillId="22" applyFill="true">
      <alignment horizontal="center" vertical="center"/>
    </xf>
    <xf fontId="18584" applyFont="true" borderId="8" applyBorder="true" applyNumberFormat="true" numFmtId="167" fillId="22" applyFill="true">
      <alignment horizontal="center" vertical="center"/>
    </xf>
    <xf fontId="18585" applyFont="true" borderId="8" applyBorder="true" applyNumberFormat="true" numFmtId="1" fillId="22" applyFill="true">
      <alignment horizontal="center" vertical="center"/>
    </xf>
    <xf fontId="18586" applyFont="true" borderId="8" applyBorder="true" applyNumberFormat="true" numFmtId="167" fillId="22" applyFill="true">
      <alignment horizontal="center" vertical="center"/>
    </xf>
    <xf fontId="18587" applyFont="true" borderId="8" applyBorder="true" applyNumberFormat="true" numFmtId="167" fillId="22" applyFill="true">
      <alignment horizontal="center" vertical="center"/>
    </xf>
    <xf fontId="18588" applyFont="true" borderId="8" applyBorder="true" applyNumberFormat="true" numFmtId="1" fillId="22" applyFill="true">
      <alignment horizontal="center" vertical="center"/>
    </xf>
    <xf fontId="18589" applyFont="true" borderId="8" applyBorder="true" applyNumberFormat="true" numFmtId="1" fillId="22" applyFill="true">
      <alignment horizontal="center" vertical="center"/>
    </xf>
    <xf fontId="18590" applyFont="true" borderId="8" applyBorder="true" applyNumberFormat="true" numFmtId="1" fillId="22" applyFill="true">
      <alignment horizontal="center" vertical="center"/>
    </xf>
    <xf fontId="18591" applyFont="true" borderId="8" applyBorder="true" applyNumberFormat="true" numFmtId="167" fillId="22" applyFill="true">
      <alignment horizontal="center" vertical="center"/>
    </xf>
    <xf fontId="18592" applyFont="true" borderId="8" applyBorder="true" applyNumberFormat="true" numFmtId="166" fillId="22" applyFill="true">
      <alignment horizontal="center" vertical="center"/>
    </xf>
    <xf fontId="18593" applyFont="true" borderId="8" applyBorder="true" applyNumberFormat="true" numFmtId="166" fillId="22" applyFill="true">
      <alignment horizontal="center" vertical="center"/>
    </xf>
    <xf fontId="18594" applyFont="true" borderId="8" applyBorder="true" applyNumberFormat="true" numFmtId="1" fillId="22" applyFill="true">
      <alignment horizontal="center" vertical="center"/>
    </xf>
    <xf fontId="18595" applyFont="true" borderId="8" applyBorder="true" applyNumberFormat="true" numFmtId="1" fillId="22" applyFill="true">
      <alignment horizontal="center" vertical="center"/>
    </xf>
    <xf fontId="18596" applyFont="true" borderId="8" applyBorder="true" applyNumberFormat="true" numFmtId="1" fillId="22" applyFill="true">
      <alignment horizontal="center" vertical="center"/>
    </xf>
    <xf fontId="18597" applyFont="true" borderId="8" applyBorder="true" applyNumberFormat="true" numFmtId="167" fillId="22" applyFill="true">
      <alignment horizontal="center" vertical="center"/>
    </xf>
    <xf fontId="18598" applyFont="true" borderId="8" applyBorder="true" applyNumberFormat="true" numFmtId="1" fillId="22" applyFill="true">
      <alignment horizontal="center" vertical="center"/>
    </xf>
    <xf fontId="18599" applyFont="true" borderId="8" applyBorder="true" applyNumberFormat="true" numFmtId="167" fillId="22" applyFill="true">
      <alignment horizontal="center" vertical="center"/>
    </xf>
    <xf fontId="18600" applyFont="true" borderId="8" applyBorder="true" applyNumberFormat="true" numFmtId="1" fillId="22" applyFill="true">
      <alignment horizontal="center" vertical="center"/>
    </xf>
    <xf fontId="18601" applyFont="true" borderId="8" applyBorder="true" applyNumberFormat="true" numFmtId="1" fillId="22" applyFill="true">
      <alignment horizontal="center" vertical="center"/>
    </xf>
    <xf fontId="18602" applyFont="true" borderId="8" applyBorder="true" applyNumberFormat="true" numFmtId="1" fillId="22" applyFill="true">
      <alignment horizontal="center" vertical="center"/>
    </xf>
    <xf fontId="18603" applyFont="true" borderId="8" applyBorder="true" applyNumberFormat="true" numFmtId="1" fillId="22" applyFill="true">
      <alignment horizontal="center" vertical="center"/>
    </xf>
    <xf fontId="18604" applyFont="true" borderId="8" applyBorder="true" applyNumberFormat="true" numFmtId="167" fillId="22" applyFill="true">
      <alignment horizontal="center" vertical="center"/>
    </xf>
    <xf fontId="18605" applyFont="true" borderId="8" applyBorder="true" applyNumberFormat="true" numFmtId="1" fillId="22" applyFill="true">
      <alignment horizontal="center" vertical="center"/>
    </xf>
    <xf fontId="18606" applyFont="true" borderId="8" applyBorder="true" applyNumberFormat="true" numFmtId="167" fillId="22" applyFill="true">
      <alignment horizontal="center" vertical="center"/>
    </xf>
    <xf fontId="18607" applyFont="true" borderId="8" applyBorder="true" applyNumberFormat="true" numFmtId="1" fillId="22" applyFill="true">
      <alignment horizontal="center" vertical="center"/>
    </xf>
    <xf fontId="18608" applyFont="true" borderId="8" applyBorder="true" applyNumberFormat="true" numFmtId="167" fillId="22" applyFill="true">
      <alignment horizontal="center" vertical="center"/>
    </xf>
    <xf fontId="18609" applyFont="true" borderId="8" applyBorder="true" applyNumberFormat="true" numFmtId="2" fillId="22" applyFill="true">
      <alignment horizontal="center" vertical="center"/>
    </xf>
    <xf fontId="18610" applyFont="true" borderId="8" applyBorder="true" applyNumberFormat="true" numFmtId="2" fillId="22" applyFill="true">
      <alignment horizontal="center" vertical="center"/>
    </xf>
    <xf fontId="18611" applyFont="true" borderId="8" applyBorder="true" applyNumberFormat="true" numFmtId="2" fillId="22" applyFill="true">
      <alignment horizontal="center" vertical="center"/>
    </xf>
    <xf fontId="18612" applyFont="true" borderId="8" applyBorder="true" applyNumberFormat="true" numFmtId="2" fillId="22" applyFill="true">
      <alignment horizontal="center" vertical="center"/>
    </xf>
    <xf fontId="18613" applyFont="true" borderId="8" applyBorder="true" applyNumberFormat="true" numFmtId="2" fillId="22" applyFill="true">
      <alignment horizontal="center" vertical="center"/>
    </xf>
    <xf fontId="18614" applyFont="true" borderId="8" applyBorder="true" applyNumberFormat="true" numFmtId="2" fillId="22" applyFill="true">
      <alignment horizontal="center" vertical="center"/>
    </xf>
    <xf fontId="18615" applyFont="true" borderId="8" applyBorder="true" applyNumberFormat="true" numFmtId="2" fillId="22" applyFill="true">
      <alignment horizontal="center" vertical="center"/>
    </xf>
    <xf fontId="18616" applyFont="true" borderId="8" applyBorder="true" applyNumberFormat="true" numFmtId="2" fillId="22" applyFill="true">
      <alignment horizontal="center" vertical="center"/>
    </xf>
    <xf fontId="18617" applyFont="true" borderId="8" applyBorder="true" applyNumberFormat="true" numFmtId="2" fillId="22" applyFill="true">
      <alignment horizontal="center" vertical="center"/>
    </xf>
    <xf fontId="18618" applyFont="true" borderId="8" applyBorder="true" applyNumberFormat="true" numFmtId="2" fillId="22" applyFill="true">
      <alignment horizontal="center" vertical="center"/>
    </xf>
    <xf fontId="18619" applyFont="true" borderId="8" applyBorder="true" applyNumberFormat="true" numFmtId="2" fillId="22" applyFill="true">
      <alignment horizontal="center" vertical="center"/>
    </xf>
    <xf fontId="18620" applyFont="true" borderId="8" applyBorder="true" applyNumberFormat="true" numFmtId="2" fillId="22" applyFill="true">
      <alignment horizontal="center" vertical="center"/>
    </xf>
    <xf fontId="18621" applyFont="true" borderId="8" applyBorder="true" applyNumberFormat="true" numFmtId="2" fillId="22" applyFill="true">
      <alignment horizontal="center" vertical="center"/>
    </xf>
    <xf fontId="18622" applyFont="true" borderId="8" applyBorder="true" applyNumberFormat="true" numFmtId="2" fillId="22" applyFill="true">
      <alignment horizontal="center" vertical="center"/>
    </xf>
    <xf fontId="18623" applyFont="true" borderId="8" applyBorder="true" applyNumberFormat="true" numFmtId="2" fillId="22" applyFill="true">
      <alignment horizontal="center" vertical="center"/>
    </xf>
    <xf fontId="18624" applyFont="true" borderId="8" applyBorder="true" applyNumberFormat="true" numFmtId="2" fillId="22" applyFill="true">
      <alignment horizontal="center" vertical="center"/>
    </xf>
    <xf fontId="18625" applyFont="true" borderId="8" applyBorder="true" applyNumberFormat="true" numFmtId="2" fillId="22" applyFill="true">
      <alignment horizontal="center" vertical="center"/>
    </xf>
    <xf fontId="18626" applyFont="true" borderId="8" applyBorder="true" applyNumberFormat="true" numFmtId="2" fillId="22" applyFill="true">
      <alignment horizontal="center" vertical="center"/>
    </xf>
    <xf fontId="18627" applyFont="true" borderId="8" applyBorder="true" applyNumberFormat="true" numFmtId="2" fillId="22" applyFill="true">
      <alignment horizontal="center" vertical="center"/>
    </xf>
    <xf fontId="18628" applyFont="true" borderId="8" applyBorder="true" applyNumberFormat="true" numFmtId="2" fillId="22" applyFill="true">
      <alignment horizontal="center" vertical="center"/>
    </xf>
    <xf fontId="18629" applyFont="true" borderId="8" applyBorder="true" applyNumberFormat="true" numFmtId="2" fillId="22" applyFill="true">
      <alignment horizontal="center" vertical="center"/>
    </xf>
    <xf fontId="18630" applyFont="true" borderId="8" applyBorder="true" applyNumberFormat="true" numFmtId="2" fillId="22" applyFill="true">
      <alignment horizontal="center" vertical="center"/>
    </xf>
    <xf fontId="18631" applyFont="true" borderId="8" applyBorder="true" applyNumberFormat="true" numFmtId="2" fillId="22" applyFill="true">
      <alignment horizontal="center" vertical="center"/>
    </xf>
    <xf fontId="18632" applyFont="true" borderId="8" applyBorder="true" applyNumberFormat="true" numFmtId="2" fillId="22" applyFill="true">
      <alignment horizontal="center" vertical="center"/>
    </xf>
    <xf fontId="18633" applyFont="true" borderId="8" applyBorder="true" applyNumberFormat="true" numFmtId="2" fillId="22" applyFill="true">
      <alignment horizontal="center" vertical="center"/>
    </xf>
    <xf fontId="18634" applyFont="true" borderId="8" applyBorder="true" applyNumberFormat="true" numFmtId="2" fillId="22" applyFill="true">
      <alignment horizontal="center" vertical="center"/>
    </xf>
    <xf fontId="18635" applyFont="true" borderId="8" applyBorder="true" applyNumberFormat="true" numFmtId="2" fillId="22" applyFill="true">
      <alignment horizontal="center" vertical="center"/>
    </xf>
    <xf fontId="18636" applyFont="true" borderId="8" applyBorder="true" applyNumberFormat="true" numFmtId="2" fillId="22" applyFill="true">
      <alignment horizontal="center" vertical="center"/>
    </xf>
    <xf fontId="18637" applyFont="true" borderId="8" applyBorder="true" applyNumberFormat="true" numFmtId="2" fillId="22" applyFill="true">
      <alignment horizontal="center" vertical="center"/>
    </xf>
    <xf fontId="18638" applyFont="true" borderId="8" applyBorder="true" applyNumberFormat="true" numFmtId="2" fillId="22" applyFill="true">
      <alignment horizontal="center" vertical="center"/>
    </xf>
    <xf fontId="18639" applyFont="true" borderId="8" applyBorder="true" applyNumberFormat="true" numFmtId="2" fillId="22" applyFill="true">
      <alignment horizontal="center" vertical="center"/>
    </xf>
    <xf fontId="18640" applyFont="true" borderId="8" applyBorder="true" applyNumberFormat="true" numFmtId="2" fillId="22" applyFill="true">
      <alignment horizontal="center" vertical="center"/>
    </xf>
    <xf fontId="18641" applyFont="true" borderId="8" applyBorder="true" applyNumberFormat="true" numFmtId="2" fillId="22" applyFill="true">
      <alignment horizontal="center" vertical="center"/>
    </xf>
    <xf fontId="18642" applyFont="true" borderId="8" applyBorder="true" applyNumberFormat="true" numFmtId="2" fillId="22" applyFill="true">
      <alignment horizontal="center" vertical="center"/>
    </xf>
    <xf fontId="18643" applyFont="true" borderId="8" applyBorder="true" applyNumberFormat="true" numFmtId="165" fillId="19" applyFill="true">
      <alignment horizontal="left" vertical="center"/>
    </xf>
    <xf fontId="18644" applyFont="true" borderId="8" applyBorder="true" applyNumberFormat="true" numFmtId="165" fillId="22" applyFill="true">
      <alignment horizontal="center" vertical="center"/>
    </xf>
    <xf fontId="18645" applyFont="true" borderId="8" applyBorder="true" applyNumberFormat="true" numFmtId="166" fillId="22" applyFill="true">
      <alignment horizontal="center" vertical="center"/>
    </xf>
    <xf fontId="18646" applyFont="true" borderId="8" applyBorder="true" applyNumberFormat="true" numFmtId="1" fillId="22" applyFill="true">
      <alignment horizontal="center" vertical="center"/>
    </xf>
    <xf fontId="18647" applyFont="true" borderId="8" applyBorder="true" applyNumberFormat="true" numFmtId="1" fillId="22" applyFill="true">
      <alignment horizontal="center" vertical="center"/>
    </xf>
    <xf fontId="18648" applyFont="true" borderId="8" applyBorder="true" applyNumberFormat="true" numFmtId="1" fillId="22" applyFill="true">
      <alignment horizontal="center" vertical="center"/>
    </xf>
    <xf fontId="18649" applyFont="true" borderId="8" applyBorder="true" applyNumberFormat="true" numFmtId="1" fillId="22" applyFill="true">
      <alignment horizontal="center" vertical="center"/>
    </xf>
    <xf fontId="18650" applyFont="true" borderId="8" applyBorder="true" applyNumberFormat="true" numFmtId="1" fillId="22" applyFill="true">
      <alignment horizontal="center" vertical="center"/>
    </xf>
    <xf fontId="18651" applyFont="true" borderId="8" applyBorder="true" applyNumberFormat="true" numFmtId="1" fillId="22" applyFill="true">
      <alignment horizontal="center" vertical="center"/>
    </xf>
    <xf fontId="18652" applyFont="true" borderId="8" applyBorder="true" applyNumberFormat="true" numFmtId="1" fillId="22" applyFill="true">
      <alignment horizontal="center" vertical="center"/>
    </xf>
    <xf fontId="18653" applyFont="true" borderId="8" applyBorder="true" applyNumberFormat="true" numFmtId="165" fillId="22" applyFill="true">
      <alignment horizontal="center" vertical="center"/>
    </xf>
    <xf fontId="18654" applyFont="true" borderId="8" applyBorder="true" applyNumberFormat="true" numFmtId="165" fillId="22" applyFill="true">
      <alignment horizontal="center" vertical="center"/>
    </xf>
    <xf fontId="18655" applyFont="true" borderId="8" applyBorder="true" applyNumberFormat="true" numFmtId="1" fillId="22" applyFill="true">
      <alignment horizontal="center" vertical="center"/>
    </xf>
    <xf fontId="18656" applyFont="true" borderId="8" applyBorder="true" applyNumberFormat="true" numFmtId="1" fillId="22" applyFill="true">
      <alignment horizontal="center" vertical="center"/>
    </xf>
    <xf fontId="18657" applyFont="true" borderId="8" applyBorder="true" applyNumberFormat="true" numFmtId="1" fillId="22" applyFill="true">
      <alignment horizontal="center" vertical="center"/>
    </xf>
    <xf fontId="18658" applyFont="true" borderId="8" applyBorder="true" applyNumberFormat="true" numFmtId="167" fillId="22" applyFill="true">
      <alignment horizontal="center" vertical="center"/>
    </xf>
    <xf fontId="18659" applyFont="true" borderId="8" applyBorder="true" applyNumberFormat="true" numFmtId="1" fillId="22" applyFill="true">
      <alignment horizontal="center" vertical="center"/>
    </xf>
    <xf fontId="18660" applyFont="true" borderId="8" applyBorder="true" applyNumberFormat="true" numFmtId="167" fillId="22" applyFill="true">
      <alignment horizontal="center" vertical="center"/>
    </xf>
    <xf fontId="18661" applyFont="true" borderId="8" applyBorder="true" applyNumberFormat="true" numFmtId="1" fillId="22" applyFill="true">
      <alignment horizontal="center" vertical="center"/>
    </xf>
    <xf fontId="18662" applyFont="true" borderId="8" applyBorder="true" applyNumberFormat="true" numFmtId="167" fillId="22" applyFill="true">
      <alignment horizontal="center" vertical="center"/>
    </xf>
    <xf fontId="18663" applyFont="true" borderId="8" applyBorder="true" applyNumberFormat="true" numFmtId="1" fillId="22" applyFill="true">
      <alignment horizontal="center" vertical="center"/>
    </xf>
    <xf fontId="18664" applyFont="true" borderId="8" applyBorder="true" applyNumberFormat="true" numFmtId="167" fillId="22" applyFill="true">
      <alignment horizontal="center" vertical="center"/>
    </xf>
    <xf fontId="18665" applyFont="true" borderId="8" applyBorder="true" applyNumberFormat="true" numFmtId="167" fillId="22" applyFill="true">
      <alignment horizontal="center" vertical="center"/>
    </xf>
    <xf fontId="18666" applyFont="true" borderId="8" applyBorder="true" applyNumberFormat="true" numFmtId="1" fillId="22" applyFill="true">
      <alignment horizontal="center" vertical="center"/>
    </xf>
    <xf fontId="18667" applyFont="true" borderId="8" applyBorder="true" applyNumberFormat="true" numFmtId="1" fillId="22" applyFill="true">
      <alignment horizontal="center" vertical="center"/>
    </xf>
    <xf fontId="18668" applyFont="true" borderId="8" applyBorder="true" applyNumberFormat="true" numFmtId="1" fillId="22" applyFill="true">
      <alignment horizontal="center" vertical="center"/>
    </xf>
    <xf fontId="18669" applyFont="true" borderId="8" applyBorder="true" applyNumberFormat="true" numFmtId="167" fillId="22" applyFill="true">
      <alignment horizontal="center" vertical="center"/>
    </xf>
    <xf fontId="18670" applyFont="true" borderId="8" applyBorder="true" applyNumberFormat="true" numFmtId="166" fillId="22" applyFill="true">
      <alignment horizontal="center" vertical="center"/>
    </xf>
    <xf fontId="18671" applyFont="true" borderId="8" applyBorder="true" applyNumberFormat="true" numFmtId="166" fillId="22" applyFill="true">
      <alignment horizontal="center" vertical="center"/>
    </xf>
    <xf fontId="18672" applyFont="true" borderId="8" applyBorder="true" applyNumberFormat="true" numFmtId="1" fillId="22" applyFill="true">
      <alignment horizontal="center" vertical="center"/>
    </xf>
    <xf fontId="18673" applyFont="true" borderId="8" applyBorder="true" applyNumberFormat="true" numFmtId="1" fillId="22" applyFill="true">
      <alignment horizontal="center" vertical="center"/>
    </xf>
    <xf fontId="18674" applyFont="true" borderId="8" applyBorder="true" applyNumberFormat="true" numFmtId="1" fillId="22" applyFill="true">
      <alignment horizontal="center" vertical="center"/>
    </xf>
    <xf fontId="18675" applyFont="true" borderId="8" applyBorder="true" applyNumberFormat="true" numFmtId="167" fillId="22" applyFill="true">
      <alignment horizontal="center" vertical="center"/>
    </xf>
    <xf fontId="18676" applyFont="true" borderId="8" applyBorder="true" applyNumberFormat="true" numFmtId="1" fillId="22" applyFill="true">
      <alignment horizontal="center" vertical="center"/>
    </xf>
    <xf fontId="18677" applyFont="true" borderId="8" applyBorder="true" applyNumberFormat="true" numFmtId="167" fillId="22" applyFill="true">
      <alignment horizontal="center" vertical="center"/>
    </xf>
    <xf fontId="18678" applyFont="true" borderId="8" applyBorder="true" applyNumberFormat="true" numFmtId="1" fillId="22" applyFill="true">
      <alignment horizontal="center" vertical="center"/>
    </xf>
    <xf fontId="18679" applyFont="true" borderId="8" applyBorder="true" applyNumberFormat="true" numFmtId="1" fillId="22" applyFill="true">
      <alignment horizontal="center" vertical="center"/>
    </xf>
    <xf fontId="18680" applyFont="true" borderId="8" applyBorder="true" applyNumberFormat="true" numFmtId="1" fillId="22" applyFill="true">
      <alignment horizontal="center" vertical="center"/>
    </xf>
    <xf fontId="18681" applyFont="true" borderId="8" applyBorder="true" applyNumberFormat="true" numFmtId="1" fillId="22" applyFill="true">
      <alignment horizontal="center" vertical="center"/>
    </xf>
    <xf fontId="18682" applyFont="true" borderId="8" applyBorder="true" applyNumberFormat="true" numFmtId="167" fillId="22" applyFill="true">
      <alignment horizontal="center" vertical="center"/>
    </xf>
    <xf fontId="18683" applyFont="true" borderId="8" applyBorder="true" applyNumberFormat="true" numFmtId="1" fillId="22" applyFill="true">
      <alignment horizontal="center" vertical="center"/>
    </xf>
    <xf fontId="18684" applyFont="true" borderId="8" applyBorder="true" applyNumberFormat="true" numFmtId="167" fillId="22" applyFill="true">
      <alignment horizontal="center" vertical="center"/>
    </xf>
    <xf fontId="18685" applyFont="true" borderId="8" applyBorder="true" applyNumberFormat="true" numFmtId="1" fillId="22" applyFill="true">
      <alignment horizontal="center" vertical="center"/>
    </xf>
    <xf fontId="18686" applyFont="true" borderId="8" applyBorder="true" applyNumberFormat="true" numFmtId="167" fillId="22" applyFill="true">
      <alignment horizontal="center" vertical="center"/>
    </xf>
    <xf fontId="18687" applyFont="true" borderId="8" applyBorder="true" applyNumberFormat="true" numFmtId="2" fillId="22" applyFill="true">
      <alignment horizontal="center" vertical="center"/>
    </xf>
    <xf fontId="18688" applyFont="true" borderId="8" applyBorder="true" applyNumberFormat="true" numFmtId="2" fillId="22" applyFill="true">
      <alignment horizontal="center" vertical="center"/>
    </xf>
    <xf fontId="18689" applyFont="true" borderId="8" applyBorder="true" applyNumberFormat="true" numFmtId="2" fillId="22" applyFill="true">
      <alignment horizontal="center" vertical="center"/>
    </xf>
    <xf fontId="18690" applyFont="true" borderId="8" applyBorder="true" applyNumberFormat="true" numFmtId="2" fillId="22" applyFill="true">
      <alignment horizontal="center" vertical="center"/>
    </xf>
    <xf fontId="18691" applyFont="true" borderId="8" applyBorder="true" applyNumberFormat="true" numFmtId="2" fillId="22" applyFill="true">
      <alignment horizontal="center" vertical="center"/>
    </xf>
    <xf fontId="18692" applyFont="true" borderId="8" applyBorder="true" applyNumberFormat="true" numFmtId="2" fillId="22" applyFill="true">
      <alignment horizontal="center" vertical="center"/>
    </xf>
    <xf fontId="18693" applyFont="true" borderId="8" applyBorder="true" applyNumberFormat="true" numFmtId="2" fillId="22" applyFill="true">
      <alignment horizontal="center" vertical="center"/>
    </xf>
    <xf fontId="18694" applyFont="true" borderId="8" applyBorder="true" applyNumberFormat="true" numFmtId="2" fillId="22" applyFill="true">
      <alignment horizontal="center" vertical="center"/>
    </xf>
    <xf fontId="18695" applyFont="true" borderId="8" applyBorder="true" applyNumberFormat="true" numFmtId="2" fillId="22" applyFill="true">
      <alignment horizontal="center" vertical="center"/>
    </xf>
    <xf fontId="18696" applyFont="true" borderId="8" applyBorder="true" applyNumberFormat="true" numFmtId="2" fillId="22" applyFill="true">
      <alignment horizontal="center" vertical="center"/>
    </xf>
    <xf fontId="18697" applyFont="true" borderId="8" applyBorder="true" applyNumberFormat="true" numFmtId="2" fillId="22" applyFill="true">
      <alignment horizontal="center" vertical="center"/>
    </xf>
    <xf fontId="18698" applyFont="true" borderId="8" applyBorder="true" applyNumberFormat="true" numFmtId="2" fillId="22" applyFill="true">
      <alignment horizontal="center" vertical="center"/>
    </xf>
    <xf fontId="18699" applyFont="true" borderId="8" applyBorder="true" applyNumberFormat="true" numFmtId="2" fillId="22" applyFill="true">
      <alignment horizontal="center" vertical="center"/>
    </xf>
    <xf fontId="18700" applyFont="true" borderId="8" applyBorder="true" applyNumberFormat="true" numFmtId="2" fillId="22" applyFill="true">
      <alignment horizontal="center" vertical="center"/>
    </xf>
    <xf fontId="18701" applyFont="true" borderId="8" applyBorder="true" applyNumberFormat="true" numFmtId="2" fillId="22" applyFill="true">
      <alignment horizontal="center" vertical="center"/>
    </xf>
    <xf fontId="18702" applyFont="true" borderId="8" applyBorder="true" applyNumberFormat="true" numFmtId="2" fillId="22" applyFill="true">
      <alignment horizontal="center" vertical="center"/>
    </xf>
    <xf fontId="18703" applyFont="true" borderId="8" applyBorder="true" applyNumberFormat="true" numFmtId="2" fillId="22" applyFill="true">
      <alignment horizontal="center" vertical="center"/>
    </xf>
    <xf fontId="18704" applyFont="true" borderId="8" applyBorder="true" applyNumberFormat="true" numFmtId="2" fillId="22" applyFill="true">
      <alignment horizontal="center" vertical="center"/>
    </xf>
    <xf fontId="18705" applyFont="true" borderId="8" applyBorder="true" applyNumberFormat="true" numFmtId="2" fillId="22" applyFill="true">
      <alignment horizontal="center" vertical="center"/>
    </xf>
    <xf fontId="18706" applyFont="true" borderId="8" applyBorder="true" applyNumberFormat="true" numFmtId="2" fillId="22" applyFill="true">
      <alignment horizontal="center" vertical="center"/>
    </xf>
    <xf fontId="18707" applyFont="true" borderId="8" applyBorder="true" applyNumberFormat="true" numFmtId="2" fillId="22" applyFill="true">
      <alignment horizontal="center" vertical="center"/>
    </xf>
    <xf fontId="18708" applyFont="true" borderId="8" applyBorder="true" applyNumberFormat="true" numFmtId="2" fillId="22" applyFill="true">
      <alignment horizontal="center" vertical="center"/>
    </xf>
    <xf fontId="18709" applyFont="true" borderId="8" applyBorder="true" applyNumberFormat="true" numFmtId="2" fillId="22" applyFill="true">
      <alignment horizontal="center" vertical="center"/>
    </xf>
    <xf fontId="18710" applyFont="true" borderId="8" applyBorder="true" applyNumberFormat="true" numFmtId="2" fillId="22" applyFill="true">
      <alignment horizontal="center" vertical="center"/>
    </xf>
    <xf fontId="18711" applyFont="true" borderId="8" applyBorder="true" applyNumberFormat="true" numFmtId="2" fillId="22" applyFill="true">
      <alignment horizontal="center" vertical="center"/>
    </xf>
    <xf fontId="18712" applyFont="true" borderId="8" applyBorder="true" applyNumberFormat="true" numFmtId="2" fillId="22" applyFill="true">
      <alignment horizontal="center" vertical="center"/>
    </xf>
    <xf fontId="18713" applyFont="true" borderId="8" applyBorder="true" applyNumberFormat="true" numFmtId="2" fillId="22" applyFill="true">
      <alignment horizontal="center" vertical="center"/>
    </xf>
    <xf fontId="18714" applyFont="true" borderId="8" applyBorder="true" applyNumberFormat="true" numFmtId="2" fillId="22" applyFill="true">
      <alignment horizontal="center" vertical="center"/>
    </xf>
    <xf fontId="18715" applyFont="true" borderId="8" applyBorder="true" applyNumberFormat="true" numFmtId="2" fillId="22" applyFill="true">
      <alignment horizontal="center" vertical="center"/>
    </xf>
    <xf fontId="18716" applyFont="true" borderId="8" applyBorder="true" applyNumberFormat="true" numFmtId="2" fillId="22" applyFill="true">
      <alignment horizontal="center" vertical="center"/>
    </xf>
    <xf fontId="18717" applyFont="true" borderId="8" applyBorder="true" applyNumberFormat="true" numFmtId="2" fillId="22" applyFill="true">
      <alignment horizontal="center" vertical="center"/>
    </xf>
    <xf fontId="18718" applyFont="true" borderId="8" applyBorder="true" applyNumberFormat="true" numFmtId="2" fillId="22" applyFill="true">
      <alignment horizontal="center" vertical="center"/>
    </xf>
    <xf fontId="18719" applyFont="true" borderId="8" applyBorder="true" applyNumberFormat="true" numFmtId="2" fillId="22" applyFill="true">
      <alignment horizontal="center" vertical="center"/>
    </xf>
    <xf fontId="18720" applyFont="true" borderId="8" applyBorder="true" applyNumberFormat="true" numFmtId="2" fillId="22" applyFill="true">
      <alignment horizontal="center" vertical="center"/>
    </xf>
    <xf fontId="18721" applyFont="true" borderId="8" applyBorder="true" applyNumberFormat="true" numFmtId="165" fillId="19" applyFill="true">
      <alignment horizontal="left" vertical="center"/>
    </xf>
    <xf fontId="18722" applyFont="true" borderId="8" applyBorder="true" applyNumberFormat="true" numFmtId="165" fillId="22" applyFill="true">
      <alignment horizontal="center" vertical="center"/>
    </xf>
    <xf fontId="18723" applyFont="true" borderId="8" applyBorder="true" applyNumberFormat="true" numFmtId="166" fillId="22" applyFill="true">
      <alignment horizontal="center" vertical="center"/>
    </xf>
    <xf fontId="18724" applyFont="true" borderId="8" applyBorder="true" applyNumberFormat="true" numFmtId="1" fillId="22" applyFill="true">
      <alignment horizontal="center" vertical="center"/>
    </xf>
    <xf fontId="18725" applyFont="true" borderId="8" applyBorder="true" applyNumberFormat="true" numFmtId="1" fillId="22" applyFill="true">
      <alignment horizontal="center" vertical="center"/>
    </xf>
    <xf fontId="18726" applyFont="true" borderId="8" applyBorder="true" applyNumberFormat="true" numFmtId="1" fillId="22" applyFill="true">
      <alignment horizontal="center" vertical="center"/>
    </xf>
    <xf fontId="18727" applyFont="true" borderId="8" applyBorder="true" applyNumberFormat="true" numFmtId="1" fillId="22" applyFill="true">
      <alignment horizontal="center" vertical="center"/>
    </xf>
    <xf fontId="18728" applyFont="true" borderId="8" applyBorder="true" applyNumberFormat="true" numFmtId="1" fillId="22" applyFill="true">
      <alignment horizontal="center" vertical="center"/>
    </xf>
    <xf fontId="18729" applyFont="true" borderId="8" applyBorder="true" applyNumberFormat="true" numFmtId="1" fillId="22" applyFill="true">
      <alignment horizontal="center" vertical="center"/>
    </xf>
    <xf fontId="18730" applyFont="true" borderId="8" applyBorder="true" applyNumberFormat="true" numFmtId="1" fillId="22" applyFill="true">
      <alignment horizontal="center" vertical="center"/>
    </xf>
    <xf fontId="18731" applyFont="true" borderId="8" applyBorder="true" applyNumberFormat="true" numFmtId="165" fillId="22" applyFill="true">
      <alignment horizontal="center" vertical="center"/>
    </xf>
    <xf fontId="18732" applyFont="true" borderId="8" applyBorder="true" applyNumberFormat="true" numFmtId="165" fillId="22" applyFill="true">
      <alignment horizontal="center" vertical="center"/>
    </xf>
    <xf fontId="18733" applyFont="true" borderId="8" applyBorder="true" applyNumberFormat="true" numFmtId="1" fillId="22" applyFill="true">
      <alignment horizontal="center" vertical="center"/>
    </xf>
    <xf fontId="18734" applyFont="true" borderId="8" applyBorder="true" applyNumberFormat="true" numFmtId="1" fillId="22" applyFill="true">
      <alignment horizontal="center" vertical="center"/>
    </xf>
    <xf fontId="18735" applyFont="true" borderId="8" applyBorder="true" applyNumberFormat="true" numFmtId="1" fillId="22" applyFill="true">
      <alignment horizontal="center" vertical="center"/>
    </xf>
    <xf fontId="18736" applyFont="true" borderId="8" applyBorder="true" applyNumberFormat="true" numFmtId="167" fillId="22" applyFill="true">
      <alignment horizontal="center" vertical="center"/>
    </xf>
    <xf fontId="18737" applyFont="true" borderId="8" applyBorder="true" applyNumberFormat="true" numFmtId="1" fillId="22" applyFill="true">
      <alignment horizontal="center" vertical="center"/>
    </xf>
    <xf fontId="18738" applyFont="true" borderId="8" applyBorder="true" applyNumberFormat="true" numFmtId="167" fillId="22" applyFill="true">
      <alignment horizontal="center" vertical="center"/>
    </xf>
    <xf fontId="18739" applyFont="true" borderId="8" applyBorder="true" applyNumberFormat="true" numFmtId="1" fillId="22" applyFill="true">
      <alignment horizontal="center" vertical="center"/>
    </xf>
    <xf fontId="18740" applyFont="true" borderId="8" applyBorder="true" applyNumberFormat="true" numFmtId="167" fillId="22" applyFill="true">
      <alignment horizontal="center" vertical="center"/>
    </xf>
    <xf fontId="18741" applyFont="true" borderId="8" applyBorder="true" applyNumberFormat="true" numFmtId="1" fillId="22" applyFill="true">
      <alignment horizontal="center" vertical="center"/>
    </xf>
    <xf fontId="18742" applyFont="true" borderId="8" applyBorder="true" applyNumberFormat="true" numFmtId="167" fillId="22" applyFill="true">
      <alignment horizontal="center" vertical="center"/>
    </xf>
    <xf fontId="18743" applyFont="true" borderId="8" applyBorder="true" applyNumberFormat="true" numFmtId="167" fillId="22" applyFill="true">
      <alignment horizontal="center" vertical="center"/>
    </xf>
    <xf fontId="18744" applyFont="true" borderId="8" applyBorder="true" applyNumberFormat="true" numFmtId="1" fillId="22" applyFill="true">
      <alignment horizontal="center" vertical="center"/>
    </xf>
    <xf fontId="18745" applyFont="true" borderId="8" applyBorder="true" applyNumberFormat="true" numFmtId="1" fillId="22" applyFill="true">
      <alignment horizontal="center" vertical="center"/>
    </xf>
    <xf fontId="18746" applyFont="true" borderId="8" applyBorder="true" applyNumberFormat="true" numFmtId="1" fillId="22" applyFill="true">
      <alignment horizontal="center" vertical="center"/>
    </xf>
    <xf fontId="18747" applyFont="true" borderId="8" applyBorder="true" applyNumberFormat="true" numFmtId="167" fillId="22" applyFill="true">
      <alignment horizontal="center" vertical="center"/>
    </xf>
    <xf fontId="18748" applyFont="true" borderId="8" applyBorder="true" applyNumberFormat="true" numFmtId="166" fillId="22" applyFill="true">
      <alignment horizontal="center" vertical="center"/>
    </xf>
    <xf fontId="18749" applyFont="true" borderId="8" applyBorder="true" applyNumberFormat="true" numFmtId="166" fillId="22" applyFill="true">
      <alignment horizontal="center" vertical="center"/>
    </xf>
    <xf fontId="18750" applyFont="true" borderId="8" applyBorder="true" applyNumberFormat="true" numFmtId="1" fillId="22" applyFill="true">
      <alignment horizontal="center" vertical="center"/>
    </xf>
    <xf fontId="18751" applyFont="true" borderId="8" applyBorder="true" applyNumberFormat="true" numFmtId="1" fillId="22" applyFill="true">
      <alignment horizontal="center" vertical="center"/>
    </xf>
    <xf fontId="18752" applyFont="true" borderId="8" applyBorder="true" applyNumberFormat="true" numFmtId="1" fillId="22" applyFill="true">
      <alignment horizontal="center" vertical="center"/>
    </xf>
    <xf fontId="18753" applyFont="true" borderId="8" applyBorder="true" applyNumberFormat="true" numFmtId="167" fillId="22" applyFill="true">
      <alignment horizontal="center" vertical="center"/>
    </xf>
    <xf fontId="18754" applyFont="true" borderId="8" applyBorder="true" applyNumberFormat="true" numFmtId="1" fillId="22" applyFill="true">
      <alignment horizontal="center" vertical="center"/>
    </xf>
    <xf fontId="18755" applyFont="true" borderId="8" applyBorder="true" applyNumberFormat="true" numFmtId="167" fillId="22" applyFill="true">
      <alignment horizontal="center" vertical="center"/>
    </xf>
    <xf fontId="18756" applyFont="true" borderId="8" applyBorder="true" applyNumberFormat="true" numFmtId="1" fillId="22" applyFill="true">
      <alignment horizontal="center" vertical="center"/>
    </xf>
    <xf fontId="18757" applyFont="true" borderId="8" applyBorder="true" applyNumberFormat="true" numFmtId="1" fillId="22" applyFill="true">
      <alignment horizontal="center" vertical="center"/>
    </xf>
    <xf fontId="18758" applyFont="true" borderId="8" applyBorder="true" applyNumberFormat="true" numFmtId="1" fillId="22" applyFill="true">
      <alignment horizontal="center" vertical="center"/>
    </xf>
    <xf fontId="18759" applyFont="true" borderId="8" applyBorder="true" applyNumberFormat="true" numFmtId="1" fillId="22" applyFill="true">
      <alignment horizontal="center" vertical="center"/>
    </xf>
    <xf fontId="18760" applyFont="true" borderId="8" applyBorder="true" applyNumberFormat="true" numFmtId="167" fillId="22" applyFill="true">
      <alignment horizontal="center" vertical="center"/>
    </xf>
    <xf fontId="18761" applyFont="true" borderId="8" applyBorder="true" applyNumberFormat="true" numFmtId="1" fillId="22" applyFill="true">
      <alignment horizontal="center" vertical="center"/>
    </xf>
    <xf fontId="18762" applyFont="true" borderId="8" applyBorder="true" applyNumberFormat="true" numFmtId="167" fillId="22" applyFill="true">
      <alignment horizontal="center" vertical="center"/>
    </xf>
    <xf fontId="18763" applyFont="true" borderId="8" applyBorder="true" applyNumberFormat="true" numFmtId="1" fillId="22" applyFill="true">
      <alignment horizontal="center" vertical="center"/>
    </xf>
    <xf fontId="18764" applyFont="true" borderId="8" applyBorder="true" applyNumberFormat="true" numFmtId="167" fillId="22" applyFill="true">
      <alignment horizontal="center" vertical="center"/>
    </xf>
    <xf fontId="18765" applyFont="true" borderId="8" applyBorder="true" applyNumberFormat="true" numFmtId="2" fillId="22" applyFill="true">
      <alignment horizontal="center" vertical="center"/>
    </xf>
    <xf fontId="18766" applyFont="true" borderId="8" applyBorder="true" applyNumberFormat="true" numFmtId="2" fillId="22" applyFill="true">
      <alignment horizontal="center" vertical="center"/>
    </xf>
    <xf fontId="18767" applyFont="true" borderId="8" applyBorder="true" applyNumberFormat="true" numFmtId="2" fillId="22" applyFill="true">
      <alignment horizontal="center" vertical="center"/>
    </xf>
    <xf fontId="18768" applyFont="true" borderId="8" applyBorder="true" applyNumberFormat="true" numFmtId="2" fillId="22" applyFill="true">
      <alignment horizontal="center" vertical="center"/>
    </xf>
    <xf fontId="18769" applyFont="true" borderId="8" applyBorder="true" applyNumberFormat="true" numFmtId="2" fillId="22" applyFill="true">
      <alignment horizontal="center" vertical="center"/>
    </xf>
    <xf fontId="18770" applyFont="true" borderId="8" applyBorder="true" applyNumberFormat="true" numFmtId="2" fillId="22" applyFill="true">
      <alignment horizontal="center" vertical="center"/>
    </xf>
    <xf fontId="18771" applyFont="true" borderId="8" applyBorder="true" applyNumberFormat="true" numFmtId="2" fillId="22" applyFill="true">
      <alignment horizontal="center" vertical="center"/>
    </xf>
    <xf fontId="18772" applyFont="true" borderId="8" applyBorder="true" applyNumberFormat="true" numFmtId="2" fillId="22" applyFill="true">
      <alignment horizontal="center" vertical="center"/>
    </xf>
    <xf fontId="18773" applyFont="true" borderId="8" applyBorder="true" applyNumberFormat="true" numFmtId="2" fillId="22" applyFill="true">
      <alignment horizontal="center" vertical="center"/>
    </xf>
    <xf fontId="18774" applyFont="true" borderId="8" applyBorder="true" applyNumberFormat="true" numFmtId="2" fillId="22" applyFill="true">
      <alignment horizontal="center" vertical="center"/>
    </xf>
    <xf fontId="18775" applyFont="true" borderId="8" applyBorder="true" applyNumberFormat="true" numFmtId="2" fillId="22" applyFill="true">
      <alignment horizontal="center" vertical="center"/>
    </xf>
    <xf fontId="18776" applyFont="true" borderId="8" applyBorder="true" applyNumberFormat="true" numFmtId="2" fillId="22" applyFill="true">
      <alignment horizontal="center" vertical="center"/>
    </xf>
    <xf fontId="18777" applyFont="true" borderId="8" applyBorder="true" applyNumberFormat="true" numFmtId="2" fillId="22" applyFill="true">
      <alignment horizontal="center" vertical="center"/>
    </xf>
    <xf fontId="18778" applyFont="true" borderId="8" applyBorder="true" applyNumberFormat="true" numFmtId="2" fillId="22" applyFill="true">
      <alignment horizontal="center" vertical="center"/>
    </xf>
    <xf fontId="18779" applyFont="true" borderId="8" applyBorder="true" applyNumberFormat="true" numFmtId="2" fillId="22" applyFill="true">
      <alignment horizontal="center" vertical="center"/>
    </xf>
    <xf fontId="18780" applyFont="true" borderId="8" applyBorder="true" applyNumberFormat="true" numFmtId="2" fillId="22" applyFill="true">
      <alignment horizontal="center" vertical="center"/>
    </xf>
    <xf fontId="18781" applyFont="true" borderId="8" applyBorder="true" applyNumberFormat="true" numFmtId="2" fillId="22" applyFill="true">
      <alignment horizontal="center" vertical="center"/>
    </xf>
    <xf fontId="18782" applyFont="true" borderId="8" applyBorder="true" applyNumberFormat="true" numFmtId="2" fillId="22" applyFill="true">
      <alignment horizontal="center" vertical="center"/>
    </xf>
    <xf fontId="18783" applyFont="true" borderId="8" applyBorder="true" applyNumberFormat="true" numFmtId="2" fillId="22" applyFill="true">
      <alignment horizontal="center" vertical="center"/>
    </xf>
    <xf fontId="18784" applyFont="true" borderId="8" applyBorder="true" applyNumberFormat="true" numFmtId="2" fillId="22" applyFill="true">
      <alignment horizontal="center" vertical="center"/>
    </xf>
    <xf fontId="18785" applyFont="true" borderId="8" applyBorder="true" applyNumberFormat="true" numFmtId="2" fillId="22" applyFill="true">
      <alignment horizontal="center" vertical="center"/>
    </xf>
    <xf fontId="18786" applyFont="true" borderId="8" applyBorder="true" applyNumberFormat="true" numFmtId="2" fillId="22" applyFill="true">
      <alignment horizontal="center" vertical="center"/>
    </xf>
    <xf fontId="18787" applyFont="true" borderId="8" applyBorder="true" applyNumberFormat="true" numFmtId="2" fillId="22" applyFill="true">
      <alignment horizontal="center" vertical="center"/>
    </xf>
    <xf fontId="18788" applyFont="true" borderId="8" applyBorder="true" applyNumberFormat="true" numFmtId="2" fillId="22" applyFill="true">
      <alignment horizontal="center" vertical="center"/>
    </xf>
    <xf fontId="18789" applyFont="true" borderId="8" applyBorder="true" applyNumberFormat="true" numFmtId="2" fillId="22" applyFill="true">
      <alignment horizontal="center" vertical="center"/>
    </xf>
    <xf fontId="18790" applyFont="true" borderId="8" applyBorder="true" applyNumberFormat="true" numFmtId="2" fillId="22" applyFill="true">
      <alignment horizontal="center" vertical="center"/>
    </xf>
    <xf fontId="18791" applyFont="true" borderId="8" applyBorder="true" applyNumberFormat="true" numFmtId="2" fillId="22" applyFill="true">
      <alignment horizontal="center" vertical="center"/>
    </xf>
    <xf fontId="18792" applyFont="true" borderId="8" applyBorder="true" applyNumberFormat="true" numFmtId="2" fillId="22" applyFill="true">
      <alignment horizontal="center" vertical="center"/>
    </xf>
    <xf fontId="18793" applyFont="true" borderId="8" applyBorder="true" applyNumberFormat="true" numFmtId="2" fillId="22" applyFill="true">
      <alignment horizontal="center" vertical="center"/>
    </xf>
    <xf fontId="18794" applyFont="true" borderId="8" applyBorder="true" applyNumberFormat="true" numFmtId="2" fillId="22" applyFill="true">
      <alignment horizontal="center" vertical="center"/>
    </xf>
    <xf fontId="18795" applyFont="true" borderId="8" applyBorder="true" applyNumberFormat="true" numFmtId="2" fillId="22" applyFill="true">
      <alignment horizontal="center" vertical="center"/>
    </xf>
    <xf fontId="18796" applyFont="true" borderId="8" applyBorder="true" applyNumberFormat="true" numFmtId="2" fillId="22" applyFill="true">
      <alignment horizontal="center" vertical="center"/>
    </xf>
    <xf fontId="18797" applyFont="true" borderId="8" applyBorder="true" applyNumberFormat="true" numFmtId="2" fillId="22" applyFill="true">
      <alignment horizontal="center" vertical="center"/>
    </xf>
    <xf fontId="18798" applyFont="true" borderId="8" applyBorder="true" applyNumberFormat="true" numFmtId="2" fillId="22" applyFill="true">
      <alignment horizontal="center" vertical="center"/>
    </xf>
    <xf fontId="18799" applyFont="true" borderId="8" applyBorder="true" applyNumberFormat="true" numFmtId="165" fillId="19" applyFill="true">
      <alignment horizontal="left" vertical="center"/>
    </xf>
    <xf fontId="18800" applyFont="true" borderId="8" applyBorder="true" applyNumberFormat="true" numFmtId="165" fillId="22" applyFill="true">
      <alignment horizontal="center" vertical="center"/>
    </xf>
    <xf fontId="18801" applyFont="true" borderId="8" applyBorder="true" applyNumberFormat="true" numFmtId="166" fillId="22" applyFill="true">
      <alignment horizontal="center" vertical="center"/>
    </xf>
    <xf fontId="18802" applyFont="true" borderId="8" applyBorder="true" applyNumberFormat="true" numFmtId="1" fillId="22" applyFill="true">
      <alignment horizontal="center" vertical="center"/>
    </xf>
    <xf fontId="18803" applyFont="true" borderId="8" applyBorder="true" applyNumberFormat="true" numFmtId="1" fillId="22" applyFill="true">
      <alignment horizontal="center" vertical="center"/>
    </xf>
    <xf fontId="18804" applyFont="true" borderId="8" applyBorder="true" applyNumberFormat="true" numFmtId="1" fillId="22" applyFill="true">
      <alignment horizontal="center" vertical="center"/>
    </xf>
    <xf fontId="18805" applyFont="true" borderId="8" applyBorder="true" applyNumberFormat="true" numFmtId="1" fillId="22" applyFill="true">
      <alignment horizontal="center" vertical="center"/>
    </xf>
    <xf fontId="18806" applyFont="true" borderId="8" applyBorder="true" applyNumberFormat="true" numFmtId="1" fillId="22" applyFill="true">
      <alignment horizontal="center" vertical="center"/>
    </xf>
    <xf fontId="18807" applyFont="true" borderId="8" applyBorder="true" applyNumberFormat="true" numFmtId="1" fillId="22" applyFill="true">
      <alignment horizontal="center" vertical="center"/>
    </xf>
    <xf fontId="18808" applyFont="true" borderId="8" applyBorder="true" applyNumberFormat="true" numFmtId="1" fillId="22" applyFill="true">
      <alignment horizontal="center" vertical="center"/>
    </xf>
    <xf fontId="18809" applyFont="true" borderId="8" applyBorder="true" applyNumberFormat="true" numFmtId="165" fillId="22" applyFill="true">
      <alignment horizontal="center" vertical="center"/>
    </xf>
    <xf fontId="18810" applyFont="true" borderId="8" applyBorder="true" applyNumberFormat="true" numFmtId="165" fillId="22" applyFill="true">
      <alignment horizontal="center" vertical="center"/>
    </xf>
    <xf fontId="18811" applyFont="true" borderId="8" applyBorder="true" applyNumberFormat="true" numFmtId="1" fillId="22" applyFill="true">
      <alignment horizontal="center" vertical="center"/>
    </xf>
    <xf fontId="18812" applyFont="true" borderId="8" applyBorder="true" applyNumberFormat="true" numFmtId="1" fillId="22" applyFill="true">
      <alignment horizontal="center" vertical="center"/>
    </xf>
    <xf fontId="18813" applyFont="true" borderId="8" applyBorder="true" applyNumberFormat="true" numFmtId="1" fillId="22" applyFill="true">
      <alignment horizontal="center" vertical="center"/>
    </xf>
    <xf fontId="18814" applyFont="true" borderId="8" applyBorder="true" applyNumberFormat="true" numFmtId="167" fillId="22" applyFill="true">
      <alignment horizontal="center" vertical="center"/>
    </xf>
    <xf fontId="18815" applyFont="true" borderId="8" applyBorder="true" applyNumberFormat="true" numFmtId="1" fillId="22" applyFill="true">
      <alignment horizontal="center" vertical="center"/>
    </xf>
    <xf fontId="18816" applyFont="true" borderId="8" applyBorder="true" applyNumberFormat="true" numFmtId="167" fillId="22" applyFill="true">
      <alignment horizontal="center" vertical="center"/>
    </xf>
    <xf fontId="18817" applyFont="true" borderId="8" applyBorder="true" applyNumberFormat="true" numFmtId="1" fillId="22" applyFill="true">
      <alignment horizontal="center" vertical="center"/>
    </xf>
    <xf fontId="18818" applyFont="true" borderId="8" applyBorder="true" applyNumberFormat="true" numFmtId="167" fillId="22" applyFill="true">
      <alignment horizontal="center" vertical="center"/>
    </xf>
    <xf fontId="18819" applyFont="true" borderId="8" applyBorder="true" applyNumberFormat="true" numFmtId="1" fillId="22" applyFill="true">
      <alignment horizontal="center" vertical="center"/>
    </xf>
    <xf fontId="18820" applyFont="true" borderId="8" applyBorder="true" applyNumberFormat="true" numFmtId="167" fillId="22" applyFill="true">
      <alignment horizontal="center" vertical="center"/>
    </xf>
    <xf fontId="18821" applyFont="true" borderId="8" applyBorder="true" applyNumberFormat="true" numFmtId="167" fillId="22" applyFill="true">
      <alignment horizontal="center" vertical="center"/>
    </xf>
    <xf fontId="18822" applyFont="true" borderId="8" applyBorder="true" applyNumberFormat="true" numFmtId="1" fillId="22" applyFill="true">
      <alignment horizontal="center" vertical="center"/>
    </xf>
    <xf fontId="18823" applyFont="true" borderId="8" applyBorder="true" applyNumberFormat="true" numFmtId="1" fillId="22" applyFill="true">
      <alignment horizontal="center" vertical="center"/>
    </xf>
    <xf fontId="18824" applyFont="true" borderId="8" applyBorder="true" applyNumberFormat="true" numFmtId="1" fillId="22" applyFill="true">
      <alignment horizontal="center" vertical="center"/>
    </xf>
    <xf fontId="18825" applyFont="true" borderId="8" applyBorder="true" applyNumberFormat="true" numFmtId="167" fillId="22" applyFill="true">
      <alignment horizontal="center" vertical="center"/>
    </xf>
    <xf fontId="18826" applyFont="true" borderId="8" applyBorder="true" applyNumberFormat="true" numFmtId="166" fillId="22" applyFill="true">
      <alignment horizontal="center" vertical="center"/>
    </xf>
    <xf fontId="18827" applyFont="true" borderId="8" applyBorder="true" applyNumberFormat="true" numFmtId="166" fillId="22" applyFill="true">
      <alignment horizontal="center" vertical="center"/>
    </xf>
    <xf fontId="18828" applyFont="true" borderId="8" applyBorder="true" applyNumberFormat="true" numFmtId="1" fillId="22" applyFill="true">
      <alignment horizontal="center" vertical="center"/>
    </xf>
    <xf fontId="18829" applyFont="true" borderId="8" applyBorder="true" applyNumberFormat="true" numFmtId="1" fillId="22" applyFill="true">
      <alignment horizontal="center" vertical="center"/>
    </xf>
    <xf fontId="18830" applyFont="true" borderId="8" applyBorder="true" applyNumberFormat="true" numFmtId="1" fillId="22" applyFill="true">
      <alignment horizontal="center" vertical="center"/>
    </xf>
    <xf fontId="18831" applyFont="true" borderId="8" applyBorder="true" applyNumberFormat="true" numFmtId="167" fillId="22" applyFill="true">
      <alignment horizontal="center" vertical="center"/>
    </xf>
    <xf fontId="18832" applyFont="true" borderId="8" applyBorder="true" applyNumberFormat="true" numFmtId="1" fillId="22" applyFill="true">
      <alignment horizontal="center" vertical="center"/>
    </xf>
    <xf fontId="18833" applyFont="true" borderId="8" applyBorder="true" applyNumberFormat="true" numFmtId="167" fillId="22" applyFill="true">
      <alignment horizontal="center" vertical="center"/>
    </xf>
    <xf fontId="18834" applyFont="true" borderId="8" applyBorder="true" applyNumberFormat="true" numFmtId="1" fillId="22" applyFill="true">
      <alignment horizontal="center" vertical="center"/>
    </xf>
    <xf fontId="18835" applyFont="true" borderId="8" applyBorder="true" applyNumberFormat="true" numFmtId="1" fillId="22" applyFill="true">
      <alignment horizontal="center" vertical="center"/>
    </xf>
    <xf fontId="18836" applyFont="true" borderId="8" applyBorder="true" applyNumberFormat="true" numFmtId="1" fillId="22" applyFill="true">
      <alignment horizontal="center" vertical="center"/>
    </xf>
    <xf fontId="18837" applyFont="true" borderId="8" applyBorder="true" applyNumberFormat="true" numFmtId="1" fillId="22" applyFill="true">
      <alignment horizontal="center" vertical="center"/>
    </xf>
    <xf fontId="18838" applyFont="true" borderId="8" applyBorder="true" applyNumberFormat="true" numFmtId="167" fillId="22" applyFill="true">
      <alignment horizontal="center" vertical="center"/>
    </xf>
    <xf fontId="18839" applyFont="true" borderId="8" applyBorder="true" applyNumberFormat="true" numFmtId="1" fillId="22" applyFill="true">
      <alignment horizontal="center" vertical="center"/>
    </xf>
    <xf fontId="18840" applyFont="true" borderId="8" applyBorder="true" applyNumberFormat="true" numFmtId="167" fillId="22" applyFill="true">
      <alignment horizontal="center" vertical="center"/>
    </xf>
    <xf fontId="18841" applyFont="true" borderId="8" applyBorder="true" applyNumberFormat="true" numFmtId="1" fillId="22" applyFill="true">
      <alignment horizontal="center" vertical="center"/>
    </xf>
    <xf fontId="18842" applyFont="true" borderId="8" applyBorder="true" applyNumberFormat="true" numFmtId="167" fillId="22" applyFill="true">
      <alignment horizontal="center" vertical="center"/>
    </xf>
    <xf fontId="18843" applyFont="true" borderId="8" applyBorder="true" applyNumberFormat="true" numFmtId="2" fillId="22" applyFill="true">
      <alignment horizontal="center" vertical="center"/>
    </xf>
    <xf fontId="18844" applyFont="true" borderId="8" applyBorder="true" applyNumberFormat="true" numFmtId="2" fillId="22" applyFill="true">
      <alignment horizontal="center" vertical="center"/>
    </xf>
    <xf fontId="18845" applyFont="true" borderId="8" applyBorder="true" applyNumberFormat="true" numFmtId="2" fillId="22" applyFill="true">
      <alignment horizontal="center" vertical="center"/>
    </xf>
    <xf fontId="18846" applyFont="true" borderId="8" applyBorder="true" applyNumberFormat="true" numFmtId="2" fillId="22" applyFill="true">
      <alignment horizontal="center" vertical="center"/>
    </xf>
    <xf fontId="18847" applyFont="true" borderId="8" applyBorder="true" applyNumberFormat="true" numFmtId="2" fillId="22" applyFill="true">
      <alignment horizontal="center" vertical="center"/>
    </xf>
    <xf fontId="18848" applyFont="true" borderId="8" applyBorder="true" applyNumberFormat="true" numFmtId="2" fillId="22" applyFill="true">
      <alignment horizontal="center" vertical="center"/>
    </xf>
    <xf fontId="18849" applyFont="true" borderId="8" applyBorder="true" applyNumberFormat="true" numFmtId="2" fillId="22" applyFill="true">
      <alignment horizontal="center" vertical="center"/>
    </xf>
    <xf fontId="18850" applyFont="true" borderId="8" applyBorder="true" applyNumberFormat="true" numFmtId="2" fillId="22" applyFill="true">
      <alignment horizontal="center" vertical="center"/>
    </xf>
    <xf fontId="18851" applyFont="true" borderId="8" applyBorder="true" applyNumberFormat="true" numFmtId="2" fillId="22" applyFill="true">
      <alignment horizontal="center" vertical="center"/>
    </xf>
    <xf fontId="18852" applyFont="true" borderId="8" applyBorder="true" applyNumberFormat="true" numFmtId="2" fillId="22" applyFill="true">
      <alignment horizontal="center" vertical="center"/>
    </xf>
    <xf fontId="18853" applyFont="true" borderId="8" applyBorder="true" applyNumberFormat="true" numFmtId="2" fillId="22" applyFill="true">
      <alignment horizontal="center" vertical="center"/>
    </xf>
    <xf fontId="18854" applyFont="true" borderId="8" applyBorder="true" applyNumberFormat="true" numFmtId="2" fillId="22" applyFill="true">
      <alignment horizontal="center" vertical="center"/>
    </xf>
    <xf fontId="18855" applyFont="true" borderId="8" applyBorder="true" applyNumberFormat="true" numFmtId="2" fillId="22" applyFill="true">
      <alignment horizontal="center" vertical="center"/>
    </xf>
    <xf fontId="18856" applyFont="true" borderId="8" applyBorder="true" applyNumberFormat="true" numFmtId="2" fillId="22" applyFill="true">
      <alignment horizontal="center" vertical="center"/>
    </xf>
    <xf fontId="18857" applyFont="true" borderId="8" applyBorder="true" applyNumberFormat="true" numFmtId="2" fillId="22" applyFill="true">
      <alignment horizontal="center" vertical="center"/>
    </xf>
    <xf fontId="18858" applyFont="true" borderId="8" applyBorder="true" applyNumberFormat="true" numFmtId="2" fillId="22" applyFill="true">
      <alignment horizontal="center" vertical="center"/>
    </xf>
    <xf fontId="18859" applyFont="true" borderId="8" applyBorder="true" applyNumberFormat="true" numFmtId="2" fillId="22" applyFill="true">
      <alignment horizontal="center" vertical="center"/>
    </xf>
    <xf fontId="18860" applyFont="true" borderId="8" applyBorder="true" applyNumberFormat="true" numFmtId="2" fillId="22" applyFill="true">
      <alignment horizontal="center" vertical="center"/>
    </xf>
    <xf fontId="18861" applyFont="true" borderId="8" applyBorder="true" applyNumberFormat="true" numFmtId="2" fillId="22" applyFill="true">
      <alignment horizontal="center" vertical="center"/>
    </xf>
    <xf fontId="18862" applyFont="true" borderId="8" applyBorder="true" applyNumberFormat="true" numFmtId="2" fillId="22" applyFill="true">
      <alignment horizontal="center" vertical="center"/>
    </xf>
    <xf fontId="18863" applyFont="true" borderId="8" applyBorder="true" applyNumberFormat="true" numFmtId="2" fillId="22" applyFill="true">
      <alignment horizontal="center" vertical="center"/>
    </xf>
    <xf fontId="18864" applyFont="true" borderId="8" applyBorder="true" applyNumberFormat="true" numFmtId="2" fillId="22" applyFill="true">
      <alignment horizontal="center" vertical="center"/>
    </xf>
    <xf fontId="18865" applyFont="true" borderId="8" applyBorder="true" applyNumberFormat="true" numFmtId="2" fillId="22" applyFill="true">
      <alignment horizontal="center" vertical="center"/>
    </xf>
    <xf fontId="18866" applyFont="true" borderId="8" applyBorder="true" applyNumberFormat="true" numFmtId="2" fillId="22" applyFill="true">
      <alignment horizontal="center" vertical="center"/>
    </xf>
    <xf fontId="18867" applyFont="true" borderId="8" applyBorder="true" applyNumberFormat="true" numFmtId="2" fillId="22" applyFill="true">
      <alignment horizontal="center" vertical="center"/>
    </xf>
    <xf fontId="18868" applyFont="true" borderId="8" applyBorder="true" applyNumberFormat="true" numFmtId="2" fillId="22" applyFill="true">
      <alignment horizontal="center" vertical="center"/>
    </xf>
    <xf fontId="18869" applyFont="true" borderId="8" applyBorder="true" applyNumberFormat="true" numFmtId="2" fillId="22" applyFill="true">
      <alignment horizontal="center" vertical="center"/>
    </xf>
    <xf fontId="18870" applyFont="true" borderId="8" applyBorder="true" applyNumberFormat="true" numFmtId="2" fillId="22" applyFill="true">
      <alignment horizontal="center" vertical="center"/>
    </xf>
    <xf fontId="18871" applyFont="true" borderId="8" applyBorder="true" applyNumberFormat="true" numFmtId="2" fillId="22" applyFill="true">
      <alignment horizontal="center" vertical="center"/>
    </xf>
    <xf fontId="18872" applyFont="true" borderId="8" applyBorder="true" applyNumberFormat="true" numFmtId="2" fillId="22" applyFill="true">
      <alignment horizontal="center" vertical="center"/>
    </xf>
    <xf fontId="18873" applyFont="true" borderId="8" applyBorder="true" applyNumberFormat="true" numFmtId="2" fillId="22" applyFill="true">
      <alignment horizontal="center" vertical="center"/>
    </xf>
    <xf fontId="18874" applyFont="true" borderId="8" applyBorder="true" applyNumberFormat="true" numFmtId="2" fillId="22" applyFill="true">
      <alignment horizontal="center" vertical="center"/>
    </xf>
    <xf fontId="18875" applyFont="true" borderId="8" applyBorder="true" applyNumberFormat="true" numFmtId="2" fillId="22" applyFill="true">
      <alignment horizontal="center" vertical="center"/>
    </xf>
    <xf fontId="18876" applyFont="true" borderId="8" applyBorder="true" applyNumberFormat="true" numFmtId="2" fillId="22" applyFill="true">
      <alignment horizontal="center" vertical="center"/>
    </xf>
    <xf fontId="18877" applyFont="true" borderId="8" applyBorder="true" applyNumberFormat="true" numFmtId="165" fillId="19" applyFill="true">
      <alignment horizontal="left" vertical="center"/>
    </xf>
    <xf fontId="18878" applyFont="true" borderId="8" applyBorder="true" applyNumberFormat="true" numFmtId="165" fillId="22" applyFill="true">
      <alignment horizontal="center" vertical="center"/>
    </xf>
    <xf fontId="18879" applyFont="true" borderId="8" applyBorder="true" applyNumberFormat="true" numFmtId="166" fillId="22" applyFill="true">
      <alignment horizontal="center" vertical="center"/>
    </xf>
    <xf fontId="18880" applyFont="true" borderId="8" applyBorder="true" applyNumberFormat="true" numFmtId="1" fillId="22" applyFill="true">
      <alignment horizontal="center" vertical="center"/>
    </xf>
    <xf fontId="18881" applyFont="true" borderId="8" applyBorder="true" applyNumberFormat="true" numFmtId="1" fillId="22" applyFill="true">
      <alignment horizontal="center" vertical="center"/>
    </xf>
    <xf fontId="18882" applyFont="true" borderId="8" applyBorder="true" applyNumberFormat="true" numFmtId="1" fillId="22" applyFill="true">
      <alignment horizontal="center" vertical="center"/>
    </xf>
    <xf fontId="18883" applyFont="true" borderId="8" applyBorder="true" applyNumberFormat="true" numFmtId="1" fillId="22" applyFill="true">
      <alignment horizontal="center" vertical="center"/>
    </xf>
    <xf fontId="18884" applyFont="true" borderId="8" applyBorder="true" applyNumberFormat="true" numFmtId="1" fillId="22" applyFill="true">
      <alignment horizontal="center" vertical="center"/>
    </xf>
    <xf fontId="18885" applyFont="true" borderId="8" applyBorder="true" applyNumberFormat="true" numFmtId="1" fillId="22" applyFill="true">
      <alignment horizontal="center" vertical="center"/>
    </xf>
    <xf fontId="18886" applyFont="true" borderId="8" applyBorder="true" applyNumberFormat="true" numFmtId="1" fillId="22" applyFill="true">
      <alignment horizontal="center" vertical="center"/>
    </xf>
    <xf fontId="18887" applyFont="true" borderId="8" applyBorder="true" applyNumberFormat="true" numFmtId="165" fillId="22" applyFill="true">
      <alignment horizontal="center" vertical="center"/>
    </xf>
    <xf fontId="18888" applyFont="true" borderId="8" applyBorder="true" applyNumberFormat="true" numFmtId="165" fillId="22" applyFill="true">
      <alignment horizontal="center" vertical="center"/>
    </xf>
    <xf fontId="18889" applyFont="true" borderId="8" applyBorder="true" applyNumberFormat="true" numFmtId="1" fillId="22" applyFill="true">
      <alignment horizontal="center" vertical="center"/>
    </xf>
    <xf fontId="18890" applyFont="true" borderId="8" applyBorder="true" applyNumberFormat="true" numFmtId="1" fillId="22" applyFill="true">
      <alignment horizontal="center" vertical="center"/>
    </xf>
    <xf fontId="18891" applyFont="true" borderId="8" applyBorder="true" applyNumberFormat="true" numFmtId="1" fillId="22" applyFill="true">
      <alignment horizontal="center" vertical="center"/>
    </xf>
    <xf fontId="18892" applyFont="true" borderId="8" applyBorder="true" applyNumberFormat="true" numFmtId="167" fillId="22" applyFill="true">
      <alignment horizontal="center" vertical="center"/>
    </xf>
    <xf fontId="18893" applyFont="true" borderId="8" applyBorder="true" applyNumberFormat="true" numFmtId="1" fillId="22" applyFill="true">
      <alignment horizontal="center" vertical="center"/>
    </xf>
    <xf fontId="18894" applyFont="true" borderId="8" applyBorder="true" applyNumberFormat="true" numFmtId="167" fillId="22" applyFill="true">
      <alignment horizontal="center" vertical="center"/>
    </xf>
    <xf fontId="18895" applyFont="true" borderId="8" applyBorder="true" applyNumberFormat="true" numFmtId="1" fillId="22" applyFill="true">
      <alignment horizontal="center" vertical="center"/>
    </xf>
    <xf fontId="18896" applyFont="true" borderId="8" applyBorder="true" applyNumberFormat="true" numFmtId="167" fillId="22" applyFill="true">
      <alignment horizontal="center" vertical="center"/>
    </xf>
    <xf fontId="18897" applyFont="true" borderId="8" applyBorder="true" applyNumberFormat="true" numFmtId="1" fillId="22" applyFill="true">
      <alignment horizontal="center" vertical="center"/>
    </xf>
    <xf fontId="18898" applyFont="true" borderId="8" applyBorder="true" applyNumberFormat="true" numFmtId="167" fillId="22" applyFill="true">
      <alignment horizontal="center" vertical="center"/>
    </xf>
    <xf fontId="18899" applyFont="true" borderId="8" applyBorder="true" applyNumberFormat="true" numFmtId="167" fillId="22" applyFill="true">
      <alignment horizontal="center" vertical="center"/>
    </xf>
    <xf fontId="18900" applyFont="true" borderId="8" applyBorder="true" applyNumberFormat="true" numFmtId="1" fillId="22" applyFill="true">
      <alignment horizontal="center" vertical="center"/>
    </xf>
    <xf fontId="18901" applyFont="true" borderId="8" applyBorder="true" applyNumberFormat="true" numFmtId="1" fillId="22" applyFill="true">
      <alignment horizontal="center" vertical="center"/>
    </xf>
    <xf fontId="18902" applyFont="true" borderId="8" applyBorder="true" applyNumberFormat="true" numFmtId="1" fillId="22" applyFill="true">
      <alignment horizontal="center" vertical="center"/>
    </xf>
    <xf fontId="18903" applyFont="true" borderId="8" applyBorder="true" applyNumberFormat="true" numFmtId="167" fillId="22" applyFill="true">
      <alignment horizontal="center" vertical="center"/>
    </xf>
    <xf fontId="18904" applyFont="true" borderId="8" applyBorder="true" applyNumberFormat="true" numFmtId="166" fillId="22" applyFill="true">
      <alignment horizontal="center" vertical="center"/>
    </xf>
    <xf fontId="18905" applyFont="true" borderId="8" applyBorder="true" applyNumberFormat="true" numFmtId="166" fillId="22" applyFill="true">
      <alignment horizontal="center" vertical="center"/>
    </xf>
    <xf fontId="18906" applyFont="true" borderId="8" applyBorder="true" applyNumberFormat="true" numFmtId="1" fillId="22" applyFill="true">
      <alignment horizontal="center" vertical="center"/>
    </xf>
    <xf fontId="18907" applyFont="true" borderId="8" applyBorder="true" applyNumberFormat="true" numFmtId="1" fillId="22" applyFill="true">
      <alignment horizontal="center" vertical="center"/>
    </xf>
    <xf fontId="18908" applyFont="true" borderId="8" applyBorder="true" applyNumberFormat="true" numFmtId="1" fillId="22" applyFill="true">
      <alignment horizontal="center" vertical="center"/>
    </xf>
    <xf fontId="18909" applyFont="true" borderId="8" applyBorder="true" applyNumberFormat="true" numFmtId="167" fillId="22" applyFill="true">
      <alignment horizontal="center" vertical="center"/>
    </xf>
    <xf fontId="18910" applyFont="true" borderId="8" applyBorder="true" applyNumberFormat="true" numFmtId="1" fillId="22" applyFill="true">
      <alignment horizontal="center" vertical="center"/>
    </xf>
    <xf fontId="18911" applyFont="true" borderId="8" applyBorder="true" applyNumberFormat="true" numFmtId="167" fillId="22" applyFill="true">
      <alignment horizontal="center" vertical="center"/>
    </xf>
    <xf fontId="18912" applyFont="true" borderId="8" applyBorder="true" applyNumberFormat="true" numFmtId="1" fillId="22" applyFill="true">
      <alignment horizontal="center" vertical="center"/>
    </xf>
    <xf fontId="18913" applyFont="true" borderId="8" applyBorder="true" applyNumberFormat="true" numFmtId="1" fillId="22" applyFill="true">
      <alignment horizontal="center" vertical="center"/>
    </xf>
    <xf fontId="18914" applyFont="true" borderId="8" applyBorder="true" applyNumberFormat="true" numFmtId="1" fillId="22" applyFill="true">
      <alignment horizontal="center" vertical="center"/>
    </xf>
    <xf fontId="18915" applyFont="true" borderId="8" applyBorder="true" applyNumberFormat="true" numFmtId="1" fillId="22" applyFill="true">
      <alignment horizontal="center" vertical="center"/>
    </xf>
    <xf fontId="18916" applyFont="true" borderId="8" applyBorder="true" applyNumberFormat="true" numFmtId="167" fillId="22" applyFill="true">
      <alignment horizontal="center" vertical="center"/>
    </xf>
    <xf fontId="18917" applyFont="true" borderId="8" applyBorder="true" applyNumberFormat="true" numFmtId="1" fillId="22" applyFill="true">
      <alignment horizontal="center" vertical="center"/>
    </xf>
    <xf fontId="18918" applyFont="true" borderId="8" applyBorder="true" applyNumberFormat="true" numFmtId="167" fillId="22" applyFill="true">
      <alignment horizontal="center" vertical="center"/>
    </xf>
    <xf fontId="18919" applyFont="true" borderId="8" applyBorder="true" applyNumberFormat="true" numFmtId="1" fillId="22" applyFill="true">
      <alignment horizontal="center" vertical="center"/>
    </xf>
    <xf fontId="18920" applyFont="true" borderId="8" applyBorder="true" applyNumberFormat="true" numFmtId="167" fillId="22" applyFill="true">
      <alignment horizontal="center" vertical="center"/>
    </xf>
    <xf fontId="18921" applyFont="true" borderId="8" applyBorder="true" applyNumberFormat="true" numFmtId="2" fillId="22" applyFill="true">
      <alignment horizontal="center" vertical="center"/>
    </xf>
    <xf fontId="18922" applyFont="true" borderId="8" applyBorder="true" applyNumberFormat="true" numFmtId="2" fillId="22" applyFill="true">
      <alignment horizontal="center" vertical="center"/>
    </xf>
    <xf fontId="18923" applyFont="true" borderId="8" applyBorder="true" applyNumberFormat="true" numFmtId="2" fillId="22" applyFill="true">
      <alignment horizontal="center" vertical="center"/>
    </xf>
    <xf fontId="18924" applyFont="true" borderId="8" applyBorder="true" applyNumberFormat="true" numFmtId="2" fillId="22" applyFill="true">
      <alignment horizontal="center" vertical="center"/>
    </xf>
    <xf fontId="18925" applyFont="true" borderId="8" applyBorder="true" applyNumberFormat="true" numFmtId="2" fillId="22" applyFill="true">
      <alignment horizontal="center" vertical="center"/>
    </xf>
    <xf fontId="18926" applyFont="true" borderId="8" applyBorder="true" applyNumberFormat="true" numFmtId="2" fillId="22" applyFill="true">
      <alignment horizontal="center" vertical="center"/>
    </xf>
    <xf fontId="18927" applyFont="true" borderId="8" applyBorder="true" applyNumberFormat="true" numFmtId="2" fillId="22" applyFill="true">
      <alignment horizontal="center" vertical="center"/>
    </xf>
    <xf fontId="18928" applyFont="true" borderId="8" applyBorder="true" applyNumberFormat="true" numFmtId="2" fillId="22" applyFill="true">
      <alignment horizontal="center" vertical="center"/>
    </xf>
    <xf fontId="18929" applyFont="true" borderId="8" applyBorder="true" applyNumberFormat="true" numFmtId="2" fillId="22" applyFill="true">
      <alignment horizontal="center" vertical="center"/>
    </xf>
    <xf fontId="18930" applyFont="true" borderId="8" applyBorder="true" applyNumberFormat="true" numFmtId="2" fillId="22" applyFill="true">
      <alignment horizontal="center" vertical="center"/>
    </xf>
    <xf fontId="18931" applyFont="true" borderId="8" applyBorder="true" applyNumberFormat="true" numFmtId="2" fillId="22" applyFill="true">
      <alignment horizontal="center" vertical="center"/>
    </xf>
    <xf fontId="18932" applyFont="true" borderId="8" applyBorder="true" applyNumberFormat="true" numFmtId="2" fillId="22" applyFill="true">
      <alignment horizontal="center" vertical="center"/>
    </xf>
    <xf fontId="18933" applyFont="true" borderId="8" applyBorder="true" applyNumberFormat="true" numFmtId="2" fillId="22" applyFill="true">
      <alignment horizontal="center" vertical="center"/>
    </xf>
    <xf fontId="18934" applyFont="true" borderId="8" applyBorder="true" applyNumberFormat="true" numFmtId="2" fillId="22" applyFill="true">
      <alignment horizontal="center" vertical="center"/>
    </xf>
    <xf fontId="18935" applyFont="true" borderId="8" applyBorder="true" applyNumberFormat="true" numFmtId="2" fillId="22" applyFill="true">
      <alignment horizontal="center" vertical="center"/>
    </xf>
    <xf fontId="18936" applyFont="true" borderId="8" applyBorder="true" applyNumberFormat="true" numFmtId="2" fillId="22" applyFill="true">
      <alignment horizontal="center" vertical="center"/>
    </xf>
    <xf fontId="18937" applyFont="true" borderId="8" applyBorder="true" applyNumberFormat="true" numFmtId="2" fillId="22" applyFill="true">
      <alignment horizontal="center" vertical="center"/>
    </xf>
    <xf fontId="18938" applyFont="true" borderId="8" applyBorder="true" applyNumberFormat="true" numFmtId="2" fillId="22" applyFill="true">
      <alignment horizontal="center" vertical="center"/>
    </xf>
    <xf fontId="18939" applyFont="true" borderId="8" applyBorder="true" applyNumberFormat="true" numFmtId="2" fillId="22" applyFill="true">
      <alignment horizontal="center" vertical="center"/>
    </xf>
    <xf fontId="18940" applyFont="true" borderId="8" applyBorder="true" applyNumberFormat="true" numFmtId="2" fillId="22" applyFill="true">
      <alignment horizontal="center" vertical="center"/>
    </xf>
    <xf fontId="18941" applyFont="true" borderId="8" applyBorder="true" applyNumberFormat="true" numFmtId="2" fillId="22" applyFill="true">
      <alignment horizontal="center" vertical="center"/>
    </xf>
    <xf fontId="18942" applyFont="true" borderId="8" applyBorder="true" applyNumberFormat="true" numFmtId="2" fillId="22" applyFill="true">
      <alignment horizontal="center" vertical="center"/>
    </xf>
    <xf fontId="18943" applyFont="true" borderId="8" applyBorder="true" applyNumberFormat="true" numFmtId="2" fillId="22" applyFill="true">
      <alignment horizontal="center" vertical="center"/>
    </xf>
    <xf fontId="18944" applyFont="true" borderId="8" applyBorder="true" applyNumberFormat="true" numFmtId="2" fillId="22" applyFill="true">
      <alignment horizontal="center" vertical="center"/>
    </xf>
    <xf fontId="18945" applyFont="true" borderId="8" applyBorder="true" applyNumberFormat="true" numFmtId="2" fillId="22" applyFill="true">
      <alignment horizontal="center" vertical="center"/>
    </xf>
    <xf fontId="18946" applyFont="true" borderId="8" applyBorder="true" applyNumberFormat="true" numFmtId="2" fillId="22" applyFill="true">
      <alignment horizontal="center" vertical="center"/>
    </xf>
    <xf fontId="18947" applyFont="true" borderId="8" applyBorder="true" applyNumberFormat="true" numFmtId="2" fillId="22" applyFill="true">
      <alignment horizontal="center" vertical="center"/>
    </xf>
    <xf fontId="18948" applyFont="true" borderId="8" applyBorder="true" applyNumberFormat="true" numFmtId="2" fillId="22" applyFill="true">
      <alignment horizontal="center" vertical="center"/>
    </xf>
    <xf fontId="18949" applyFont="true" borderId="8" applyBorder="true" applyNumberFormat="true" numFmtId="2" fillId="22" applyFill="true">
      <alignment horizontal="center" vertical="center"/>
    </xf>
    <xf fontId="18950" applyFont="true" borderId="8" applyBorder="true" applyNumberFormat="true" numFmtId="2" fillId="22" applyFill="true">
      <alignment horizontal="center" vertical="center"/>
    </xf>
    <xf fontId="18951" applyFont="true" borderId="8" applyBorder="true" applyNumberFormat="true" numFmtId="2" fillId="22" applyFill="true">
      <alignment horizontal="center" vertical="center"/>
    </xf>
    <xf fontId="18952" applyFont="true" borderId="8" applyBorder="true" applyNumberFormat="true" numFmtId="2" fillId="22" applyFill="true">
      <alignment horizontal="center" vertical="center"/>
    </xf>
    <xf fontId="18953" applyFont="true" borderId="8" applyBorder="true" applyNumberFormat="true" numFmtId="2" fillId="22" applyFill="true">
      <alignment horizontal="center" vertical="center"/>
    </xf>
    <xf fontId="18954" applyFont="true" borderId="8" applyBorder="true" applyNumberFormat="true" numFmtId="2" fillId="22" applyFill="true">
      <alignment horizontal="center" vertical="center"/>
    </xf>
    <xf fontId="18955" applyFont="true" borderId="8" applyBorder="true" applyNumberFormat="true" numFmtId="165" fillId="19" applyFill="true">
      <alignment horizontal="left" vertical="center"/>
    </xf>
    <xf fontId="18956" applyFont="true" borderId="8" applyBorder="true" applyNumberFormat="true" numFmtId="165" fillId="22" applyFill="true">
      <alignment horizontal="center" vertical="center"/>
    </xf>
    <xf fontId="18957" applyFont="true" borderId="8" applyBorder="true" applyNumberFormat="true" numFmtId="165" fillId="19" applyFill="true">
      <alignment horizontal="left" vertical="center"/>
    </xf>
    <xf fontId="18958" applyFont="true" borderId="8" applyBorder="true" applyNumberFormat="true" numFmtId="165" fillId="22" applyFill="true">
      <alignment horizontal="center" vertical="center"/>
    </xf>
    <xf fontId="18959" applyFont="true" borderId="8" applyBorder="true" applyNumberFormat="true" numFmtId="166" fillId="22" applyFill="true">
      <alignment horizontal="center" vertical="center"/>
    </xf>
    <xf fontId="18960" applyFont="true" borderId="8" applyBorder="true" applyNumberFormat="true" numFmtId="1" fillId="22" applyFill="true">
      <alignment horizontal="center" vertical="center"/>
    </xf>
    <xf fontId="18961" applyFont="true" borderId="8" applyBorder="true" applyNumberFormat="true" numFmtId="1" fillId="22" applyFill="true">
      <alignment horizontal="center" vertical="center"/>
    </xf>
    <xf fontId="18962" applyFont="true" borderId="8" applyBorder="true" applyNumberFormat="true" numFmtId="1" fillId="22" applyFill="true">
      <alignment horizontal="center" vertical="center"/>
    </xf>
    <xf fontId="18963" applyFont="true" borderId="8" applyBorder="true" applyNumberFormat="true" numFmtId="1" fillId="22" applyFill="true">
      <alignment horizontal="center" vertical="center"/>
    </xf>
    <xf fontId="18964" applyFont="true" borderId="8" applyBorder="true" applyNumberFormat="true" numFmtId="1" fillId="22" applyFill="true">
      <alignment horizontal="center" vertical="center"/>
    </xf>
    <xf fontId="18965" applyFont="true" borderId="8" applyBorder="true" applyNumberFormat="true" numFmtId="1" fillId="22" applyFill="true">
      <alignment horizontal="center" vertical="center"/>
    </xf>
    <xf fontId="18966" applyFont="true" borderId="8" applyBorder="true" applyNumberFormat="true" numFmtId="1" fillId="22" applyFill="true">
      <alignment horizontal="center" vertical="center"/>
    </xf>
    <xf fontId="18967" applyFont="true" borderId="8" applyBorder="true" applyNumberFormat="true" numFmtId="165" fillId="22" applyFill="true">
      <alignment horizontal="center" vertical="center"/>
    </xf>
    <xf fontId="18968" applyFont="true" borderId="8" applyBorder="true" applyNumberFormat="true" numFmtId="165" fillId="22" applyFill="true">
      <alignment horizontal="center" vertical="center"/>
    </xf>
    <xf fontId="18969" applyFont="true" borderId="8" applyBorder="true" applyNumberFormat="true" numFmtId="1" fillId="22" applyFill="true">
      <alignment horizontal="center" vertical="center"/>
    </xf>
    <xf fontId="18970" applyFont="true" borderId="8" applyBorder="true" applyNumberFormat="true" numFmtId="1" fillId="22" applyFill="true">
      <alignment horizontal="center" vertical="center"/>
    </xf>
    <xf fontId="18971" applyFont="true" borderId="8" applyBorder="true" applyNumberFormat="true" numFmtId="1" fillId="22" applyFill="true">
      <alignment horizontal="center" vertical="center"/>
    </xf>
    <xf fontId="18972" applyFont="true" borderId="8" applyBorder="true" applyNumberFormat="true" numFmtId="167" fillId="22" applyFill="true">
      <alignment horizontal="center" vertical="center"/>
    </xf>
    <xf fontId="18973" applyFont="true" borderId="8" applyBorder="true" applyNumberFormat="true" numFmtId="1" fillId="22" applyFill="true">
      <alignment horizontal="center" vertical="center"/>
    </xf>
    <xf fontId="18974" applyFont="true" borderId="8" applyBorder="true" applyNumberFormat="true" numFmtId="167" fillId="22" applyFill="true">
      <alignment horizontal="center" vertical="center"/>
    </xf>
    <xf fontId="18975" applyFont="true" borderId="8" applyBorder="true" applyNumberFormat="true" numFmtId="1" fillId="22" applyFill="true">
      <alignment horizontal="center" vertical="center"/>
    </xf>
    <xf fontId="18976" applyFont="true" borderId="8" applyBorder="true" applyNumberFormat="true" numFmtId="167" fillId="22" applyFill="true">
      <alignment horizontal="center" vertical="center"/>
    </xf>
    <xf fontId="18977" applyFont="true" borderId="8" applyBorder="true" applyNumberFormat="true" numFmtId="1" fillId="22" applyFill="true">
      <alignment horizontal="center" vertical="center"/>
    </xf>
    <xf fontId="18978" applyFont="true" borderId="8" applyBorder="true" applyNumberFormat="true" numFmtId="167" fillId="22" applyFill="true">
      <alignment horizontal="center" vertical="center"/>
    </xf>
    <xf fontId="18979" applyFont="true" borderId="8" applyBorder="true" applyNumberFormat="true" numFmtId="167" fillId="22" applyFill="true">
      <alignment horizontal="center" vertical="center"/>
    </xf>
    <xf fontId="18980" applyFont="true" borderId="8" applyBorder="true" applyNumberFormat="true" numFmtId="1" fillId="22" applyFill="true">
      <alignment horizontal="center" vertical="center"/>
    </xf>
    <xf fontId="18981" applyFont="true" borderId="8" applyBorder="true" applyNumberFormat="true" numFmtId="1" fillId="22" applyFill="true">
      <alignment horizontal="center" vertical="center"/>
    </xf>
    <xf fontId="18982" applyFont="true" borderId="8" applyBorder="true" applyNumberFormat="true" numFmtId="1" fillId="22" applyFill="true">
      <alignment horizontal="center" vertical="center"/>
    </xf>
    <xf fontId="18983" applyFont="true" borderId="8" applyBorder="true" applyNumberFormat="true" numFmtId="167" fillId="22" applyFill="true">
      <alignment horizontal="center" vertical="center"/>
    </xf>
    <xf fontId="18984" applyFont="true" borderId="8" applyBorder="true" applyNumberFormat="true" numFmtId="166" fillId="22" applyFill="true">
      <alignment horizontal="center" vertical="center"/>
    </xf>
    <xf fontId="18985" applyFont="true" borderId="8" applyBorder="true" applyNumberFormat="true" numFmtId="166" fillId="22" applyFill="true">
      <alignment horizontal="center" vertical="center"/>
    </xf>
    <xf fontId="18986" applyFont="true" borderId="8" applyBorder="true" applyNumberFormat="true" numFmtId="1" fillId="22" applyFill="true">
      <alignment horizontal="center" vertical="center"/>
    </xf>
    <xf fontId="18987" applyFont="true" borderId="8" applyBorder="true" applyNumberFormat="true" numFmtId="1" fillId="22" applyFill="true">
      <alignment horizontal="center" vertical="center"/>
    </xf>
    <xf fontId="18988" applyFont="true" borderId="8" applyBorder="true" applyNumberFormat="true" numFmtId="1" fillId="22" applyFill="true">
      <alignment horizontal="center" vertical="center"/>
    </xf>
    <xf fontId="18989" applyFont="true" borderId="8" applyBorder="true" applyNumberFormat="true" numFmtId="167" fillId="22" applyFill="true">
      <alignment horizontal="center" vertical="center"/>
    </xf>
    <xf fontId="18990" applyFont="true" borderId="8" applyBorder="true" applyNumberFormat="true" numFmtId="1" fillId="22" applyFill="true">
      <alignment horizontal="center" vertical="center"/>
    </xf>
    <xf fontId="18991" applyFont="true" borderId="8" applyBorder="true" applyNumberFormat="true" numFmtId="167" fillId="22" applyFill="true">
      <alignment horizontal="center" vertical="center"/>
    </xf>
    <xf fontId="18992" applyFont="true" borderId="8" applyBorder="true" applyNumberFormat="true" numFmtId="1" fillId="22" applyFill="true">
      <alignment horizontal="center" vertical="center"/>
    </xf>
    <xf fontId="18993" applyFont="true" borderId="8" applyBorder="true" applyNumberFormat="true" numFmtId="1" fillId="22" applyFill="true">
      <alignment horizontal="center" vertical="center"/>
    </xf>
    <xf fontId="18994" applyFont="true" borderId="8" applyBorder="true" applyNumberFormat="true" numFmtId="1" fillId="22" applyFill="true">
      <alignment horizontal="center" vertical="center"/>
    </xf>
    <xf fontId="18995" applyFont="true" borderId="8" applyBorder="true" applyNumberFormat="true" numFmtId="1" fillId="22" applyFill="true">
      <alignment horizontal="center" vertical="center"/>
    </xf>
    <xf fontId="18996" applyFont="true" borderId="8" applyBorder="true" applyNumberFormat="true" numFmtId="167" fillId="22" applyFill="true">
      <alignment horizontal="center" vertical="center"/>
    </xf>
    <xf fontId="18997" applyFont="true" borderId="8" applyBorder="true" applyNumberFormat="true" numFmtId="1" fillId="22" applyFill="true">
      <alignment horizontal="center" vertical="center"/>
    </xf>
    <xf fontId="18998" applyFont="true" borderId="8" applyBorder="true" applyNumberFormat="true" numFmtId="167" fillId="22" applyFill="true">
      <alignment horizontal="center" vertical="center"/>
    </xf>
    <xf fontId="18999" applyFont="true" borderId="8" applyBorder="true" applyNumberFormat="true" numFmtId="1" fillId="22" applyFill="true">
      <alignment horizontal="center" vertical="center"/>
    </xf>
    <xf fontId="19000" applyFont="true" borderId="8" applyBorder="true" applyNumberFormat="true" numFmtId="167" fillId="22" applyFill="true">
      <alignment horizontal="center" vertical="center"/>
    </xf>
    <xf fontId="19001" applyFont="true" borderId="8" applyBorder="true" applyNumberFormat="true" numFmtId="2" fillId="22" applyFill="true">
      <alignment horizontal="center" vertical="center"/>
    </xf>
    <xf fontId="19002" applyFont="true" borderId="8" applyBorder="true" applyNumberFormat="true" numFmtId="2" fillId="22" applyFill="true">
      <alignment horizontal="center" vertical="center"/>
    </xf>
    <xf fontId="19003" applyFont="true" borderId="8" applyBorder="true" applyNumberFormat="true" numFmtId="2" fillId="22" applyFill="true">
      <alignment horizontal="center" vertical="center"/>
    </xf>
    <xf fontId="19004" applyFont="true" borderId="8" applyBorder="true" applyNumberFormat="true" numFmtId="2" fillId="22" applyFill="true">
      <alignment horizontal="center" vertical="center"/>
    </xf>
    <xf fontId="19005" applyFont="true" borderId="8" applyBorder="true" applyNumberFormat="true" numFmtId="2" fillId="22" applyFill="true">
      <alignment horizontal="center" vertical="center"/>
    </xf>
    <xf fontId="19006" applyFont="true" borderId="8" applyBorder="true" applyNumberFormat="true" numFmtId="2" fillId="22" applyFill="true">
      <alignment horizontal="center" vertical="center"/>
    </xf>
    <xf fontId="19007" applyFont="true" borderId="8" applyBorder="true" applyNumberFormat="true" numFmtId="2" fillId="22" applyFill="true">
      <alignment horizontal="center" vertical="center"/>
    </xf>
    <xf fontId="19008" applyFont="true" borderId="8" applyBorder="true" applyNumberFormat="true" numFmtId="2" fillId="22" applyFill="true">
      <alignment horizontal="center" vertical="center"/>
    </xf>
    <xf fontId="19009" applyFont="true" borderId="8" applyBorder="true" applyNumberFormat="true" numFmtId="2" fillId="22" applyFill="true">
      <alignment horizontal="center" vertical="center"/>
    </xf>
    <xf fontId="19010" applyFont="true" borderId="8" applyBorder="true" applyNumberFormat="true" numFmtId="2" fillId="22" applyFill="true">
      <alignment horizontal="center" vertical="center"/>
    </xf>
    <xf fontId="19011" applyFont="true" borderId="8" applyBorder="true" applyNumberFormat="true" numFmtId="2" fillId="22" applyFill="true">
      <alignment horizontal="center" vertical="center"/>
    </xf>
    <xf fontId="19012" applyFont="true" borderId="8" applyBorder="true" applyNumberFormat="true" numFmtId="2" fillId="22" applyFill="true">
      <alignment horizontal="center" vertical="center"/>
    </xf>
    <xf fontId="19013" applyFont="true" borderId="8" applyBorder="true" applyNumberFormat="true" numFmtId="2" fillId="22" applyFill="true">
      <alignment horizontal="center" vertical="center"/>
    </xf>
    <xf fontId="19014" applyFont="true" borderId="8" applyBorder="true" applyNumberFormat="true" numFmtId="2" fillId="22" applyFill="true">
      <alignment horizontal="center" vertical="center"/>
    </xf>
    <xf fontId="19015" applyFont="true" borderId="8" applyBorder="true" applyNumberFormat="true" numFmtId="2" fillId="22" applyFill="true">
      <alignment horizontal="center" vertical="center"/>
    </xf>
    <xf fontId="19016" applyFont="true" borderId="8" applyBorder="true" applyNumberFormat="true" numFmtId="2" fillId="22" applyFill="true">
      <alignment horizontal="center" vertical="center"/>
    </xf>
    <xf fontId="19017" applyFont="true" borderId="8" applyBorder="true" applyNumberFormat="true" numFmtId="2" fillId="22" applyFill="true">
      <alignment horizontal="center" vertical="center"/>
    </xf>
    <xf fontId="19018" applyFont="true" borderId="8" applyBorder="true" applyNumberFormat="true" numFmtId="2" fillId="22" applyFill="true">
      <alignment horizontal="center" vertical="center"/>
    </xf>
    <xf fontId="19019" applyFont="true" borderId="8" applyBorder="true" applyNumberFormat="true" numFmtId="2" fillId="22" applyFill="true">
      <alignment horizontal="center" vertical="center"/>
    </xf>
    <xf fontId="19020" applyFont="true" borderId="8" applyBorder="true" applyNumberFormat="true" numFmtId="2" fillId="22" applyFill="true">
      <alignment horizontal="center" vertical="center"/>
    </xf>
    <xf fontId="19021" applyFont="true" borderId="8" applyBorder="true" applyNumberFormat="true" numFmtId="2" fillId="22" applyFill="true">
      <alignment horizontal="center" vertical="center"/>
    </xf>
    <xf fontId="19022" applyFont="true" borderId="8" applyBorder="true" applyNumberFormat="true" numFmtId="2" fillId="22" applyFill="true">
      <alignment horizontal="center" vertical="center"/>
    </xf>
    <xf fontId="19023" applyFont="true" borderId="8" applyBorder="true" applyNumberFormat="true" numFmtId="2" fillId="22" applyFill="true">
      <alignment horizontal="center" vertical="center"/>
    </xf>
    <xf fontId="19024" applyFont="true" borderId="8" applyBorder="true" applyNumberFormat="true" numFmtId="2" fillId="22" applyFill="true">
      <alignment horizontal="center" vertical="center"/>
    </xf>
    <xf fontId="19025" applyFont="true" borderId="8" applyBorder="true" applyNumberFormat="true" numFmtId="2" fillId="22" applyFill="true">
      <alignment horizontal="center" vertical="center"/>
    </xf>
    <xf fontId="19026" applyFont="true" borderId="8" applyBorder="true" applyNumberFormat="true" numFmtId="2" fillId="22" applyFill="true">
      <alignment horizontal="center" vertical="center"/>
    </xf>
    <xf fontId="19027" applyFont="true" borderId="8" applyBorder="true" applyNumberFormat="true" numFmtId="2" fillId="22" applyFill="true">
      <alignment horizontal="center" vertical="center"/>
    </xf>
    <xf fontId="19028" applyFont="true" borderId="8" applyBorder="true" applyNumberFormat="true" numFmtId="2" fillId="22" applyFill="true">
      <alignment horizontal="center" vertical="center"/>
    </xf>
    <xf fontId="19029" applyFont="true" borderId="8" applyBorder="true" applyNumberFormat="true" numFmtId="2" fillId="22" applyFill="true">
      <alignment horizontal="center" vertical="center"/>
    </xf>
    <xf fontId="19030" applyFont="true" borderId="8" applyBorder="true" applyNumberFormat="true" numFmtId="2" fillId="22" applyFill="true">
      <alignment horizontal="center" vertical="center"/>
    </xf>
    <xf fontId="19031" applyFont="true" borderId="8" applyBorder="true" applyNumberFormat="true" numFmtId="2" fillId="22" applyFill="true">
      <alignment horizontal="center" vertical="center"/>
    </xf>
    <xf fontId="19032" applyFont="true" borderId="8" applyBorder="true" applyNumberFormat="true" numFmtId="2" fillId="22" applyFill="true">
      <alignment horizontal="center" vertical="center"/>
    </xf>
    <xf fontId="19033" applyFont="true" borderId="8" applyBorder="true" applyNumberFormat="true" numFmtId="2" fillId="22" applyFill="true">
      <alignment horizontal="center" vertical="center"/>
    </xf>
    <xf fontId="19034" applyFont="true" borderId="8" applyBorder="true" applyNumberFormat="true" numFmtId="2" fillId="22" applyFill="true">
      <alignment horizontal="center" vertical="center"/>
    </xf>
    <xf fontId="19035" applyFont="true" borderId="8" applyBorder="true" applyNumberFormat="true" numFmtId="165" fillId="19" applyFill="true">
      <alignment horizontal="left" vertical="center"/>
    </xf>
    <xf fontId="19036" applyFont="true" borderId="8" applyBorder="true" applyNumberFormat="true" numFmtId="165" fillId="22" applyFill="true">
      <alignment horizontal="center" vertical="center"/>
    </xf>
    <xf fontId="19037" applyFont="true" borderId="8" applyBorder="true" applyNumberFormat="true" numFmtId="166" fillId="22" applyFill="true">
      <alignment horizontal="center" vertical="center"/>
    </xf>
    <xf fontId="19038" applyFont="true" borderId="8" applyBorder="true" applyNumberFormat="true" numFmtId="1" fillId="22" applyFill="true">
      <alignment horizontal="center" vertical="center"/>
    </xf>
    <xf fontId="19039" applyFont="true" borderId="8" applyBorder="true" applyNumberFormat="true" numFmtId="1" fillId="22" applyFill="true">
      <alignment horizontal="center" vertical="center"/>
    </xf>
    <xf fontId="19040" applyFont="true" borderId="8" applyBorder="true" applyNumberFormat="true" numFmtId="1" fillId="22" applyFill="true">
      <alignment horizontal="center" vertical="center"/>
    </xf>
    <xf fontId="19041" applyFont="true" borderId="8" applyBorder="true" applyNumberFormat="true" numFmtId="1" fillId="22" applyFill="true">
      <alignment horizontal="center" vertical="center"/>
    </xf>
    <xf fontId="19042" applyFont="true" borderId="8" applyBorder="true" applyNumberFormat="true" numFmtId="1" fillId="22" applyFill="true">
      <alignment horizontal="center" vertical="center"/>
    </xf>
    <xf fontId="19043" applyFont="true" borderId="8" applyBorder="true" applyNumberFormat="true" numFmtId="1" fillId="22" applyFill="true">
      <alignment horizontal="center" vertical="center"/>
    </xf>
    <xf fontId="19044" applyFont="true" borderId="8" applyBorder="true" applyNumberFormat="true" numFmtId="1" fillId="22" applyFill="true">
      <alignment horizontal="center" vertical="center"/>
    </xf>
    <xf fontId="19045" applyFont="true" borderId="8" applyBorder="true" applyNumberFormat="true" numFmtId="165" fillId="22" applyFill="true">
      <alignment horizontal="center" vertical="center"/>
    </xf>
    <xf fontId="19046" applyFont="true" borderId="8" applyBorder="true" applyNumberFormat="true" numFmtId="165" fillId="22" applyFill="true">
      <alignment horizontal="center" vertical="center"/>
    </xf>
    <xf fontId="19047" applyFont="true" borderId="8" applyBorder="true" applyNumberFormat="true" numFmtId="1" fillId="22" applyFill="true">
      <alignment horizontal="center" vertical="center"/>
    </xf>
    <xf fontId="19048" applyFont="true" borderId="8" applyBorder="true" applyNumberFormat="true" numFmtId="1" fillId="22" applyFill="true">
      <alignment horizontal="center" vertical="center"/>
    </xf>
    <xf fontId="19049" applyFont="true" borderId="8" applyBorder="true" applyNumberFormat="true" numFmtId="1" fillId="22" applyFill="true">
      <alignment horizontal="center" vertical="center"/>
    </xf>
    <xf fontId="19050" applyFont="true" borderId="8" applyBorder="true" applyNumberFormat="true" numFmtId="167" fillId="22" applyFill="true">
      <alignment horizontal="center" vertical="center"/>
    </xf>
    <xf fontId="19051" applyFont="true" borderId="8" applyBorder="true" applyNumberFormat="true" numFmtId="1" fillId="22" applyFill="true">
      <alignment horizontal="center" vertical="center"/>
    </xf>
    <xf fontId="19052" applyFont="true" borderId="8" applyBorder="true" applyNumberFormat="true" numFmtId="167" fillId="22" applyFill="true">
      <alignment horizontal="center" vertical="center"/>
    </xf>
    <xf fontId="19053" applyFont="true" borderId="8" applyBorder="true" applyNumberFormat="true" numFmtId="1" fillId="22" applyFill="true">
      <alignment horizontal="center" vertical="center"/>
    </xf>
    <xf fontId="19054" applyFont="true" borderId="8" applyBorder="true" applyNumberFormat="true" numFmtId="167" fillId="22" applyFill="true">
      <alignment horizontal="center" vertical="center"/>
    </xf>
    <xf fontId="19055" applyFont="true" borderId="8" applyBorder="true" applyNumberFormat="true" numFmtId="1" fillId="22" applyFill="true">
      <alignment horizontal="center" vertical="center"/>
    </xf>
    <xf fontId="19056" applyFont="true" borderId="8" applyBorder="true" applyNumberFormat="true" numFmtId="167" fillId="22" applyFill="true">
      <alignment horizontal="center" vertical="center"/>
    </xf>
    <xf fontId="19057" applyFont="true" borderId="8" applyBorder="true" applyNumberFormat="true" numFmtId="167" fillId="22" applyFill="true">
      <alignment horizontal="center" vertical="center"/>
    </xf>
    <xf fontId="19058" applyFont="true" borderId="8" applyBorder="true" applyNumberFormat="true" numFmtId="1" fillId="22" applyFill="true">
      <alignment horizontal="center" vertical="center"/>
    </xf>
    <xf fontId="19059" applyFont="true" borderId="8" applyBorder="true" applyNumberFormat="true" numFmtId="1" fillId="22" applyFill="true">
      <alignment horizontal="center" vertical="center"/>
    </xf>
    <xf fontId="19060" applyFont="true" borderId="8" applyBorder="true" applyNumberFormat="true" numFmtId="1" fillId="22" applyFill="true">
      <alignment horizontal="center" vertical="center"/>
    </xf>
    <xf fontId="19061" applyFont="true" borderId="8" applyBorder="true" applyNumberFormat="true" numFmtId="167" fillId="22" applyFill="true">
      <alignment horizontal="center" vertical="center"/>
    </xf>
    <xf fontId="19062" applyFont="true" borderId="8" applyBorder="true" applyNumberFormat="true" numFmtId="166" fillId="22" applyFill="true">
      <alignment horizontal="center" vertical="center"/>
    </xf>
    <xf fontId="19063" applyFont="true" borderId="8" applyBorder="true" applyNumberFormat="true" numFmtId="166" fillId="22" applyFill="true">
      <alignment horizontal="center" vertical="center"/>
    </xf>
    <xf fontId="19064" applyFont="true" borderId="8" applyBorder="true" applyNumberFormat="true" numFmtId="1" fillId="22" applyFill="true">
      <alignment horizontal="center" vertical="center"/>
    </xf>
    <xf fontId="19065" applyFont="true" borderId="8" applyBorder="true" applyNumberFormat="true" numFmtId="1" fillId="22" applyFill="true">
      <alignment horizontal="center" vertical="center"/>
    </xf>
    <xf fontId="19066" applyFont="true" borderId="8" applyBorder="true" applyNumberFormat="true" numFmtId="1" fillId="22" applyFill="true">
      <alignment horizontal="center" vertical="center"/>
    </xf>
    <xf fontId="19067" applyFont="true" borderId="8" applyBorder="true" applyNumberFormat="true" numFmtId="167" fillId="22" applyFill="true">
      <alignment horizontal="center" vertical="center"/>
    </xf>
    <xf fontId="19068" applyFont="true" borderId="8" applyBorder="true" applyNumberFormat="true" numFmtId="1" fillId="22" applyFill="true">
      <alignment horizontal="center" vertical="center"/>
    </xf>
    <xf fontId="19069" applyFont="true" borderId="8" applyBorder="true" applyNumberFormat="true" numFmtId="167" fillId="22" applyFill="true">
      <alignment horizontal="center" vertical="center"/>
    </xf>
    <xf fontId="19070" applyFont="true" borderId="8" applyBorder="true" applyNumberFormat="true" numFmtId="1" fillId="22" applyFill="true">
      <alignment horizontal="center" vertical="center"/>
    </xf>
    <xf fontId="19071" applyFont="true" borderId="8" applyBorder="true" applyNumberFormat="true" numFmtId="1" fillId="22" applyFill="true">
      <alignment horizontal="center" vertical="center"/>
    </xf>
    <xf fontId="19072" applyFont="true" borderId="8" applyBorder="true" applyNumberFormat="true" numFmtId="1" fillId="22" applyFill="true">
      <alignment horizontal="center" vertical="center"/>
    </xf>
    <xf fontId="19073" applyFont="true" borderId="8" applyBorder="true" applyNumberFormat="true" numFmtId="1" fillId="22" applyFill="true">
      <alignment horizontal="center" vertical="center"/>
    </xf>
    <xf fontId="19074" applyFont="true" borderId="8" applyBorder="true" applyNumberFormat="true" numFmtId="167" fillId="22" applyFill="true">
      <alignment horizontal="center" vertical="center"/>
    </xf>
    <xf fontId="19075" applyFont="true" borderId="8" applyBorder="true" applyNumberFormat="true" numFmtId="1" fillId="22" applyFill="true">
      <alignment horizontal="center" vertical="center"/>
    </xf>
    <xf fontId="19076" applyFont="true" borderId="8" applyBorder="true" applyNumberFormat="true" numFmtId="167" fillId="22" applyFill="true">
      <alignment horizontal="center" vertical="center"/>
    </xf>
    <xf fontId="19077" applyFont="true" borderId="8" applyBorder="true" applyNumberFormat="true" numFmtId="1" fillId="22" applyFill="true">
      <alignment horizontal="center" vertical="center"/>
    </xf>
    <xf fontId="19078" applyFont="true" borderId="8" applyBorder="true" applyNumberFormat="true" numFmtId="167" fillId="22" applyFill="true">
      <alignment horizontal="center" vertical="center"/>
    </xf>
    <xf fontId="19079" applyFont="true" borderId="8" applyBorder="true" applyNumberFormat="true" numFmtId="2" fillId="22" applyFill="true">
      <alignment horizontal="center" vertical="center"/>
    </xf>
    <xf fontId="19080" applyFont="true" borderId="8" applyBorder="true" applyNumberFormat="true" numFmtId="2" fillId="22" applyFill="true">
      <alignment horizontal="center" vertical="center"/>
    </xf>
    <xf fontId="19081" applyFont="true" borderId="8" applyBorder="true" applyNumberFormat="true" numFmtId="2" fillId="22" applyFill="true">
      <alignment horizontal="center" vertical="center"/>
    </xf>
    <xf fontId="19082" applyFont="true" borderId="8" applyBorder="true" applyNumberFormat="true" numFmtId="2" fillId="22" applyFill="true">
      <alignment horizontal="center" vertical="center"/>
    </xf>
    <xf fontId="19083" applyFont="true" borderId="8" applyBorder="true" applyNumberFormat="true" numFmtId="2" fillId="22" applyFill="true">
      <alignment horizontal="center" vertical="center"/>
    </xf>
    <xf fontId="19084" applyFont="true" borderId="8" applyBorder="true" applyNumberFormat="true" numFmtId="2" fillId="22" applyFill="true">
      <alignment horizontal="center" vertical="center"/>
    </xf>
    <xf fontId="19085" applyFont="true" borderId="8" applyBorder="true" applyNumberFormat="true" numFmtId="2" fillId="22" applyFill="true">
      <alignment horizontal="center" vertical="center"/>
    </xf>
    <xf fontId="19086" applyFont="true" borderId="8" applyBorder="true" applyNumberFormat="true" numFmtId="2" fillId="22" applyFill="true">
      <alignment horizontal="center" vertical="center"/>
    </xf>
    <xf fontId="19087" applyFont="true" borderId="8" applyBorder="true" applyNumberFormat="true" numFmtId="2" fillId="22" applyFill="true">
      <alignment horizontal="center" vertical="center"/>
    </xf>
    <xf fontId="19088" applyFont="true" borderId="8" applyBorder="true" applyNumberFormat="true" numFmtId="2" fillId="22" applyFill="true">
      <alignment horizontal="center" vertical="center"/>
    </xf>
    <xf fontId="19089" applyFont="true" borderId="8" applyBorder="true" applyNumberFormat="true" numFmtId="2" fillId="22" applyFill="true">
      <alignment horizontal="center" vertical="center"/>
    </xf>
    <xf fontId="19090" applyFont="true" borderId="8" applyBorder="true" applyNumberFormat="true" numFmtId="2" fillId="22" applyFill="true">
      <alignment horizontal="center" vertical="center"/>
    </xf>
    <xf fontId="19091" applyFont="true" borderId="8" applyBorder="true" applyNumberFormat="true" numFmtId="2" fillId="22" applyFill="true">
      <alignment horizontal="center" vertical="center"/>
    </xf>
    <xf fontId="19092" applyFont="true" borderId="8" applyBorder="true" applyNumberFormat="true" numFmtId="2" fillId="22" applyFill="true">
      <alignment horizontal="center" vertical="center"/>
    </xf>
    <xf fontId="19093" applyFont="true" borderId="8" applyBorder="true" applyNumberFormat="true" numFmtId="2" fillId="22" applyFill="true">
      <alignment horizontal="center" vertical="center"/>
    </xf>
    <xf fontId="19094" applyFont="true" borderId="8" applyBorder="true" applyNumberFormat="true" numFmtId="2" fillId="22" applyFill="true">
      <alignment horizontal="center" vertical="center"/>
    </xf>
    <xf fontId="19095" applyFont="true" borderId="8" applyBorder="true" applyNumberFormat="true" numFmtId="2" fillId="22" applyFill="true">
      <alignment horizontal="center" vertical="center"/>
    </xf>
    <xf fontId="19096" applyFont="true" borderId="8" applyBorder="true" applyNumberFormat="true" numFmtId="2" fillId="22" applyFill="true">
      <alignment horizontal="center" vertical="center"/>
    </xf>
    <xf fontId="19097" applyFont="true" borderId="8" applyBorder="true" applyNumberFormat="true" numFmtId="2" fillId="22" applyFill="true">
      <alignment horizontal="center" vertical="center"/>
    </xf>
    <xf fontId="19098" applyFont="true" borderId="8" applyBorder="true" applyNumberFormat="true" numFmtId="2" fillId="22" applyFill="true">
      <alignment horizontal="center" vertical="center"/>
    </xf>
    <xf fontId="19099" applyFont="true" borderId="8" applyBorder="true" applyNumberFormat="true" numFmtId="2" fillId="22" applyFill="true">
      <alignment horizontal="center" vertical="center"/>
    </xf>
    <xf fontId="19100" applyFont="true" borderId="8" applyBorder="true" applyNumberFormat="true" numFmtId="2" fillId="22" applyFill="true">
      <alignment horizontal="center" vertical="center"/>
    </xf>
    <xf fontId="19101" applyFont="true" borderId="8" applyBorder="true" applyNumberFormat="true" numFmtId="2" fillId="22" applyFill="true">
      <alignment horizontal="center" vertical="center"/>
    </xf>
    <xf fontId="19102" applyFont="true" borderId="8" applyBorder="true" applyNumberFormat="true" numFmtId="2" fillId="22" applyFill="true">
      <alignment horizontal="center" vertical="center"/>
    </xf>
    <xf fontId="19103" applyFont="true" borderId="8" applyBorder="true" applyNumberFormat="true" numFmtId="2" fillId="22" applyFill="true">
      <alignment horizontal="center" vertical="center"/>
    </xf>
    <xf fontId="19104" applyFont="true" borderId="8" applyBorder="true" applyNumberFormat="true" numFmtId="2" fillId="22" applyFill="true">
      <alignment horizontal="center" vertical="center"/>
    </xf>
    <xf fontId="19105" applyFont="true" borderId="8" applyBorder="true" applyNumberFormat="true" numFmtId="2" fillId="22" applyFill="true">
      <alignment horizontal="center" vertical="center"/>
    </xf>
    <xf fontId="19106" applyFont="true" borderId="8" applyBorder="true" applyNumberFormat="true" numFmtId="2" fillId="22" applyFill="true">
      <alignment horizontal="center" vertical="center"/>
    </xf>
    <xf fontId="19107" applyFont="true" borderId="8" applyBorder="true" applyNumberFormat="true" numFmtId="2" fillId="22" applyFill="true">
      <alignment horizontal="center" vertical="center"/>
    </xf>
    <xf fontId="19108" applyFont="true" borderId="8" applyBorder="true" applyNumberFormat="true" numFmtId="2" fillId="22" applyFill="true">
      <alignment horizontal="center" vertical="center"/>
    </xf>
    <xf fontId="19109" applyFont="true" borderId="8" applyBorder="true" applyNumberFormat="true" numFmtId="2" fillId="22" applyFill="true">
      <alignment horizontal="center" vertical="center"/>
    </xf>
    <xf fontId="19110" applyFont="true" borderId="8" applyBorder="true" applyNumberFormat="true" numFmtId="2" fillId="22" applyFill="true">
      <alignment horizontal="center" vertical="center"/>
    </xf>
    <xf fontId="19111" applyFont="true" borderId="8" applyBorder="true" applyNumberFormat="true" numFmtId="2" fillId="22" applyFill="true">
      <alignment horizontal="center" vertical="center"/>
    </xf>
    <xf fontId="19112" applyFont="true" borderId="8" applyBorder="true" applyNumberFormat="true" numFmtId="2" fillId="22" applyFill="true">
      <alignment horizontal="center" vertical="center"/>
    </xf>
    <xf fontId="19113" applyFont="true" borderId="8" applyBorder="true" applyNumberFormat="true" numFmtId="165" fillId="19" applyFill="true">
      <alignment horizontal="left" vertical="center"/>
    </xf>
    <xf fontId="19114" applyFont="true" borderId="8" applyBorder="true" applyNumberFormat="true" numFmtId="165" fillId="22" applyFill="true">
      <alignment horizontal="center" vertical="center"/>
    </xf>
    <xf fontId="19115" applyFont="true" borderId="8" applyBorder="true" applyNumberFormat="true" numFmtId="166" fillId="22" applyFill="true">
      <alignment horizontal="center" vertical="center"/>
    </xf>
    <xf fontId="19116" applyFont="true" borderId="8" applyBorder="true" applyNumberFormat="true" numFmtId="1" fillId="22" applyFill="true">
      <alignment horizontal="center" vertical="center"/>
    </xf>
    <xf fontId="19117" applyFont="true" borderId="8" applyBorder="true" applyNumberFormat="true" numFmtId="1" fillId="22" applyFill="true">
      <alignment horizontal="center" vertical="center"/>
    </xf>
    <xf fontId="19118" applyFont="true" borderId="8" applyBorder="true" applyNumberFormat="true" numFmtId="1" fillId="22" applyFill="true">
      <alignment horizontal="center" vertical="center"/>
    </xf>
    <xf fontId="19119" applyFont="true" borderId="8" applyBorder="true" applyNumberFormat="true" numFmtId="1" fillId="22" applyFill="true">
      <alignment horizontal="center" vertical="center"/>
    </xf>
    <xf fontId="19120" applyFont="true" borderId="8" applyBorder="true" applyNumberFormat="true" numFmtId="1" fillId="22" applyFill="true">
      <alignment horizontal="center" vertical="center"/>
    </xf>
    <xf fontId="19121" applyFont="true" borderId="8" applyBorder="true" applyNumberFormat="true" numFmtId="1" fillId="22" applyFill="true">
      <alignment horizontal="center" vertical="center"/>
    </xf>
    <xf fontId="19122" applyFont="true" borderId="8" applyBorder="true" applyNumberFormat="true" numFmtId="1" fillId="22" applyFill="true">
      <alignment horizontal="center" vertical="center"/>
    </xf>
    <xf fontId="19123" applyFont="true" borderId="8" applyBorder="true" applyNumberFormat="true" numFmtId="165" fillId="22" applyFill="true">
      <alignment horizontal="center" vertical="center"/>
    </xf>
    <xf fontId="19124" applyFont="true" borderId="8" applyBorder="true" applyNumberFormat="true" numFmtId="165" fillId="22" applyFill="true">
      <alignment horizontal="center" vertical="center"/>
    </xf>
    <xf fontId="19125" applyFont="true" borderId="8" applyBorder="true" applyNumberFormat="true" numFmtId="1" fillId="22" applyFill="true">
      <alignment horizontal="center" vertical="center"/>
    </xf>
    <xf fontId="19126" applyFont="true" borderId="8" applyBorder="true" applyNumberFormat="true" numFmtId="1" fillId="22" applyFill="true">
      <alignment horizontal="center" vertical="center"/>
    </xf>
    <xf fontId="19127" applyFont="true" borderId="8" applyBorder="true" applyNumberFormat="true" numFmtId="1" fillId="22" applyFill="true">
      <alignment horizontal="center" vertical="center"/>
    </xf>
    <xf fontId="19128" applyFont="true" borderId="8" applyBorder="true" applyNumberFormat="true" numFmtId="167" fillId="22" applyFill="true">
      <alignment horizontal="center" vertical="center"/>
    </xf>
    <xf fontId="19129" applyFont="true" borderId="8" applyBorder="true" applyNumberFormat="true" numFmtId="1" fillId="22" applyFill="true">
      <alignment horizontal="center" vertical="center"/>
    </xf>
    <xf fontId="19130" applyFont="true" borderId="8" applyBorder="true" applyNumberFormat="true" numFmtId="167" fillId="22" applyFill="true">
      <alignment horizontal="center" vertical="center"/>
    </xf>
    <xf fontId="19131" applyFont="true" borderId="8" applyBorder="true" applyNumberFormat="true" numFmtId="1" fillId="22" applyFill="true">
      <alignment horizontal="center" vertical="center"/>
    </xf>
    <xf fontId="19132" applyFont="true" borderId="8" applyBorder="true" applyNumberFormat="true" numFmtId="167" fillId="22" applyFill="true">
      <alignment horizontal="center" vertical="center"/>
    </xf>
    <xf fontId="19133" applyFont="true" borderId="8" applyBorder="true" applyNumberFormat="true" numFmtId="1" fillId="22" applyFill="true">
      <alignment horizontal="center" vertical="center"/>
    </xf>
    <xf fontId="19134" applyFont="true" borderId="8" applyBorder="true" applyNumberFormat="true" numFmtId="167" fillId="22" applyFill="true">
      <alignment horizontal="center" vertical="center"/>
    </xf>
    <xf fontId="19135" applyFont="true" borderId="8" applyBorder="true" applyNumberFormat="true" numFmtId="167" fillId="22" applyFill="true">
      <alignment horizontal="center" vertical="center"/>
    </xf>
    <xf fontId="19136" applyFont="true" borderId="8" applyBorder="true" applyNumberFormat="true" numFmtId="1" fillId="22" applyFill="true">
      <alignment horizontal="center" vertical="center"/>
    </xf>
    <xf fontId="19137" applyFont="true" borderId="8" applyBorder="true" applyNumberFormat="true" numFmtId="1" fillId="22" applyFill="true">
      <alignment horizontal="center" vertical="center"/>
    </xf>
    <xf fontId="19138" applyFont="true" borderId="8" applyBorder="true" applyNumberFormat="true" numFmtId="1" fillId="22" applyFill="true">
      <alignment horizontal="center" vertical="center"/>
    </xf>
    <xf fontId="19139" applyFont="true" borderId="8" applyBorder="true" applyNumberFormat="true" numFmtId="167" fillId="22" applyFill="true">
      <alignment horizontal="center" vertical="center"/>
    </xf>
    <xf fontId="19140" applyFont="true" borderId="8" applyBorder="true" applyNumberFormat="true" numFmtId="166" fillId="22" applyFill="true">
      <alignment horizontal="center" vertical="center"/>
    </xf>
    <xf fontId="19141" applyFont="true" borderId="8" applyBorder="true" applyNumberFormat="true" numFmtId="166" fillId="22" applyFill="true">
      <alignment horizontal="center" vertical="center"/>
    </xf>
    <xf fontId="19142" applyFont="true" borderId="8" applyBorder="true" applyNumberFormat="true" numFmtId="1" fillId="22" applyFill="true">
      <alignment horizontal="center" vertical="center"/>
    </xf>
    <xf fontId="19143" applyFont="true" borderId="8" applyBorder="true" applyNumberFormat="true" numFmtId="1" fillId="22" applyFill="true">
      <alignment horizontal="center" vertical="center"/>
    </xf>
    <xf fontId="19144" applyFont="true" borderId="8" applyBorder="true" applyNumberFormat="true" numFmtId="1" fillId="22" applyFill="true">
      <alignment horizontal="center" vertical="center"/>
    </xf>
    <xf fontId="19145" applyFont="true" borderId="8" applyBorder="true" applyNumberFormat="true" numFmtId="167" fillId="22" applyFill="true">
      <alignment horizontal="center" vertical="center"/>
    </xf>
    <xf fontId="19146" applyFont="true" borderId="8" applyBorder="true" applyNumberFormat="true" numFmtId="1" fillId="22" applyFill="true">
      <alignment horizontal="center" vertical="center"/>
    </xf>
    <xf fontId="19147" applyFont="true" borderId="8" applyBorder="true" applyNumberFormat="true" numFmtId="167" fillId="22" applyFill="true">
      <alignment horizontal="center" vertical="center"/>
    </xf>
    <xf fontId="19148" applyFont="true" borderId="8" applyBorder="true" applyNumberFormat="true" numFmtId="1" fillId="22" applyFill="true">
      <alignment horizontal="center" vertical="center"/>
    </xf>
    <xf fontId="19149" applyFont="true" borderId="8" applyBorder="true" applyNumberFormat="true" numFmtId="1" fillId="22" applyFill="true">
      <alignment horizontal="center" vertical="center"/>
    </xf>
    <xf fontId="19150" applyFont="true" borderId="8" applyBorder="true" applyNumberFormat="true" numFmtId="1" fillId="22" applyFill="true">
      <alignment horizontal="center" vertical="center"/>
    </xf>
    <xf fontId="19151" applyFont="true" borderId="8" applyBorder="true" applyNumberFormat="true" numFmtId="1" fillId="22" applyFill="true">
      <alignment horizontal="center" vertical="center"/>
    </xf>
    <xf fontId="19152" applyFont="true" borderId="8" applyBorder="true" applyNumberFormat="true" numFmtId="167" fillId="22" applyFill="true">
      <alignment horizontal="center" vertical="center"/>
    </xf>
    <xf fontId="19153" applyFont="true" borderId="8" applyBorder="true" applyNumberFormat="true" numFmtId="1" fillId="22" applyFill="true">
      <alignment horizontal="center" vertical="center"/>
    </xf>
    <xf fontId="19154" applyFont="true" borderId="8" applyBorder="true" applyNumberFormat="true" numFmtId="167" fillId="22" applyFill="true">
      <alignment horizontal="center" vertical="center"/>
    </xf>
    <xf fontId="19155" applyFont="true" borderId="8" applyBorder="true" applyNumberFormat="true" numFmtId="1" fillId="22" applyFill="true">
      <alignment horizontal="center" vertical="center"/>
    </xf>
    <xf fontId="19156" applyFont="true" borderId="8" applyBorder="true" applyNumberFormat="true" numFmtId="167" fillId="22" applyFill="true">
      <alignment horizontal="center" vertical="center"/>
    </xf>
    <xf fontId="19157" applyFont="true" borderId="8" applyBorder="true" applyNumberFormat="true" numFmtId="2" fillId="22" applyFill="true">
      <alignment horizontal="center" vertical="center"/>
    </xf>
    <xf fontId="19158" applyFont="true" borderId="8" applyBorder="true" applyNumberFormat="true" numFmtId="2" fillId="22" applyFill="true">
      <alignment horizontal="center" vertical="center"/>
    </xf>
    <xf fontId="19159" applyFont="true" borderId="8" applyBorder="true" applyNumberFormat="true" numFmtId="2" fillId="22" applyFill="true">
      <alignment horizontal="center" vertical="center"/>
    </xf>
    <xf fontId="19160" applyFont="true" borderId="8" applyBorder="true" applyNumberFormat="true" numFmtId="2" fillId="22" applyFill="true">
      <alignment horizontal="center" vertical="center"/>
    </xf>
    <xf fontId="19161" applyFont="true" borderId="8" applyBorder="true" applyNumberFormat="true" numFmtId="2" fillId="22" applyFill="true">
      <alignment horizontal="center" vertical="center"/>
    </xf>
    <xf fontId="19162" applyFont="true" borderId="8" applyBorder="true" applyNumberFormat="true" numFmtId="2" fillId="22" applyFill="true">
      <alignment horizontal="center" vertical="center"/>
    </xf>
    <xf fontId="19163" applyFont="true" borderId="8" applyBorder="true" applyNumberFormat="true" numFmtId="2" fillId="22" applyFill="true">
      <alignment horizontal="center" vertical="center"/>
    </xf>
    <xf fontId="19164" applyFont="true" borderId="8" applyBorder="true" applyNumberFormat="true" numFmtId="2" fillId="22" applyFill="true">
      <alignment horizontal="center" vertical="center"/>
    </xf>
    <xf fontId="19165" applyFont="true" borderId="8" applyBorder="true" applyNumberFormat="true" numFmtId="2" fillId="22" applyFill="true">
      <alignment horizontal="center" vertical="center"/>
    </xf>
    <xf fontId="19166" applyFont="true" borderId="8" applyBorder="true" applyNumberFormat="true" numFmtId="2" fillId="22" applyFill="true">
      <alignment horizontal="center" vertical="center"/>
    </xf>
    <xf fontId="19167" applyFont="true" borderId="8" applyBorder="true" applyNumberFormat="true" numFmtId="2" fillId="22" applyFill="true">
      <alignment horizontal="center" vertical="center"/>
    </xf>
    <xf fontId="19168" applyFont="true" borderId="8" applyBorder="true" applyNumberFormat="true" numFmtId="2" fillId="22" applyFill="true">
      <alignment horizontal="center" vertical="center"/>
    </xf>
    <xf fontId="19169" applyFont="true" borderId="8" applyBorder="true" applyNumberFormat="true" numFmtId="2" fillId="22" applyFill="true">
      <alignment horizontal="center" vertical="center"/>
    </xf>
    <xf fontId="19170" applyFont="true" borderId="8" applyBorder="true" applyNumberFormat="true" numFmtId="2" fillId="22" applyFill="true">
      <alignment horizontal="center" vertical="center"/>
    </xf>
    <xf fontId="19171" applyFont="true" borderId="8" applyBorder="true" applyNumberFormat="true" numFmtId="2" fillId="22" applyFill="true">
      <alignment horizontal="center" vertical="center"/>
    </xf>
    <xf fontId="19172" applyFont="true" borderId="8" applyBorder="true" applyNumberFormat="true" numFmtId="2" fillId="22" applyFill="true">
      <alignment horizontal="center" vertical="center"/>
    </xf>
    <xf fontId="19173" applyFont="true" borderId="8" applyBorder="true" applyNumberFormat="true" numFmtId="2" fillId="22" applyFill="true">
      <alignment horizontal="center" vertical="center"/>
    </xf>
    <xf fontId="19174" applyFont="true" borderId="8" applyBorder="true" applyNumberFormat="true" numFmtId="2" fillId="22" applyFill="true">
      <alignment horizontal="center" vertical="center"/>
    </xf>
    <xf fontId="19175" applyFont="true" borderId="8" applyBorder="true" applyNumberFormat="true" numFmtId="2" fillId="22" applyFill="true">
      <alignment horizontal="center" vertical="center"/>
    </xf>
    <xf fontId="19176" applyFont="true" borderId="8" applyBorder="true" applyNumberFormat="true" numFmtId="2" fillId="22" applyFill="true">
      <alignment horizontal="center" vertical="center"/>
    </xf>
    <xf fontId="19177" applyFont="true" borderId="8" applyBorder="true" applyNumberFormat="true" numFmtId="2" fillId="22" applyFill="true">
      <alignment horizontal="center" vertical="center"/>
    </xf>
    <xf fontId="19178" applyFont="true" borderId="8" applyBorder="true" applyNumberFormat="true" numFmtId="2" fillId="22" applyFill="true">
      <alignment horizontal="center" vertical="center"/>
    </xf>
    <xf fontId="19179" applyFont="true" borderId="8" applyBorder="true" applyNumberFormat="true" numFmtId="2" fillId="22" applyFill="true">
      <alignment horizontal="center" vertical="center"/>
    </xf>
    <xf fontId="19180" applyFont="true" borderId="8" applyBorder="true" applyNumberFormat="true" numFmtId="2" fillId="22" applyFill="true">
      <alignment horizontal="center" vertical="center"/>
    </xf>
    <xf fontId="19181" applyFont="true" borderId="8" applyBorder="true" applyNumberFormat="true" numFmtId="2" fillId="22" applyFill="true">
      <alignment horizontal="center" vertical="center"/>
    </xf>
    <xf fontId="19182" applyFont="true" borderId="8" applyBorder="true" applyNumberFormat="true" numFmtId="2" fillId="22" applyFill="true">
      <alignment horizontal="center" vertical="center"/>
    </xf>
    <xf fontId="19183" applyFont="true" borderId="8" applyBorder="true" applyNumberFormat="true" numFmtId="2" fillId="22" applyFill="true">
      <alignment horizontal="center" vertical="center"/>
    </xf>
    <xf fontId="19184" applyFont="true" borderId="8" applyBorder="true" applyNumberFormat="true" numFmtId="2" fillId="22" applyFill="true">
      <alignment horizontal="center" vertical="center"/>
    </xf>
    <xf fontId="19185" applyFont="true" borderId="8" applyBorder="true" applyNumberFormat="true" numFmtId="2" fillId="22" applyFill="true">
      <alignment horizontal="center" vertical="center"/>
    </xf>
    <xf fontId="19186" applyFont="true" borderId="8" applyBorder="true" applyNumberFormat="true" numFmtId="2" fillId="22" applyFill="true">
      <alignment horizontal="center" vertical="center"/>
    </xf>
    <xf fontId="19187" applyFont="true" borderId="8" applyBorder="true" applyNumberFormat="true" numFmtId="2" fillId="22" applyFill="true">
      <alignment horizontal="center" vertical="center"/>
    </xf>
    <xf fontId="19188" applyFont="true" borderId="8" applyBorder="true" applyNumberFormat="true" numFmtId="2" fillId="22" applyFill="true">
      <alignment horizontal="center" vertical="center"/>
    </xf>
    <xf fontId="19189" applyFont="true" borderId="8" applyBorder="true" applyNumberFormat="true" numFmtId="2" fillId="22" applyFill="true">
      <alignment horizontal="center" vertical="center"/>
    </xf>
    <xf fontId="19190" applyFont="true" borderId="8" applyBorder="true" applyNumberFormat="true" numFmtId="2" fillId="22" applyFill="true">
      <alignment horizontal="center" vertical="center"/>
    </xf>
    <xf fontId="19191" applyFont="true" borderId="8" applyBorder="true" applyNumberFormat="true" numFmtId="165" fillId="19" applyFill="true">
      <alignment horizontal="left" vertical="center"/>
    </xf>
    <xf fontId="19192" applyFont="true" borderId="8" applyBorder="true" applyNumberFormat="true" numFmtId="165" fillId="22" applyFill="true">
      <alignment horizontal="center" vertical="center"/>
    </xf>
    <xf fontId="19193" applyFont="true" borderId="8" applyBorder="true" applyNumberFormat="true" numFmtId="166" fillId="22" applyFill="true">
      <alignment horizontal="center" vertical="center"/>
    </xf>
    <xf fontId="19194" applyFont="true" borderId="8" applyBorder="true" applyNumberFormat="true" numFmtId="1" fillId="22" applyFill="true">
      <alignment horizontal="center" vertical="center"/>
    </xf>
    <xf fontId="19195" applyFont="true" borderId="8" applyBorder="true" applyNumberFormat="true" numFmtId="1" fillId="22" applyFill="true">
      <alignment horizontal="center" vertical="center"/>
    </xf>
    <xf fontId="19196" applyFont="true" borderId="8" applyBorder="true" applyNumberFormat="true" numFmtId="1" fillId="22" applyFill="true">
      <alignment horizontal="center" vertical="center"/>
    </xf>
    <xf fontId="19197" applyFont="true" borderId="8" applyBorder="true" applyNumberFormat="true" numFmtId="1" fillId="22" applyFill="true">
      <alignment horizontal="center" vertical="center"/>
    </xf>
    <xf fontId="19198" applyFont="true" borderId="8" applyBorder="true" applyNumberFormat="true" numFmtId="1" fillId="22" applyFill="true">
      <alignment horizontal="center" vertical="center"/>
    </xf>
    <xf fontId="19199" applyFont="true" borderId="8" applyBorder="true" applyNumberFormat="true" numFmtId="1" fillId="22" applyFill="true">
      <alignment horizontal="center" vertical="center"/>
    </xf>
    <xf fontId="19200" applyFont="true" borderId="8" applyBorder="true" applyNumberFormat="true" numFmtId="1" fillId="22" applyFill="true">
      <alignment horizontal="center" vertical="center"/>
    </xf>
    <xf fontId="19201" applyFont="true" borderId="8" applyBorder="true" applyNumberFormat="true" numFmtId="165" fillId="22" applyFill="true">
      <alignment horizontal="center" vertical="center"/>
    </xf>
    <xf fontId="19202" applyFont="true" borderId="8" applyBorder="true" applyNumberFormat="true" numFmtId="165" fillId="22" applyFill="true">
      <alignment horizontal="center" vertical="center"/>
    </xf>
    <xf fontId="19203" applyFont="true" borderId="8" applyBorder="true" applyNumberFormat="true" numFmtId="1" fillId="22" applyFill="true">
      <alignment horizontal="center" vertical="center"/>
    </xf>
    <xf fontId="19204" applyFont="true" borderId="8" applyBorder="true" applyNumberFormat="true" numFmtId="1" fillId="22" applyFill="true">
      <alignment horizontal="center" vertical="center"/>
    </xf>
    <xf fontId="19205" applyFont="true" borderId="8" applyBorder="true" applyNumberFormat="true" numFmtId="1" fillId="22" applyFill="true">
      <alignment horizontal="center" vertical="center"/>
    </xf>
    <xf fontId="19206" applyFont="true" borderId="8" applyBorder="true" applyNumberFormat="true" numFmtId="167" fillId="22" applyFill="true">
      <alignment horizontal="center" vertical="center"/>
    </xf>
    <xf fontId="19207" applyFont="true" borderId="8" applyBorder="true" applyNumberFormat="true" numFmtId="1" fillId="22" applyFill="true">
      <alignment horizontal="center" vertical="center"/>
    </xf>
    <xf fontId="19208" applyFont="true" borderId="8" applyBorder="true" applyNumberFormat="true" numFmtId="167" fillId="22" applyFill="true">
      <alignment horizontal="center" vertical="center"/>
    </xf>
    <xf fontId="19209" applyFont="true" borderId="8" applyBorder="true" applyNumberFormat="true" numFmtId="1" fillId="22" applyFill="true">
      <alignment horizontal="center" vertical="center"/>
    </xf>
    <xf fontId="19210" applyFont="true" borderId="8" applyBorder="true" applyNumberFormat="true" numFmtId="167" fillId="22" applyFill="true">
      <alignment horizontal="center" vertical="center"/>
    </xf>
    <xf fontId="19211" applyFont="true" borderId="8" applyBorder="true" applyNumberFormat="true" numFmtId="1" fillId="22" applyFill="true">
      <alignment horizontal="center" vertical="center"/>
    </xf>
    <xf fontId="19212" applyFont="true" borderId="8" applyBorder="true" applyNumberFormat="true" numFmtId="167" fillId="22" applyFill="true">
      <alignment horizontal="center" vertical="center"/>
    </xf>
    <xf fontId="19213" applyFont="true" borderId="8" applyBorder="true" applyNumberFormat="true" numFmtId="167" fillId="22" applyFill="true">
      <alignment horizontal="center" vertical="center"/>
    </xf>
    <xf fontId="19214" applyFont="true" borderId="8" applyBorder="true" applyNumberFormat="true" numFmtId="1" fillId="22" applyFill="true">
      <alignment horizontal="center" vertical="center"/>
    </xf>
    <xf fontId="19215" applyFont="true" borderId="8" applyBorder="true" applyNumberFormat="true" numFmtId="1" fillId="22" applyFill="true">
      <alignment horizontal="center" vertical="center"/>
    </xf>
    <xf fontId="19216" applyFont="true" borderId="8" applyBorder="true" applyNumberFormat="true" numFmtId="1" fillId="22" applyFill="true">
      <alignment horizontal="center" vertical="center"/>
    </xf>
    <xf fontId="19217" applyFont="true" borderId="8" applyBorder="true" applyNumberFormat="true" numFmtId="167" fillId="22" applyFill="true">
      <alignment horizontal="center" vertical="center"/>
    </xf>
    <xf fontId="19218" applyFont="true" borderId="8" applyBorder="true" applyNumberFormat="true" numFmtId="166" fillId="22" applyFill="true">
      <alignment horizontal="center" vertical="center"/>
    </xf>
    <xf fontId="19219" applyFont="true" borderId="8" applyBorder="true" applyNumberFormat="true" numFmtId="166" fillId="22" applyFill="true">
      <alignment horizontal="center" vertical="center"/>
    </xf>
    <xf fontId="19220" applyFont="true" borderId="8" applyBorder="true" applyNumberFormat="true" numFmtId="1" fillId="22" applyFill="true">
      <alignment horizontal="center" vertical="center"/>
    </xf>
    <xf fontId="19221" applyFont="true" borderId="8" applyBorder="true" applyNumberFormat="true" numFmtId="1" fillId="22" applyFill="true">
      <alignment horizontal="center" vertical="center"/>
    </xf>
    <xf fontId="19222" applyFont="true" borderId="8" applyBorder="true" applyNumberFormat="true" numFmtId="1" fillId="22" applyFill="true">
      <alignment horizontal="center" vertical="center"/>
    </xf>
    <xf fontId="19223" applyFont="true" borderId="8" applyBorder="true" applyNumberFormat="true" numFmtId="167" fillId="22" applyFill="true">
      <alignment horizontal="center" vertical="center"/>
    </xf>
    <xf fontId="19224" applyFont="true" borderId="8" applyBorder="true" applyNumberFormat="true" numFmtId="1" fillId="22" applyFill="true">
      <alignment horizontal="center" vertical="center"/>
    </xf>
    <xf fontId="19225" applyFont="true" borderId="8" applyBorder="true" applyNumberFormat="true" numFmtId="167" fillId="22" applyFill="true">
      <alignment horizontal="center" vertical="center"/>
    </xf>
    <xf fontId="19226" applyFont="true" borderId="8" applyBorder="true" applyNumberFormat="true" numFmtId="1" fillId="22" applyFill="true">
      <alignment horizontal="center" vertical="center"/>
    </xf>
    <xf fontId="19227" applyFont="true" borderId="8" applyBorder="true" applyNumberFormat="true" numFmtId="1" fillId="22" applyFill="true">
      <alignment horizontal="center" vertical="center"/>
    </xf>
    <xf fontId="19228" applyFont="true" borderId="8" applyBorder="true" applyNumberFormat="true" numFmtId="1" fillId="22" applyFill="true">
      <alignment horizontal="center" vertical="center"/>
    </xf>
    <xf fontId="19229" applyFont="true" borderId="8" applyBorder="true" applyNumberFormat="true" numFmtId="1" fillId="22" applyFill="true">
      <alignment horizontal="center" vertical="center"/>
    </xf>
    <xf fontId="19230" applyFont="true" borderId="8" applyBorder="true" applyNumberFormat="true" numFmtId="167" fillId="22" applyFill="true">
      <alignment horizontal="center" vertical="center"/>
    </xf>
    <xf fontId="19231" applyFont="true" borderId="8" applyBorder="true" applyNumberFormat="true" numFmtId="1" fillId="22" applyFill="true">
      <alignment horizontal="center" vertical="center"/>
    </xf>
    <xf fontId="19232" applyFont="true" borderId="8" applyBorder="true" applyNumberFormat="true" numFmtId="167" fillId="22" applyFill="true">
      <alignment horizontal="center" vertical="center"/>
    </xf>
    <xf fontId="19233" applyFont="true" borderId="8" applyBorder="true" applyNumberFormat="true" numFmtId="1" fillId="22" applyFill="true">
      <alignment horizontal="center" vertical="center"/>
    </xf>
    <xf fontId="19234" applyFont="true" borderId="8" applyBorder="true" applyNumberFormat="true" numFmtId="167" fillId="22" applyFill="true">
      <alignment horizontal="center" vertical="center"/>
    </xf>
    <xf fontId="19235" applyFont="true" borderId="8" applyBorder="true" applyNumberFormat="true" numFmtId="2" fillId="22" applyFill="true">
      <alignment horizontal="center" vertical="center"/>
    </xf>
    <xf fontId="19236" applyFont="true" borderId="8" applyBorder="true" applyNumberFormat="true" numFmtId="2" fillId="22" applyFill="true">
      <alignment horizontal="center" vertical="center"/>
    </xf>
    <xf fontId="19237" applyFont="true" borderId="8" applyBorder="true" applyNumberFormat="true" numFmtId="2" fillId="22" applyFill="true">
      <alignment horizontal="center" vertical="center"/>
    </xf>
    <xf fontId="19238" applyFont="true" borderId="8" applyBorder="true" applyNumberFormat="true" numFmtId="2" fillId="22" applyFill="true">
      <alignment horizontal="center" vertical="center"/>
    </xf>
    <xf fontId="19239" applyFont="true" borderId="8" applyBorder="true" applyNumberFormat="true" numFmtId="2" fillId="22" applyFill="true">
      <alignment horizontal="center" vertical="center"/>
    </xf>
    <xf fontId="19240" applyFont="true" borderId="8" applyBorder="true" applyNumberFormat="true" numFmtId="2" fillId="22" applyFill="true">
      <alignment horizontal="center" vertical="center"/>
    </xf>
    <xf fontId="19241" applyFont="true" borderId="8" applyBorder="true" applyNumberFormat="true" numFmtId="2" fillId="22" applyFill="true">
      <alignment horizontal="center" vertical="center"/>
    </xf>
    <xf fontId="19242" applyFont="true" borderId="8" applyBorder="true" applyNumberFormat="true" numFmtId="2" fillId="22" applyFill="true">
      <alignment horizontal="center" vertical="center"/>
    </xf>
    <xf fontId="19243" applyFont="true" borderId="8" applyBorder="true" applyNumberFormat="true" numFmtId="2" fillId="22" applyFill="true">
      <alignment horizontal="center" vertical="center"/>
    </xf>
    <xf fontId="19244" applyFont="true" borderId="8" applyBorder="true" applyNumberFormat="true" numFmtId="2" fillId="22" applyFill="true">
      <alignment horizontal="center" vertical="center"/>
    </xf>
    <xf fontId="19245" applyFont="true" borderId="8" applyBorder="true" applyNumberFormat="true" numFmtId="2" fillId="22" applyFill="true">
      <alignment horizontal="center" vertical="center"/>
    </xf>
    <xf fontId="19246" applyFont="true" borderId="8" applyBorder="true" applyNumberFormat="true" numFmtId="2" fillId="22" applyFill="true">
      <alignment horizontal="center" vertical="center"/>
    </xf>
    <xf fontId="19247" applyFont="true" borderId="8" applyBorder="true" applyNumberFormat="true" numFmtId="2" fillId="22" applyFill="true">
      <alignment horizontal="center" vertical="center"/>
    </xf>
    <xf fontId="19248" applyFont="true" borderId="8" applyBorder="true" applyNumberFormat="true" numFmtId="2" fillId="22" applyFill="true">
      <alignment horizontal="center" vertical="center"/>
    </xf>
    <xf fontId="19249" applyFont="true" borderId="8" applyBorder="true" applyNumberFormat="true" numFmtId="2" fillId="22" applyFill="true">
      <alignment horizontal="center" vertical="center"/>
    </xf>
    <xf fontId="19250" applyFont="true" borderId="8" applyBorder="true" applyNumberFormat="true" numFmtId="2" fillId="22" applyFill="true">
      <alignment horizontal="center" vertical="center"/>
    </xf>
    <xf fontId="19251" applyFont="true" borderId="8" applyBorder="true" applyNumberFormat="true" numFmtId="2" fillId="22" applyFill="true">
      <alignment horizontal="center" vertical="center"/>
    </xf>
    <xf fontId="19252" applyFont="true" borderId="8" applyBorder="true" applyNumberFormat="true" numFmtId="2" fillId="22" applyFill="true">
      <alignment horizontal="center" vertical="center"/>
    </xf>
    <xf fontId="19253" applyFont="true" borderId="8" applyBorder="true" applyNumberFormat="true" numFmtId="2" fillId="22" applyFill="true">
      <alignment horizontal="center" vertical="center"/>
    </xf>
    <xf fontId="19254" applyFont="true" borderId="8" applyBorder="true" applyNumberFormat="true" numFmtId="2" fillId="22" applyFill="true">
      <alignment horizontal="center" vertical="center"/>
    </xf>
    <xf fontId="19255" applyFont="true" borderId="8" applyBorder="true" applyNumberFormat="true" numFmtId="2" fillId="22" applyFill="true">
      <alignment horizontal="center" vertical="center"/>
    </xf>
    <xf fontId="19256" applyFont="true" borderId="8" applyBorder="true" applyNumberFormat="true" numFmtId="2" fillId="22" applyFill="true">
      <alignment horizontal="center" vertical="center"/>
    </xf>
    <xf fontId="19257" applyFont="true" borderId="8" applyBorder="true" applyNumberFormat="true" numFmtId="2" fillId="22" applyFill="true">
      <alignment horizontal="center" vertical="center"/>
    </xf>
    <xf fontId="19258" applyFont="true" borderId="8" applyBorder="true" applyNumberFormat="true" numFmtId="2" fillId="22" applyFill="true">
      <alignment horizontal="center" vertical="center"/>
    </xf>
    <xf fontId="19259" applyFont="true" borderId="8" applyBorder="true" applyNumberFormat="true" numFmtId="2" fillId="22" applyFill="true">
      <alignment horizontal="center" vertical="center"/>
    </xf>
    <xf fontId="19260" applyFont="true" borderId="8" applyBorder="true" applyNumberFormat="true" numFmtId="2" fillId="22" applyFill="true">
      <alignment horizontal="center" vertical="center"/>
    </xf>
    <xf fontId="19261" applyFont="true" borderId="8" applyBorder="true" applyNumberFormat="true" numFmtId="2" fillId="22" applyFill="true">
      <alignment horizontal="center" vertical="center"/>
    </xf>
    <xf fontId="19262" applyFont="true" borderId="8" applyBorder="true" applyNumberFormat="true" numFmtId="2" fillId="22" applyFill="true">
      <alignment horizontal="center" vertical="center"/>
    </xf>
    <xf fontId="19263" applyFont="true" borderId="8" applyBorder="true" applyNumberFormat="true" numFmtId="2" fillId="22" applyFill="true">
      <alignment horizontal="center" vertical="center"/>
    </xf>
    <xf fontId="19264" applyFont="true" borderId="8" applyBorder="true" applyNumberFormat="true" numFmtId="2" fillId="22" applyFill="true">
      <alignment horizontal="center" vertical="center"/>
    </xf>
    <xf fontId="19265" applyFont="true" borderId="8" applyBorder="true" applyNumberFormat="true" numFmtId="2" fillId="22" applyFill="true">
      <alignment horizontal="center" vertical="center"/>
    </xf>
    <xf fontId="19266" applyFont="true" borderId="8" applyBorder="true" applyNumberFormat="true" numFmtId="2" fillId="22" applyFill="true">
      <alignment horizontal="center" vertical="center"/>
    </xf>
    <xf fontId="19267" applyFont="true" borderId="8" applyBorder="true" applyNumberFormat="true" numFmtId="2" fillId="22" applyFill="true">
      <alignment horizontal="center" vertical="center"/>
    </xf>
    <xf fontId="19268" applyFont="true" borderId="8" applyBorder="true" applyNumberFormat="true" numFmtId="2" fillId="22" applyFill="true">
      <alignment horizontal="center" vertical="center"/>
    </xf>
    <xf fontId="19269" applyFont="true" borderId="8" applyBorder="true" applyNumberFormat="true" numFmtId="165" fillId="19" applyFill="true">
      <alignment horizontal="left" vertical="center"/>
    </xf>
    <xf fontId="19270" applyFont="true" borderId="8" applyBorder="true" applyNumberFormat="true" numFmtId="165" fillId="22" applyFill="true">
      <alignment horizontal="center" vertical="center"/>
    </xf>
    <xf fontId="19271" applyFont="true" borderId="8" applyBorder="true" applyNumberFormat="true" numFmtId="166" fillId="22" applyFill="true">
      <alignment horizontal="center" vertical="center"/>
    </xf>
    <xf fontId="19272" applyFont="true" borderId="8" applyBorder="true" applyNumberFormat="true" numFmtId="1" fillId="22" applyFill="true">
      <alignment horizontal="center" vertical="center"/>
    </xf>
    <xf fontId="19273" applyFont="true" borderId="8" applyBorder="true" applyNumberFormat="true" numFmtId="1" fillId="22" applyFill="true">
      <alignment horizontal="center" vertical="center"/>
    </xf>
    <xf fontId="19274" applyFont="true" borderId="8" applyBorder="true" applyNumberFormat="true" numFmtId="1" fillId="22" applyFill="true">
      <alignment horizontal="center" vertical="center"/>
    </xf>
    <xf fontId="19275" applyFont="true" borderId="8" applyBorder="true" applyNumberFormat="true" numFmtId="1" fillId="22" applyFill="true">
      <alignment horizontal="center" vertical="center"/>
    </xf>
    <xf fontId="19276" applyFont="true" borderId="8" applyBorder="true" applyNumberFormat="true" numFmtId="1" fillId="22" applyFill="true">
      <alignment horizontal="center" vertical="center"/>
    </xf>
    <xf fontId="19277" applyFont="true" borderId="8" applyBorder="true" applyNumberFormat="true" numFmtId="1" fillId="22" applyFill="true">
      <alignment horizontal="center" vertical="center"/>
    </xf>
    <xf fontId="19278" applyFont="true" borderId="8" applyBorder="true" applyNumberFormat="true" numFmtId="1" fillId="22" applyFill="true">
      <alignment horizontal="center" vertical="center"/>
    </xf>
    <xf fontId="19279" applyFont="true" borderId="8" applyBorder="true" applyNumberFormat="true" numFmtId="165" fillId="22" applyFill="true">
      <alignment horizontal="center" vertical="center"/>
    </xf>
    <xf fontId="19280" applyFont="true" borderId="8" applyBorder="true" applyNumberFormat="true" numFmtId="165" fillId="22" applyFill="true">
      <alignment horizontal="center" vertical="center"/>
    </xf>
    <xf fontId="19281" applyFont="true" borderId="8" applyBorder="true" applyNumberFormat="true" numFmtId="1" fillId="22" applyFill="true">
      <alignment horizontal="center" vertical="center"/>
    </xf>
    <xf fontId="19282" applyFont="true" borderId="8" applyBorder="true" applyNumberFormat="true" numFmtId="1" fillId="22" applyFill="true">
      <alignment horizontal="center" vertical="center"/>
    </xf>
    <xf fontId="19283" applyFont="true" borderId="8" applyBorder="true" applyNumberFormat="true" numFmtId="1" fillId="22" applyFill="true">
      <alignment horizontal="center" vertical="center"/>
    </xf>
    <xf fontId="19284" applyFont="true" borderId="8" applyBorder="true" applyNumberFormat="true" numFmtId="167" fillId="22" applyFill="true">
      <alignment horizontal="center" vertical="center"/>
    </xf>
    <xf fontId="19285" applyFont="true" borderId="8" applyBorder="true" applyNumberFormat="true" numFmtId="1" fillId="22" applyFill="true">
      <alignment horizontal="center" vertical="center"/>
    </xf>
    <xf fontId="19286" applyFont="true" borderId="8" applyBorder="true" applyNumberFormat="true" numFmtId="167" fillId="22" applyFill="true">
      <alignment horizontal="center" vertical="center"/>
    </xf>
    <xf fontId="19287" applyFont="true" borderId="8" applyBorder="true" applyNumberFormat="true" numFmtId="1" fillId="22" applyFill="true">
      <alignment horizontal="center" vertical="center"/>
    </xf>
    <xf fontId="19288" applyFont="true" borderId="8" applyBorder="true" applyNumberFormat="true" numFmtId="167" fillId="22" applyFill="true">
      <alignment horizontal="center" vertical="center"/>
    </xf>
    <xf fontId="19289" applyFont="true" borderId="8" applyBorder="true" applyNumberFormat="true" numFmtId="1" fillId="22" applyFill="true">
      <alignment horizontal="center" vertical="center"/>
    </xf>
    <xf fontId="19290" applyFont="true" borderId="8" applyBorder="true" applyNumberFormat="true" numFmtId="167" fillId="22" applyFill="true">
      <alignment horizontal="center" vertical="center"/>
    </xf>
    <xf fontId="19291" applyFont="true" borderId="8" applyBorder="true" applyNumberFormat="true" numFmtId="167" fillId="22" applyFill="true">
      <alignment horizontal="center" vertical="center"/>
    </xf>
    <xf fontId="19292" applyFont="true" borderId="8" applyBorder="true" applyNumberFormat="true" numFmtId="1" fillId="22" applyFill="true">
      <alignment horizontal="center" vertical="center"/>
    </xf>
    <xf fontId="19293" applyFont="true" borderId="8" applyBorder="true" applyNumberFormat="true" numFmtId="1" fillId="22" applyFill="true">
      <alignment horizontal="center" vertical="center"/>
    </xf>
    <xf fontId="19294" applyFont="true" borderId="8" applyBorder="true" applyNumberFormat="true" numFmtId="1" fillId="22" applyFill="true">
      <alignment horizontal="center" vertical="center"/>
    </xf>
    <xf fontId="19295" applyFont="true" borderId="8" applyBorder="true" applyNumberFormat="true" numFmtId="167" fillId="22" applyFill="true">
      <alignment horizontal="center" vertical="center"/>
    </xf>
    <xf fontId="19296" applyFont="true" borderId="8" applyBorder="true" applyNumberFormat="true" numFmtId="166" fillId="22" applyFill="true">
      <alignment horizontal="center" vertical="center"/>
    </xf>
    <xf fontId="19297" applyFont="true" borderId="8" applyBorder="true" applyNumberFormat="true" numFmtId="166" fillId="22" applyFill="true">
      <alignment horizontal="center" vertical="center"/>
    </xf>
    <xf fontId="19298" applyFont="true" borderId="8" applyBorder="true" applyNumberFormat="true" numFmtId="1" fillId="22" applyFill="true">
      <alignment horizontal="center" vertical="center"/>
    </xf>
    <xf fontId="19299" applyFont="true" borderId="8" applyBorder="true" applyNumberFormat="true" numFmtId="1" fillId="22" applyFill="true">
      <alignment horizontal="center" vertical="center"/>
    </xf>
    <xf fontId="19300" applyFont="true" borderId="8" applyBorder="true" applyNumberFormat="true" numFmtId="1" fillId="22" applyFill="true">
      <alignment horizontal="center" vertical="center"/>
    </xf>
    <xf fontId="19301" applyFont="true" borderId="8" applyBorder="true" applyNumberFormat="true" numFmtId="167" fillId="22" applyFill="true">
      <alignment horizontal="center" vertical="center"/>
    </xf>
    <xf fontId="19302" applyFont="true" borderId="8" applyBorder="true" applyNumberFormat="true" numFmtId="1" fillId="22" applyFill="true">
      <alignment horizontal="center" vertical="center"/>
    </xf>
    <xf fontId="19303" applyFont="true" borderId="8" applyBorder="true" applyNumberFormat="true" numFmtId="167" fillId="22" applyFill="true">
      <alignment horizontal="center" vertical="center"/>
    </xf>
    <xf fontId="19304" applyFont="true" borderId="8" applyBorder="true" applyNumberFormat="true" numFmtId="1" fillId="22" applyFill="true">
      <alignment horizontal="center" vertical="center"/>
    </xf>
    <xf fontId="19305" applyFont="true" borderId="8" applyBorder="true" applyNumberFormat="true" numFmtId="1" fillId="22" applyFill="true">
      <alignment horizontal="center" vertical="center"/>
    </xf>
    <xf fontId="19306" applyFont="true" borderId="8" applyBorder="true" applyNumberFormat="true" numFmtId="1" fillId="22" applyFill="true">
      <alignment horizontal="center" vertical="center"/>
    </xf>
    <xf fontId="19307" applyFont="true" borderId="8" applyBorder="true" applyNumberFormat="true" numFmtId="1" fillId="22" applyFill="true">
      <alignment horizontal="center" vertical="center"/>
    </xf>
    <xf fontId="19308" applyFont="true" borderId="8" applyBorder="true" applyNumberFormat="true" numFmtId="167" fillId="22" applyFill="true">
      <alignment horizontal="center" vertical="center"/>
    </xf>
    <xf fontId="19309" applyFont="true" borderId="8" applyBorder="true" applyNumberFormat="true" numFmtId="1" fillId="22" applyFill="true">
      <alignment horizontal="center" vertical="center"/>
    </xf>
    <xf fontId="19310" applyFont="true" borderId="8" applyBorder="true" applyNumberFormat="true" numFmtId="167" fillId="22" applyFill="true">
      <alignment horizontal="center" vertical="center"/>
    </xf>
    <xf fontId="19311" applyFont="true" borderId="8" applyBorder="true" applyNumberFormat="true" numFmtId="1" fillId="22" applyFill="true">
      <alignment horizontal="center" vertical="center"/>
    </xf>
    <xf fontId="19312" applyFont="true" borderId="8" applyBorder="true" applyNumberFormat="true" numFmtId="167" fillId="22" applyFill="true">
      <alignment horizontal="center" vertical="center"/>
    </xf>
    <xf fontId="19313" applyFont="true" borderId="8" applyBorder="true" applyNumberFormat="true" numFmtId="2" fillId="22" applyFill="true">
      <alignment horizontal="center" vertical="center"/>
    </xf>
    <xf fontId="19314" applyFont="true" borderId="8" applyBorder="true" applyNumberFormat="true" numFmtId="2" fillId="22" applyFill="true">
      <alignment horizontal="center" vertical="center"/>
    </xf>
    <xf fontId="19315" applyFont="true" borderId="8" applyBorder="true" applyNumberFormat="true" numFmtId="2" fillId="22" applyFill="true">
      <alignment horizontal="center" vertical="center"/>
    </xf>
    <xf fontId="19316" applyFont="true" borderId="8" applyBorder="true" applyNumberFormat="true" numFmtId="2" fillId="22" applyFill="true">
      <alignment horizontal="center" vertical="center"/>
    </xf>
    <xf fontId="19317" applyFont="true" borderId="8" applyBorder="true" applyNumberFormat="true" numFmtId="2" fillId="22" applyFill="true">
      <alignment horizontal="center" vertical="center"/>
    </xf>
    <xf fontId="19318" applyFont="true" borderId="8" applyBorder="true" applyNumberFormat="true" numFmtId="2" fillId="22" applyFill="true">
      <alignment horizontal="center" vertical="center"/>
    </xf>
    <xf fontId="19319" applyFont="true" borderId="8" applyBorder="true" applyNumberFormat="true" numFmtId="2" fillId="22" applyFill="true">
      <alignment horizontal="center" vertical="center"/>
    </xf>
    <xf fontId="19320" applyFont="true" borderId="8" applyBorder="true" applyNumberFormat="true" numFmtId="2" fillId="22" applyFill="true">
      <alignment horizontal="center" vertical="center"/>
    </xf>
    <xf fontId="19321" applyFont="true" borderId="8" applyBorder="true" applyNumberFormat="true" numFmtId="2" fillId="22" applyFill="true">
      <alignment horizontal="center" vertical="center"/>
    </xf>
    <xf fontId="19322" applyFont="true" borderId="8" applyBorder="true" applyNumberFormat="true" numFmtId="2" fillId="22" applyFill="true">
      <alignment horizontal="center" vertical="center"/>
    </xf>
    <xf fontId="19323" applyFont="true" borderId="8" applyBorder="true" applyNumberFormat="true" numFmtId="2" fillId="22" applyFill="true">
      <alignment horizontal="center" vertical="center"/>
    </xf>
    <xf fontId="19324" applyFont="true" borderId="8" applyBorder="true" applyNumberFormat="true" numFmtId="2" fillId="22" applyFill="true">
      <alignment horizontal="center" vertical="center"/>
    </xf>
    <xf fontId="19325" applyFont="true" borderId="8" applyBorder="true" applyNumberFormat="true" numFmtId="2" fillId="22" applyFill="true">
      <alignment horizontal="center" vertical="center"/>
    </xf>
    <xf fontId="19326" applyFont="true" borderId="8" applyBorder="true" applyNumberFormat="true" numFmtId="2" fillId="22" applyFill="true">
      <alignment horizontal="center" vertical="center"/>
    </xf>
    <xf fontId="19327" applyFont="true" borderId="8" applyBorder="true" applyNumberFormat="true" numFmtId="2" fillId="22" applyFill="true">
      <alignment horizontal="center" vertical="center"/>
    </xf>
    <xf fontId="19328" applyFont="true" borderId="8" applyBorder="true" applyNumberFormat="true" numFmtId="2" fillId="22" applyFill="true">
      <alignment horizontal="center" vertical="center"/>
    </xf>
    <xf fontId="19329" applyFont="true" borderId="8" applyBorder="true" applyNumberFormat="true" numFmtId="2" fillId="22" applyFill="true">
      <alignment horizontal="center" vertical="center"/>
    </xf>
    <xf fontId="19330" applyFont="true" borderId="8" applyBorder="true" applyNumberFormat="true" numFmtId="2" fillId="22" applyFill="true">
      <alignment horizontal="center" vertical="center"/>
    </xf>
    <xf fontId="19331" applyFont="true" borderId="8" applyBorder="true" applyNumberFormat="true" numFmtId="2" fillId="22" applyFill="true">
      <alignment horizontal="center" vertical="center"/>
    </xf>
    <xf fontId="19332" applyFont="true" borderId="8" applyBorder="true" applyNumberFormat="true" numFmtId="2" fillId="22" applyFill="true">
      <alignment horizontal="center" vertical="center"/>
    </xf>
    <xf fontId="19333" applyFont="true" borderId="8" applyBorder="true" applyNumberFormat="true" numFmtId="2" fillId="22" applyFill="true">
      <alignment horizontal="center" vertical="center"/>
    </xf>
    <xf fontId="19334" applyFont="true" borderId="8" applyBorder="true" applyNumberFormat="true" numFmtId="2" fillId="22" applyFill="true">
      <alignment horizontal="center" vertical="center"/>
    </xf>
    <xf fontId="19335" applyFont="true" borderId="8" applyBorder="true" applyNumberFormat="true" numFmtId="2" fillId="22" applyFill="true">
      <alignment horizontal="center" vertical="center"/>
    </xf>
    <xf fontId="19336" applyFont="true" borderId="8" applyBorder="true" applyNumberFormat="true" numFmtId="2" fillId="22" applyFill="true">
      <alignment horizontal="center" vertical="center"/>
    </xf>
    <xf fontId="19337" applyFont="true" borderId="8" applyBorder="true" applyNumberFormat="true" numFmtId="2" fillId="22" applyFill="true">
      <alignment horizontal="center" vertical="center"/>
    </xf>
    <xf fontId="19338" applyFont="true" borderId="8" applyBorder="true" applyNumberFormat="true" numFmtId="2" fillId="22" applyFill="true">
      <alignment horizontal="center" vertical="center"/>
    </xf>
    <xf fontId="19339" applyFont="true" borderId="8" applyBorder="true" applyNumberFormat="true" numFmtId="2" fillId="22" applyFill="true">
      <alignment horizontal="center" vertical="center"/>
    </xf>
    <xf fontId="19340" applyFont="true" borderId="8" applyBorder="true" applyNumberFormat="true" numFmtId="2" fillId="22" applyFill="true">
      <alignment horizontal="center" vertical="center"/>
    </xf>
    <xf fontId="19341" applyFont="true" borderId="8" applyBorder="true" applyNumberFormat="true" numFmtId="2" fillId="22" applyFill="true">
      <alignment horizontal="center" vertical="center"/>
    </xf>
    <xf fontId="19342" applyFont="true" borderId="8" applyBorder="true" applyNumberFormat="true" numFmtId="2" fillId="22" applyFill="true">
      <alignment horizontal="center" vertical="center"/>
    </xf>
    <xf fontId="19343" applyFont="true" borderId="8" applyBorder="true" applyNumberFormat="true" numFmtId="2" fillId="22" applyFill="true">
      <alignment horizontal="center" vertical="center"/>
    </xf>
    <xf fontId="19344" applyFont="true" borderId="8" applyBorder="true" applyNumberFormat="true" numFmtId="2" fillId="22" applyFill="true">
      <alignment horizontal="center" vertical="center"/>
    </xf>
    <xf fontId="19345" applyFont="true" borderId="8" applyBorder="true" applyNumberFormat="true" numFmtId="2" fillId="22" applyFill="true">
      <alignment horizontal="center" vertical="center"/>
    </xf>
    <xf fontId="19346" applyFont="true" borderId="8" applyBorder="true" applyNumberFormat="true" numFmtId="2" fillId="22" applyFill="true">
      <alignment horizontal="center" vertical="center"/>
    </xf>
    <xf fontId="19347" applyFont="true" borderId="8" applyBorder="true" applyNumberFormat="true" numFmtId="165" fillId="19" applyFill="true">
      <alignment horizontal="left" vertical="center"/>
    </xf>
    <xf fontId="19348" applyFont="true" borderId="8" applyBorder="true" applyNumberFormat="true" numFmtId="165" fillId="22" applyFill="true">
      <alignment horizontal="center" vertical="center"/>
    </xf>
    <xf fontId="19349" applyFont="true" borderId="8" applyBorder="true" applyNumberFormat="true" numFmtId="166" fillId="22" applyFill="true">
      <alignment horizontal="center" vertical="center"/>
    </xf>
    <xf fontId="19350" applyFont="true" borderId="8" applyBorder="true" applyNumberFormat="true" numFmtId="1" fillId="22" applyFill="true">
      <alignment horizontal="center" vertical="center"/>
    </xf>
    <xf fontId="19351" applyFont="true" borderId="8" applyBorder="true" applyNumberFormat="true" numFmtId="1" fillId="22" applyFill="true">
      <alignment horizontal="center" vertical="center"/>
    </xf>
    <xf fontId="19352" applyFont="true" borderId="8" applyBorder="true" applyNumberFormat="true" numFmtId="1" fillId="22" applyFill="true">
      <alignment horizontal="center" vertical="center"/>
    </xf>
    <xf fontId="19353" applyFont="true" borderId="8" applyBorder="true" applyNumberFormat="true" numFmtId="1" fillId="22" applyFill="true">
      <alignment horizontal="center" vertical="center"/>
    </xf>
    <xf fontId="19354" applyFont="true" borderId="8" applyBorder="true" applyNumberFormat="true" numFmtId="1" fillId="22" applyFill="true">
      <alignment horizontal="center" vertical="center"/>
    </xf>
    <xf fontId="19355" applyFont="true" borderId="8" applyBorder="true" applyNumberFormat="true" numFmtId="1" fillId="22" applyFill="true">
      <alignment horizontal="center" vertical="center"/>
    </xf>
    <xf fontId="19356" applyFont="true" borderId="8" applyBorder="true" applyNumberFormat="true" numFmtId="1" fillId="22" applyFill="true">
      <alignment horizontal="center" vertical="center"/>
    </xf>
    <xf fontId="19357" applyFont="true" borderId="8" applyBorder="true" applyNumberFormat="true" numFmtId="165" fillId="22" applyFill="true">
      <alignment horizontal="center" vertical="center"/>
    </xf>
    <xf fontId="19358" applyFont="true" borderId="8" applyBorder="true" applyNumberFormat="true" numFmtId="165" fillId="22" applyFill="true">
      <alignment horizontal="center" vertical="center"/>
    </xf>
    <xf fontId="19359" applyFont="true" borderId="8" applyBorder="true" applyNumberFormat="true" numFmtId="1" fillId="22" applyFill="true">
      <alignment horizontal="center" vertical="center"/>
    </xf>
    <xf fontId="19360" applyFont="true" borderId="8" applyBorder="true" applyNumberFormat="true" numFmtId="1" fillId="22" applyFill="true">
      <alignment horizontal="center" vertical="center"/>
    </xf>
    <xf fontId="19361" applyFont="true" borderId="8" applyBorder="true" applyNumberFormat="true" numFmtId="1" fillId="22" applyFill="true">
      <alignment horizontal="center" vertical="center"/>
    </xf>
    <xf fontId="19362" applyFont="true" borderId="8" applyBorder="true" applyNumberFormat="true" numFmtId="167" fillId="22" applyFill="true">
      <alignment horizontal="center" vertical="center"/>
    </xf>
    <xf fontId="19363" applyFont="true" borderId="8" applyBorder="true" applyNumberFormat="true" numFmtId="1" fillId="22" applyFill="true">
      <alignment horizontal="center" vertical="center"/>
    </xf>
    <xf fontId="19364" applyFont="true" borderId="8" applyBorder="true" applyNumberFormat="true" numFmtId="167" fillId="22" applyFill="true">
      <alignment horizontal="center" vertical="center"/>
    </xf>
    <xf fontId="19365" applyFont="true" borderId="8" applyBorder="true" applyNumberFormat="true" numFmtId="1" fillId="22" applyFill="true">
      <alignment horizontal="center" vertical="center"/>
    </xf>
    <xf fontId="19366" applyFont="true" borderId="8" applyBorder="true" applyNumberFormat="true" numFmtId="167" fillId="22" applyFill="true">
      <alignment horizontal="center" vertical="center"/>
    </xf>
    <xf fontId="19367" applyFont="true" borderId="8" applyBorder="true" applyNumberFormat="true" numFmtId="1" fillId="22" applyFill="true">
      <alignment horizontal="center" vertical="center"/>
    </xf>
    <xf fontId="19368" applyFont="true" borderId="8" applyBorder="true" applyNumberFormat="true" numFmtId="167" fillId="22" applyFill="true">
      <alignment horizontal="center" vertical="center"/>
    </xf>
    <xf fontId="19369" applyFont="true" borderId="8" applyBorder="true" applyNumberFormat="true" numFmtId="167" fillId="22" applyFill="true">
      <alignment horizontal="center" vertical="center"/>
    </xf>
    <xf fontId="19370" applyFont="true" borderId="8" applyBorder="true" applyNumberFormat="true" numFmtId="1" fillId="22" applyFill="true">
      <alignment horizontal="center" vertical="center"/>
    </xf>
    <xf fontId="19371" applyFont="true" borderId="8" applyBorder="true" applyNumberFormat="true" numFmtId="1" fillId="22" applyFill="true">
      <alignment horizontal="center" vertical="center"/>
    </xf>
    <xf fontId="19372" applyFont="true" borderId="8" applyBorder="true" applyNumberFormat="true" numFmtId="1" fillId="22" applyFill="true">
      <alignment horizontal="center" vertical="center"/>
    </xf>
    <xf fontId="19373" applyFont="true" borderId="8" applyBorder="true" applyNumberFormat="true" numFmtId="167" fillId="22" applyFill="true">
      <alignment horizontal="center" vertical="center"/>
    </xf>
    <xf fontId="19374" applyFont="true" borderId="8" applyBorder="true" applyNumberFormat="true" numFmtId="166" fillId="22" applyFill="true">
      <alignment horizontal="center" vertical="center"/>
    </xf>
    <xf fontId="19375" applyFont="true" borderId="8" applyBorder="true" applyNumberFormat="true" numFmtId="166" fillId="22" applyFill="true">
      <alignment horizontal="center" vertical="center"/>
    </xf>
    <xf fontId="19376" applyFont="true" borderId="8" applyBorder="true" applyNumberFormat="true" numFmtId="1" fillId="22" applyFill="true">
      <alignment horizontal="center" vertical="center"/>
    </xf>
    <xf fontId="19377" applyFont="true" borderId="8" applyBorder="true" applyNumberFormat="true" numFmtId="1" fillId="22" applyFill="true">
      <alignment horizontal="center" vertical="center"/>
    </xf>
    <xf fontId="19378" applyFont="true" borderId="8" applyBorder="true" applyNumberFormat="true" numFmtId="1" fillId="22" applyFill="true">
      <alignment horizontal="center" vertical="center"/>
    </xf>
    <xf fontId="19379" applyFont="true" borderId="8" applyBorder="true" applyNumberFormat="true" numFmtId="167" fillId="22" applyFill="true">
      <alignment horizontal="center" vertical="center"/>
    </xf>
    <xf fontId="19380" applyFont="true" borderId="8" applyBorder="true" applyNumberFormat="true" numFmtId="1" fillId="22" applyFill="true">
      <alignment horizontal="center" vertical="center"/>
    </xf>
    <xf fontId="19381" applyFont="true" borderId="8" applyBorder="true" applyNumberFormat="true" numFmtId="167" fillId="22" applyFill="true">
      <alignment horizontal="center" vertical="center"/>
    </xf>
    <xf fontId="19382" applyFont="true" borderId="8" applyBorder="true" applyNumberFormat="true" numFmtId="1" fillId="22" applyFill="true">
      <alignment horizontal="center" vertical="center"/>
    </xf>
    <xf fontId="19383" applyFont="true" borderId="8" applyBorder="true" applyNumberFormat="true" numFmtId="1" fillId="22" applyFill="true">
      <alignment horizontal="center" vertical="center"/>
    </xf>
    <xf fontId="19384" applyFont="true" borderId="8" applyBorder="true" applyNumberFormat="true" numFmtId="1" fillId="22" applyFill="true">
      <alignment horizontal="center" vertical="center"/>
    </xf>
    <xf fontId="19385" applyFont="true" borderId="8" applyBorder="true" applyNumberFormat="true" numFmtId="1" fillId="22" applyFill="true">
      <alignment horizontal="center" vertical="center"/>
    </xf>
    <xf fontId="19386" applyFont="true" borderId="8" applyBorder="true" applyNumberFormat="true" numFmtId="167" fillId="22" applyFill="true">
      <alignment horizontal="center" vertical="center"/>
    </xf>
    <xf fontId="19387" applyFont="true" borderId="8" applyBorder="true" applyNumberFormat="true" numFmtId="1" fillId="22" applyFill="true">
      <alignment horizontal="center" vertical="center"/>
    </xf>
    <xf fontId="19388" applyFont="true" borderId="8" applyBorder="true" applyNumberFormat="true" numFmtId="167" fillId="22" applyFill="true">
      <alignment horizontal="center" vertical="center"/>
    </xf>
    <xf fontId="19389" applyFont="true" borderId="8" applyBorder="true" applyNumberFormat="true" numFmtId="1" fillId="22" applyFill="true">
      <alignment horizontal="center" vertical="center"/>
    </xf>
    <xf fontId="19390" applyFont="true" borderId="8" applyBorder="true" applyNumberFormat="true" numFmtId="167" fillId="22" applyFill="true">
      <alignment horizontal="center" vertical="center"/>
    </xf>
    <xf fontId="19391" applyFont="true" borderId="8" applyBorder="true" applyNumberFormat="true" numFmtId="2" fillId="22" applyFill="true">
      <alignment horizontal="center" vertical="center"/>
    </xf>
    <xf fontId="19392" applyFont="true" borderId="8" applyBorder="true" applyNumberFormat="true" numFmtId="2" fillId="22" applyFill="true">
      <alignment horizontal="center" vertical="center"/>
    </xf>
    <xf fontId="19393" applyFont="true" borderId="8" applyBorder="true" applyNumberFormat="true" numFmtId="2" fillId="22" applyFill="true">
      <alignment horizontal="center" vertical="center"/>
    </xf>
    <xf fontId="19394" applyFont="true" borderId="8" applyBorder="true" applyNumberFormat="true" numFmtId="2" fillId="22" applyFill="true">
      <alignment horizontal="center" vertical="center"/>
    </xf>
    <xf fontId="19395" applyFont="true" borderId="8" applyBorder="true" applyNumberFormat="true" numFmtId="2" fillId="22" applyFill="true">
      <alignment horizontal="center" vertical="center"/>
    </xf>
    <xf fontId="19396" applyFont="true" borderId="8" applyBorder="true" applyNumberFormat="true" numFmtId="2" fillId="22" applyFill="true">
      <alignment horizontal="center" vertical="center"/>
    </xf>
    <xf fontId="19397" applyFont="true" borderId="8" applyBorder="true" applyNumberFormat="true" numFmtId="2" fillId="22" applyFill="true">
      <alignment horizontal="center" vertical="center"/>
    </xf>
    <xf fontId="19398" applyFont="true" borderId="8" applyBorder="true" applyNumberFormat="true" numFmtId="2" fillId="22" applyFill="true">
      <alignment horizontal="center" vertical="center"/>
    </xf>
    <xf fontId="19399" applyFont="true" borderId="8" applyBorder="true" applyNumberFormat="true" numFmtId="2" fillId="22" applyFill="true">
      <alignment horizontal="center" vertical="center"/>
    </xf>
    <xf fontId="19400" applyFont="true" borderId="8" applyBorder="true" applyNumberFormat="true" numFmtId="2" fillId="22" applyFill="true">
      <alignment horizontal="center" vertical="center"/>
    </xf>
    <xf fontId="19401" applyFont="true" borderId="8" applyBorder="true" applyNumberFormat="true" numFmtId="2" fillId="22" applyFill="true">
      <alignment horizontal="center" vertical="center"/>
    </xf>
    <xf fontId="19402" applyFont="true" borderId="8" applyBorder="true" applyNumberFormat="true" numFmtId="2" fillId="22" applyFill="true">
      <alignment horizontal="center" vertical="center"/>
    </xf>
    <xf fontId="19403" applyFont="true" borderId="8" applyBorder="true" applyNumberFormat="true" numFmtId="2" fillId="22" applyFill="true">
      <alignment horizontal="center" vertical="center"/>
    </xf>
    <xf fontId="19404" applyFont="true" borderId="8" applyBorder="true" applyNumberFormat="true" numFmtId="2" fillId="22" applyFill="true">
      <alignment horizontal="center" vertical="center"/>
    </xf>
    <xf fontId="19405" applyFont="true" borderId="8" applyBorder="true" applyNumberFormat="true" numFmtId="2" fillId="22" applyFill="true">
      <alignment horizontal="center" vertical="center"/>
    </xf>
    <xf fontId="19406" applyFont="true" borderId="8" applyBorder="true" applyNumberFormat="true" numFmtId="2" fillId="22" applyFill="true">
      <alignment horizontal="center" vertical="center"/>
    </xf>
    <xf fontId="19407" applyFont="true" borderId="8" applyBorder="true" applyNumberFormat="true" numFmtId="2" fillId="22" applyFill="true">
      <alignment horizontal="center" vertical="center"/>
    </xf>
    <xf fontId="19408" applyFont="true" borderId="8" applyBorder="true" applyNumberFormat="true" numFmtId="2" fillId="22" applyFill="true">
      <alignment horizontal="center" vertical="center"/>
    </xf>
    <xf fontId="19409" applyFont="true" borderId="8" applyBorder="true" applyNumberFormat="true" numFmtId="2" fillId="22" applyFill="true">
      <alignment horizontal="center" vertical="center"/>
    </xf>
    <xf fontId="19410" applyFont="true" borderId="8" applyBorder="true" applyNumberFormat="true" numFmtId="2" fillId="22" applyFill="true">
      <alignment horizontal="center" vertical="center"/>
    </xf>
    <xf fontId="19411" applyFont="true" borderId="8" applyBorder="true" applyNumberFormat="true" numFmtId="2" fillId="22" applyFill="true">
      <alignment horizontal="center" vertical="center"/>
    </xf>
    <xf fontId="19412" applyFont="true" borderId="8" applyBorder="true" applyNumberFormat="true" numFmtId="2" fillId="22" applyFill="true">
      <alignment horizontal="center" vertical="center"/>
    </xf>
    <xf fontId="19413" applyFont="true" borderId="8" applyBorder="true" applyNumberFormat="true" numFmtId="2" fillId="22" applyFill="true">
      <alignment horizontal="center" vertical="center"/>
    </xf>
    <xf fontId="19414" applyFont="true" borderId="8" applyBorder="true" applyNumberFormat="true" numFmtId="2" fillId="22" applyFill="true">
      <alignment horizontal="center" vertical="center"/>
    </xf>
    <xf fontId="19415" applyFont="true" borderId="8" applyBorder="true" applyNumberFormat="true" numFmtId="2" fillId="22" applyFill="true">
      <alignment horizontal="center" vertical="center"/>
    </xf>
    <xf fontId="19416" applyFont="true" borderId="8" applyBorder="true" applyNumberFormat="true" numFmtId="2" fillId="22" applyFill="true">
      <alignment horizontal="center" vertical="center"/>
    </xf>
    <xf fontId="19417" applyFont="true" borderId="8" applyBorder="true" applyNumberFormat="true" numFmtId="2" fillId="22" applyFill="true">
      <alignment horizontal="center" vertical="center"/>
    </xf>
    <xf fontId="19418" applyFont="true" borderId="8" applyBorder="true" applyNumberFormat="true" numFmtId="2" fillId="22" applyFill="true">
      <alignment horizontal="center" vertical="center"/>
    </xf>
    <xf fontId="19419" applyFont="true" borderId="8" applyBorder="true" applyNumberFormat="true" numFmtId="2" fillId="22" applyFill="true">
      <alignment horizontal="center" vertical="center"/>
    </xf>
    <xf fontId="19420" applyFont="true" borderId="8" applyBorder="true" applyNumberFormat="true" numFmtId="2" fillId="22" applyFill="true">
      <alignment horizontal="center" vertical="center"/>
    </xf>
    <xf fontId="19421" applyFont="true" borderId="8" applyBorder="true" applyNumberFormat="true" numFmtId="2" fillId="22" applyFill="true">
      <alignment horizontal="center" vertical="center"/>
    </xf>
    <xf fontId="19422" applyFont="true" borderId="8" applyBorder="true" applyNumberFormat="true" numFmtId="2" fillId="22" applyFill="true">
      <alignment horizontal="center" vertical="center"/>
    </xf>
    <xf fontId="19423" applyFont="true" borderId="8" applyBorder="true" applyNumberFormat="true" numFmtId="2" fillId="22" applyFill="true">
      <alignment horizontal="center" vertical="center"/>
    </xf>
    <xf fontId="19424" applyFont="true" borderId="8" applyBorder="true" applyNumberFormat="true" numFmtId="2" fillId="22" applyFill="true">
      <alignment horizontal="center" vertical="center"/>
    </xf>
    <xf fontId="19425" applyFont="true" borderId="8" applyBorder="true" applyNumberFormat="true" numFmtId="165" fillId="19" applyFill="true">
      <alignment horizontal="left" vertical="center"/>
    </xf>
    <xf fontId="19426" applyFont="true" borderId="8" applyBorder="true" applyNumberFormat="true" numFmtId="165" fillId="22" applyFill="true">
      <alignment horizontal="center" vertical="center"/>
    </xf>
    <xf fontId="19427" applyFont="true" borderId="8" applyBorder="true" applyNumberFormat="true" numFmtId="166" fillId="22" applyFill="true">
      <alignment horizontal="center" vertical="center"/>
    </xf>
    <xf fontId="19428" applyFont="true" borderId="8" applyBorder="true" applyNumberFormat="true" numFmtId="1" fillId="22" applyFill="true">
      <alignment horizontal="center" vertical="center"/>
    </xf>
    <xf fontId="19429" applyFont="true" borderId="8" applyBorder="true" applyNumberFormat="true" numFmtId="1" fillId="22" applyFill="true">
      <alignment horizontal="center" vertical="center"/>
    </xf>
    <xf fontId="19430" applyFont="true" borderId="8" applyBorder="true" applyNumberFormat="true" numFmtId="1" fillId="22" applyFill="true">
      <alignment horizontal="center" vertical="center"/>
    </xf>
    <xf fontId="19431" applyFont="true" borderId="8" applyBorder="true" applyNumberFormat="true" numFmtId="1" fillId="22" applyFill="true">
      <alignment horizontal="center" vertical="center"/>
    </xf>
    <xf fontId="19432" applyFont="true" borderId="8" applyBorder="true" applyNumberFormat="true" numFmtId="1" fillId="22" applyFill="true">
      <alignment horizontal="center" vertical="center"/>
    </xf>
    <xf fontId="19433" applyFont="true" borderId="8" applyBorder="true" applyNumberFormat="true" numFmtId="1" fillId="22" applyFill="true">
      <alignment horizontal="center" vertical="center"/>
    </xf>
    <xf fontId="19434" applyFont="true" borderId="8" applyBorder="true" applyNumberFormat="true" numFmtId="1" fillId="22" applyFill="true">
      <alignment horizontal="center" vertical="center"/>
    </xf>
    <xf fontId="19435" applyFont="true" borderId="8" applyBorder="true" applyNumberFormat="true" numFmtId="165" fillId="22" applyFill="true">
      <alignment horizontal="center" vertical="center"/>
    </xf>
    <xf fontId="19436" applyFont="true" borderId="8" applyBorder="true" applyNumberFormat="true" numFmtId="165" fillId="22" applyFill="true">
      <alignment horizontal="center" vertical="center"/>
    </xf>
    <xf fontId="19437" applyFont="true" borderId="8" applyBorder="true" applyNumberFormat="true" numFmtId="1" fillId="22" applyFill="true">
      <alignment horizontal="center" vertical="center"/>
    </xf>
    <xf fontId="19438" applyFont="true" borderId="8" applyBorder="true" applyNumberFormat="true" numFmtId="1" fillId="22" applyFill="true">
      <alignment horizontal="center" vertical="center"/>
    </xf>
    <xf fontId="19439" applyFont="true" borderId="8" applyBorder="true" applyNumberFormat="true" numFmtId="1" fillId="22" applyFill="true">
      <alignment horizontal="center" vertical="center"/>
    </xf>
    <xf fontId="19440" applyFont="true" borderId="8" applyBorder="true" applyNumberFormat="true" numFmtId="167" fillId="22" applyFill="true">
      <alignment horizontal="center" vertical="center"/>
    </xf>
    <xf fontId="19441" applyFont="true" borderId="8" applyBorder="true" applyNumberFormat="true" numFmtId="1" fillId="22" applyFill="true">
      <alignment horizontal="center" vertical="center"/>
    </xf>
    <xf fontId="19442" applyFont="true" borderId="8" applyBorder="true" applyNumberFormat="true" numFmtId="167" fillId="22" applyFill="true">
      <alignment horizontal="center" vertical="center"/>
    </xf>
    <xf fontId="19443" applyFont="true" borderId="8" applyBorder="true" applyNumberFormat="true" numFmtId="1" fillId="22" applyFill="true">
      <alignment horizontal="center" vertical="center"/>
    </xf>
    <xf fontId="19444" applyFont="true" borderId="8" applyBorder="true" applyNumberFormat="true" numFmtId="167" fillId="22" applyFill="true">
      <alignment horizontal="center" vertical="center"/>
    </xf>
    <xf fontId="19445" applyFont="true" borderId="8" applyBorder="true" applyNumberFormat="true" numFmtId="1" fillId="22" applyFill="true">
      <alignment horizontal="center" vertical="center"/>
    </xf>
    <xf fontId="19446" applyFont="true" borderId="8" applyBorder="true" applyNumberFormat="true" numFmtId="167" fillId="22" applyFill="true">
      <alignment horizontal="center" vertical="center"/>
    </xf>
    <xf fontId="19447" applyFont="true" borderId="8" applyBorder="true" applyNumberFormat="true" numFmtId="167" fillId="22" applyFill="true">
      <alignment horizontal="center" vertical="center"/>
    </xf>
    <xf fontId="19448" applyFont="true" borderId="8" applyBorder="true" applyNumberFormat="true" numFmtId="1" fillId="22" applyFill="true">
      <alignment horizontal="center" vertical="center"/>
    </xf>
    <xf fontId="19449" applyFont="true" borderId="8" applyBorder="true" applyNumberFormat="true" numFmtId="1" fillId="22" applyFill="true">
      <alignment horizontal="center" vertical="center"/>
    </xf>
    <xf fontId="19450" applyFont="true" borderId="8" applyBorder="true" applyNumberFormat="true" numFmtId="1" fillId="22" applyFill="true">
      <alignment horizontal="center" vertical="center"/>
    </xf>
    <xf fontId="19451" applyFont="true" borderId="8" applyBorder="true" applyNumberFormat="true" numFmtId="167" fillId="22" applyFill="true">
      <alignment horizontal="center" vertical="center"/>
    </xf>
    <xf fontId="19452" applyFont="true" borderId="8" applyBorder="true" applyNumberFormat="true" numFmtId="166" fillId="22" applyFill="true">
      <alignment horizontal="center" vertical="center"/>
    </xf>
    <xf fontId="19453" applyFont="true" borderId="8" applyBorder="true" applyNumberFormat="true" numFmtId="166" fillId="22" applyFill="true">
      <alignment horizontal="center" vertical="center"/>
    </xf>
    <xf fontId="19454" applyFont="true" borderId="8" applyBorder="true" applyNumberFormat="true" numFmtId="1" fillId="22" applyFill="true">
      <alignment horizontal="center" vertical="center"/>
    </xf>
    <xf fontId="19455" applyFont="true" borderId="8" applyBorder="true" applyNumberFormat="true" numFmtId="1" fillId="22" applyFill="true">
      <alignment horizontal="center" vertical="center"/>
    </xf>
    <xf fontId="19456" applyFont="true" borderId="8" applyBorder="true" applyNumberFormat="true" numFmtId="1" fillId="22" applyFill="true">
      <alignment horizontal="center" vertical="center"/>
    </xf>
    <xf fontId="19457" applyFont="true" borderId="8" applyBorder="true" applyNumberFormat="true" numFmtId="167" fillId="22" applyFill="true">
      <alignment horizontal="center" vertical="center"/>
    </xf>
    <xf fontId="19458" applyFont="true" borderId="8" applyBorder="true" applyNumberFormat="true" numFmtId="1" fillId="22" applyFill="true">
      <alignment horizontal="center" vertical="center"/>
    </xf>
    <xf fontId="19459" applyFont="true" borderId="8" applyBorder="true" applyNumberFormat="true" numFmtId="167" fillId="22" applyFill="true">
      <alignment horizontal="center" vertical="center"/>
    </xf>
    <xf fontId="19460" applyFont="true" borderId="8" applyBorder="true" applyNumberFormat="true" numFmtId="1" fillId="22" applyFill="true">
      <alignment horizontal="center" vertical="center"/>
    </xf>
    <xf fontId="19461" applyFont="true" borderId="8" applyBorder="true" applyNumberFormat="true" numFmtId="1" fillId="22" applyFill="true">
      <alignment horizontal="center" vertical="center"/>
    </xf>
    <xf fontId="19462" applyFont="true" borderId="8" applyBorder="true" applyNumberFormat="true" numFmtId="1" fillId="22" applyFill="true">
      <alignment horizontal="center" vertical="center"/>
    </xf>
    <xf fontId="19463" applyFont="true" borderId="8" applyBorder="true" applyNumberFormat="true" numFmtId="1" fillId="22" applyFill="true">
      <alignment horizontal="center" vertical="center"/>
    </xf>
    <xf fontId="19464" applyFont="true" borderId="8" applyBorder="true" applyNumberFormat="true" numFmtId="167" fillId="22" applyFill="true">
      <alignment horizontal="center" vertical="center"/>
    </xf>
    <xf fontId="19465" applyFont="true" borderId="8" applyBorder="true" applyNumberFormat="true" numFmtId="1" fillId="22" applyFill="true">
      <alignment horizontal="center" vertical="center"/>
    </xf>
    <xf fontId="19466" applyFont="true" borderId="8" applyBorder="true" applyNumberFormat="true" numFmtId="167" fillId="22" applyFill="true">
      <alignment horizontal="center" vertical="center"/>
    </xf>
    <xf fontId="19467" applyFont="true" borderId="8" applyBorder="true" applyNumberFormat="true" numFmtId="1" fillId="22" applyFill="true">
      <alignment horizontal="center" vertical="center"/>
    </xf>
    <xf fontId="19468" applyFont="true" borderId="8" applyBorder="true" applyNumberFormat="true" numFmtId="167" fillId="22" applyFill="true">
      <alignment horizontal="center" vertical="center"/>
    </xf>
    <xf fontId="19469" applyFont="true" borderId="8" applyBorder="true" applyNumberFormat="true" numFmtId="2" fillId="22" applyFill="true">
      <alignment horizontal="center" vertical="center"/>
    </xf>
    <xf fontId="19470" applyFont="true" borderId="8" applyBorder="true" applyNumberFormat="true" numFmtId="2" fillId="22" applyFill="true">
      <alignment horizontal="center" vertical="center"/>
    </xf>
    <xf fontId="19471" applyFont="true" borderId="8" applyBorder="true" applyNumberFormat="true" numFmtId="2" fillId="22" applyFill="true">
      <alignment horizontal="center" vertical="center"/>
    </xf>
    <xf fontId="19472" applyFont="true" borderId="8" applyBorder="true" applyNumberFormat="true" numFmtId="2" fillId="22" applyFill="true">
      <alignment horizontal="center" vertical="center"/>
    </xf>
    <xf fontId="19473" applyFont="true" borderId="8" applyBorder="true" applyNumberFormat="true" numFmtId="2" fillId="22" applyFill="true">
      <alignment horizontal="center" vertical="center"/>
    </xf>
    <xf fontId="19474" applyFont="true" borderId="8" applyBorder="true" applyNumberFormat="true" numFmtId="2" fillId="22" applyFill="true">
      <alignment horizontal="center" vertical="center"/>
    </xf>
    <xf fontId="19475" applyFont="true" borderId="8" applyBorder="true" applyNumberFormat="true" numFmtId="2" fillId="22" applyFill="true">
      <alignment horizontal="center" vertical="center"/>
    </xf>
    <xf fontId="19476" applyFont="true" borderId="8" applyBorder="true" applyNumberFormat="true" numFmtId="2" fillId="22" applyFill="true">
      <alignment horizontal="center" vertical="center"/>
    </xf>
    <xf fontId="19477" applyFont="true" borderId="8" applyBorder="true" applyNumberFormat="true" numFmtId="2" fillId="22" applyFill="true">
      <alignment horizontal="center" vertical="center"/>
    </xf>
    <xf fontId="19478" applyFont="true" borderId="8" applyBorder="true" applyNumberFormat="true" numFmtId="2" fillId="22" applyFill="true">
      <alignment horizontal="center" vertical="center"/>
    </xf>
    <xf fontId="19479" applyFont="true" borderId="8" applyBorder="true" applyNumberFormat="true" numFmtId="2" fillId="22" applyFill="true">
      <alignment horizontal="center" vertical="center"/>
    </xf>
    <xf fontId="19480" applyFont="true" borderId="8" applyBorder="true" applyNumberFormat="true" numFmtId="2" fillId="22" applyFill="true">
      <alignment horizontal="center" vertical="center"/>
    </xf>
    <xf fontId="19481" applyFont="true" borderId="8" applyBorder="true" applyNumberFormat="true" numFmtId="2" fillId="22" applyFill="true">
      <alignment horizontal="center" vertical="center"/>
    </xf>
    <xf fontId="19482" applyFont="true" borderId="8" applyBorder="true" applyNumberFormat="true" numFmtId="2" fillId="22" applyFill="true">
      <alignment horizontal="center" vertical="center"/>
    </xf>
    <xf fontId="19483" applyFont="true" borderId="8" applyBorder="true" applyNumberFormat="true" numFmtId="2" fillId="22" applyFill="true">
      <alignment horizontal="center" vertical="center"/>
    </xf>
    <xf fontId="19484" applyFont="true" borderId="8" applyBorder="true" applyNumberFormat="true" numFmtId="2" fillId="22" applyFill="true">
      <alignment horizontal="center" vertical="center"/>
    </xf>
    <xf fontId="19485" applyFont="true" borderId="8" applyBorder="true" applyNumberFormat="true" numFmtId="2" fillId="22" applyFill="true">
      <alignment horizontal="center" vertical="center"/>
    </xf>
    <xf fontId="19486" applyFont="true" borderId="8" applyBorder="true" applyNumberFormat="true" numFmtId="2" fillId="22" applyFill="true">
      <alignment horizontal="center" vertical="center"/>
    </xf>
    <xf fontId="19487" applyFont="true" borderId="8" applyBorder="true" applyNumberFormat="true" numFmtId="2" fillId="22" applyFill="true">
      <alignment horizontal="center" vertical="center"/>
    </xf>
    <xf fontId="19488" applyFont="true" borderId="8" applyBorder="true" applyNumberFormat="true" numFmtId="2" fillId="22" applyFill="true">
      <alignment horizontal="center" vertical="center"/>
    </xf>
    <xf fontId="19489" applyFont="true" borderId="8" applyBorder="true" applyNumberFormat="true" numFmtId="2" fillId="22" applyFill="true">
      <alignment horizontal="center" vertical="center"/>
    </xf>
    <xf fontId="19490" applyFont="true" borderId="8" applyBorder="true" applyNumberFormat="true" numFmtId="2" fillId="22" applyFill="true">
      <alignment horizontal="center" vertical="center"/>
    </xf>
    <xf fontId="19491" applyFont="true" borderId="8" applyBorder="true" applyNumberFormat="true" numFmtId="2" fillId="22" applyFill="true">
      <alignment horizontal="center" vertical="center"/>
    </xf>
    <xf fontId="19492" applyFont="true" borderId="8" applyBorder="true" applyNumberFormat="true" numFmtId="2" fillId="22" applyFill="true">
      <alignment horizontal="center" vertical="center"/>
    </xf>
    <xf fontId="19493" applyFont="true" borderId="8" applyBorder="true" applyNumberFormat="true" numFmtId="2" fillId="22" applyFill="true">
      <alignment horizontal="center" vertical="center"/>
    </xf>
    <xf fontId="19494" applyFont="true" borderId="8" applyBorder="true" applyNumberFormat="true" numFmtId="2" fillId="22" applyFill="true">
      <alignment horizontal="center" vertical="center"/>
    </xf>
    <xf fontId="19495" applyFont="true" borderId="8" applyBorder="true" applyNumberFormat="true" numFmtId="2" fillId="22" applyFill="true">
      <alignment horizontal="center" vertical="center"/>
    </xf>
    <xf fontId="19496" applyFont="true" borderId="8" applyBorder="true" applyNumberFormat="true" numFmtId="2" fillId="22" applyFill="true">
      <alignment horizontal="center" vertical="center"/>
    </xf>
    <xf fontId="19497" applyFont="true" borderId="8" applyBorder="true" applyNumberFormat="true" numFmtId="2" fillId="22" applyFill="true">
      <alignment horizontal="center" vertical="center"/>
    </xf>
    <xf fontId="19498" applyFont="true" borderId="8" applyBorder="true" applyNumberFormat="true" numFmtId="2" fillId="22" applyFill="true">
      <alignment horizontal="center" vertical="center"/>
    </xf>
    <xf fontId="19499" applyFont="true" borderId="8" applyBorder="true" applyNumberFormat="true" numFmtId="2" fillId="22" applyFill="true">
      <alignment horizontal="center" vertical="center"/>
    </xf>
    <xf fontId="19500" applyFont="true" borderId="8" applyBorder="true" applyNumberFormat="true" numFmtId="2" fillId="22" applyFill="true">
      <alignment horizontal="center" vertical="center"/>
    </xf>
    <xf fontId="19501" applyFont="true" borderId="8" applyBorder="true" applyNumberFormat="true" numFmtId="2" fillId="22" applyFill="true">
      <alignment horizontal="center" vertical="center"/>
    </xf>
    <xf fontId="19502" applyFont="true" borderId="8" applyBorder="true" applyNumberFormat="true" numFmtId="2" fillId="22" applyFill="true">
      <alignment horizontal="center" vertical="center"/>
    </xf>
    <xf fontId="19503" applyFont="true" borderId="8" applyBorder="true" applyNumberFormat="true" numFmtId="165" fillId="19" applyFill="true">
      <alignment horizontal="left" vertical="center"/>
    </xf>
    <xf fontId="19504" applyFont="true" borderId="8" applyBorder="true" applyNumberFormat="true" numFmtId="165" fillId="22" applyFill="true">
      <alignment horizontal="center" vertical="center"/>
    </xf>
    <xf fontId="19505" applyFont="true" borderId="8" applyBorder="true" applyNumberFormat="true" numFmtId="166" fillId="22" applyFill="true">
      <alignment horizontal="center" vertical="center"/>
    </xf>
    <xf fontId="19506" applyFont="true" borderId="8" applyBorder="true" applyNumberFormat="true" numFmtId="1" fillId="22" applyFill="true">
      <alignment horizontal="center" vertical="center"/>
    </xf>
    <xf fontId="19507" applyFont="true" borderId="8" applyBorder="true" applyNumberFormat="true" numFmtId="1" fillId="22" applyFill="true">
      <alignment horizontal="center" vertical="center"/>
    </xf>
    <xf fontId="19508" applyFont="true" borderId="8" applyBorder="true" applyNumberFormat="true" numFmtId="1" fillId="22" applyFill="true">
      <alignment horizontal="center" vertical="center"/>
    </xf>
    <xf fontId="19509" applyFont="true" borderId="8" applyBorder="true" applyNumberFormat="true" numFmtId="1" fillId="22" applyFill="true">
      <alignment horizontal="center" vertical="center"/>
    </xf>
    <xf fontId="19510" applyFont="true" borderId="8" applyBorder="true" applyNumberFormat="true" numFmtId="1" fillId="22" applyFill="true">
      <alignment horizontal="center" vertical="center"/>
    </xf>
    <xf fontId="19511" applyFont="true" borderId="8" applyBorder="true" applyNumberFormat="true" numFmtId="1" fillId="22" applyFill="true">
      <alignment horizontal="center" vertical="center"/>
    </xf>
    <xf fontId="19512" applyFont="true" borderId="8" applyBorder="true" applyNumberFormat="true" numFmtId="1" fillId="22" applyFill="true">
      <alignment horizontal="center" vertical="center"/>
    </xf>
    <xf fontId="19513" applyFont="true" borderId="8" applyBorder="true" applyNumberFormat="true" numFmtId="165" fillId="22" applyFill="true">
      <alignment horizontal="center" vertical="center"/>
    </xf>
    <xf fontId="19514" applyFont="true" borderId="8" applyBorder="true" applyNumberFormat="true" numFmtId="165" fillId="22" applyFill="true">
      <alignment horizontal="center" vertical="center"/>
    </xf>
    <xf fontId="19515" applyFont="true" borderId="8" applyBorder="true" applyNumberFormat="true" numFmtId="1" fillId="22" applyFill="true">
      <alignment horizontal="center" vertical="center"/>
    </xf>
    <xf fontId="19516" applyFont="true" borderId="8" applyBorder="true" applyNumberFormat="true" numFmtId="1" fillId="22" applyFill="true">
      <alignment horizontal="center" vertical="center"/>
    </xf>
    <xf fontId="19517" applyFont="true" borderId="8" applyBorder="true" applyNumberFormat="true" numFmtId="1" fillId="22" applyFill="true">
      <alignment horizontal="center" vertical="center"/>
    </xf>
    <xf fontId="19518" applyFont="true" borderId="8" applyBorder="true" applyNumberFormat="true" numFmtId="167" fillId="22" applyFill="true">
      <alignment horizontal="center" vertical="center"/>
    </xf>
    <xf fontId="19519" applyFont="true" borderId="8" applyBorder="true" applyNumberFormat="true" numFmtId="1" fillId="22" applyFill="true">
      <alignment horizontal="center" vertical="center"/>
    </xf>
    <xf fontId="19520" applyFont="true" borderId="8" applyBorder="true" applyNumberFormat="true" numFmtId="167" fillId="22" applyFill="true">
      <alignment horizontal="center" vertical="center"/>
    </xf>
    <xf fontId="19521" applyFont="true" borderId="8" applyBorder="true" applyNumberFormat="true" numFmtId="1" fillId="22" applyFill="true">
      <alignment horizontal="center" vertical="center"/>
    </xf>
    <xf fontId="19522" applyFont="true" borderId="8" applyBorder="true" applyNumberFormat="true" numFmtId="167" fillId="22" applyFill="true">
      <alignment horizontal="center" vertical="center"/>
    </xf>
    <xf fontId="19523" applyFont="true" borderId="8" applyBorder="true" applyNumberFormat="true" numFmtId="1" fillId="22" applyFill="true">
      <alignment horizontal="center" vertical="center"/>
    </xf>
    <xf fontId="19524" applyFont="true" borderId="8" applyBorder="true" applyNumberFormat="true" numFmtId="167" fillId="22" applyFill="true">
      <alignment horizontal="center" vertical="center"/>
    </xf>
    <xf fontId="19525" applyFont="true" borderId="8" applyBorder="true" applyNumberFormat="true" numFmtId="167" fillId="22" applyFill="true">
      <alignment horizontal="center" vertical="center"/>
    </xf>
    <xf fontId="19526" applyFont="true" borderId="8" applyBorder="true" applyNumberFormat="true" numFmtId="1" fillId="22" applyFill="true">
      <alignment horizontal="center" vertical="center"/>
    </xf>
    <xf fontId="19527" applyFont="true" borderId="8" applyBorder="true" applyNumberFormat="true" numFmtId="1" fillId="22" applyFill="true">
      <alignment horizontal="center" vertical="center"/>
    </xf>
    <xf fontId="19528" applyFont="true" borderId="8" applyBorder="true" applyNumberFormat="true" numFmtId="1" fillId="22" applyFill="true">
      <alignment horizontal="center" vertical="center"/>
    </xf>
    <xf fontId="19529" applyFont="true" borderId="8" applyBorder="true" applyNumberFormat="true" numFmtId="167" fillId="22" applyFill="true">
      <alignment horizontal="center" vertical="center"/>
    </xf>
    <xf fontId="19530" applyFont="true" borderId="8" applyBorder="true" applyNumberFormat="true" numFmtId="166" fillId="22" applyFill="true">
      <alignment horizontal="center" vertical="center"/>
    </xf>
    <xf fontId="19531" applyFont="true" borderId="8" applyBorder="true" applyNumberFormat="true" numFmtId="166" fillId="22" applyFill="true">
      <alignment horizontal="center" vertical="center"/>
    </xf>
    <xf fontId="19532" applyFont="true" borderId="8" applyBorder="true" applyNumberFormat="true" numFmtId="1" fillId="22" applyFill="true">
      <alignment horizontal="center" vertical="center"/>
    </xf>
    <xf fontId="19533" applyFont="true" borderId="8" applyBorder="true" applyNumberFormat="true" numFmtId="1" fillId="22" applyFill="true">
      <alignment horizontal="center" vertical="center"/>
    </xf>
    <xf fontId="19534" applyFont="true" borderId="8" applyBorder="true" applyNumberFormat="true" numFmtId="1" fillId="22" applyFill="true">
      <alignment horizontal="center" vertical="center"/>
    </xf>
    <xf fontId="19535" applyFont="true" borderId="8" applyBorder="true" applyNumberFormat="true" numFmtId="167" fillId="22" applyFill="true">
      <alignment horizontal="center" vertical="center"/>
    </xf>
    <xf fontId="19536" applyFont="true" borderId="8" applyBorder="true" applyNumberFormat="true" numFmtId="1" fillId="22" applyFill="true">
      <alignment horizontal="center" vertical="center"/>
    </xf>
    <xf fontId="19537" applyFont="true" borderId="8" applyBorder="true" applyNumberFormat="true" numFmtId="167" fillId="22" applyFill="true">
      <alignment horizontal="center" vertical="center"/>
    </xf>
    <xf fontId="19538" applyFont="true" borderId="8" applyBorder="true" applyNumberFormat="true" numFmtId="1" fillId="22" applyFill="true">
      <alignment horizontal="center" vertical="center"/>
    </xf>
    <xf fontId="19539" applyFont="true" borderId="8" applyBorder="true" applyNumberFormat="true" numFmtId="1" fillId="22" applyFill="true">
      <alignment horizontal="center" vertical="center"/>
    </xf>
    <xf fontId="19540" applyFont="true" borderId="8" applyBorder="true" applyNumberFormat="true" numFmtId="1" fillId="22" applyFill="true">
      <alignment horizontal="center" vertical="center"/>
    </xf>
    <xf fontId="19541" applyFont="true" borderId="8" applyBorder="true" applyNumberFormat="true" numFmtId="1" fillId="22" applyFill="true">
      <alignment horizontal="center" vertical="center"/>
    </xf>
    <xf fontId="19542" applyFont="true" borderId="8" applyBorder="true" applyNumberFormat="true" numFmtId="167" fillId="22" applyFill="true">
      <alignment horizontal="center" vertical="center"/>
    </xf>
    <xf fontId="19543" applyFont="true" borderId="8" applyBorder="true" applyNumberFormat="true" numFmtId="1" fillId="22" applyFill="true">
      <alignment horizontal="center" vertical="center"/>
    </xf>
    <xf fontId="19544" applyFont="true" borderId="8" applyBorder="true" applyNumberFormat="true" numFmtId="167" fillId="22" applyFill="true">
      <alignment horizontal="center" vertical="center"/>
    </xf>
    <xf fontId="19545" applyFont="true" borderId="8" applyBorder="true" applyNumberFormat="true" numFmtId="1" fillId="22" applyFill="true">
      <alignment horizontal="center" vertical="center"/>
    </xf>
    <xf fontId="19546" applyFont="true" borderId="8" applyBorder="true" applyNumberFormat="true" numFmtId="167" fillId="22" applyFill="true">
      <alignment horizontal="center" vertical="center"/>
    </xf>
    <xf fontId="19547" applyFont="true" borderId="8" applyBorder="true" applyNumberFormat="true" numFmtId="2" fillId="22" applyFill="true">
      <alignment horizontal="center" vertical="center"/>
    </xf>
    <xf fontId="19548" applyFont="true" borderId="8" applyBorder="true" applyNumberFormat="true" numFmtId="2" fillId="22" applyFill="true">
      <alignment horizontal="center" vertical="center"/>
    </xf>
    <xf fontId="19549" applyFont="true" borderId="8" applyBorder="true" applyNumberFormat="true" numFmtId="2" fillId="22" applyFill="true">
      <alignment horizontal="center" vertical="center"/>
    </xf>
    <xf fontId="19550" applyFont="true" borderId="8" applyBorder="true" applyNumberFormat="true" numFmtId="2" fillId="22" applyFill="true">
      <alignment horizontal="center" vertical="center"/>
    </xf>
    <xf fontId="19551" applyFont="true" borderId="8" applyBorder="true" applyNumberFormat="true" numFmtId="2" fillId="22" applyFill="true">
      <alignment horizontal="center" vertical="center"/>
    </xf>
    <xf fontId="19552" applyFont="true" borderId="8" applyBorder="true" applyNumberFormat="true" numFmtId="2" fillId="22" applyFill="true">
      <alignment horizontal="center" vertical="center"/>
    </xf>
    <xf fontId="19553" applyFont="true" borderId="8" applyBorder="true" applyNumberFormat="true" numFmtId="2" fillId="22" applyFill="true">
      <alignment horizontal="center" vertical="center"/>
    </xf>
    <xf fontId="19554" applyFont="true" borderId="8" applyBorder="true" applyNumberFormat="true" numFmtId="2" fillId="22" applyFill="true">
      <alignment horizontal="center" vertical="center"/>
    </xf>
    <xf fontId="19555" applyFont="true" borderId="8" applyBorder="true" applyNumberFormat="true" numFmtId="2" fillId="22" applyFill="true">
      <alignment horizontal="center" vertical="center"/>
    </xf>
    <xf fontId="19556" applyFont="true" borderId="8" applyBorder="true" applyNumberFormat="true" numFmtId="2" fillId="22" applyFill="true">
      <alignment horizontal="center" vertical="center"/>
    </xf>
    <xf fontId="19557" applyFont="true" borderId="8" applyBorder="true" applyNumberFormat="true" numFmtId="2" fillId="22" applyFill="true">
      <alignment horizontal="center" vertical="center"/>
    </xf>
    <xf fontId="19558" applyFont="true" borderId="8" applyBorder="true" applyNumberFormat="true" numFmtId="2" fillId="22" applyFill="true">
      <alignment horizontal="center" vertical="center"/>
    </xf>
    <xf fontId="19559" applyFont="true" borderId="8" applyBorder="true" applyNumberFormat="true" numFmtId="2" fillId="22" applyFill="true">
      <alignment horizontal="center" vertical="center"/>
    </xf>
    <xf fontId="19560" applyFont="true" borderId="8" applyBorder="true" applyNumberFormat="true" numFmtId="2" fillId="22" applyFill="true">
      <alignment horizontal="center" vertical="center"/>
    </xf>
    <xf fontId="19561" applyFont="true" borderId="8" applyBorder="true" applyNumberFormat="true" numFmtId="2" fillId="22" applyFill="true">
      <alignment horizontal="center" vertical="center"/>
    </xf>
    <xf fontId="19562" applyFont="true" borderId="8" applyBorder="true" applyNumberFormat="true" numFmtId="2" fillId="22" applyFill="true">
      <alignment horizontal="center" vertical="center"/>
    </xf>
    <xf fontId="19563" applyFont="true" borderId="8" applyBorder="true" applyNumberFormat="true" numFmtId="2" fillId="22" applyFill="true">
      <alignment horizontal="center" vertical="center"/>
    </xf>
    <xf fontId="19564" applyFont="true" borderId="8" applyBorder="true" applyNumberFormat="true" numFmtId="2" fillId="22" applyFill="true">
      <alignment horizontal="center" vertical="center"/>
    </xf>
    <xf fontId="19565" applyFont="true" borderId="8" applyBorder="true" applyNumberFormat="true" numFmtId="2" fillId="22" applyFill="true">
      <alignment horizontal="center" vertical="center"/>
    </xf>
    <xf fontId="19566" applyFont="true" borderId="8" applyBorder="true" applyNumberFormat="true" numFmtId="2" fillId="22" applyFill="true">
      <alignment horizontal="center" vertical="center"/>
    </xf>
    <xf fontId="19567" applyFont="true" borderId="8" applyBorder="true" applyNumberFormat="true" numFmtId="2" fillId="22" applyFill="true">
      <alignment horizontal="center" vertical="center"/>
    </xf>
    <xf fontId="19568" applyFont="true" borderId="8" applyBorder="true" applyNumberFormat="true" numFmtId="2" fillId="22" applyFill="true">
      <alignment horizontal="center" vertical="center"/>
    </xf>
    <xf fontId="19569" applyFont="true" borderId="8" applyBorder="true" applyNumberFormat="true" numFmtId="2" fillId="22" applyFill="true">
      <alignment horizontal="center" vertical="center"/>
    </xf>
    <xf fontId="19570" applyFont="true" borderId="8" applyBorder="true" applyNumberFormat="true" numFmtId="2" fillId="22" applyFill="true">
      <alignment horizontal="center" vertical="center"/>
    </xf>
    <xf fontId="19571" applyFont="true" borderId="8" applyBorder="true" applyNumberFormat="true" numFmtId="2" fillId="22" applyFill="true">
      <alignment horizontal="center" vertical="center"/>
    </xf>
    <xf fontId="19572" applyFont="true" borderId="8" applyBorder="true" applyNumberFormat="true" numFmtId="2" fillId="22" applyFill="true">
      <alignment horizontal="center" vertical="center"/>
    </xf>
    <xf fontId="19573" applyFont="true" borderId="8" applyBorder="true" applyNumberFormat="true" numFmtId="2" fillId="22" applyFill="true">
      <alignment horizontal="center" vertical="center"/>
    </xf>
    <xf fontId="19574" applyFont="true" borderId="8" applyBorder="true" applyNumberFormat="true" numFmtId="2" fillId="22" applyFill="true">
      <alignment horizontal="center" vertical="center"/>
    </xf>
    <xf fontId="19575" applyFont="true" borderId="8" applyBorder="true" applyNumberFormat="true" numFmtId="2" fillId="22" applyFill="true">
      <alignment horizontal="center" vertical="center"/>
    </xf>
    <xf fontId="19576" applyFont="true" borderId="8" applyBorder="true" applyNumberFormat="true" numFmtId="2" fillId="22" applyFill="true">
      <alignment horizontal="center" vertical="center"/>
    </xf>
    <xf fontId="19577" applyFont="true" borderId="8" applyBorder="true" applyNumberFormat="true" numFmtId="2" fillId="22" applyFill="true">
      <alignment horizontal="center" vertical="center"/>
    </xf>
    <xf fontId="19578" applyFont="true" borderId="8" applyBorder="true" applyNumberFormat="true" numFmtId="2" fillId="22" applyFill="true">
      <alignment horizontal="center" vertical="center"/>
    </xf>
    <xf fontId="19579" applyFont="true" borderId="8" applyBorder="true" applyNumberFormat="true" numFmtId="2" fillId="22" applyFill="true">
      <alignment horizontal="center" vertical="center"/>
    </xf>
    <xf fontId="19580" applyFont="true" borderId="8" applyBorder="true" applyNumberFormat="true" numFmtId="2" fillId="22" applyFill="true">
      <alignment horizontal="center" vertical="center"/>
    </xf>
    <xf fontId="19581" applyFont="true" borderId="8" applyBorder="true" applyNumberFormat="true" numFmtId="165" fillId="19" applyFill="true">
      <alignment horizontal="left" vertical="center"/>
    </xf>
    <xf fontId="19582" applyFont="true" borderId="8" applyBorder="true" applyNumberFormat="true" numFmtId="165" fillId="22" applyFill="true">
      <alignment horizontal="center" vertical="center"/>
    </xf>
    <xf fontId="19583" applyFont="true" borderId="8" applyBorder="true" applyNumberFormat="true" numFmtId="166" fillId="22" applyFill="true">
      <alignment horizontal="center" vertical="center"/>
    </xf>
    <xf fontId="19584" applyFont="true" borderId="8" applyBorder="true" applyNumberFormat="true" numFmtId="1" fillId="22" applyFill="true">
      <alignment horizontal="center" vertical="center"/>
    </xf>
    <xf fontId="19585" applyFont="true" borderId="8" applyBorder="true" applyNumberFormat="true" numFmtId="1" fillId="22" applyFill="true">
      <alignment horizontal="center" vertical="center"/>
    </xf>
    <xf fontId="19586" applyFont="true" borderId="8" applyBorder="true" applyNumberFormat="true" numFmtId="1" fillId="22" applyFill="true">
      <alignment horizontal="center" vertical="center"/>
    </xf>
    <xf fontId="19587" applyFont="true" borderId="8" applyBorder="true" applyNumberFormat="true" numFmtId="1" fillId="22" applyFill="true">
      <alignment horizontal="center" vertical="center"/>
    </xf>
    <xf fontId="19588" applyFont="true" borderId="8" applyBorder="true" applyNumberFormat="true" numFmtId="1" fillId="22" applyFill="true">
      <alignment horizontal="center" vertical="center"/>
    </xf>
    <xf fontId="19589" applyFont="true" borderId="8" applyBorder="true" applyNumberFormat="true" numFmtId="1" fillId="22" applyFill="true">
      <alignment horizontal="center" vertical="center"/>
    </xf>
    <xf fontId="19590" applyFont="true" borderId="8" applyBorder="true" applyNumberFormat="true" numFmtId="1" fillId="22" applyFill="true">
      <alignment horizontal="center" vertical="center"/>
    </xf>
    <xf fontId="19591" applyFont="true" borderId="8" applyBorder="true" applyNumberFormat="true" numFmtId="165" fillId="22" applyFill="true">
      <alignment horizontal="center" vertical="center"/>
    </xf>
    <xf fontId="19592" applyFont="true" borderId="8" applyBorder="true" applyNumberFormat="true" numFmtId="165" fillId="22" applyFill="true">
      <alignment horizontal="center" vertical="center"/>
    </xf>
    <xf fontId="19593" applyFont="true" borderId="8" applyBorder="true" applyNumberFormat="true" numFmtId="1" fillId="22" applyFill="true">
      <alignment horizontal="center" vertical="center"/>
    </xf>
    <xf fontId="19594" applyFont="true" borderId="8" applyBorder="true" applyNumberFormat="true" numFmtId="1" fillId="22" applyFill="true">
      <alignment horizontal="center" vertical="center"/>
    </xf>
    <xf fontId="19595" applyFont="true" borderId="8" applyBorder="true" applyNumberFormat="true" numFmtId="1" fillId="22" applyFill="true">
      <alignment horizontal="center" vertical="center"/>
    </xf>
    <xf fontId="19596" applyFont="true" borderId="8" applyBorder="true" applyNumberFormat="true" numFmtId="167" fillId="22" applyFill="true">
      <alignment horizontal="center" vertical="center"/>
    </xf>
    <xf fontId="19597" applyFont="true" borderId="8" applyBorder="true" applyNumberFormat="true" numFmtId="1" fillId="22" applyFill="true">
      <alignment horizontal="center" vertical="center"/>
    </xf>
    <xf fontId="19598" applyFont="true" borderId="8" applyBorder="true" applyNumberFormat="true" numFmtId="167" fillId="22" applyFill="true">
      <alignment horizontal="center" vertical="center"/>
    </xf>
    <xf fontId="19599" applyFont="true" borderId="8" applyBorder="true" applyNumberFormat="true" numFmtId="1" fillId="22" applyFill="true">
      <alignment horizontal="center" vertical="center"/>
    </xf>
    <xf fontId="19600" applyFont="true" borderId="8" applyBorder="true" applyNumberFormat="true" numFmtId="167" fillId="22" applyFill="true">
      <alignment horizontal="center" vertical="center"/>
    </xf>
    <xf fontId="19601" applyFont="true" borderId="8" applyBorder="true" applyNumberFormat="true" numFmtId="1" fillId="22" applyFill="true">
      <alignment horizontal="center" vertical="center"/>
    </xf>
    <xf fontId="19602" applyFont="true" borderId="8" applyBorder="true" applyNumberFormat="true" numFmtId="167" fillId="22" applyFill="true">
      <alignment horizontal="center" vertical="center"/>
    </xf>
    <xf fontId="19603" applyFont="true" borderId="8" applyBorder="true" applyNumberFormat="true" numFmtId="167" fillId="22" applyFill="true">
      <alignment horizontal="center" vertical="center"/>
    </xf>
    <xf fontId="19604" applyFont="true" borderId="8" applyBorder="true" applyNumberFormat="true" numFmtId="1" fillId="22" applyFill="true">
      <alignment horizontal="center" vertical="center"/>
    </xf>
    <xf fontId="19605" applyFont="true" borderId="8" applyBorder="true" applyNumberFormat="true" numFmtId="1" fillId="22" applyFill="true">
      <alignment horizontal="center" vertical="center"/>
    </xf>
    <xf fontId="19606" applyFont="true" borderId="8" applyBorder="true" applyNumberFormat="true" numFmtId="1" fillId="22" applyFill="true">
      <alignment horizontal="center" vertical="center"/>
    </xf>
    <xf fontId="19607" applyFont="true" borderId="8" applyBorder="true" applyNumberFormat="true" numFmtId="167" fillId="22" applyFill="true">
      <alignment horizontal="center" vertical="center"/>
    </xf>
    <xf fontId="19608" applyFont="true" borderId="8" applyBorder="true" applyNumberFormat="true" numFmtId="166" fillId="22" applyFill="true">
      <alignment horizontal="center" vertical="center"/>
    </xf>
    <xf fontId="19609" applyFont="true" borderId="8" applyBorder="true" applyNumberFormat="true" numFmtId="166" fillId="22" applyFill="true">
      <alignment horizontal="center" vertical="center"/>
    </xf>
    <xf fontId="19610" applyFont="true" borderId="8" applyBorder="true" applyNumberFormat="true" numFmtId="1" fillId="22" applyFill="true">
      <alignment horizontal="center" vertical="center"/>
    </xf>
    <xf fontId="19611" applyFont="true" borderId="8" applyBorder="true" applyNumberFormat="true" numFmtId="1" fillId="22" applyFill="true">
      <alignment horizontal="center" vertical="center"/>
    </xf>
    <xf fontId="19612" applyFont="true" borderId="8" applyBorder="true" applyNumberFormat="true" numFmtId="1" fillId="22" applyFill="true">
      <alignment horizontal="center" vertical="center"/>
    </xf>
    <xf fontId="19613" applyFont="true" borderId="8" applyBorder="true" applyNumberFormat="true" numFmtId="167" fillId="22" applyFill="true">
      <alignment horizontal="center" vertical="center"/>
    </xf>
    <xf fontId="19614" applyFont="true" borderId="8" applyBorder="true" applyNumberFormat="true" numFmtId="1" fillId="22" applyFill="true">
      <alignment horizontal="center" vertical="center"/>
    </xf>
    <xf fontId="19615" applyFont="true" borderId="8" applyBorder="true" applyNumberFormat="true" numFmtId="167" fillId="22" applyFill="true">
      <alignment horizontal="center" vertical="center"/>
    </xf>
    <xf fontId="19616" applyFont="true" borderId="8" applyBorder="true" applyNumberFormat="true" numFmtId="1" fillId="22" applyFill="true">
      <alignment horizontal="center" vertical="center"/>
    </xf>
    <xf fontId="19617" applyFont="true" borderId="8" applyBorder="true" applyNumberFormat="true" numFmtId="1" fillId="22" applyFill="true">
      <alignment horizontal="center" vertical="center"/>
    </xf>
    <xf fontId="19618" applyFont="true" borderId="8" applyBorder="true" applyNumberFormat="true" numFmtId="1" fillId="22" applyFill="true">
      <alignment horizontal="center" vertical="center"/>
    </xf>
    <xf fontId="19619" applyFont="true" borderId="8" applyBorder="true" applyNumberFormat="true" numFmtId="1" fillId="22" applyFill="true">
      <alignment horizontal="center" vertical="center"/>
    </xf>
    <xf fontId="19620" applyFont="true" borderId="8" applyBorder="true" applyNumberFormat="true" numFmtId="167" fillId="22" applyFill="true">
      <alignment horizontal="center" vertical="center"/>
    </xf>
    <xf fontId="19621" applyFont="true" borderId="8" applyBorder="true" applyNumberFormat="true" numFmtId="1" fillId="22" applyFill="true">
      <alignment horizontal="center" vertical="center"/>
    </xf>
    <xf fontId="19622" applyFont="true" borderId="8" applyBorder="true" applyNumberFormat="true" numFmtId="167" fillId="22" applyFill="true">
      <alignment horizontal="center" vertical="center"/>
    </xf>
    <xf fontId="19623" applyFont="true" borderId="8" applyBorder="true" applyNumberFormat="true" numFmtId="1" fillId="22" applyFill="true">
      <alignment horizontal="center" vertical="center"/>
    </xf>
    <xf fontId="19624" applyFont="true" borderId="8" applyBorder="true" applyNumberFormat="true" numFmtId="167" fillId="22" applyFill="true">
      <alignment horizontal="center" vertical="center"/>
    </xf>
    <xf fontId="19625" applyFont="true" borderId="8" applyBorder="true" applyNumberFormat="true" numFmtId="2" fillId="22" applyFill="true">
      <alignment horizontal="center" vertical="center"/>
    </xf>
    <xf fontId="19626" applyFont="true" borderId="8" applyBorder="true" applyNumberFormat="true" numFmtId="2" fillId="22" applyFill="true">
      <alignment horizontal="center" vertical="center"/>
    </xf>
    <xf fontId="19627" applyFont="true" borderId="8" applyBorder="true" applyNumberFormat="true" numFmtId="2" fillId="22" applyFill="true">
      <alignment horizontal="center" vertical="center"/>
    </xf>
    <xf fontId="19628" applyFont="true" borderId="8" applyBorder="true" applyNumberFormat="true" numFmtId="2" fillId="22" applyFill="true">
      <alignment horizontal="center" vertical="center"/>
    </xf>
    <xf fontId="19629" applyFont="true" borderId="8" applyBorder="true" applyNumberFormat="true" numFmtId="2" fillId="22" applyFill="true">
      <alignment horizontal="center" vertical="center"/>
    </xf>
    <xf fontId="19630" applyFont="true" borderId="8" applyBorder="true" applyNumberFormat="true" numFmtId="2" fillId="22" applyFill="true">
      <alignment horizontal="center" vertical="center"/>
    </xf>
    <xf fontId="19631" applyFont="true" borderId="8" applyBorder="true" applyNumberFormat="true" numFmtId="2" fillId="22" applyFill="true">
      <alignment horizontal="center" vertical="center"/>
    </xf>
    <xf fontId="19632" applyFont="true" borderId="8" applyBorder="true" applyNumberFormat="true" numFmtId="2" fillId="22" applyFill="true">
      <alignment horizontal="center" vertical="center"/>
    </xf>
    <xf fontId="19633" applyFont="true" borderId="8" applyBorder="true" applyNumberFormat="true" numFmtId="2" fillId="22" applyFill="true">
      <alignment horizontal="center" vertical="center"/>
    </xf>
    <xf fontId="19634" applyFont="true" borderId="8" applyBorder="true" applyNumberFormat="true" numFmtId="2" fillId="22" applyFill="true">
      <alignment horizontal="center" vertical="center"/>
    </xf>
    <xf fontId="19635" applyFont="true" borderId="8" applyBorder="true" applyNumberFormat="true" numFmtId="2" fillId="22" applyFill="true">
      <alignment horizontal="center" vertical="center"/>
    </xf>
    <xf fontId="19636" applyFont="true" borderId="8" applyBorder="true" applyNumberFormat="true" numFmtId="2" fillId="22" applyFill="true">
      <alignment horizontal="center" vertical="center"/>
    </xf>
    <xf fontId="19637" applyFont="true" borderId="8" applyBorder="true" applyNumberFormat="true" numFmtId="2" fillId="22" applyFill="true">
      <alignment horizontal="center" vertical="center"/>
    </xf>
    <xf fontId="19638" applyFont="true" borderId="8" applyBorder="true" applyNumberFormat="true" numFmtId="2" fillId="22" applyFill="true">
      <alignment horizontal="center" vertical="center"/>
    </xf>
    <xf fontId="19639" applyFont="true" borderId="8" applyBorder="true" applyNumberFormat="true" numFmtId="2" fillId="22" applyFill="true">
      <alignment horizontal="center" vertical="center"/>
    </xf>
    <xf fontId="19640" applyFont="true" borderId="8" applyBorder="true" applyNumberFormat="true" numFmtId="2" fillId="22" applyFill="true">
      <alignment horizontal="center" vertical="center"/>
    </xf>
    <xf fontId="19641" applyFont="true" borderId="8" applyBorder="true" applyNumberFormat="true" numFmtId="2" fillId="22" applyFill="true">
      <alignment horizontal="center" vertical="center"/>
    </xf>
    <xf fontId="19642" applyFont="true" borderId="8" applyBorder="true" applyNumberFormat="true" numFmtId="2" fillId="22" applyFill="true">
      <alignment horizontal="center" vertical="center"/>
    </xf>
    <xf fontId="19643" applyFont="true" borderId="8" applyBorder="true" applyNumberFormat="true" numFmtId="2" fillId="22" applyFill="true">
      <alignment horizontal="center" vertical="center"/>
    </xf>
    <xf fontId="19644" applyFont="true" borderId="8" applyBorder="true" applyNumberFormat="true" numFmtId="2" fillId="22" applyFill="true">
      <alignment horizontal="center" vertical="center"/>
    </xf>
    <xf fontId="19645" applyFont="true" borderId="8" applyBorder="true" applyNumberFormat="true" numFmtId="2" fillId="22" applyFill="true">
      <alignment horizontal="center" vertical="center"/>
    </xf>
    <xf fontId="19646" applyFont="true" borderId="8" applyBorder="true" applyNumberFormat="true" numFmtId="2" fillId="22" applyFill="true">
      <alignment horizontal="center" vertical="center"/>
    </xf>
    <xf fontId="19647" applyFont="true" borderId="8" applyBorder="true" applyNumberFormat="true" numFmtId="2" fillId="22" applyFill="true">
      <alignment horizontal="center" vertical="center"/>
    </xf>
    <xf fontId="19648" applyFont="true" borderId="8" applyBorder="true" applyNumberFormat="true" numFmtId="2" fillId="22" applyFill="true">
      <alignment horizontal="center" vertical="center"/>
    </xf>
    <xf fontId="19649" applyFont="true" borderId="8" applyBorder="true" applyNumberFormat="true" numFmtId="2" fillId="22" applyFill="true">
      <alignment horizontal="center" vertical="center"/>
    </xf>
    <xf fontId="19650" applyFont="true" borderId="8" applyBorder="true" applyNumberFormat="true" numFmtId="2" fillId="22" applyFill="true">
      <alignment horizontal="center" vertical="center"/>
    </xf>
    <xf fontId="19651" applyFont="true" borderId="8" applyBorder="true" applyNumberFormat="true" numFmtId="2" fillId="22" applyFill="true">
      <alignment horizontal="center" vertical="center"/>
    </xf>
    <xf fontId="19652" applyFont="true" borderId="8" applyBorder="true" applyNumberFormat="true" numFmtId="2" fillId="22" applyFill="true">
      <alignment horizontal="center" vertical="center"/>
    </xf>
    <xf fontId="19653" applyFont="true" borderId="8" applyBorder="true" applyNumberFormat="true" numFmtId="2" fillId="22" applyFill="true">
      <alignment horizontal="center" vertical="center"/>
    </xf>
    <xf fontId="19654" applyFont="true" borderId="8" applyBorder="true" applyNumberFormat="true" numFmtId="2" fillId="22" applyFill="true">
      <alignment horizontal="center" vertical="center"/>
    </xf>
    <xf fontId="19655" applyFont="true" borderId="8" applyBorder="true" applyNumberFormat="true" numFmtId="2" fillId="22" applyFill="true">
      <alignment horizontal="center" vertical="center"/>
    </xf>
    <xf fontId="19656" applyFont="true" borderId="8" applyBorder="true" applyNumberFormat="true" numFmtId="2" fillId="22" applyFill="true">
      <alignment horizontal="center" vertical="center"/>
    </xf>
    <xf fontId="19657" applyFont="true" borderId="8" applyBorder="true" applyNumberFormat="true" numFmtId="2" fillId="22" applyFill="true">
      <alignment horizontal="center" vertical="center"/>
    </xf>
    <xf fontId="19658" applyFont="true" borderId="8" applyBorder="true" applyNumberFormat="true" numFmtId="2" fillId="22" applyFill="true">
      <alignment horizontal="center" vertical="center"/>
    </xf>
    <xf fontId="19659" applyFont="true" borderId="8" applyBorder="true" applyNumberFormat="true" numFmtId="165" fillId="19" applyFill="true">
      <alignment horizontal="left" vertical="center"/>
    </xf>
    <xf fontId="19660" applyFont="true" borderId="8" applyBorder="true" applyNumberFormat="true" numFmtId="165" fillId="22" applyFill="true">
      <alignment horizontal="center" vertical="center"/>
    </xf>
    <xf fontId="19661" applyFont="true" borderId="8" applyBorder="true" applyNumberFormat="true" numFmtId="166" fillId="22" applyFill="true">
      <alignment horizontal="center" vertical="center"/>
    </xf>
    <xf fontId="19662" applyFont="true" borderId="8" applyBorder="true" applyNumberFormat="true" numFmtId="1" fillId="22" applyFill="true">
      <alignment horizontal="center" vertical="center"/>
    </xf>
    <xf fontId="19663" applyFont="true" borderId="8" applyBorder="true" applyNumberFormat="true" numFmtId="1" fillId="22" applyFill="true">
      <alignment horizontal="center" vertical="center"/>
    </xf>
    <xf fontId="19664" applyFont="true" borderId="8" applyBorder="true" applyNumberFormat="true" numFmtId="1" fillId="22" applyFill="true">
      <alignment horizontal="center" vertical="center"/>
    </xf>
    <xf fontId="19665" applyFont="true" borderId="8" applyBorder="true" applyNumberFormat="true" numFmtId="1" fillId="22" applyFill="true">
      <alignment horizontal="center" vertical="center"/>
    </xf>
    <xf fontId="19666" applyFont="true" borderId="8" applyBorder="true" applyNumberFormat="true" numFmtId="1" fillId="22" applyFill="true">
      <alignment horizontal="center" vertical="center"/>
    </xf>
    <xf fontId="19667" applyFont="true" borderId="8" applyBorder="true" applyNumberFormat="true" numFmtId="1" fillId="22" applyFill="true">
      <alignment horizontal="center" vertical="center"/>
    </xf>
    <xf fontId="19668" applyFont="true" borderId="8" applyBorder="true" applyNumberFormat="true" numFmtId="1" fillId="22" applyFill="true">
      <alignment horizontal="center" vertical="center"/>
    </xf>
    <xf fontId="19669" applyFont="true" borderId="8" applyBorder="true" applyNumberFormat="true" numFmtId="165" fillId="22" applyFill="true">
      <alignment horizontal="center" vertical="center"/>
    </xf>
    <xf fontId="19670" applyFont="true" borderId="8" applyBorder="true" applyNumberFormat="true" numFmtId="165" fillId="22" applyFill="true">
      <alignment horizontal="center" vertical="center"/>
    </xf>
    <xf fontId="19671" applyFont="true" borderId="8" applyBorder="true" applyNumberFormat="true" numFmtId="1" fillId="22" applyFill="true">
      <alignment horizontal="center" vertical="center"/>
    </xf>
    <xf fontId="19672" applyFont="true" borderId="8" applyBorder="true" applyNumberFormat="true" numFmtId="1" fillId="22" applyFill="true">
      <alignment horizontal="center" vertical="center"/>
    </xf>
    <xf fontId="19673" applyFont="true" borderId="8" applyBorder="true" applyNumberFormat="true" numFmtId="1" fillId="22" applyFill="true">
      <alignment horizontal="center" vertical="center"/>
    </xf>
    <xf fontId="19674" applyFont="true" borderId="8" applyBorder="true" applyNumberFormat="true" numFmtId="167" fillId="22" applyFill="true">
      <alignment horizontal="center" vertical="center"/>
    </xf>
    <xf fontId="19675" applyFont="true" borderId="8" applyBorder="true" applyNumberFormat="true" numFmtId="1" fillId="22" applyFill="true">
      <alignment horizontal="center" vertical="center"/>
    </xf>
    <xf fontId="19676" applyFont="true" borderId="8" applyBorder="true" applyNumberFormat="true" numFmtId="167" fillId="22" applyFill="true">
      <alignment horizontal="center" vertical="center"/>
    </xf>
    <xf fontId="19677" applyFont="true" borderId="8" applyBorder="true" applyNumberFormat="true" numFmtId="1" fillId="22" applyFill="true">
      <alignment horizontal="center" vertical="center"/>
    </xf>
    <xf fontId="19678" applyFont="true" borderId="8" applyBorder="true" applyNumberFormat="true" numFmtId="167" fillId="22" applyFill="true">
      <alignment horizontal="center" vertical="center"/>
    </xf>
    <xf fontId="19679" applyFont="true" borderId="8" applyBorder="true" applyNumberFormat="true" numFmtId="1" fillId="22" applyFill="true">
      <alignment horizontal="center" vertical="center"/>
    </xf>
    <xf fontId="19680" applyFont="true" borderId="8" applyBorder="true" applyNumberFormat="true" numFmtId="167" fillId="22" applyFill="true">
      <alignment horizontal="center" vertical="center"/>
    </xf>
    <xf fontId="19681" applyFont="true" borderId="8" applyBorder="true" applyNumberFormat="true" numFmtId="167" fillId="22" applyFill="true">
      <alignment horizontal="center" vertical="center"/>
    </xf>
    <xf fontId="19682" applyFont="true" borderId="8" applyBorder="true" applyNumberFormat="true" numFmtId="1" fillId="22" applyFill="true">
      <alignment horizontal="center" vertical="center"/>
    </xf>
    <xf fontId="19683" applyFont="true" borderId="8" applyBorder="true" applyNumberFormat="true" numFmtId="1" fillId="22" applyFill="true">
      <alignment horizontal="center" vertical="center"/>
    </xf>
    <xf fontId="19684" applyFont="true" borderId="8" applyBorder="true" applyNumberFormat="true" numFmtId="1" fillId="22" applyFill="true">
      <alignment horizontal="center" vertical="center"/>
    </xf>
    <xf fontId="19685" applyFont="true" borderId="8" applyBorder="true" applyNumberFormat="true" numFmtId="167" fillId="22" applyFill="true">
      <alignment horizontal="center" vertical="center"/>
    </xf>
    <xf fontId="19686" applyFont="true" borderId="8" applyBorder="true" applyNumberFormat="true" numFmtId="166" fillId="22" applyFill="true">
      <alignment horizontal="center" vertical="center"/>
    </xf>
    <xf fontId="19687" applyFont="true" borderId="8" applyBorder="true" applyNumberFormat="true" numFmtId="166" fillId="22" applyFill="true">
      <alignment horizontal="center" vertical="center"/>
    </xf>
    <xf fontId="19688" applyFont="true" borderId="8" applyBorder="true" applyNumberFormat="true" numFmtId="1" fillId="22" applyFill="true">
      <alignment horizontal="center" vertical="center"/>
    </xf>
    <xf fontId="19689" applyFont="true" borderId="8" applyBorder="true" applyNumberFormat="true" numFmtId="1" fillId="22" applyFill="true">
      <alignment horizontal="center" vertical="center"/>
    </xf>
    <xf fontId="19690" applyFont="true" borderId="8" applyBorder="true" applyNumberFormat="true" numFmtId="1" fillId="22" applyFill="true">
      <alignment horizontal="center" vertical="center"/>
    </xf>
    <xf fontId="19691" applyFont="true" borderId="8" applyBorder="true" applyNumberFormat="true" numFmtId="167" fillId="22" applyFill="true">
      <alignment horizontal="center" vertical="center"/>
    </xf>
    <xf fontId="19692" applyFont="true" borderId="8" applyBorder="true" applyNumberFormat="true" numFmtId="1" fillId="22" applyFill="true">
      <alignment horizontal="center" vertical="center"/>
    </xf>
    <xf fontId="19693" applyFont="true" borderId="8" applyBorder="true" applyNumberFormat="true" numFmtId="167" fillId="22" applyFill="true">
      <alignment horizontal="center" vertical="center"/>
    </xf>
    <xf fontId="19694" applyFont="true" borderId="8" applyBorder="true" applyNumberFormat="true" numFmtId="1" fillId="22" applyFill="true">
      <alignment horizontal="center" vertical="center"/>
    </xf>
    <xf fontId="19695" applyFont="true" borderId="8" applyBorder="true" applyNumberFormat="true" numFmtId="1" fillId="22" applyFill="true">
      <alignment horizontal="center" vertical="center"/>
    </xf>
    <xf fontId="19696" applyFont="true" borderId="8" applyBorder="true" applyNumberFormat="true" numFmtId="1" fillId="22" applyFill="true">
      <alignment horizontal="center" vertical="center"/>
    </xf>
    <xf fontId="19697" applyFont="true" borderId="8" applyBorder="true" applyNumberFormat="true" numFmtId="1" fillId="22" applyFill="true">
      <alignment horizontal="center" vertical="center"/>
    </xf>
    <xf fontId="19698" applyFont="true" borderId="8" applyBorder="true" applyNumberFormat="true" numFmtId="167" fillId="22" applyFill="true">
      <alignment horizontal="center" vertical="center"/>
    </xf>
    <xf fontId="19699" applyFont="true" borderId="8" applyBorder="true" applyNumberFormat="true" numFmtId="1" fillId="22" applyFill="true">
      <alignment horizontal="center" vertical="center"/>
    </xf>
    <xf fontId="19700" applyFont="true" borderId="8" applyBorder="true" applyNumberFormat="true" numFmtId="167" fillId="22" applyFill="true">
      <alignment horizontal="center" vertical="center"/>
    </xf>
    <xf fontId="19701" applyFont="true" borderId="8" applyBorder="true" applyNumberFormat="true" numFmtId="1" fillId="22" applyFill="true">
      <alignment horizontal="center" vertical="center"/>
    </xf>
    <xf fontId="19702" applyFont="true" borderId="8" applyBorder="true" applyNumberFormat="true" numFmtId="167" fillId="22" applyFill="true">
      <alignment horizontal="center" vertical="center"/>
    </xf>
    <xf fontId="19703" applyFont="true" borderId="8" applyBorder="true" applyNumberFormat="true" numFmtId="2" fillId="22" applyFill="true">
      <alignment horizontal="center" vertical="center"/>
    </xf>
    <xf fontId="19704" applyFont="true" borderId="8" applyBorder="true" applyNumberFormat="true" numFmtId="2" fillId="22" applyFill="true">
      <alignment horizontal="center" vertical="center"/>
    </xf>
    <xf fontId="19705" applyFont="true" borderId="8" applyBorder="true" applyNumberFormat="true" numFmtId="2" fillId="22" applyFill="true">
      <alignment horizontal="center" vertical="center"/>
    </xf>
    <xf fontId="19706" applyFont="true" borderId="8" applyBorder="true" applyNumberFormat="true" numFmtId="2" fillId="22" applyFill="true">
      <alignment horizontal="center" vertical="center"/>
    </xf>
    <xf fontId="19707" applyFont="true" borderId="8" applyBorder="true" applyNumberFormat="true" numFmtId="2" fillId="22" applyFill="true">
      <alignment horizontal="center" vertical="center"/>
    </xf>
    <xf fontId="19708" applyFont="true" borderId="8" applyBorder="true" applyNumberFormat="true" numFmtId="2" fillId="22" applyFill="true">
      <alignment horizontal="center" vertical="center"/>
    </xf>
    <xf fontId="19709" applyFont="true" borderId="8" applyBorder="true" applyNumberFormat="true" numFmtId="2" fillId="22" applyFill="true">
      <alignment horizontal="center" vertical="center"/>
    </xf>
    <xf fontId="19710" applyFont="true" borderId="8" applyBorder="true" applyNumberFormat="true" numFmtId="2" fillId="22" applyFill="true">
      <alignment horizontal="center" vertical="center"/>
    </xf>
    <xf fontId="19711" applyFont="true" borderId="8" applyBorder="true" applyNumberFormat="true" numFmtId="2" fillId="22" applyFill="true">
      <alignment horizontal="center" vertical="center"/>
    </xf>
    <xf fontId="19712" applyFont="true" borderId="8" applyBorder="true" applyNumberFormat="true" numFmtId="2" fillId="22" applyFill="true">
      <alignment horizontal="center" vertical="center"/>
    </xf>
    <xf fontId="19713" applyFont="true" borderId="8" applyBorder="true" applyNumberFormat="true" numFmtId="2" fillId="22" applyFill="true">
      <alignment horizontal="center" vertical="center"/>
    </xf>
    <xf fontId="19714" applyFont="true" borderId="8" applyBorder="true" applyNumberFormat="true" numFmtId="2" fillId="22" applyFill="true">
      <alignment horizontal="center" vertical="center"/>
    </xf>
    <xf fontId="19715" applyFont="true" borderId="8" applyBorder="true" applyNumberFormat="true" numFmtId="2" fillId="22" applyFill="true">
      <alignment horizontal="center" vertical="center"/>
    </xf>
    <xf fontId="19716" applyFont="true" borderId="8" applyBorder="true" applyNumberFormat="true" numFmtId="2" fillId="22" applyFill="true">
      <alignment horizontal="center" vertical="center"/>
    </xf>
    <xf fontId="19717" applyFont="true" borderId="8" applyBorder="true" applyNumberFormat="true" numFmtId="2" fillId="22" applyFill="true">
      <alignment horizontal="center" vertical="center"/>
    </xf>
    <xf fontId="19718" applyFont="true" borderId="8" applyBorder="true" applyNumberFormat="true" numFmtId="2" fillId="22" applyFill="true">
      <alignment horizontal="center" vertical="center"/>
    </xf>
    <xf fontId="19719" applyFont="true" borderId="8" applyBorder="true" applyNumberFormat="true" numFmtId="2" fillId="22" applyFill="true">
      <alignment horizontal="center" vertical="center"/>
    </xf>
    <xf fontId="19720" applyFont="true" borderId="8" applyBorder="true" applyNumberFormat="true" numFmtId="2" fillId="22" applyFill="true">
      <alignment horizontal="center" vertical="center"/>
    </xf>
    <xf fontId="19721" applyFont="true" borderId="8" applyBorder="true" applyNumberFormat="true" numFmtId="2" fillId="22" applyFill="true">
      <alignment horizontal="center" vertical="center"/>
    </xf>
    <xf fontId="19722" applyFont="true" borderId="8" applyBorder="true" applyNumberFormat="true" numFmtId="2" fillId="22" applyFill="true">
      <alignment horizontal="center" vertical="center"/>
    </xf>
    <xf fontId="19723" applyFont="true" borderId="8" applyBorder="true" applyNumberFormat="true" numFmtId="2" fillId="22" applyFill="true">
      <alignment horizontal="center" vertical="center"/>
    </xf>
    <xf fontId="19724" applyFont="true" borderId="8" applyBorder="true" applyNumberFormat="true" numFmtId="2" fillId="22" applyFill="true">
      <alignment horizontal="center" vertical="center"/>
    </xf>
    <xf fontId="19725" applyFont="true" borderId="8" applyBorder="true" applyNumberFormat="true" numFmtId="2" fillId="22" applyFill="true">
      <alignment horizontal="center" vertical="center"/>
    </xf>
    <xf fontId="19726" applyFont="true" borderId="8" applyBorder="true" applyNumberFormat="true" numFmtId="2" fillId="22" applyFill="true">
      <alignment horizontal="center" vertical="center"/>
    </xf>
    <xf fontId="19727" applyFont="true" borderId="8" applyBorder="true" applyNumberFormat="true" numFmtId="2" fillId="22" applyFill="true">
      <alignment horizontal="center" vertical="center"/>
    </xf>
    <xf fontId="19728" applyFont="true" borderId="8" applyBorder="true" applyNumberFormat="true" numFmtId="2" fillId="22" applyFill="true">
      <alignment horizontal="center" vertical="center"/>
    </xf>
    <xf fontId="19729" applyFont="true" borderId="8" applyBorder="true" applyNumberFormat="true" numFmtId="2" fillId="22" applyFill="true">
      <alignment horizontal="center" vertical="center"/>
    </xf>
    <xf fontId="19730" applyFont="true" borderId="8" applyBorder="true" applyNumberFormat="true" numFmtId="2" fillId="22" applyFill="true">
      <alignment horizontal="center" vertical="center"/>
    </xf>
    <xf fontId="19731" applyFont="true" borderId="8" applyBorder="true" applyNumberFormat="true" numFmtId="2" fillId="22" applyFill="true">
      <alignment horizontal="center" vertical="center"/>
    </xf>
    <xf fontId="19732" applyFont="true" borderId="8" applyBorder="true" applyNumberFormat="true" numFmtId="2" fillId="22" applyFill="true">
      <alignment horizontal="center" vertical="center"/>
    </xf>
    <xf fontId="19733" applyFont="true" borderId="8" applyBorder="true" applyNumberFormat="true" numFmtId="2" fillId="22" applyFill="true">
      <alignment horizontal="center" vertical="center"/>
    </xf>
    <xf fontId="19734" applyFont="true" borderId="8" applyBorder="true" applyNumberFormat="true" numFmtId="2" fillId="22" applyFill="true">
      <alignment horizontal="center" vertical="center"/>
    </xf>
    <xf fontId="19735" applyFont="true" borderId="8" applyBorder="true" applyNumberFormat="true" numFmtId="2" fillId="22" applyFill="true">
      <alignment horizontal="center" vertical="center"/>
    </xf>
    <xf fontId="19736" applyFont="true" borderId="8" applyBorder="true" applyNumberFormat="true" numFmtId="2" fillId="22" applyFill="true">
      <alignment horizontal="center" vertical="center"/>
    </xf>
    <xf fontId="19737" applyFont="true" borderId="8" applyBorder="true" applyNumberFormat="true" numFmtId="165" fillId="19" applyFill="true">
      <alignment horizontal="left" vertical="center"/>
    </xf>
    <xf fontId="19738" applyFont="true" borderId="8" applyBorder="true" applyNumberFormat="true" numFmtId="165" fillId="22" applyFill="true">
      <alignment horizontal="center" vertical="center"/>
    </xf>
    <xf fontId="19739" applyFont="true" borderId="8" applyBorder="true" applyNumberFormat="true" numFmtId="166" fillId="22" applyFill="true">
      <alignment horizontal="center" vertical="center"/>
    </xf>
    <xf fontId="19740" applyFont="true" borderId="8" applyBorder="true" applyNumberFormat="true" numFmtId="1" fillId="22" applyFill="true">
      <alignment horizontal="center" vertical="center"/>
    </xf>
    <xf fontId="19741" applyFont="true" borderId="8" applyBorder="true" applyNumberFormat="true" numFmtId="1" fillId="22" applyFill="true">
      <alignment horizontal="center" vertical="center"/>
    </xf>
    <xf fontId="19742" applyFont="true" borderId="8" applyBorder="true" applyNumberFormat="true" numFmtId="1" fillId="22" applyFill="true">
      <alignment horizontal="center" vertical="center"/>
    </xf>
    <xf fontId="19743" applyFont="true" borderId="8" applyBorder="true" applyNumberFormat="true" numFmtId="1" fillId="22" applyFill="true">
      <alignment horizontal="center" vertical="center"/>
    </xf>
    <xf fontId="19744" applyFont="true" borderId="8" applyBorder="true" applyNumberFormat="true" numFmtId="1" fillId="22" applyFill="true">
      <alignment horizontal="center" vertical="center"/>
    </xf>
    <xf fontId="19745" applyFont="true" borderId="8" applyBorder="true" applyNumberFormat="true" numFmtId="1" fillId="22" applyFill="true">
      <alignment horizontal="center" vertical="center"/>
    </xf>
    <xf fontId="19746" applyFont="true" borderId="8" applyBorder="true" applyNumberFormat="true" numFmtId="1" fillId="22" applyFill="true">
      <alignment horizontal="center" vertical="center"/>
    </xf>
    <xf fontId="19747" applyFont="true" borderId="8" applyBorder="true" applyNumberFormat="true" numFmtId="165" fillId="22" applyFill="true">
      <alignment horizontal="center" vertical="center"/>
    </xf>
    <xf fontId="19748" applyFont="true" borderId="8" applyBorder="true" applyNumberFormat="true" numFmtId="165" fillId="22" applyFill="true">
      <alignment horizontal="center" vertical="center"/>
    </xf>
    <xf fontId="19749" applyFont="true" borderId="8" applyBorder="true" applyNumberFormat="true" numFmtId="1" fillId="22" applyFill="true">
      <alignment horizontal="center" vertical="center"/>
    </xf>
    <xf fontId="19750" applyFont="true" borderId="8" applyBorder="true" applyNumberFormat="true" numFmtId="1" fillId="22" applyFill="true">
      <alignment horizontal="center" vertical="center"/>
    </xf>
    <xf fontId="19751" applyFont="true" borderId="8" applyBorder="true" applyNumberFormat="true" numFmtId="1" fillId="22" applyFill="true">
      <alignment horizontal="center" vertical="center"/>
    </xf>
    <xf fontId="19752" applyFont="true" borderId="8" applyBorder="true" applyNumberFormat="true" numFmtId="167" fillId="22" applyFill="true">
      <alignment horizontal="center" vertical="center"/>
    </xf>
    <xf fontId="19753" applyFont="true" borderId="8" applyBorder="true" applyNumberFormat="true" numFmtId="1" fillId="22" applyFill="true">
      <alignment horizontal="center" vertical="center"/>
    </xf>
    <xf fontId="19754" applyFont="true" borderId="8" applyBorder="true" applyNumberFormat="true" numFmtId="167" fillId="22" applyFill="true">
      <alignment horizontal="center" vertical="center"/>
    </xf>
    <xf fontId="19755" applyFont="true" borderId="8" applyBorder="true" applyNumberFormat="true" numFmtId="1" fillId="22" applyFill="true">
      <alignment horizontal="center" vertical="center"/>
    </xf>
    <xf fontId="19756" applyFont="true" borderId="8" applyBorder="true" applyNumberFormat="true" numFmtId="167" fillId="22" applyFill="true">
      <alignment horizontal="center" vertical="center"/>
    </xf>
    <xf fontId="19757" applyFont="true" borderId="8" applyBorder="true" applyNumberFormat="true" numFmtId="1" fillId="22" applyFill="true">
      <alignment horizontal="center" vertical="center"/>
    </xf>
    <xf fontId="19758" applyFont="true" borderId="8" applyBorder="true" applyNumberFormat="true" numFmtId="167" fillId="22" applyFill="true">
      <alignment horizontal="center" vertical="center"/>
    </xf>
    <xf fontId="19759" applyFont="true" borderId="8" applyBorder="true" applyNumberFormat="true" numFmtId="167" fillId="22" applyFill="true">
      <alignment horizontal="center" vertical="center"/>
    </xf>
    <xf fontId="19760" applyFont="true" borderId="8" applyBorder="true" applyNumberFormat="true" numFmtId="1" fillId="22" applyFill="true">
      <alignment horizontal="center" vertical="center"/>
    </xf>
    <xf fontId="19761" applyFont="true" borderId="8" applyBorder="true" applyNumberFormat="true" numFmtId="1" fillId="22" applyFill="true">
      <alignment horizontal="center" vertical="center"/>
    </xf>
    <xf fontId="19762" applyFont="true" borderId="8" applyBorder="true" applyNumberFormat="true" numFmtId="1" fillId="22" applyFill="true">
      <alignment horizontal="center" vertical="center"/>
    </xf>
    <xf fontId="19763" applyFont="true" borderId="8" applyBorder="true" applyNumberFormat="true" numFmtId="167" fillId="22" applyFill="true">
      <alignment horizontal="center" vertical="center"/>
    </xf>
    <xf fontId="19764" applyFont="true" borderId="8" applyBorder="true" applyNumberFormat="true" numFmtId="166" fillId="22" applyFill="true">
      <alignment horizontal="center" vertical="center"/>
    </xf>
    <xf fontId="19765" applyFont="true" borderId="8" applyBorder="true" applyNumberFormat="true" numFmtId="166" fillId="22" applyFill="true">
      <alignment horizontal="center" vertical="center"/>
    </xf>
    <xf fontId="19766" applyFont="true" borderId="8" applyBorder="true" applyNumberFormat="true" numFmtId="1" fillId="22" applyFill="true">
      <alignment horizontal="center" vertical="center"/>
    </xf>
    <xf fontId="19767" applyFont="true" borderId="8" applyBorder="true" applyNumberFormat="true" numFmtId="1" fillId="22" applyFill="true">
      <alignment horizontal="center" vertical="center"/>
    </xf>
    <xf fontId="19768" applyFont="true" borderId="8" applyBorder="true" applyNumberFormat="true" numFmtId="1" fillId="22" applyFill="true">
      <alignment horizontal="center" vertical="center"/>
    </xf>
    <xf fontId="19769" applyFont="true" borderId="8" applyBorder="true" applyNumberFormat="true" numFmtId="167" fillId="22" applyFill="true">
      <alignment horizontal="center" vertical="center"/>
    </xf>
    <xf fontId="19770" applyFont="true" borderId="8" applyBorder="true" applyNumberFormat="true" numFmtId="1" fillId="22" applyFill="true">
      <alignment horizontal="center" vertical="center"/>
    </xf>
    <xf fontId="19771" applyFont="true" borderId="8" applyBorder="true" applyNumberFormat="true" numFmtId="167" fillId="22" applyFill="true">
      <alignment horizontal="center" vertical="center"/>
    </xf>
    <xf fontId="19772" applyFont="true" borderId="8" applyBorder="true" applyNumberFormat="true" numFmtId="1" fillId="22" applyFill="true">
      <alignment horizontal="center" vertical="center"/>
    </xf>
    <xf fontId="19773" applyFont="true" borderId="8" applyBorder="true" applyNumberFormat="true" numFmtId="1" fillId="22" applyFill="true">
      <alignment horizontal="center" vertical="center"/>
    </xf>
    <xf fontId="19774" applyFont="true" borderId="8" applyBorder="true" applyNumberFormat="true" numFmtId="1" fillId="22" applyFill="true">
      <alignment horizontal="center" vertical="center"/>
    </xf>
    <xf fontId="19775" applyFont="true" borderId="8" applyBorder="true" applyNumberFormat="true" numFmtId="1" fillId="22" applyFill="true">
      <alignment horizontal="center" vertical="center"/>
    </xf>
    <xf fontId="19776" applyFont="true" borderId="8" applyBorder="true" applyNumberFormat="true" numFmtId="167" fillId="22" applyFill="true">
      <alignment horizontal="center" vertical="center"/>
    </xf>
    <xf fontId="19777" applyFont="true" borderId="8" applyBorder="true" applyNumberFormat="true" numFmtId="1" fillId="22" applyFill="true">
      <alignment horizontal="center" vertical="center"/>
    </xf>
    <xf fontId="19778" applyFont="true" borderId="8" applyBorder="true" applyNumberFormat="true" numFmtId="167" fillId="22" applyFill="true">
      <alignment horizontal="center" vertical="center"/>
    </xf>
    <xf fontId="19779" applyFont="true" borderId="8" applyBorder="true" applyNumberFormat="true" numFmtId="1" fillId="22" applyFill="true">
      <alignment horizontal="center" vertical="center"/>
    </xf>
    <xf fontId="19780" applyFont="true" borderId="8" applyBorder="true" applyNumberFormat="true" numFmtId="167" fillId="22" applyFill="true">
      <alignment horizontal="center" vertical="center"/>
    </xf>
    <xf fontId="19781" applyFont="true" borderId="8" applyBorder="true" applyNumberFormat="true" numFmtId="2" fillId="22" applyFill="true">
      <alignment horizontal="center" vertical="center"/>
    </xf>
    <xf fontId="19782" applyFont="true" borderId="8" applyBorder="true" applyNumberFormat="true" numFmtId="2" fillId="22" applyFill="true">
      <alignment horizontal="center" vertical="center"/>
    </xf>
    <xf fontId="19783" applyFont="true" borderId="8" applyBorder="true" applyNumberFormat="true" numFmtId="2" fillId="22" applyFill="true">
      <alignment horizontal="center" vertical="center"/>
    </xf>
    <xf fontId="19784" applyFont="true" borderId="8" applyBorder="true" applyNumberFormat="true" numFmtId="2" fillId="22" applyFill="true">
      <alignment horizontal="center" vertical="center"/>
    </xf>
    <xf fontId="19785" applyFont="true" borderId="8" applyBorder="true" applyNumberFormat="true" numFmtId="2" fillId="22" applyFill="true">
      <alignment horizontal="center" vertical="center"/>
    </xf>
    <xf fontId="19786" applyFont="true" borderId="8" applyBorder="true" applyNumberFormat="true" numFmtId="2" fillId="22" applyFill="true">
      <alignment horizontal="center" vertical="center"/>
    </xf>
    <xf fontId="19787" applyFont="true" borderId="8" applyBorder="true" applyNumberFormat="true" numFmtId="2" fillId="22" applyFill="true">
      <alignment horizontal="center" vertical="center"/>
    </xf>
    <xf fontId="19788" applyFont="true" borderId="8" applyBorder="true" applyNumberFormat="true" numFmtId="2" fillId="22" applyFill="true">
      <alignment horizontal="center" vertical="center"/>
    </xf>
    <xf fontId="19789" applyFont="true" borderId="8" applyBorder="true" applyNumberFormat="true" numFmtId="2" fillId="22" applyFill="true">
      <alignment horizontal="center" vertical="center"/>
    </xf>
    <xf fontId="19790" applyFont="true" borderId="8" applyBorder="true" applyNumberFormat="true" numFmtId="2" fillId="22" applyFill="true">
      <alignment horizontal="center" vertical="center"/>
    </xf>
    <xf fontId="19791" applyFont="true" borderId="8" applyBorder="true" applyNumberFormat="true" numFmtId="2" fillId="22" applyFill="true">
      <alignment horizontal="center" vertical="center"/>
    </xf>
    <xf fontId="19792" applyFont="true" borderId="8" applyBorder="true" applyNumberFormat="true" numFmtId="2" fillId="22" applyFill="true">
      <alignment horizontal="center" vertical="center"/>
    </xf>
    <xf fontId="19793" applyFont="true" borderId="8" applyBorder="true" applyNumberFormat="true" numFmtId="2" fillId="22" applyFill="true">
      <alignment horizontal="center" vertical="center"/>
    </xf>
    <xf fontId="19794" applyFont="true" borderId="8" applyBorder="true" applyNumberFormat="true" numFmtId="2" fillId="22" applyFill="true">
      <alignment horizontal="center" vertical="center"/>
    </xf>
    <xf fontId="19795" applyFont="true" borderId="8" applyBorder="true" applyNumberFormat="true" numFmtId="2" fillId="22" applyFill="true">
      <alignment horizontal="center" vertical="center"/>
    </xf>
    <xf fontId="19796" applyFont="true" borderId="8" applyBorder="true" applyNumberFormat="true" numFmtId="2" fillId="22" applyFill="true">
      <alignment horizontal="center" vertical="center"/>
    </xf>
    <xf fontId="19797" applyFont="true" borderId="8" applyBorder="true" applyNumberFormat="true" numFmtId="2" fillId="22" applyFill="true">
      <alignment horizontal="center" vertical="center"/>
    </xf>
    <xf fontId="19798" applyFont="true" borderId="8" applyBorder="true" applyNumberFormat="true" numFmtId="2" fillId="22" applyFill="true">
      <alignment horizontal="center" vertical="center"/>
    </xf>
    <xf fontId="19799" applyFont="true" borderId="8" applyBorder="true" applyNumberFormat="true" numFmtId="2" fillId="22" applyFill="true">
      <alignment horizontal="center" vertical="center"/>
    </xf>
    <xf fontId="19800" applyFont="true" borderId="8" applyBorder="true" applyNumberFormat="true" numFmtId="2" fillId="22" applyFill="true">
      <alignment horizontal="center" vertical="center"/>
    </xf>
    <xf fontId="19801" applyFont="true" borderId="8" applyBorder="true" applyNumberFormat="true" numFmtId="2" fillId="22" applyFill="true">
      <alignment horizontal="center" vertical="center"/>
    </xf>
    <xf fontId="19802" applyFont="true" borderId="8" applyBorder="true" applyNumberFormat="true" numFmtId="2" fillId="22" applyFill="true">
      <alignment horizontal="center" vertical="center"/>
    </xf>
    <xf fontId="19803" applyFont="true" borderId="8" applyBorder="true" applyNumberFormat="true" numFmtId="2" fillId="22" applyFill="true">
      <alignment horizontal="center" vertical="center"/>
    </xf>
    <xf fontId="19804" applyFont="true" borderId="8" applyBorder="true" applyNumberFormat="true" numFmtId="2" fillId="22" applyFill="true">
      <alignment horizontal="center" vertical="center"/>
    </xf>
    <xf fontId="19805" applyFont="true" borderId="8" applyBorder="true" applyNumberFormat="true" numFmtId="2" fillId="22" applyFill="true">
      <alignment horizontal="center" vertical="center"/>
    </xf>
    <xf fontId="19806" applyFont="true" borderId="8" applyBorder="true" applyNumberFormat="true" numFmtId="2" fillId="22" applyFill="true">
      <alignment horizontal="center" vertical="center"/>
    </xf>
    <xf fontId="19807" applyFont="true" borderId="8" applyBorder="true" applyNumberFormat="true" numFmtId="2" fillId="22" applyFill="true">
      <alignment horizontal="center" vertical="center"/>
    </xf>
    <xf fontId="19808" applyFont="true" borderId="8" applyBorder="true" applyNumberFormat="true" numFmtId="2" fillId="22" applyFill="true">
      <alignment horizontal="center" vertical="center"/>
    </xf>
    <xf fontId="19809" applyFont="true" borderId="8" applyBorder="true" applyNumberFormat="true" numFmtId="2" fillId="22" applyFill="true">
      <alignment horizontal="center" vertical="center"/>
    </xf>
    <xf fontId="19810" applyFont="true" borderId="8" applyBorder="true" applyNumberFormat="true" numFmtId="2" fillId="22" applyFill="true">
      <alignment horizontal="center" vertical="center"/>
    </xf>
    <xf fontId="19811" applyFont="true" borderId="8" applyBorder="true" applyNumberFormat="true" numFmtId="2" fillId="22" applyFill="true">
      <alignment horizontal="center" vertical="center"/>
    </xf>
    <xf fontId="19812" applyFont="true" borderId="8" applyBorder="true" applyNumberFormat="true" numFmtId="2" fillId="22" applyFill="true">
      <alignment horizontal="center" vertical="center"/>
    </xf>
    <xf fontId="19813" applyFont="true" borderId="8" applyBorder="true" applyNumberFormat="true" numFmtId="2" fillId="22" applyFill="true">
      <alignment horizontal="center" vertical="center"/>
    </xf>
    <xf fontId="19814" applyFont="true" borderId="8" applyBorder="true" applyNumberFormat="true" numFmtId="2" fillId="22" applyFill="true">
      <alignment horizontal="center" vertical="center"/>
    </xf>
    <xf fontId="19815" applyFont="true" borderId="8" applyBorder="true" applyNumberFormat="true" numFmtId="165" fillId="19" applyFill="true">
      <alignment horizontal="left" vertical="center"/>
    </xf>
    <xf fontId="19816" applyFont="true" borderId="8" applyBorder="true" applyNumberFormat="true" numFmtId="165" fillId="22" applyFill="true">
      <alignment horizontal="center" vertical="center"/>
    </xf>
    <xf fontId="19817" applyFont="true" borderId="8" applyBorder="true" applyNumberFormat="true" numFmtId="166" fillId="22" applyFill="true">
      <alignment horizontal="center" vertical="center"/>
    </xf>
    <xf fontId="19818" applyFont="true" borderId="8" applyBorder="true" applyNumberFormat="true" numFmtId="1" fillId="22" applyFill="true">
      <alignment horizontal="center" vertical="center"/>
    </xf>
    <xf fontId="19819" applyFont="true" borderId="8" applyBorder="true" applyNumberFormat="true" numFmtId="1" fillId="22" applyFill="true">
      <alignment horizontal="center" vertical="center"/>
    </xf>
    <xf fontId="19820" applyFont="true" borderId="8" applyBorder="true" applyNumberFormat="true" numFmtId="1" fillId="22" applyFill="true">
      <alignment horizontal="center" vertical="center"/>
    </xf>
    <xf fontId="19821" applyFont="true" borderId="8" applyBorder="true" applyNumberFormat="true" numFmtId="1" fillId="22" applyFill="true">
      <alignment horizontal="center" vertical="center"/>
    </xf>
    <xf fontId="19822" applyFont="true" borderId="8" applyBorder="true" applyNumberFormat="true" numFmtId="1" fillId="22" applyFill="true">
      <alignment horizontal="center" vertical="center"/>
    </xf>
    <xf fontId="19823" applyFont="true" borderId="8" applyBorder="true" applyNumberFormat="true" numFmtId="1" fillId="22" applyFill="true">
      <alignment horizontal="center" vertical="center"/>
    </xf>
    <xf fontId="19824" applyFont="true" borderId="8" applyBorder="true" applyNumberFormat="true" numFmtId="1" fillId="22" applyFill="true">
      <alignment horizontal="center" vertical="center"/>
    </xf>
    <xf fontId="19825" applyFont="true" borderId="8" applyBorder="true" applyNumberFormat="true" numFmtId="165" fillId="22" applyFill="true">
      <alignment horizontal="center" vertical="center"/>
    </xf>
    <xf fontId="19826" applyFont="true" borderId="8" applyBorder="true" applyNumberFormat="true" numFmtId="165" fillId="22" applyFill="true">
      <alignment horizontal="center" vertical="center"/>
    </xf>
    <xf fontId="19827" applyFont="true" borderId="8" applyBorder="true" applyNumberFormat="true" numFmtId="1" fillId="22" applyFill="true">
      <alignment horizontal="center" vertical="center"/>
    </xf>
    <xf fontId="19828" applyFont="true" borderId="8" applyBorder="true" applyNumberFormat="true" numFmtId="1" fillId="22" applyFill="true">
      <alignment horizontal="center" vertical="center"/>
    </xf>
    <xf fontId="19829" applyFont="true" borderId="8" applyBorder="true" applyNumberFormat="true" numFmtId="1" fillId="22" applyFill="true">
      <alignment horizontal="center" vertical="center"/>
    </xf>
    <xf fontId="19830" applyFont="true" borderId="8" applyBorder="true" applyNumberFormat="true" numFmtId="167" fillId="22" applyFill="true">
      <alignment horizontal="center" vertical="center"/>
    </xf>
    <xf fontId="19831" applyFont="true" borderId="8" applyBorder="true" applyNumberFormat="true" numFmtId="1" fillId="22" applyFill="true">
      <alignment horizontal="center" vertical="center"/>
    </xf>
    <xf fontId="19832" applyFont="true" borderId="8" applyBorder="true" applyNumberFormat="true" numFmtId="167" fillId="22" applyFill="true">
      <alignment horizontal="center" vertical="center"/>
    </xf>
    <xf fontId="19833" applyFont="true" borderId="8" applyBorder="true" applyNumberFormat="true" numFmtId="1" fillId="22" applyFill="true">
      <alignment horizontal="center" vertical="center"/>
    </xf>
    <xf fontId="19834" applyFont="true" borderId="8" applyBorder="true" applyNumberFormat="true" numFmtId="167" fillId="22" applyFill="true">
      <alignment horizontal="center" vertical="center"/>
    </xf>
    <xf fontId="19835" applyFont="true" borderId="8" applyBorder="true" applyNumberFormat="true" numFmtId="1" fillId="22" applyFill="true">
      <alignment horizontal="center" vertical="center"/>
    </xf>
    <xf fontId="19836" applyFont="true" borderId="8" applyBorder="true" applyNumberFormat="true" numFmtId="167" fillId="22" applyFill="true">
      <alignment horizontal="center" vertical="center"/>
    </xf>
    <xf fontId="19837" applyFont="true" borderId="8" applyBorder="true" applyNumberFormat="true" numFmtId="167" fillId="22" applyFill="true">
      <alignment horizontal="center" vertical="center"/>
    </xf>
    <xf fontId="19838" applyFont="true" borderId="8" applyBorder="true" applyNumberFormat="true" numFmtId="1" fillId="22" applyFill="true">
      <alignment horizontal="center" vertical="center"/>
    </xf>
    <xf fontId="19839" applyFont="true" borderId="8" applyBorder="true" applyNumberFormat="true" numFmtId="1" fillId="22" applyFill="true">
      <alignment horizontal="center" vertical="center"/>
    </xf>
    <xf fontId="19840" applyFont="true" borderId="8" applyBorder="true" applyNumberFormat="true" numFmtId="1" fillId="22" applyFill="true">
      <alignment horizontal="center" vertical="center"/>
    </xf>
    <xf fontId="19841" applyFont="true" borderId="8" applyBorder="true" applyNumberFormat="true" numFmtId="167" fillId="22" applyFill="true">
      <alignment horizontal="center" vertical="center"/>
    </xf>
    <xf fontId="19842" applyFont="true" borderId="8" applyBorder="true" applyNumberFormat="true" numFmtId="166" fillId="22" applyFill="true">
      <alignment horizontal="center" vertical="center"/>
    </xf>
    <xf fontId="19843" applyFont="true" borderId="8" applyBorder="true" applyNumberFormat="true" numFmtId="166" fillId="22" applyFill="true">
      <alignment horizontal="center" vertical="center"/>
    </xf>
    <xf fontId="19844" applyFont="true" borderId="8" applyBorder="true" applyNumberFormat="true" numFmtId="1" fillId="22" applyFill="true">
      <alignment horizontal="center" vertical="center"/>
    </xf>
    <xf fontId="19845" applyFont="true" borderId="8" applyBorder="true" applyNumberFormat="true" numFmtId="1" fillId="22" applyFill="true">
      <alignment horizontal="center" vertical="center"/>
    </xf>
    <xf fontId="19846" applyFont="true" borderId="8" applyBorder="true" applyNumberFormat="true" numFmtId="1" fillId="22" applyFill="true">
      <alignment horizontal="center" vertical="center"/>
    </xf>
    <xf fontId="19847" applyFont="true" borderId="8" applyBorder="true" applyNumberFormat="true" numFmtId="167" fillId="22" applyFill="true">
      <alignment horizontal="center" vertical="center"/>
    </xf>
    <xf fontId="19848" applyFont="true" borderId="8" applyBorder="true" applyNumberFormat="true" numFmtId="1" fillId="22" applyFill="true">
      <alignment horizontal="center" vertical="center"/>
    </xf>
    <xf fontId="19849" applyFont="true" borderId="8" applyBorder="true" applyNumberFormat="true" numFmtId="167" fillId="22" applyFill="true">
      <alignment horizontal="center" vertical="center"/>
    </xf>
    <xf fontId="19850" applyFont="true" borderId="8" applyBorder="true" applyNumberFormat="true" numFmtId="1" fillId="22" applyFill="true">
      <alignment horizontal="center" vertical="center"/>
    </xf>
    <xf fontId="19851" applyFont="true" borderId="8" applyBorder="true" applyNumberFormat="true" numFmtId="1" fillId="22" applyFill="true">
      <alignment horizontal="center" vertical="center"/>
    </xf>
    <xf fontId="19852" applyFont="true" borderId="8" applyBorder="true" applyNumberFormat="true" numFmtId="1" fillId="22" applyFill="true">
      <alignment horizontal="center" vertical="center"/>
    </xf>
    <xf fontId="19853" applyFont="true" borderId="8" applyBorder="true" applyNumberFormat="true" numFmtId="1" fillId="22" applyFill="true">
      <alignment horizontal="center" vertical="center"/>
    </xf>
    <xf fontId="19854" applyFont="true" borderId="8" applyBorder="true" applyNumberFormat="true" numFmtId="167" fillId="22" applyFill="true">
      <alignment horizontal="center" vertical="center"/>
    </xf>
    <xf fontId="19855" applyFont="true" borderId="8" applyBorder="true" applyNumberFormat="true" numFmtId="1" fillId="22" applyFill="true">
      <alignment horizontal="center" vertical="center"/>
    </xf>
    <xf fontId="19856" applyFont="true" borderId="8" applyBorder="true" applyNumberFormat="true" numFmtId="167" fillId="22" applyFill="true">
      <alignment horizontal="center" vertical="center"/>
    </xf>
    <xf fontId="19857" applyFont="true" borderId="8" applyBorder="true" applyNumberFormat="true" numFmtId="1" fillId="22" applyFill="true">
      <alignment horizontal="center" vertical="center"/>
    </xf>
    <xf fontId="19858" applyFont="true" borderId="8" applyBorder="true" applyNumberFormat="true" numFmtId="167" fillId="22" applyFill="true">
      <alignment horizontal="center" vertical="center"/>
    </xf>
    <xf fontId="19859" applyFont="true" borderId="8" applyBorder="true" applyNumberFormat="true" numFmtId="2" fillId="22" applyFill="true">
      <alignment horizontal="center" vertical="center"/>
    </xf>
    <xf fontId="19860" applyFont="true" borderId="8" applyBorder="true" applyNumberFormat="true" numFmtId="2" fillId="22" applyFill="true">
      <alignment horizontal="center" vertical="center"/>
    </xf>
    <xf fontId="19861" applyFont="true" borderId="8" applyBorder="true" applyNumberFormat="true" numFmtId="2" fillId="22" applyFill="true">
      <alignment horizontal="center" vertical="center"/>
    </xf>
    <xf fontId="19862" applyFont="true" borderId="8" applyBorder="true" applyNumberFormat="true" numFmtId="2" fillId="22" applyFill="true">
      <alignment horizontal="center" vertical="center"/>
    </xf>
    <xf fontId="19863" applyFont="true" borderId="8" applyBorder="true" applyNumberFormat="true" numFmtId="2" fillId="22" applyFill="true">
      <alignment horizontal="center" vertical="center"/>
    </xf>
    <xf fontId="19864" applyFont="true" borderId="8" applyBorder="true" applyNumberFormat="true" numFmtId="2" fillId="22" applyFill="true">
      <alignment horizontal="center" vertical="center"/>
    </xf>
    <xf fontId="19865" applyFont="true" borderId="8" applyBorder="true" applyNumberFormat="true" numFmtId="2" fillId="22" applyFill="true">
      <alignment horizontal="center" vertical="center"/>
    </xf>
    <xf fontId="19866" applyFont="true" borderId="8" applyBorder="true" applyNumberFormat="true" numFmtId="2" fillId="22" applyFill="true">
      <alignment horizontal="center" vertical="center"/>
    </xf>
    <xf fontId="19867" applyFont="true" borderId="8" applyBorder="true" applyNumberFormat="true" numFmtId="2" fillId="22" applyFill="true">
      <alignment horizontal="center" vertical="center"/>
    </xf>
    <xf fontId="19868" applyFont="true" borderId="8" applyBorder="true" applyNumberFormat="true" numFmtId="2" fillId="22" applyFill="true">
      <alignment horizontal="center" vertical="center"/>
    </xf>
    <xf fontId="19869" applyFont="true" borderId="8" applyBorder="true" applyNumberFormat="true" numFmtId="2" fillId="22" applyFill="true">
      <alignment horizontal="center" vertical="center"/>
    </xf>
    <xf fontId="19870" applyFont="true" borderId="8" applyBorder="true" applyNumberFormat="true" numFmtId="2" fillId="22" applyFill="true">
      <alignment horizontal="center" vertical="center"/>
    </xf>
    <xf fontId="19871" applyFont="true" borderId="8" applyBorder="true" applyNumberFormat="true" numFmtId="2" fillId="22" applyFill="true">
      <alignment horizontal="center" vertical="center"/>
    </xf>
    <xf fontId="19872" applyFont="true" borderId="8" applyBorder="true" applyNumberFormat="true" numFmtId="2" fillId="22" applyFill="true">
      <alignment horizontal="center" vertical="center"/>
    </xf>
    <xf fontId="19873" applyFont="true" borderId="8" applyBorder="true" applyNumberFormat="true" numFmtId="2" fillId="22" applyFill="true">
      <alignment horizontal="center" vertical="center"/>
    </xf>
    <xf fontId="19874" applyFont="true" borderId="8" applyBorder="true" applyNumberFormat="true" numFmtId="2" fillId="22" applyFill="true">
      <alignment horizontal="center" vertical="center"/>
    </xf>
    <xf fontId="19875" applyFont="true" borderId="8" applyBorder="true" applyNumberFormat="true" numFmtId="2" fillId="22" applyFill="true">
      <alignment horizontal="center" vertical="center"/>
    </xf>
    <xf fontId="19876" applyFont="true" borderId="8" applyBorder="true" applyNumberFormat="true" numFmtId="2" fillId="22" applyFill="true">
      <alignment horizontal="center" vertical="center"/>
    </xf>
    <xf fontId="19877" applyFont="true" borderId="8" applyBorder="true" applyNumberFormat="true" numFmtId="2" fillId="22" applyFill="true">
      <alignment horizontal="center" vertical="center"/>
    </xf>
    <xf fontId="19878" applyFont="true" borderId="8" applyBorder="true" applyNumberFormat="true" numFmtId="2" fillId="22" applyFill="true">
      <alignment horizontal="center" vertical="center"/>
    </xf>
    <xf fontId="19879" applyFont="true" borderId="8" applyBorder="true" applyNumberFormat="true" numFmtId="2" fillId="22" applyFill="true">
      <alignment horizontal="center" vertical="center"/>
    </xf>
    <xf fontId="19880" applyFont="true" borderId="8" applyBorder="true" applyNumberFormat="true" numFmtId="2" fillId="22" applyFill="true">
      <alignment horizontal="center" vertical="center"/>
    </xf>
    <xf fontId="19881" applyFont="true" borderId="8" applyBorder="true" applyNumberFormat="true" numFmtId="2" fillId="22" applyFill="true">
      <alignment horizontal="center" vertical="center"/>
    </xf>
    <xf fontId="19882" applyFont="true" borderId="8" applyBorder="true" applyNumberFormat="true" numFmtId="2" fillId="22" applyFill="true">
      <alignment horizontal="center" vertical="center"/>
    </xf>
    <xf fontId="19883" applyFont="true" borderId="8" applyBorder="true" applyNumberFormat="true" numFmtId="2" fillId="22" applyFill="true">
      <alignment horizontal="center" vertical="center"/>
    </xf>
    <xf fontId="19884" applyFont="true" borderId="8" applyBorder="true" applyNumberFormat="true" numFmtId="2" fillId="22" applyFill="true">
      <alignment horizontal="center" vertical="center"/>
    </xf>
    <xf fontId="19885" applyFont="true" borderId="8" applyBorder="true" applyNumberFormat="true" numFmtId="2" fillId="22" applyFill="true">
      <alignment horizontal="center" vertical="center"/>
    </xf>
    <xf fontId="19886" applyFont="true" borderId="8" applyBorder="true" applyNumberFormat="true" numFmtId="2" fillId="22" applyFill="true">
      <alignment horizontal="center" vertical="center"/>
    </xf>
    <xf fontId="19887" applyFont="true" borderId="8" applyBorder="true" applyNumberFormat="true" numFmtId="2" fillId="22" applyFill="true">
      <alignment horizontal="center" vertical="center"/>
    </xf>
    <xf fontId="19888" applyFont="true" borderId="8" applyBorder="true" applyNumberFormat="true" numFmtId="2" fillId="22" applyFill="true">
      <alignment horizontal="center" vertical="center"/>
    </xf>
    <xf fontId="19889" applyFont="true" borderId="8" applyBorder="true" applyNumberFormat="true" numFmtId="2" fillId="22" applyFill="true">
      <alignment horizontal="center" vertical="center"/>
    </xf>
    <xf fontId="19890" applyFont="true" borderId="8" applyBorder="true" applyNumberFormat="true" numFmtId="2" fillId="22" applyFill="true">
      <alignment horizontal="center" vertical="center"/>
    </xf>
    <xf fontId="19891" applyFont="true" borderId="8" applyBorder="true" applyNumberFormat="true" numFmtId="2" fillId="22" applyFill="true">
      <alignment horizontal="center" vertical="center"/>
    </xf>
    <xf fontId="19892" applyFont="true" borderId="8" applyBorder="true" applyNumberFormat="true" numFmtId="2" fillId="22" applyFill="true">
      <alignment horizontal="center" vertical="center"/>
    </xf>
    <xf fontId="19893" applyFont="true" borderId="8" applyBorder="true" applyNumberFormat="true" numFmtId="165" fillId="19" applyFill="true">
      <alignment horizontal="left" vertical="center"/>
    </xf>
    <xf fontId="19894" applyFont="true" borderId="8" applyBorder="true" applyNumberFormat="true" numFmtId="165" fillId="22" applyFill="true">
      <alignment horizontal="center" vertical="center"/>
    </xf>
    <xf fontId="19895" applyFont="true" borderId="8" applyBorder="true" applyNumberFormat="true" numFmtId="166" fillId="22" applyFill="true">
      <alignment horizontal="center" vertical="center"/>
    </xf>
    <xf fontId="19896" applyFont="true" borderId="8" applyBorder="true" applyNumberFormat="true" numFmtId="1" fillId="22" applyFill="true">
      <alignment horizontal="center" vertical="center"/>
    </xf>
    <xf fontId="19897" applyFont="true" borderId="8" applyBorder="true" applyNumberFormat="true" numFmtId="1" fillId="22" applyFill="true">
      <alignment horizontal="center" vertical="center"/>
    </xf>
    <xf fontId="19898" applyFont="true" borderId="8" applyBorder="true" applyNumberFormat="true" numFmtId="1" fillId="22" applyFill="true">
      <alignment horizontal="center" vertical="center"/>
    </xf>
    <xf fontId="19899" applyFont="true" borderId="8" applyBorder="true" applyNumberFormat="true" numFmtId="1" fillId="22" applyFill="true">
      <alignment horizontal="center" vertical="center"/>
    </xf>
    <xf fontId="19900" applyFont="true" borderId="8" applyBorder="true" applyNumberFormat="true" numFmtId="1" fillId="22" applyFill="true">
      <alignment horizontal="center" vertical="center"/>
    </xf>
    <xf fontId="19901" applyFont="true" borderId="8" applyBorder="true" applyNumberFormat="true" numFmtId="1" fillId="22" applyFill="true">
      <alignment horizontal="center" vertical="center"/>
    </xf>
    <xf fontId="19902" applyFont="true" borderId="8" applyBorder="true" applyNumberFormat="true" numFmtId="1" fillId="22" applyFill="true">
      <alignment horizontal="center" vertical="center"/>
    </xf>
    <xf fontId="19903" applyFont="true" borderId="8" applyBorder="true" applyNumberFormat="true" numFmtId="165" fillId="22" applyFill="true">
      <alignment horizontal="center" vertical="center"/>
    </xf>
    <xf fontId="19904" applyFont="true" borderId="8" applyBorder="true" applyNumberFormat="true" numFmtId="165" fillId="22" applyFill="true">
      <alignment horizontal="center" vertical="center"/>
    </xf>
    <xf fontId="19905" applyFont="true" borderId="8" applyBorder="true" applyNumberFormat="true" numFmtId="1" fillId="22" applyFill="true">
      <alignment horizontal="center" vertical="center"/>
    </xf>
    <xf fontId="19906" applyFont="true" borderId="8" applyBorder="true" applyNumberFormat="true" numFmtId="1" fillId="22" applyFill="true">
      <alignment horizontal="center" vertical="center"/>
    </xf>
    <xf fontId="19907" applyFont="true" borderId="8" applyBorder="true" applyNumberFormat="true" numFmtId="1" fillId="22" applyFill="true">
      <alignment horizontal="center" vertical="center"/>
    </xf>
    <xf fontId="19908" applyFont="true" borderId="8" applyBorder="true" applyNumberFormat="true" numFmtId="167" fillId="22" applyFill="true">
      <alignment horizontal="center" vertical="center"/>
    </xf>
    <xf fontId="19909" applyFont="true" borderId="8" applyBorder="true" applyNumberFormat="true" numFmtId="1" fillId="22" applyFill="true">
      <alignment horizontal="center" vertical="center"/>
    </xf>
    <xf fontId="19910" applyFont="true" borderId="8" applyBorder="true" applyNumberFormat="true" numFmtId="167" fillId="22" applyFill="true">
      <alignment horizontal="center" vertical="center"/>
    </xf>
    <xf fontId="19911" applyFont="true" borderId="8" applyBorder="true" applyNumberFormat="true" numFmtId="1" fillId="22" applyFill="true">
      <alignment horizontal="center" vertical="center"/>
    </xf>
    <xf fontId="19912" applyFont="true" borderId="8" applyBorder="true" applyNumberFormat="true" numFmtId="167" fillId="22" applyFill="true">
      <alignment horizontal="center" vertical="center"/>
    </xf>
    <xf fontId="19913" applyFont="true" borderId="8" applyBorder="true" applyNumberFormat="true" numFmtId="1" fillId="22" applyFill="true">
      <alignment horizontal="center" vertical="center"/>
    </xf>
    <xf fontId="19914" applyFont="true" borderId="8" applyBorder="true" applyNumberFormat="true" numFmtId="167" fillId="22" applyFill="true">
      <alignment horizontal="center" vertical="center"/>
    </xf>
    <xf fontId="19915" applyFont="true" borderId="8" applyBorder="true" applyNumberFormat="true" numFmtId="167" fillId="22" applyFill="true">
      <alignment horizontal="center" vertical="center"/>
    </xf>
    <xf fontId="19916" applyFont="true" borderId="8" applyBorder="true" applyNumberFormat="true" numFmtId="1" fillId="22" applyFill="true">
      <alignment horizontal="center" vertical="center"/>
    </xf>
    <xf fontId="19917" applyFont="true" borderId="8" applyBorder="true" applyNumberFormat="true" numFmtId="1" fillId="22" applyFill="true">
      <alignment horizontal="center" vertical="center"/>
    </xf>
    <xf fontId="19918" applyFont="true" borderId="8" applyBorder="true" applyNumberFormat="true" numFmtId="1" fillId="22" applyFill="true">
      <alignment horizontal="center" vertical="center"/>
    </xf>
    <xf fontId="19919" applyFont="true" borderId="8" applyBorder="true" applyNumberFormat="true" numFmtId="167" fillId="22" applyFill="true">
      <alignment horizontal="center" vertical="center"/>
    </xf>
    <xf fontId="19920" applyFont="true" borderId="8" applyBorder="true" applyNumberFormat="true" numFmtId="166" fillId="22" applyFill="true">
      <alignment horizontal="center" vertical="center"/>
    </xf>
    <xf fontId="19921" applyFont="true" borderId="8" applyBorder="true" applyNumberFormat="true" numFmtId="166" fillId="22" applyFill="true">
      <alignment horizontal="center" vertical="center"/>
    </xf>
    <xf fontId="19922" applyFont="true" borderId="8" applyBorder="true" applyNumberFormat="true" numFmtId="1" fillId="22" applyFill="true">
      <alignment horizontal="center" vertical="center"/>
    </xf>
    <xf fontId="19923" applyFont="true" borderId="8" applyBorder="true" applyNumberFormat="true" numFmtId="1" fillId="22" applyFill="true">
      <alignment horizontal="center" vertical="center"/>
    </xf>
    <xf fontId="19924" applyFont="true" borderId="8" applyBorder="true" applyNumberFormat="true" numFmtId="1" fillId="22" applyFill="true">
      <alignment horizontal="center" vertical="center"/>
    </xf>
    <xf fontId="19925" applyFont="true" borderId="8" applyBorder="true" applyNumberFormat="true" numFmtId="167" fillId="22" applyFill="true">
      <alignment horizontal="center" vertical="center"/>
    </xf>
    <xf fontId="19926" applyFont="true" borderId="8" applyBorder="true" applyNumberFormat="true" numFmtId="1" fillId="22" applyFill="true">
      <alignment horizontal="center" vertical="center"/>
    </xf>
    <xf fontId="19927" applyFont="true" borderId="8" applyBorder="true" applyNumberFormat="true" numFmtId="167" fillId="22" applyFill="true">
      <alignment horizontal="center" vertical="center"/>
    </xf>
    <xf fontId="19928" applyFont="true" borderId="8" applyBorder="true" applyNumberFormat="true" numFmtId="1" fillId="22" applyFill="true">
      <alignment horizontal="center" vertical="center"/>
    </xf>
    <xf fontId="19929" applyFont="true" borderId="8" applyBorder="true" applyNumberFormat="true" numFmtId="1" fillId="22" applyFill="true">
      <alignment horizontal="center" vertical="center"/>
    </xf>
    <xf fontId="19930" applyFont="true" borderId="8" applyBorder="true" applyNumberFormat="true" numFmtId="1" fillId="22" applyFill="true">
      <alignment horizontal="center" vertical="center"/>
    </xf>
    <xf fontId="19931" applyFont="true" borderId="8" applyBorder="true" applyNumberFormat="true" numFmtId="1" fillId="22" applyFill="true">
      <alignment horizontal="center" vertical="center"/>
    </xf>
    <xf fontId="19932" applyFont="true" borderId="8" applyBorder="true" applyNumberFormat="true" numFmtId="167" fillId="22" applyFill="true">
      <alignment horizontal="center" vertical="center"/>
    </xf>
    <xf fontId="19933" applyFont="true" borderId="8" applyBorder="true" applyNumberFormat="true" numFmtId="1" fillId="22" applyFill="true">
      <alignment horizontal="center" vertical="center"/>
    </xf>
    <xf fontId="19934" applyFont="true" borderId="8" applyBorder="true" applyNumberFormat="true" numFmtId="167" fillId="22" applyFill="true">
      <alignment horizontal="center" vertical="center"/>
    </xf>
    <xf fontId="19935" applyFont="true" borderId="8" applyBorder="true" applyNumberFormat="true" numFmtId="1" fillId="22" applyFill="true">
      <alignment horizontal="center" vertical="center"/>
    </xf>
    <xf fontId="19936" applyFont="true" borderId="8" applyBorder="true" applyNumberFormat="true" numFmtId="167" fillId="22" applyFill="true">
      <alignment horizontal="center" vertical="center"/>
    </xf>
    <xf fontId="19937" applyFont="true" borderId="8" applyBorder="true" applyNumberFormat="true" numFmtId="2" fillId="22" applyFill="true">
      <alignment horizontal="center" vertical="center"/>
    </xf>
    <xf fontId="19938" applyFont="true" borderId="8" applyBorder="true" applyNumberFormat="true" numFmtId="2" fillId="22" applyFill="true">
      <alignment horizontal="center" vertical="center"/>
    </xf>
    <xf fontId="19939" applyFont="true" borderId="8" applyBorder="true" applyNumberFormat="true" numFmtId="2" fillId="22" applyFill="true">
      <alignment horizontal="center" vertical="center"/>
    </xf>
    <xf fontId="19940" applyFont="true" borderId="8" applyBorder="true" applyNumberFormat="true" numFmtId="2" fillId="22" applyFill="true">
      <alignment horizontal="center" vertical="center"/>
    </xf>
    <xf fontId="19941" applyFont="true" borderId="8" applyBorder="true" applyNumberFormat="true" numFmtId="2" fillId="22" applyFill="true">
      <alignment horizontal="center" vertical="center"/>
    </xf>
    <xf fontId="19942" applyFont="true" borderId="8" applyBorder="true" applyNumberFormat="true" numFmtId="2" fillId="22" applyFill="true">
      <alignment horizontal="center" vertical="center"/>
    </xf>
    <xf fontId="19943" applyFont="true" borderId="8" applyBorder="true" applyNumberFormat="true" numFmtId="2" fillId="22" applyFill="true">
      <alignment horizontal="center" vertical="center"/>
    </xf>
    <xf fontId="19944" applyFont="true" borderId="8" applyBorder="true" applyNumberFormat="true" numFmtId="2" fillId="22" applyFill="true">
      <alignment horizontal="center" vertical="center"/>
    </xf>
    <xf fontId="19945" applyFont="true" borderId="8" applyBorder="true" applyNumberFormat="true" numFmtId="2" fillId="22" applyFill="true">
      <alignment horizontal="center" vertical="center"/>
    </xf>
    <xf fontId="19946" applyFont="true" borderId="8" applyBorder="true" applyNumberFormat="true" numFmtId="2" fillId="22" applyFill="true">
      <alignment horizontal="center" vertical="center"/>
    </xf>
    <xf fontId="19947" applyFont="true" borderId="8" applyBorder="true" applyNumberFormat="true" numFmtId="2" fillId="22" applyFill="true">
      <alignment horizontal="center" vertical="center"/>
    </xf>
    <xf fontId="19948" applyFont="true" borderId="8" applyBorder="true" applyNumberFormat="true" numFmtId="2" fillId="22" applyFill="true">
      <alignment horizontal="center" vertical="center"/>
    </xf>
    <xf fontId="19949" applyFont="true" borderId="8" applyBorder="true" applyNumberFormat="true" numFmtId="2" fillId="22" applyFill="true">
      <alignment horizontal="center" vertical="center"/>
    </xf>
    <xf fontId="19950" applyFont="true" borderId="8" applyBorder="true" applyNumberFormat="true" numFmtId="2" fillId="22" applyFill="true">
      <alignment horizontal="center" vertical="center"/>
    </xf>
    <xf fontId="19951" applyFont="true" borderId="8" applyBorder="true" applyNumberFormat="true" numFmtId="2" fillId="22" applyFill="true">
      <alignment horizontal="center" vertical="center"/>
    </xf>
    <xf fontId="19952" applyFont="true" borderId="8" applyBorder="true" applyNumberFormat="true" numFmtId="2" fillId="22" applyFill="true">
      <alignment horizontal="center" vertical="center"/>
    </xf>
    <xf fontId="19953" applyFont="true" borderId="8" applyBorder="true" applyNumberFormat="true" numFmtId="2" fillId="22" applyFill="true">
      <alignment horizontal="center" vertical="center"/>
    </xf>
    <xf fontId="19954" applyFont="true" borderId="8" applyBorder="true" applyNumberFormat="true" numFmtId="2" fillId="22" applyFill="true">
      <alignment horizontal="center" vertical="center"/>
    </xf>
    <xf fontId="19955" applyFont="true" borderId="8" applyBorder="true" applyNumberFormat="true" numFmtId="2" fillId="22" applyFill="true">
      <alignment horizontal="center" vertical="center"/>
    </xf>
    <xf fontId="19956" applyFont="true" borderId="8" applyBorder="true" applyNumberFormat="true" numFmtId="2" fillId="22" applyFill="true">
      <alignment horizontal="center" vertical="center"/>
    </xf>
    <xf fontId="19957" applyFont="true" borderId="8" applyBorder="true" applyNumberFormat="true" numFmtId="2" fillId="22" applyFill="true">
      <alignment horizontal="center" vertical="center"/>
    </xf>
    <xf fontId="19958" applyFont="true" borderId="8" applyBorder="true" applyNumberFormat="true" numFmtId="2" fillId="22" applyFill="true">
      <alignment horizontal="center" vertical="center"/>
    </xf>
    <xf fontId="19959" applyFont="true" borderId="8" applyBorder="true" applyNumberFormat="true" numFmtId="2" fillId="22" applyFill="true">
      <alignment horizontal="center" vertical="center"/>
    </xf>
    <xf fontId="19960" applyFont="true" borderId="8" applyBorder="true" applyNumberFormat="true" numFmtId="2" fillId="22" applyFill="true">
      <alignment horizontal="center" vertical="center"/>
    </xf>
    <xf fontId="19961" applyFont="true" borderId="8" applyBorder="true" applyNumberFormat="true" numFmtId="2" fillId="22" applyFill="true">
      <alignment horizontal="center" vertical="center"/>
    </xf>
    <xf fontId="19962" applyFont="true" borderId="8" applyBorder="true" applyNumberFormat="true" numFmtId="2" fillId="22" applyFill="true">
      <alignment horizontal="center" vertical="center"/>
    </xf>
    <xf fontId="19963" applyFont="true" borderId="8" applyBorder="true" applyNumberFormat="true" numFmtId="2" fillId="22" applyFill="true">
      <alignment horizontal="center" vertical="center"/>
    </xf>
    <xf fontId="19964" applyFont="true" borderId="8" applyBorder="true" applyNumberFormat="true" numFmtId="2" fillId="22" applyFill="true">
      <alignment horizontal="center" vertical="center"/>
    </xf>
    <xf fontId="19965" applyFont="true" borderId="8" applyBorder="true" applyNumberFormat="true" numFmtId="2" fillId="22" applyFill="true">
      <alignment horizontal="center" vertical="center"/>
    </xf>
    <xf fontId="19966" applyFont="true" borderId="8" applyBorder="true" applyNumberFormat="true" numFmtId="2" fillId="22" applyFill="true">
      <alignment horizontal="center" vertical="center"/>
    </xf>
    <xf fontId="19967" applyFont="true" borderId="8" applyBorder="true" applyNumberFormat="true" numFmtId="2" fillId="22" applyFill="true">
      <alignment horizontal="center" vertical="center"/>
    </xf>
    <xf fontId="19968" applyFont="true" borderId="8" applyBorder="true" applyNumberFormat="true" numFmtId="2" fillId="22" applyFill="true">
      <alignment horizontal="center" vertical="center"/>
    </xf>
    <xf fontId="19969" applyFont="true" borderId="8" applyBorder="true" applyNumberFormat="true" numFmtId="2" fillId="22" applyFill="true">
      <alignment horizontal="center" vertical="center"/>
    </xf>
    <xf fontId="19970" applyFont="true" borderId="8" applyBorder="true" applyNumberFormat="true" numFmtId="2" fillId="22" applyFill="true">
      <alignment horizontal="center" vertical="center"/>
    </xf>
    <xf fontId="19971" applyFont="true" borderId="8" applyBorder="true" applyNumberFormat="true" numFmtId="165" fillId="19" applyFill="true">
      <alignment horizontal="left" vertical="center"/>
    </xf>
    <xf fontId="19972" applyFont="true" borderId="8" applyBorder="true" applyNumberFormat="true" numFmtId="165" fillId="22" applyFill="true">
      <alignment horizontal="center" vertical="center"/>
    </xf>
    <xf fontId="19973" applyFont="true" borderId="8" applyBorder="true" applyNumberFormat="true" numFmtId="166" fillId="22" applyFill="true">
      <alignment horizontal="center" vertical="center"/>
    </xf>
    <xf fontId="19974" applyFont="true" borderId="8" applyBorder="true" applyNumberFormat="true" numFmtId="1" fillId="22" applyFill="true">
      <alignment horizontal="center" vertical="center"/>
    </xf>
    <xf fontId="19975" applyFont="true" borderId="8" applyBorder="true" applyNumberFormat="true" numFmtId="1" fillId="22" applyFill="true">
      <alignment horizontal="center" vertical="center"/>
    </xf>
    <xf fontId="19976" applyFont="true" borderId="8" applyBorder="true" applyNumberFormat="true" numFmtId="1" fillId="22" applyFill="true">
      <alignment horizontal="center" vertical="center"/>
    </xf>
    <xf fontId="19977" applyFont="true" borderId="8" applyBorder="true" applyNumberFormat="true" numFmtId="1" fillId="22" applyFill="true">
      <alignment horizontal="center" vertical="center"/>
    </xf>
    <xf fontId="19978" applyFont="true" borderId="8" applyBorder="true" applyNumberFormat="true" numFmtId="1" fillId="22" applyFill="true">
      <alignment horizontal="center" vertical="center"/>
    </xf>
    <xf fontId="19979" applyFont="true" borderId="8" applyBorder="true" applyNumberFormat="true" numFmtId="1" fillId="22" applyFill="true">
      <alignment horizontal="center" vertical="center"/>
    </xf>
    <xf fontId="19980" applyFont="true" borderId="8" applyBorder="true" applyNumberFormat="true" numFmtId="1" fillId="22" applyFill="true">
      <alignment horizontal="center" vertical="center"/>
    </xf>
    <xf fontId="19981" applyFont="true" borderId="8" applyBorder="true" applyNumberFormat="true" numFmtId="165" fillId="22" applyFill="true">
      <alignment horizontal="center" vertical="center"/>
    </xf>
    <xf fontId="19982" applyFont="true" borderId="8" applyBorder="true" applyNumberFormat="true" numFmtId="165" fillId="22" applyFill="true">
      <alignment horizontal="center" vertical="center"/>
    </xf>
    <xf fontId="19983" applyFont="true" borderId="8" applyBorder="true" applyNumberFormat="true" numFmtId="1" fillId="22" applyFill="true">
      <alignment horizontal="center" vertical="center"/>
    </xf>
    <xf fontId="19984" applyFont="true" borderId="8" applyBorder="true" applyNumberFormat="true" numFmtId="1" fillId="22" applyFill="true">
      <alignment horizontal="center" vertical="center"/>
    </xf>
    <xf fontId="19985" applyFont="true" borderId="8" applyBorder="true" applyNumberFormat="true" numFmtId="1" fillId="22" applyFill="true">
      <alignment horizontal="center" vertical="center"/>
    </xf>
    <xf fontId="19986" applyFont="true" borderId="8" applyBorder="true" applyNumberFormat="true" numFmtId="167" fillId="22" applyFill="true">
      <alignment horizontal="center" vertical="center"/>
    </xf>
    <xf fontId="19987" applyFont="true" borderId="8" applyBorder="true" applyNumberFormat="true" numFmtId="1" fillId="22" applyFill="true">
      <alignment horizontal="center" vertical="center"/>
    </xf>
    <xf fontId="19988" applyFont="true" borderId="8" applyBorder="true" applyNumberFormat="true" numFmtId="167" fillId="22" applyFill="true">
      <alignment horizontal="center" vertical="center"/>
    </xf>
    <xf fontId="19989" applyFont="true" borderId="8" applyBorder="true" applyNumberFormat="true" numFmtId="1" fillId="22" applyFill="true">
      <alignment horizontal="center" vertical="center"/>
    </xf>
    <xf fontId="19990" applyFont="true" borderId="8" applyBorder="true" applyNumberFormat="true" numFmtId="167" fillId="22" applyFill="true">
      <alignment horizontal="center" vertical="center"/>
    </xf>
    <xf fontId="19991" applyFont="true" borderId="8" applyBorder="true" applyNumberFormat="true" numFmtId="1" fillId="22" applyFill="true">
      <alignment horizontal="center" vertical="center"/>
    </xf>
    <xf fontId="19992" applyFont="true" borderId="8" applyBorder="true" applyNumberFormat="true" numFmtId="167" fillId="22" applyFill="true">
      <alignment horizontal="center" vertical="center"/>
    </xf>
    <xf fontId="19993" applyFont="true" borderId="8" applyBorder="true" applyNumberFormat="true" numFmtId="167" fillId="22" applyFill="true">
      <alignment horizontal="center" vertical="center"/>
    </xf>
    <xf fontId="19994" applyFont="true" borderId="8" applyBorder="true" applyNumberFormat="true" numFmtId="1" fillId="22" applyFill="true">
      <alignment horizontal="center" vertical="center"/>
    </xf>
    <xf fontId="19995" applyFont="true" borderId="8" applyBorder="true" applyNumberFormat="true" numFmtId="1" fillId="22" applyFill="true">
      <alignment horizontal="center" vertical="center"/>
    </xf>
    <xf fontId="19996" applyFont="true" borderId="8" applyBorder="true" applyNumberFormat="true" numFmtId="1" fillId="22" applyFill="true">
      <alignment horizontal="center" vertical="center"/>
    </xf>
    <xf fontId="19997" applyFont="true" borderId="8" applyBorder="true" applyNumberFormat="true" numFmtId="167" fillId="22" applyFill="true">
      <alignment horizontal="center" vertical="center"/>
    </xf>
    <xf fontId="19998" applyFont="true" borderId="8" applyBorder="true" applyNumberFormat="true" numFmtId="166" fillId="22" applyFill="true">
      <alignment horizontal="center" vertical="center"/>
    </xf>
    <xf fontId="19999" applyFont="true" borderId="8" applyBorder="true" applyNumberFormat="true" numFmtId="166" fillId="22" applyFill="true">
      <alignment horizontal="center" vertical="center"/>
    </xf>
    <xf fontId="20000" applyFont="true" borderId="8" applyBorder="true" applyNumberFormat="true" numFmtId="1" fillId="22" applyFill="true">
      <alignment horizontal="center" vertical="center"/>
    </xf>
    <xf fontId="20001" applyFont="true" borderId="8" applyBorder="true" applyNumberFormat="true" numFmtId="1" fillId="22" applyFill="true">
      <alignment horizontal="center" vertical="center"/>
    </xf>
    <xf fontId="20002" applyFont="true" borderId="8" applyBorder="true" applyNumberFormat="true" numFmtId="1" fillId="22" applyFill="true">
      <alignment horizontal="center" vertical="center"/>
    </xf>
    <xf fontId="20003" applyFont="true" borderId="8" applyBorder="true" applyNumberFormat="true" numFmtId="167" fillId="22" applyFill="true">
      <alignment horizontal="center" vertical="center"/>
    </xf>
    <xf fontId="20004" applyFont="true" borderId="8" applyBorder="true" applyNumberFormat="true" numFmtId="1" fillId="22" applyFill="true">
      <alignment horizontal="center" vertical="center"/>
    </xf>
    <xf fontId="20005" applyFont="true" borderId="8" applyBorder="true" applyNumberFormat="true" numFmtId="167" fillId="22" applyFill="true">
      <alignment horizontal="center" vertical="center"/>
    </xf>
    <xf fontId="20006" applyFont="true" borderId="8" applyBorder="true" applyNumberFormat="true" numFmtId="1" fillId="22" applyFill="true">
      <alignment horizontal="center" vertical="center"/>
    </xf>
    <xf fontId="20007" applyFont="true" borderId="8" applyBorder="true" applyNumberFormat="true" numFmtId="1" fillId="22" applyFill="true">
      <alignment horizontal="center" vertical="center"/>
    </xf>
    <xf fontId="20008" applyFont="true" borderId="8" applyBorder="true" applyNumberFormat="true" numFmtId="1" fillId="22" applyFill="true">
      <alignment horizontal="center" vertical="center"/>
    </xf>
    <xf fontId="20009" applyFont="true" borderId="8" applyBorder="true" applyNumberFormat="true" numFmtId="1" fillId="22" applyFill="true">
      <alignment horizontal="center" vertical="center"/>
    </xf>
    <xf fontId="20010" applyFont="true" borderId="8" applyBorder="true" applyNumberFormat="true" numFmtId="167" fillId="22" applyFill="true">
      <alignment horizontal="center" vertical="center"/>
    </xf>
    <xf fontId="20011" applyFont="true" borderId="8" applyBorder="true" applyNumberFormat="true" numFmtId="1" fillId="22" applyFill="true">
      <alignment horizontal="center" vertical="center"/>
    </xf>
    <xf fontId="20012" applyFont="true" borderId="8" applyBorder="true" applyNumberFormat="true" numFmtId="167" fillId="22" applyFill="true">
      <alignment horizontal="center" vertical="center"/>
    </xf>
    <xf fontId="20013" applyFont="true" borderId="8" applyBorder="true" applyNumberFormat="true" numFmtId="1" fillId="22" applyFill="true">
      <alignment horizontal="center" vertical="center"/>
    </xf>
    <xf fontId="20014" applyFont="true" borderId="8" applyBorder="true" applyNumberFormat="true" numFmtId="167" fillId="22" applyFill="true">
      <alignment horizontal="center" vertical="center"/>
    </xf>
    <xf fontId="20015" applyFont="true" borderId="8" applyBorder="true" applyNumberFormat="true" numFmtId="2" fillId="22" applyFill="true">
      <alignment horizontal="center" vertical="center"/>
    </xf>
    <xf fontId="20016" applyFont="true" borderId="8" applyBorder="true" applyNumberFormat="true" numFmtId="2" fillId="22" applyFill="true">
      <alignment horizontal="center" vertical="center"/>
    </xf>
    <xf fontId="20017" applyFont="true" borderId="8" applyBorder="true" applyNumberFormat="true" numFmtId="2" fillId="22" applyFill="true">
      <alignment horizontal="center" vertical="center"/>
    </xf>
    <xf fontId="20018" applyFont="true" borderId="8" applyBorder="true" applyNumberFormat="true" numFmtId="2" fillId="22" applyFill="true">
      <alignment horizontal="center" vertical="center"/>
    </xf>
    <xf fontId="20019" applyFont="true" borderId="8" applyBorder="true" applyNumberFormat="true" numFmtId="2" fillId="22" applyFill="true">
      <alignment horizontal="center" vertical="center"/>
    </xf>
    <xf fontId="20020" applyFont="true" borderId="8" applyBorder="true" applyNumberFormat="true" numFmtId="2" fillId="22" applyFill="true">
      <alignment horizontal="center" vertical="center"/>
    </xf>
    <xf fontId="20021" applyFont="true" borderId="8" applyBorder="true" applyNumberFormat="true" numFmtId="2" fillId="22" applyFill="true">
      <alignment horizontal="center" vertical="center"/>
    </xf>
    <xf fontId="20022" applyFont="true" borderId="8" applyBorder="true" applyNumberFormat="true" numFmtId="2" fillId="22" applyFill="true">
      <alignment horizontal="center" vertical="center"/>
    </xf>
    <xf fontId="20023" applyFont="true" borderId="8" applyBorder="true" applyNumberFormat="true" numFmtId="2" fillId="22" applyFill="true">
      <alignment horizontal="center" vertical="center"/>
    </xf>
    <xf fontId="20024" applyFont="true" borderId="8" applyBorder="true" applyNumberFormat="true" numFmtId="2" fillId="22" applyFill="true">
      <alignment horizontal="center" vertical="center"/>
    </xf>
    <xf fontId="20025" applyFont="true" borderId="8" applyBorder="true" applyNumberFormat="true" numFmtId="2" fillId="22" applyFill="true">
      <alignment horizontal="center" vertical="center"/>
    </xf>
    <xf fontId="20026" applyFont="true" borderId="8" applyBorder="true" applyNumberFormat="true" numFmtId="2" fillId="22" applyFill="true">
      <alignment horizontal="center" vertical="center"/>
    </xf>
    <xf fontId="20027" applyFont="true" borderId="8" applyBorder="true" applyNumberFormat="true" numFmtId="2" fillId="22" applyFill="true">
      <alignment horizontal="center" vertical="center"/>
    </xf>
    <xf fontId="20028" applyFont="true" borderId="8" applyBorder="true" applyNumberFormat="true" numFmtId="2" fillId="22" applyFill="true">
      <alignment horizontal="center" vertical="center"/>
    </xf>
    <xf fontId="20029" applyFont="true" borderId="8" applyBorder="true" applyNumberFormat="true" numFmtId="2" fillId="22" applyFill="true">
      <alignment horizontal="center" vertical="center"/>
    </xf>
    <xf fontId="20030" applyFont="true" borderId="8" applyBorder="true" applyNumberFormat="true" numFmtId="2" fillId="22" applyFill="true">
      <alignment horizontal="center" vertical="center"/>
    </xf>
    <xf fontId="20031" applyFont="true" borderId="8" applyBorder="true" applyNumberFormat="true" numFmtId="2" fillId="22" applyFill="true">
      <alignment horizontal="center" vertical="center"/>
    </xf>
    <xf fontId="20032" applyFont="true" borderId="8" applyBorder="true" applyNumberFormat="true" numFmtId="2" fillId="22" applyFill="true">
      <alignment horizontal="center" vertical="center"/>
    </xf>
    <xf fontId="20033" applyFont="true" borderId="8" applyBorder="true" applyNumberFormat="true" numFmtId="2" fillId="22" applyFill="true">
      <alignment horizontal="center" vertical="center"/>
    </xf>
    <xf fontId="20034" applyFont="true" borderId="8" applyBorder="true" applyNumberFormat="true" numFmtId="2" fillId="22" applyFill="true">
      <alignment horizontal="center" vertical="center"/>
    </xf>
    <xf fontId="20035" applyFont="true" borderId="8" applyBorder="true" applyNumberFormat="true" numFmtId="2" fillId="22" applyFill="true">
      <alignment horizontal="center" vertical="center"/>
    </xf>
    <xf fontId="20036" applyFont="true" borderId="8" applyBorder="true" applyNumberFormat="true" numFmtId="2" fillId="22" applyFill="true">
      <alignment horizontal="center" vertical="center"/>
    </xf>
    <xf fontId="20037" applyFont="true" borderId="8" applyBorder="true" applyNumberFormat="true" numFmtId="2" fillId="22" applyFill="true">
      <alignment horizontal="center" vertical="center"/>
    </xf>
    <xf fontId="20038" applyFont="true" borderId="8" applyBorder="true" applyNumberFormat="true" numFmtId="2" fillId="22" applyFill="true">
      <alignment horizontal="center" vertical="center"/>
    </xf>
    <xf fontId="20039" applyFont="true" borderId="8" applyBorder="true" applyNumberFormat="true" numFmtId="2" fillId="22" applyFill="true">
      <alignment horizontal="center" vertical="center"/>
    </xf>
    <xf fontId="20040" applyFont="true" borderId="8" applyBorder="true" applyNumberFormat="true" numFmtId="2" fillId="22" applyFill="true">
      <alignment horizontal="center" vertical="center"/>
    </xf>
    <xf fontId="20041" applyFont="true" borderId="8" applyBorder="true" applyNumberFormat="true" numFmtId="2" fillId="22" applyFill="true">
      <alignment horizontal="center" vertical="center"/>
    </xf>
    <xf fontId="20042" applyFont="true" borderId="8" applyBorder="true" applyNumberFormat="true" numFmtId="2" fillId="22" applyFill="true">
      <alignment horizontal="center" vertical="center"/>
    </xf>
    <xf fontId="20043" applyFont="true" borderId="8" applyBorder="true" applyNumberFormat="true" numFmtId="2" fillId="22" applyFill="true">
      <alignment horizontal="center" vertical="center"/>
    </xf>
    <xf fontId="20044" applyFont="true" borderId="8" applyBorder="true" applyNumberFormat="true" numFmtId="2" fillId="22" applyFill="true">
      <alignment horizontal="center" vertical="center"/>
    </xf>
    <xf fontId="20045" applyFont="true" borderId="8" applyBorder="true" applyNumberFormat="true" numFmtId="2" fillId="22" applyFill="true">
      <alignment horizontal="center" vertical="center"/>
    </xf>
    <xf fontId="20046" applyFont="true" borderId="8" applyBorder="true" applyNumberFormat="true" numFmtId="2" fillId="22" applyFill="true">
      <alignment horizontal="center" vertical="center"/>
    </xf>
    <xf fontId="20047" applyFont="true" borderId="8" applyBorder="true" applyNumberFormat="true" numFmtId="2" fillId="22" applyFill="true">
      <alignment horizontal="center" vertical="center"/>
    </xf>
    <xf fontId="20048" applyFont="true" borderId="8" applyBorder="true" applyNumberFormat="true" numFmtId="2" fillId="22" applyFill="true">
      <alignment horizontal="center" vertical="center"/>
    </xf>
    <xf fontId="20049" applyFont="true" borderId="8" applyBorder="true" applyNumberFormat="true" numFmtId="165" fillId="19" applyFill="true">
      <alignment horizontal="left" vertical="center"/>
    </xf>
    <xf fontId="20050" applyFont="true" borderId="8" applyBorder="true" applyNumberFormat="true" numFmtId="165" fillId="22" applyFill="true">
      <alignment horizontal="center" vertical="center"/>
    </xf>
    <xf fontId="20051" applyFont="true" borderId="8" applyBorder="true" applyNumberFormat="true" numFmtId="166" fillId="22" applyFill="true">
      <alignment horizontal="center" vertical="center"/>
    </xf>
    <xf fontId="20052" applyFont="true" borderId="8" applyBorder="true" applyNumberFormat="true" numFmtId="1" fillId="22" applyFill="true">
      <alignment horizontal="center" vertical="center"/>
    </xf>
    <xf fontId="20053" applyFont="true" borderId="8" applyBorder="true" applyNumberFormat="true" numFmtId="1" fillId="22" applyFill="true">
      <alignment horizontal="center" vertical="center"/>
    </xf>
    <xf fontId="20054" applyFont="true" borderId="8" applyBorder="true" applyNumberFormat="true" numFmtId="1" fillId="22" applyFill="true">
      <alignment horizontal="center" vertical="center"/>
    </xf>
    <xf fontId="20055" applyFont="true" borderId="8" applyBorder="true" applyNumberFormat="true" numFmtId="1" fillId="22" applyFill="true">
      <alignment horizontal="center" vertical="center"/>
    </xf>
    <xf fontId="20056" applyFont="true" borderId="8" applyBorder="true" applyNumberFormat="true" numFmtId="1" fillId="22" applyFill="true">
      <alignment horizontal="center" vertical="center"/>
    </xf>
    <xf fontId="20057" applyFont="true" borderId="8" applyBorder="true" applyNumberFormat="true" numFmtId="1" fillId="22" applyFill="true">
      <alignment horizontal="center" vertical="center"/>
    </xf>
    <xf fontId="20058" applyFont="true" borderId="8" applyBorder="true" applyNumberFormat="true" numFmtId="1" fillId="22" applyFill="true">
      <alignment horizontal="center" vertical="center"/>
    </xf>
    <xf fontId="20059" applyFont="true" borderId="8" applyBorder="true" applyNumberFormat="true" numFmtId="165" fillId="22" applyFill="true">
      <alignment horizontal="center" vertical="center"/>
    </xf>
    <xf fontId="20060" applyFont="true" borderId="8" applyBorder="true" applyNumberFormat="true" numFmtId="165" fillId="22" applyFill="true">
      <alignment horizontal="center" vertical="center"/>
    </xf>
    <xf fontId="20061" applyFont="true" borderId="8" applyBorder="true" applyNumberFormat="true" numFmtId="1" fillId="22" applyFill="true">
      <alignment horizontal="center" vertical="center"/>
    </xf>
    <xf fontId="20062" applyFont="true" borderId="8" applyBorder="true" applyNumberFormat="true" numFmtId="1" fillId="22" applyFill="true">
      <alignment horizontal="center" vertical="center"/>
    </xf>
    <xf fontId="20063" applyFont="true" borderId="8" applyBorder="true" applyNumberFormat="true" numFmtId="1" fillId="22" applyFill="true">
      <alignment horizontal="center" vertical="center"/>
    </xf>
    <xf fontId="20064" applyFont="true" borderId="8" applyBorder="true" applyNumberFormat="true" numFmtId="167" fillId="22" applyFill="true">
      <alignment horizontal="center" vertical="center"/>
    </xf>
    <xf fontId="20065" applyFont="true" borderId="8" applyBorder="true" applyNumberFormat="true" numFmtId="1" fillId="22" applyFill="true">
      <alignment horizontal="center" vertical="center"/>
    </xf>
    <xf fontId="20066" applyFont="true" borderId="8" applyBorder="true" applyNumberFormat="true" numFmtId="167" fillId="22" applyFill="true">
      <alignment horizontal="center" vertical="center"/>
    </xf>
    <xf fontId="20067" applyFont="true" borderId="8" applyBorder="true" applyNumberFormat="true" numFmtId="1" fillId="22" applyFill="true">
      <alignment horizontal="center" vertical="center"/>
    </xf>
    <xf fontId="20068" applyFont="true" borderId="8" applyBorder="true" applyNumberFormat="true" numFmtId="167" fillId="22" applyFill="true">
      <alignment horizontal="center" vertical="center"/>
    </xf>
    <xf fontId="20069" applyFont="true" borderId="8" applyBorder="true" applyNumberFormat="true" numFmtId="1" fillId="22" applyFill="true">
      <alignment horizontal="center" vertical="center"/>
    </xf>
    <xf fontId="20070" applyFont="true" borderId="8" applyBorder="true" applyNumberFormat="true" numFmtId="167" fillId="22" applyFill="true">
      <alignment horizontal="center" vertical="center"/>
    </xf>
    <xf fontId="20071" applyFont="true" borderId="8" applyBorder="true" applyNumberFormat="true" numFmtId="167" fillId="22" applyFill="true">
      <alignment horizontal="center" vertical="center"/>
    </xf>
    <xf fontId="20072" applyFont="true" borderId="8" applyBorder="true" applyNumberFormat="true" numFmtId="1" fillId="22" applyFill="true">
      <alignment horizontal="center" vertical="center"/>
    </xf>
    <xf fontId="20073" applyFont="true" borderId="8" applyBorder="true" applyNumberFormat="true" numFmtId="1" fillId="22" applyFill="true">
      <alignment horizontal="center" vertical="center"/>
    </xf>
    <xf fontId="20074" applyFont="true" borderId="8" applyBorder="true" applyNumberFormat="true" numFmtId="1" fillId="22" applyFill="true">
      <alignment horizontal="center" vertical="center"/>
    </xf>
    <xf fontId="20075" applyFont="true" borderId="8" applyBorder="true" applyNumberFormat="true" numFmtId="167" fillId="22" applyFill="true">
      <alignment horizontal="center" vertical="center"/>
    </xf>
    <xf fontId="20076" applyFont="true" borderId="8" applyBorder="true" applyNumberFormat="true" numFmtId="166" fillId="22" applyFill="true">
      <alignment horizontal="center" vertical="center"/>
    </xf>
    <xf fontId="20077" applyFont="true" borderId="8" applyBorder="true" applyNumberFormat="true" numFmtId="166" fillId="22" applyFill="true">
      <alignment horizontal="center" vertical="center"/>
    </xf>
    <xf fontId="20078" applyFont="true" borderId="8" applyBorder="true" applyNumberFormat="true" numFmtId="1" fillId="22" applyFill="true">
      <alignment horizontal="center" vertical="center"/>
    </xf>
    <xf fontId="20079" applyFont="true" borderId="8" applyBorder="true" applyNumberFormat="true" numFmtId="1" fillId="22" applyFill="true">
      <alignment horizontal="center" vertical="center"/>
    </xf>
    <xf fontId="20080" applyFont="true" borderId="8" applyBorder="true" applyNumberFormat="true" numFmtId="1" fillId="22" applyFill="true">
      <alignment horizontal="center" vertical="center"/>
    </xf>
    <xf fontId="20081" applyFont="true" borderId="8" applyBorder="true" applyNumberFormat="true" numFmtId="167" fillId="22" applyFill="true">
      <alignment horizontal="center" vertical="center"/>
    </xf>
    <xf fontId="20082" applyFont="true" borderId="8" applyBorder="true" applyNumberFormat="true" numFmtId="1" fillId="22" applyFill="true">
      <alignment horizontal="center" vertical="center"/>
    </xf>
    <xf fontId="20083" applyFont="true" borderId="8" applyBorder="true" applyNumberFormat="true" numFmtId="167" fillId="22" applyFill="true">
      <alignment horizontal="center" vertical="center"/>
    </xf>
    <xf fontId="20084" applyFont="true" borderId="8" applyBorder="true" applyNumberFormat="true" numFmtId="1" fillId="22" applyFill="true">
      <alignment horizontal="center" vertical="center"/>
    </xf>
    <xf fontId="20085" applyFont="true" borderId="8" applyBorder="true" applyNumberFormat="true" numFmtId="1" fillId="22" applyFill="true">
      <alignment horizontal="center" vertical="center"/>
    </xf>
    <xf fontId="20086" applyFont="true" borderId="8" applyBorder="true" applyNumberFormat="true" numFmtId="1" fillId="22" applyFill="true">
      <alignment horizontal="center" vertical="center"/>
    </xf>
    <xf fontId="20087" applyFont="true" borderId="8" applyBorder="true" applyNumberFormat="true" numFmtId="1" fillId="22" applyFill="true">
      <alignment horizontal="center" vertical="center"/>
    </xf>
    <xf fontId="20088" applyFont="true" borderId="8" applyBorder="true" applyNumberFormat="true" numFmtId="167" fillId="22" applyFill="true">
      <alignment horizontal="center" vertical="center"/>
    </xf>
    <xf fontId="20089" applyFont="true" borderId="8" applyBorder="true" applyNumberFormat="true" numFmtId="1" fillId="22" applyFill="true">
      <alignment horizontal="center" vertical="center"/>
    </xf>
    <xf fontId="20090" applyFont="true" borderId="8" applyBorder="true" applyNumberFormat="true" numFmtId="167" fillId="22" applyFill="true">
      <alignment horizontal="center" vertical="center"/>
    </xf>
    <xf fontId="20091" applyFont="true" borderId="8" applyBorder="true" applyNumberFormat="true" numFmtId="1" fillId="22" applyFill="true">
      <alignment horizontal="center" vertical="center"/>
    </xf>
    <xf fontId="20092" applyFont="true" borderId="8" applyBorder="true" applyNumberFormat="true" numFmtId="167" fillId="22" applyFill="true">
      <alignment horizontal="center" vertical="center"/>
    </xf>
    <xf fontId="20093" applyFont="true" borderId="8" applyBorder="true" applyNumberFormat="true" numFmtId="2" fillId="22" applyFill="true">
      <alignment horizontal="center" vertical="center"/>
    </xf>
    <xf fontId="20094" applyFont="true" borderId="8" applyBorder="true" applyNumberFormat="true" numFmtId="2" fillId="22" applyFill="true">
      <alignment horizontal="center" vertical="center"/>
    </xf>
    <xf fontId="20095" applyFont="true" borderId="8" applyBorder="true" applyNumberFormat="true" numFmtId="2" fillId="22" applyFill="true">
      <alignment horizontal="center" vertical="center"/>
    </xf>
    <xf fontId="20096" applyFont="true" borderId="8" applyBorder="true" applyNumberFormat="true" numFmtId="2" fillId="22" applyFill="true">
      <alignment horizontal="center" vertical="center"/>
    </xf>
    <xf fontId="20097" applyFont="true" borderId="8" applyBorder="true" applyNumberFormat="true" numFmtId="2" fillId="22" applyFill="true">
      <alignment horizontal="center" vertical="center"/>
    </xf>
    <xf fontId="20098" applyFont="true" borderId="8" applyBorder="true" applyNumberFormat="true" numFmtId="2" fillId="22" applyFill="true">
      <alignment horizontal="center" vertical="center"/>
    </xf>
    <xf fontId="20099" applyFont="true" borderId="8" applyBorder="true" applyNumberFormat="true" numFmtId="2" fillId="22" applyFill="true">
      <alignment horizontal="center" vertical="center"/>
    </xf>
    <xf fontId="20100" applyFont="true" borderId="8" applyBorder="true" applyNumberFormat="true" numFmtId="2" fillId="22" applyFill="true">
      <alignment horizontal="center" vertical="center"/>
    </xf>
    <xf fontId="20101" applyFont="true" borderId="8" applyBorder="true" applyNumberFormat="true" numFmtId="2" fillId="22" applyFill="true">
      <alignment horizontal="center" vertical="center"/>
    </xf>
    <xf fontId="20102" applyFont="true" borderId="8" applyBorder="true" applyNumberFormat="true" numFmtId="2" fillId="22" applyFill="true">
      <alignment horizontal="center" vertical="center"/>
    </xf>
    <xf fontId="20103" applyFont="true" borderId="8" applyBorder="true" applyNumberFormat="true" numFmtId="2" fillId="22" applyFill="true">
      <alignment horizontal="center" vertical="center"/>
    </xf>
    <xf fontId="20104" applyFont="true" borderId="8" applyBorder="true" applyNumberFormat="true" numFmtId="2" fillId="22" applyFill="true">
      <alignment horizontal="center" vertical="center"/>
    </xf>
    <xf fontId="20105" applyFont="true" borderId="8" applyBorder="true" applyNumberFormat="true" numFmtId="2" fillId="22" applyFill="true">
      <alignment horizontal="center" vertical="center"/>
    </xf>
    <xf fontId="20106" applyFont="true" borderId="8" applyBorder="true" applyNumberFormat="true" numFmtId="2" fillId="22" applyFill="true">
      <alignment horizontal="center" vertical="center"/>
    </xf>
    <xf fontId="20107" applyFont="true" borderId="8" applyBorder="true" applyNumberFormat="true" numFmtId="2" fillId="22" applyFill="true">
      <alignment horizontal="center" vertical="center"/>
    </xf>
    <xf fontId="20108" applyFont="true" borderId="8" applyBorder="true" applyNumberFormat="true" numFmtId="2" fillId="22" applyFill="true">
      <alignment horizontal="center" vertical="center"/>
    </xf>
    <xf fontId="20109" applyFont="true" borderId="8" applyBorder="true" applyNumberFormat="true" numFmtId="2" fillId="22" applyFill="true">
      <alignment horizontal="center" vertical="center"/>
    </xf>
    <xf fontId="20110" applyFont="true" borderId="8" applyBorder="true" applyNumberFormat="true" numFmtId="2" fillId="22" applyFill="true">
      <alignment horizontal="center" vertical="center"/>
    </xf>
    <xf fontId="20111" applyFont="true" borderId="8" applyBorder="true" applyNumberFormat="true" numFmtId="2" fillId="22" applyFill="true">
      <alignment horizontal="center" vertical="center"/>
    </xf>
    <xf fontId="20112" applyFont="true" borderId="8" applyBorder="true" applyNumberFormat="true" numFmtId="2" fillId="22" applyFill="true">
      <alignment horizontal="center" vertical="center"/>
    </xf>
    <xf fontId="20113" applyFont="true" borderId="8" applyBorder="true" applyNumberFormat="true" numFmtId="2" fillId="22" applyFill="true">
      <alignment horizontal="center" vertical="center"/>
    </xf>
    <xf fontId="20114" applyFont="true" borderId="8" applyBorder="true" applyNumberFormat="true" numFmtId="2" fillId="22" applyFill="true">
      <alignment horizontal="center" vertical="center"/>
    </xf>
    <xf fontId="20115" applyFont="true" borderId="8" applyBorder="true" applyNumberFormat="true" numFmtId="2" fillId="22" applyFill="true">
      <alignment horizontal="center" vertical="center"/>
    </xf>
    <xf fontId="20116" applyFont="true" borderId="8" applyBorder="true" applyNumberFormat="true" numFmtId="2" fillId="22" applyFill="true">
      <alignment horizontal="center" vertical="center"/>
    </xf>
    <xf fontId="20117" applyFont="true" borderId="8" applyBorder="true" applyNumberFormat="true" numFmtId="2" fillId="22" applyFill="true">
      <alignment horizontal="center" vertical="center"/>
    </xf>
    <xf fontId="20118" applyFont="true" borderId="8" applyBorder="true" applyNumberFormat="true" numFmtId="2" fillId="22" applyFill="true">
      <alignment horizontal="center" vertical="center"/>
    </xf>
    <xf fontId="20119" applyFont="true" borderId="8" applyBorder="true" applyNumberFormat="true" numFmtId="2" fillId="22" applyFill="true">
      <alignment horizontal="center" vertical="center"/>
    </xf>
    <xf fontId="20120" applyFont="true" borderId="8" applyBorder="true" applyNumberFormat="true" numFmtId="2" fillId="22" applyFill="true">
      <alignment horizontal="center" vertical="center"/>
    </xf>
    <xf fontId="20121" applyFont="true" borderId="8" applyBorder="true" applyNumberFormat="true" numFmtId="2" fillId="22" applyFill="true">
      <alignment horizontal="center" vertical="center"/>
    </xf>
    <xf fontId="20122" applyFont="true" borderId="8" applyBorder="true" applyNumberFormat="true" numFmtId="2" fillId="22" applyFill="true">
      <alignment horizontal="center" vertical="center"/>
    </xf>
    <xf fontId="20123" applyFont="true" borderId="8" applyBorder="true" applyNumberFormat="true" numFmtId="2" fillId="22" applyFill="true">
      <alignment horizontal="center" vertical="center"/>
    </xf>
    <xf fontId="20124" applyFont="true" borderId="8" applyBorder="true" applyNumberFormat="true" numFmtId="2" fillId="22" applyFill="true">
      <alignment horizontal="center" vertical="center"/>
    </xf>
    <xf fontId="20125" applyFont="true" borderId="8" applyBorder="true" applyNumberFormat="true" numFmtId="2" fillId="22" applyFill="true">
      <alignment horizontal="center" vertical="center"/>
    </xf>
    <xf fontId="20126" applyFont="true" borderId="8" applyBorder="true" applyNumberFormat="true" numFmtId="2" fillId="22" applyFill="true">
      <alignment horizontal="center" vertical="center"/>
    </xf>
    <xf fontId="20127" applyFont="true" borderId="8" applyBorder="true" applyNumberFormat="true" numFmtId="165" fillId="19" applyFill="true">
      <alignment horizontal="left" vertical="center"/>
    </xf>
    <xf fontId="20128" applyFont="true" borderId="8" applyBorder="true" applyNumberFormat="true" numFmtId="165" fillId="22" applyFill="true">
      <alignment horizontal="center" vertical="center"/>
    </xf>
    <xf fontId="20129" applyFont="true" borderId="8" applyBorder="true" applyNumberFormat="true" numFmtId="166" fillId="22" applyFill="true">
      <alignment horizontal="center" vertical="center"/>
    </xf>
    <xf fontId="20130" applyFont="true" borderId="8" applyBorder="true" applyNumberFormat="true" numFmtId="1" fillId="22" applyFill="true">
      <alignment horizontal="center" vertical="center"/>
    </xf>
    <xf fontId="20131" applyFont="true" borderId="8" applyBorder="true" applyNumberFormat="true" numFmtId="1" fillId="22" applyFill="true">
      <alignment horizontal="center" vertical="center"/>
    </xf>
    <xf fontId="20132" applyFont="true" borderId="8" applyBorder="true" applyNumberFormat="true" numFmtId="1" fillId="22" applyFill="true">
      <alignment horizontal="center" vertical="center"/>
    </xf>
    <xf fontId="20133" applyFont="true" borderId="8" applyBorder="true" applyNumberFormat="true" numFmtId="1" fillId="22" applyFill="true">
      <alignment horizontal="center" vertical="center"/>
    </xf>
    <xf fontId="20134" applyFont="true" borderId="8" applyBorder="true" applyNumberFormat="true" numFmtId="1" fillId="22" applyFill="true">
      <alignment horizontal="center" vertical="center"/>
    </xf>
    <xf fontId="20135" applyFont="true" borderId="8" applyBorder="true" applyNumberFormat="true" numFmtId="1" fillId="22" applyFill="true">
      <alignment horizontal="center" vertical="center"/>
    </xf>
    <xf fontId="20136" applyFont="true" borderId="8" applyBorder="true" applyNumberFormat="true" numFmtId="1" fillId="22" applyFill="true">
      <alignment horizontal="center" vertical="center"/>
    </xf>
    <xf fontId="20137" applyFont="true" borderId="8" applyBorder="true" applyNumberFormat="true" numFmtId="165" fillId="22" applyFill="true">
      <alignment horizontal="center" vertical="center"/>
    </xf>
    <xf fontId="20138" applyFont="true" borderId="8" applyBorder="true" applyNumberFormat="true" numFmtId="165" fillId="22" applyFill="true">
      <alignment horizontal="center" vertical="center"/>
    </xf>
    <xf fontId="20139" applyFont="true" borderId="8" applyBorder="true" applyNumberFormat="true" numFmtId="1" fillId="22" applyFill="true">
      <alignment horizontal="center" vertical="center"/>
    </xf>
    <xf fontId="20140" applyFont="true" borderId="8" applyBorder="true" applyNumberFormat="true" numFmtId="1" fillId="22" applyFill="true">
      <alignment horizontal="center" vertical="center"/>
    </xf>
    <xf fontId="20141" applyFont="true" borderId="8" applyBorder="true" applyNumberFormat="true" numFmtId="1" fillId="22" applyFill="true">
      <alignment horizontal="center" vertical="center"/>
    </xf>
    <xf fontId="20142" applyFont="true" borderId="8" applyBorder="true" applyNumberFormat="true" numFmtId="167" fillId="22" applyFill="true">
      <alignment horizontal="center" vertical="center"/>
    </xf>
    <xf fontId="20143" applyFont="true" borderId="8" applyBorder="true" applyNumberFormat="true" numFmtId="1" fillId="22" applyFill="true">
      <alignment horizontal="center" vertical="center"/>
    </xf>
    <xf fontId="20144" applyFont="true" borderId="8" applyBorder="true" applyNumberFormat="true" numFmtId="167" fillId="22" applyFill="true">
      <alignment horizontal="center" vertical="center"/>
    </xf>
    <xf fontId="20145" applyFont="true" borderId="8" applyBorder="true" applyNumberFormat="true" numFmtId="1" fillId="22" applyFill="true">
      <alignment horizontal="center" vertical="center"/>
    </xf>
    <xf fontId="20146" applyFont="true" borderId="8" applyBorder="true" applyNumberFormat="true" numFmtId="167" fillId="22" applyFill="true">
      <alignment horizontal="center" vertical="center"/>
    </xf>
    <xf fontId="20147" applyFont="true" borderId="8" applyBorder="true" applyNumberFormat="true" numFmtId="1" fillId="22" applyFill="true">
      <alignment horizontal="center" vertical="center"/>
    </xf>
    <xf fontId="20148" applyFont="true" borderId="8" applyBorder="true" applyNumberFormat="true" numFmtId="167" fillId="22" applyFill="true">
      <alignment horizontal="center" vertical="center"/>
    </xf>
    <xf fontId="20149" applyFont="true" borderId="8" applyBorder="true" applyNumberFormat="true" numFmtId="167" fillId="22" applyFill="true">
      <alignment horizontal="center" vertical="center"/>
    </xf>
    <xf fontId="20150" applyFont="true" borderId="8" applyBorder="true" applyNumberFormat="true" numFmtId="1" fillId="22" applyFill="true">
      <alignment horizontal="center" vertical="center"/>
    </xf>
    <xf fontId="20151" applyFont="true" borderId="8" applyBorder="true" applyNumberFormat="true" numFmtId="1" fillId="22" applyFill="true">
      <alignment horizontal="center" vertical="center"/>
    </xf>
    <xf fontId="20152" applyFont="true" borderId="8" applyBorder="true" applyNumberFormat="true" numFmtId="1" fillId="22" applyFill="true">
      <alignment horizontal="center" vertical="center"/>
    </xf>
    <xf fontId="20153" applyFont="true" borderId="8" applyBorder="true" applyNumberFormat="true" numFmtId="167" fillId="22" applyFill="true">
      <alignment horizontal="center" vertical="center"/>
    </xf>
    <xf fontId="20154" applyFont="true" borderId="8" applyBorder="true" applyNumberFormat="true" numFmtId="166" fillId="22" applyFill="true">
      <alignment horizontal="center" vertical="center"/>
    </xf>
    <xf fontId="20155" applyFont="true" borderId="8" applyBorder="true" applyNumberFormat="true" numFmtId="166" fillId="22" applyFill="true">
      <alignment horizontal="center" vertical="center"/>
    </xf>
    <xf fontId="20156" applyFont="true" borderId="8" applyBorder="true" applyNumberFormat="true" numFmtId="1" fillId="22" applyFill="true">
      <alignment horizontal="center" vertical="center"/>
    </xf>
    <xf fontId="20157" applyFont="true" borderId="8" applyBorder="true" applyNumberFormat="true" numFmtId="1" fillId="22" applyFill="true">
      <alignment horizontal="center" vertical="center"/>
    </xf>
    <xf fontId="20158" applyFont="true" borderId="8" applyBorder="true" applyNumberFormat="true" numFmtId="1" fillId="22" applyFill="true">
      <alignment horizontal="center" vertical="center"/>
    </xf>
    <xf fontId="20159" applyFont="true" borderId="8" applyBorder="true" applyNumberFormat="true" numFmtId="167" fillId="22" applyFill="true">
      <alignment horizontal="center" vertical="center"/>
    </xf>
    <xf fontId="20160" applyFont="true" borderId="8" applyBorder="true" applyNumberFormat="true" numFmtId="1" fillId="22" applyFill="true">
      <alignment horizontal="center" vertical="center"/>
    </xf>
    <xf fontId="20161" applyFont="true" borderId="8" applyBorder="true" applyNumberFormat="true" numFmtId="167" fillId="22" applyFill="true">
      <alignment horizontal="center" vertical="center"/>
    </xf>
    <xf fontId="20162" applyFont="true" borderId="8" applyBorder="true" applyNumberFormat="true" numFmtId="1" fillId="22" applyFill="true">
      <alignment horizontal="center" vertical="center"/>
    </xf>
    <xf fontId="20163" applyFont="true" borderId="8" applyBorder="true" applyNumberFormat="true" numFmtId="1" fillId="22" applyFill="true">
      <alignment horizontal="center" vertical="center"/>
    </xf>
    <xf fontId="20164" applyFont="true" borderId="8" applyBorder="true" applyNumberFormat="true" numFmtId="1" fillId="22" applyFill="true">
      <alignment horizontal="center" vertical="center"/>
    </xf>
    <xf fontId="20165" applyFont="true" borderId="8" applyBorder="true" applyNumberFormat="true" numFmtId="1" fillId="22" applyFill="true">
      <alignment horizontal="center" vertical="center"/>
    </xf>
    <xf fontId="20166" applyFont="true" borderId="8" applyBorder="true" applyNumberFormat="true" numFmtId="167" fillId="22" applyFill="true">
      <alignment horizontal="center" vertical="center"/>
    </xf>
    <xf fontId="20167" applyFont="true" borderId="8" applyBorder="true" applyNumberFormat="true" numFmtId="1" fillId="22" applyFill="true">
      <alignment horizontal="center" vertical="center"/>
    </xf>
    <xf fontId="20168" applyFont="true" borderId="8" applyBorder="true" applyNumberFormat="true" numFmtId="167" fillId="22" applyFill="true">
      <alignment horizontal="center" vertical="center"/>
    </xf>
    <xf fontId="20169" applyFont="true" borderId="8" applyBorder="true" applyNumberFormat="true" numFmtId="1" fillId="22" applyFill="true">
      <alignment horizontal="center" vertical="center"/>
    </xf>
    <xf fontId="20170" applyFont="true" borderId="8" applyBorder="true" applyNumberFormat="true" numFmtId="167" fillId="22" applyFill="true">
      <alignment horizontal="center" vertical="center"/>
    </xf>
    <xf fontId="20171" applyFont="true" borderId="8" applyBorder="true" applyNumberFormat="true" numFmtId="2" fillId="22" applyFill="true">
      <alignment horizontal="center" vertical="center"/>
    </xf>
    <xf fontId="20172" applyFont="true" borderId="8" applyBorder="true" applyNumberFormat="true" numFmtId="2" fillId="22" applyFill="true">
      <alignment horizontal="center" vertical="center"/>
    </xf>
    <xf fontId="20173" applyFont="true" borderId="8" applyBorder="true" applyNumberFormat="true" numFmtId="2" fillId="22" applyFill="true">
      <alignment horizontal="center" vertical="center"/>
    </xf>
    <xf fontId="20174" applyFont="true" borderId="8" applyBorder="true" applyNumberFormat="true" numFmtId="2" fillId="22" applyFill="true">
      <alignment horizontal="center" vertical="center"/>
    </xf>
    <xf fontId="20175" applyFont="true" borderId="8" applyBorder="true" applyNumberFormat="true" numFmtId="2" fillId="22" applyFill="true">
      <alignment horizontal="center" vertical="center"/>
    </xf>
    <xf fontId="20176" applyFont="true" borderId="8" applyBorder="true" applyNumberFormat="true" numFmtId="2" fillId="22" applyFill="true">
      <alignment horizontal="center" vertical="center"/>
    </xf>
    <xf fontId="20177" applyFont="true" borderId="8" applyBorder="true" applyNumberFormat="true" numFmtId="2" fillId="22" applyFill="true">
      <alignment horizontal="center" vertical="center"/>
    </xf>
    <xf fontId="20178" applyFont="true" borderId="8" applyBorder="true" applyNumberFormat="true" numFmtId="2" fillId="22" applyFill="true">
      <alignment horizontal="center" vertical="center"/>
    </xf>
    <xf fontId="20179" applyFont="true" borderId="8" applyBorder="true" applyNumberFormat="true" numFmtId="2" fillId="22" applyFill="true">
      <alignment horizontal="center" vertical="center"/>
    </xf>
    <xf fontId="20180" applyFont="true" borderId="8" applyBorder="true" applyNumberFormat="true" numFmtId="2" fillId="22" applyFill="true">
      <alignment horizontal="center" vertical="center"/>
    </xf>
    <xf fontId="20181" applyFont="true" borderId="8" applyBorder="true" applyNumberFormat="true" numFmtId="2" fillId="22" applyFill="true">
      <alignment horizontal="center" vertical="center"/>
    </xf>
    <xf fontId="20182" applyFont="true" borderId="8" applyBorder="true" applyNumberFormat="true" numFmtId="2" fillId="22" applyFill="true">
      <alignment horizontal="center" vertical="center"/>
    </xf>
    <xf fontId="20183" applyFont="true" borderId="8" applyBorder="true" applyNumberFormat="true" numFmtId="2" fillId="22" applyFill="true">
      <alignment horizontal="center" vertical="center"/>
    </xf>
    <xf fontId="20184" applyFont="true" borderId="8" applyBorder="true" applyNumberFormat="true" numFmtId="2" fillId="22" applyFill="true">
      <alignment horizontal="center" vertical="center"/>
    </xf>
    <xf fontId="20185" applyFont="true" borderId="8" applyBorder="true" applyNumberFormat="true" numFmtId="2" fillId="22" applyFill="true">
      <alignment horizontal="center" vertical="center"/>
    </xf>
    <xf fontId="20186" applyFont="true" borderId="8" applyBorder="true" applyNumberFormat="true" numFmtId="2" fillId="22" applyFill="true">
      <alignment horizontal="center" vertical="center"/>
    </xf>
    <xf fontId="20187" applyFont="true" borderId="8" applyBorder="true" applyNumberFormat="true" numFmtId="2" fillId="22" applyFill="true">
      <alignment horizontal="center" vertical="center"/>
    </xf>
    <xf fontId="20188" applyFont="true" borderId="8" applyBorder="true" applyNumberFormat="true" numFmtId="2" fillId="22" applyFill="true">
      <alignment horizontal="center" vertical="center"/>
    </xf>
    <xf fontId="20189" applyFont="true" borderId="8" applyBorder="true" applyNumberFormat="true" numFmtId="2" fillId="22" applyFill="true">
      <alignment horizontal="center" vertical="center"/>
    </xf>
    <xf fontId="20190" applyFont="true" borderId="8" applyBorder="true" applyNumberFormat="true" numFmtId="2" fillId="22" applyFill="true">
      <alignment horizontal="center" vertical="center"/>
    </xf>
    <xf fontId="20191" applyFont="true" borderId="8" applyBorder="true" applyNumberFormat="true" numFmtId="2" fillId="22" applyFill="true">
      <alignment horizontal="center" vertical="center"/>
    </xf>
    <xf fontId="20192" applyFont="true" borderId="8" applyBorder="true" applyNumberFormat="true" numFmtId="2" fillId="22" applyFill="true">
      <alignment horizontal="center" vertical="center"/>
    </xf>
    <xf fontId="20193" applyFont="true" borderId="8" applyBorder="true" applyNumberFormat="true" numFmtId="2" fillId="22" applyFill="true">
      <alignment horizontal="center" vertical="center"/>
    </xf>
    <xf fontId="20194" applyFont="true" borderId="8" applyBorder="true" applyNumberFormat="true" numFmtId="2" fillId="22" applyFill="true">
      <alignment horizontal="center" vertical="center"/>
    </xf>
    <xf fontId="20195" applyFont="true" borderId="8" applyBorder="true" applyNumberFormat="true" numFmtId="2" fillId="22" applyFill="true">
      <alignment horizontal="center" vertical="center"/>
    </xf>
    <xf fontId="20196" applyFont="true" borderId="8" applyBorder="true" applyNumberFormat="true" numFmtId="2" fillId="22" applyFill="true">
      <alignment horizontal="center" vertical="center"/>
    </xf>
    <xf fontId="20197" applyFont="true" borderId="8" applyBorder="true" applyNumberFormat="true" numFmtId="2" fillId="22" applyFill="true">
      <alignment horizontal="center" vertical="center"/>
    </xf>
    <xf fontId="20198" applyFont="true" borderId="8" applyBorder="true" applyNumberFormat="true" numFmtId="2" fillId="22" applyFill="true">
      <alignment horizontal="center" vertical="center"/>
    </xf>
    <xf fontId="20199" applyFont="true" borderId="8" applyBorder="true" applyNumberFormat="true" numFmtId="2" fillId="22" applyFill="true">
      <alignment horizontal="center" vertical="center"/>
    </xf>
    <xf fontId="20200" applyFont="true" borderId="8" applyBorder="true" applyNumberFormat="true" numFmtId="2" fillId="22" applyFill="true">
      <alignment horizontal="center" vertical="center"/>
    </xf>
    <xf fontId="20201" applyFont="true" borderId="8" applyBorder="true" applyNumberFormat="true" numFmtId="2" fillId="22" applyFill="true">
      <alignment horizontal="center" vertical="center"/>
    </xf>
    <xf fontId="20202" applyFont="true" borderId="8" applyBorder="true" applyNumberFormat="true" numFmtId="2" fillId="22" applyFill="true">
      <alignment horizontal="center" vertical="center"/>
    </xf>
    <xf fontId="20203" applyFont="true" borderId="8" applyBorder="true" applyNumberFormat="true" numFmtId="2" fillId="22" applyFill="true">
      <alignment horizontal="center" vertical="center"/>
    </xf>
    <xf fontId="20204" applyFont="true" borderId="8" applyBorder="true" applyNumberFormat="true" numFmtId="2" fillId="22" applyFill="true">
      <alignment horizontal="center" vertical="center"/>
    </xf>
    <xf fontId="20205" applyFont="true" borderId="8" applyBorder="true" applyNumberFormat="true" numFmtId="165" fillId="19" applyFill="true">
      <alignment horizontal="left" vertical="center"/>
    </xf>
    <xf fontId="20206" applyFont="true" borderId="8" applyBorder="true" applyNumberFormat="true" numFmtId="165" fillId="22" applyFill="true">
      <alignment horizontal="center" vertical="center"/>
    </xf>
    <xf fontId="20207" applyFont="true" borderId="8" applyBorder="true" applyNumberFormat="true" numFmtId="166" fillId="22" applyFill="true">
      <alignment horizontal="center" vertical="center"/>
    </xf>
    <xf fontId="20208" applyFont="true" borderId="8" applyBorder="true" applyNumberFormat="true" numFmtId="1" fillId="22" applyFill="true">
      <alignment horizontal="center" vertical="center"/>
    </xf>
    <xf fontId="20209" applyFont="true" borderId="8" applyBorder="true" applyNumberFormat="true" numFmtId="1" fillId="22" applyFill="true">
      <alignment horizontal="center" vertical="center"/>
    </xf>
    <xf fontId="20210" applyFont="true" borderId="8" applyBorder="true" applyNumberFormat="true" numFmtId="1" fillId="22" applyFill="true">
      <alignment horizontal="center" vertical="center"/>
    </xf>
    <xf fontId="20211" applyFont="true" borderId="8" applyBorder="true" applyNumberFormat="true" numFmtId="1" fillId="22" applyFill="true">
      <alignment horizontal="center" vertical="center"/>
    </xf>
    <xf fontId="20212" applyFont="true" borderId="8" applyBorder="true" applyNumberFormat="true" numFmtId="1" fillId="22" applyFill="true">
      <alignment horizontal="center" vertical="center"/>
    </xf>
    <xf fontId="20213" applyFont="true" borderId="8" applyBorder="true" applyNumberFormat="true" numFmtId="1" fillId="22" applyFill="true">
      <alignment horizontal="center" vertical="center"/>
    </xf>
    <xf fontId="20214" applyFont="true" borderId="8" applyBorder="true" applyNumberFormat="true" numFmtId="1" fillId="22" applyFill="true">
      <alignment horizontal="center" vertical="center"/>
    </xf>
    <xf fontId="20215" applyFont="true" borderId="8" applyBorder="true" applyNumberFormat="true" numFmtId="165" fillId="22" applyFill="true">
      <alignment horizontal="center" vertical="center"/>
    </xf>
    <xf fontId="20216" applyFont="true" borderId="8" applyBorder="true" applyNumberFormat="true" numFmtId="165" fillId="22" applyFill="true">
      <alignment horizontal="center" vertical="center"/>
    </xf>
    <xf fontId="20217" applyFont="true" borderId="8" applyBorder="true" applyNumberFormat="true" numFmtId="1" fillId="22" applyFill="true">
      <alignment horizontal="center" vertical="center"/>
    </xf>
    <xf fontId="20218" applyFont="true" borderId="8" applyBorder="true" applyNumberFormat="true" numFmtId="1" fillId="22" applyFill="true">
      <alignment horizontal="center" vertical="center"/>
    </xf>
    <xf fontId="20219" applyFont="true" borderId="8" applyBorder="true" applyNumberFormat="true" numFmtId="1" fillId="22" applyFill="true">
      <alignment horizontal="center" vertical="center"/>
    </xf>
    <xf fontId="20220" applyFont="true" borderId="8" applyBorder="true" applyNumberFormat="true" numFmtId="167" fillId="22" applyFill="true">
      <alignment horizontal="center" vertical="center"/>
    </xf>
    <xf fontId="20221" applyFont="true" borderId="8" applyBorder="true" applyNumberFormat="true" numFmtId="1" fillId="22" applyFill="true">
      <alignment horizontal="center" vertical="center"/>
    </xf>
    <xf fontId="20222" applyFont="true" borderId="8" applyBorder="true" applyNumberFormat="true" numFmtId="167" fillId="22" applyFill="true">
      <alignment horizontal="center" vertical="center"/>
    </xf>
    <xf fontId="20223" applyFont="true" borderId="8" applyBorder="true" applyNumberFormat="true" numFmtId="1" fillId="22" applyFill="true">
      <alignment horizontal="center" vertical="center"/>
    </xf>
    <xf fontId="20224" applyFont="true" borderId="8" applyBorder="true" applyNumberFormat="true" numFmtId="167" fillId="22" applyFill="true">
      <alignment horizontal="center" vertical="center"/>
    </xf>
    <xf fontId="20225" applyFont="true" borderId="8" applyBorder="true" applyNumberFormat="true" numFmtId="1" fillId="22" applyFill="true">
      <alignment horizontal="center" vertical="center"/>
    </xf>
    <xf fontId="20226" applyFont="true" borderId="8" applyBorder="true" applyNumberFormat="true" numFmtId="167" fillId="22" applyFill="true">
      <alignment horizontal="center" vertical="center"/>
    </xf>
    <xf fontId="20227" applyFont="true" borderId="8" applyBorder="true" applyNumberFormat="true" numFmtId="167" fillId="22" applyFill="true">
      <alignment horizontal="center" vertical="center"/>
    </xf>
    <xf fontId="20228" applyFont="true" borderId="8" applyBorder="true" applyNumberFormat="true" numFmtId="1" fillId="22" applyFill="true">
      <alignment horizontal="center" vertical="center"/>
    </xf>
    <xf fontId="20229" applyFont="true" borderId="8" applyBorder="true" applyNumberFormat="true" numFmtId="1" fillId="22" applyFill="true">
      <alignment horizontal="center" vertical="center"/>
    </xf>
    <xf fontId="20230" applyFont="true" borderId="8" applyBorder="true" applyNumberFormat="true" numFmtId="1" fillId="22" applyFill="true">
      <alignment horizontal="center" vertical="center"/>
    </xf>
    <xf fontId="20231" applyFont="true" borderId="8" applyBorder="true" applyNumberFormat="true" numFmtId="167" fillId="22" applyFill="true">
      <alignment horizontal="center" vertical="center"/>
    </xf>
    <xf fontId="20232" applyFont="true" borderId="8" applyBorder="true" applyNumberFormat="true" numFmtId="166" fillId="22" applyFill="true">
      <alignment horizontal="center" vertical="center"/>
    </xf>
    <xf fontId="20233" applyFont="true" borderId="8" applyBorder="true" applyNumberFormat="true" numFmtId="166" fillId="22" applyFill="true">
      <alignment horizontal="center" vertical="center"/>
    </xf>
    <xf fontId="20234" applyFont="true" borderId="8" applyBorder="true" applyNumberFormat="true" numFmtId="1" fillId="22" applyFill="true">
      <alignment horizontal="center" vertical="center"/>
    </xf>
    <xf fontId="20235" applyFont="true" borderId="8" applyBorder="true" applyNumberFormat="true" numFmtId="1" fillId="22" applyFill="true">
      <alignment horizontal="center" vertical="center"/>
    </xf>
    <xf fontId="20236" applyFont="true" borderId="8" applyBorder="true" applyNumberFormat="true" numFmtId="1" fillId="22" applyFill="true">
      <alignment horizontal="center" vertical="center"/>
    </xf>
    <xf fontId="20237" applyFont="true" borderId="8" applyBorder="true" applyNumberFormat="true" numFmtId="167" fillId="22" applyFill="true">
      <alignment horizontal="center" vertical="center"/>
    </xf>
    <xf fontId="20238" applyFont="true" borderId="8" applyBorder="true" applyNumberFormat="true" numFmtId="1" fillId="22" applyFill="true">
      <alignment horizontal="center" vertical="center"/>
    </xf>
    <xf fontId="20239" applyFont="true" borderId="8" applyBorder="true" applyNumberFormat="true" numFmtId="167" fillId="22" applyFill="true">
      <alignment horizontal="center" vertical="center"/>
    </xf>
    <xf fontId="20240" applyFont="true" borderId="8" applyBorder="true" applyNumberFormat="true" numFmtId="1" fillId="22" applyFill="true">
      <alignment horizontal="center" vertical="center"/>
    </xf>
    <xf fontId="20241" applyFont="true" borderId="8" applyBorder="true" applyNumberFormat="true" numFmtId="1" fillId="22" applyFill="true">
      <alignment horizontal="center" vertical="center"/>
    </xf>
    <xf fontId="20242" applyFont="true" borderId="8" applyBorder="true" applyNumberFormat="true" numFmtId="1" fillId="22" applyFill="true">
      <alignment horizontal="center" vertical="center"/>
    </xf>
    <xf fontId="20243" applyFont="true" borderId="8" applyBorder="true" applyNumberFormat="true" numFmtId="1" fillId="22" applyFill="true">
      <alignment horizontal="center" vertical="center"/>
    </xf>
    <xf fontId="20244" applyFont="true" borderId="8" applyBorder="true" applyNumberFormat="true" numFmtId="167" fillId="22" applyFill="true">
      <alignment horizontal="center" vertical="center"/>
    </xf>
    <xf fontId="20245" applyFont="true" borderId="8" applyBorder="true" applyNumberFormat="true" numFmtId="1" fillId="22" applyFill="true">
      <alignment horizontal="center" vertical="center"/>
    </xf>
    <xf fontId="20246" applyFont="true" borderId="8" applyBorder="true" applyNumberFormat="true" numFmtId="167" fillId="22" applyFill="true">
      <alignment horizontal="center" vertical="center"/>
    </xf>
    <xf fontId="20247" applyFont="true" borderId="8" applyBorder="true" applyNumberFormat="true" numFmtId="1" fillId="22" applyFill="true">
      <alignment horizontal="center" vertical="center"/>
    </xf>
    <xf fontId="20248" applyFont="true" borderId="8" applyBorder="true" applyNumberFormat="true" numFmtId="167" fillId="22" applyFill="true">
      <alignment horizontal="center" vertical="center"/>
    </xf>
    <xf fontId="20249" applyFont="true" borderId="8" applyBorder="true" applyNumberFormat="true" numFmtId="2" fillId="22" applyFill="true">
      <alignment horizontal="center" vertical="center"/>
    </xf>
    <xf fontId="20250" applyFont="true" borderId="8" applyBorder="true" applyNumberFormat="true" numFmtId="2" fillId="22" applyFill="true">
      <alignment horizontal="center" vertical="center"/>
    </xf>
    <xf fontId="20251" applyFont="true" borderId="8" applyBorder="true" applyNumberFormat="true" numFmtId="2" fillId="22" applyFill="true">
      <alignment horizontal="center" vertical="center"/>
    </xf>
    <xf fontId="20252" applyFont="true" borderId="8" applyBorder="true" applyNumberFormat="true" numFmtId="2" fillId="22" applyFill="true">
      <alignment horizontal="center" vertical="center"/>
    </xf>
    <xf fontId="20253" applyFont="true" borderId="8" applyBorder="true" applyNumberFormat="true" numFmtId="2" fillId="22" applyFill="true">
      <alignment horizontal="center" vertical="center"/>
    </xf>
    <xf fontId="20254" applyFont="true" borderId="8" applyBorder="true" applyNumberFormat="true" numFmtId="2" fillId="22" applyFill="true">
      <alignment horizontal="center" vertical="center"/>
    </xf>
    <xf fontId="20255" applyFont="true" borderId="8" applyBorder="true" applyNumberFormat="true" numFmtId="2" fillId="22" applyFill="true">
      <alignment horizontal="center" vertical="center"/>
    </xf>
    <xf fontId="20256" applyFont="true" borderId="8" applyBorder="true" applyNumberFormat="true" numFmtId="2" fillId="22" applyFill="true">
      <alignment horizontal="center" vertical="center"/>
    </xf>
    <xf fontId="20257" applyFont="true" borderId="8" applyBorder="true" applyNumberFormat="true" numFmtId="2" fillId="22" applyFill="true">
      <alignment horizontal="center" vertical="center"/>
    </xf>
    <xf fontId="20258" applyFont="true" borderId="8" applyBorder="true" applyNumberFormat="true" numFmtId="2" fillId="22" applyFill="true">
      <alignment horizontal="center" vertical="center"/>
    </xf>
    <xf fontId="20259" applyFont="true" borderId="8" applyBorder="true" applyNumberFormat="true" numFmtId="2" fillId="22" applyFill="true">
      <alignment horizontal="center" vertical="center"/>
    </xf>
    <xf fontId="20260" applyFont="true" borderId="8" applyBorder="true" applyNumberFormat="true" numFmtId="2" fillId="22" applyFill="true">
      <alignment horizontal="center" vertical="center"/>
    </xf>
    <xf fontId="20261" applyFont="true" borderId="8" applyBorder="true" applyNumberFormat="true" numFmtId="2" fillId="22" applyFill="true">
      <alignment horizontal="center" vertical="center"/>
    </xf>
    <xf fontId="20262" applyFont="true" borderId="8" applyBorder="true" applyNumberFormat="true" numFmtId="2" fillId="22" applyFill="true">
      <alignment horizontal="center" vertical="center"/>
    </xf>
    <xf fontId="20263" applyFont="true" borderId="8" applyBorder="true" applyNumberFormat="true" numFmtId="2" fillId="22" applyFill="true">
      <alignment horizontal="center" vertical="center"/>
    </xf>
    <xf fontId="20264" applyFont="true" borderId="8" applyBorder="true" applyNumberFormat="true" numFmtId="2" fillId="22" applyFill="true">
      <alignment horizontal="center" vertical="center"/>
    </xf>
    <xf fontId="20265" applyFont="true" borderId="8" applyBorder="true" applyNumberFormat="true" numFmtId="2" fillId="22" applyFill="true">
      <alignment horizontal="center" vertical="center"/>
    </xf>
    <xf fontId="20266" applyFont="true" borderId="8" applyBorder="true" applyNumberFormat="true" numFmtId="2" fillId="22" applyFill="true">
      <alignment horizontal="center" vertical="center"/>
    </xf>
    <xf fontId="20267" applyFont="true" borderId="8" applyBorder="true" applyNumberFormat="true" numFmtId="2" fillId="22" applyFill="true">
      <alignment horizontal="center" vertical="center"/>
    </xf>
    <xf fontId="20268" applyFont="true" borderId="8" applyBorder="true" applyNumberFormat="true" numFmtId="2" fillId="22" applyFill="true">
      <alignment horizontal="center" vertical="center"/>
    </xf>
    <xf fontId="20269" applyFont="true" borderId="8" applyBorder="true" applyNumberFormat="true" numFmtId="2" fillId="22" applyFill="true">
      <alignment horizontal="center" vertical="center"/>
    </xf>
    <xf fontId="20270" applyFont="true" borderId="8" applyBorder="true" applyNumberFormat="true" numFmtId="2" fillId="22" applyFill="true">
      <alignment horizontal="center" vertical="center"/>
    </xf>
    <xf fontId="20271" applyFont="true" borderId="8" applyBorder="true" applyNumberFormat="true" numFmtId="2" fillId="22" applyFill="true">
      <alignment horizontal="center" vertical="center"/>
    </xf>
    <xf fontId="20272" applyFont="true" borderId="8" applyBorder="true" applyNumberFormat="true" numFmtId="2" fillId="22" applyFill="true">
      <alignment horizontal="center" vertical="center"/>
    </xf>
    <xf fontId="20273" applyFont="true" borderId="8" applyBorder="true" applyNumberFormat="true" numFmtId="2" fillId="22" applyFill="true">
      <alignment horizontal="center" vertical="center"/>
    </xf>
    <xf fontId="20274" applyFont="true" borderId="8" applyBorder="true" applyNumberFormat="true" numFmtId="2" fillId="22" applyFill="true">
      <alignment horizontal="center" vertical="center"/>
    </xf>
    <xf fontId="20275" applyFont="true" borderId="8" applyBorder="true" applyNumberFormat="true" numFmtId="2" fillId="22" applyFill="true">
      <alignment horizontal="center" vertical="center"/>
    </xf>
    <xf fontId="20276" applyFont="true" borderId="8" applyBorder="true" applyNumberFormat="true" numFmtId="2" fillId="22" applyFill="true">
      <alignment horizontal="center" vertical="center"/>
    </xf>
    <xf fontId="20277" applyFont="true" borderId="8" applyBorder="true" applyNumberFormat="true" numFmtId="2" fillId="22" applyFill="true">
      <alignment horizontal="center" vertical="center"/>
    </xf>
    <xf fontId="20278" applyFont="true" borderId="8" applyBorder="true" applyNumberFormat="true" numFmtId="2" fillId="22" applyFill="true">
      <alignment horizontal="center" vertical="center"/>
    </xf>
    <xf fontId="20279" applyFont="true" borderId="8" applyBorder="true" applyNumberFormat="true" numFmtId="2" fillId="22" applyFill="true">
      <alignment horizontal="center" vertical="center"/>
    </xf>
    <xf fontId="20280" applyFont="true" borderId="8" applyBorder="true" applyNumberFormat="true" numFmtId="2" fillId="22" applyFill="true">
      <alignment horizontal="center" vertical="center"/>
    </xf>
    <xf fontId="20281" applyFont="true" borderId="8" applyBorder="true" applyNumberFormat="true" numFmtId="2" fillId="22" applyFill="true">
      <alignment horizontal="center" vertical="center"/>
    </xf>
    <xf fontId="20282" applyFont="true" borderId="8" applyBorder="true" applyNumberFormat="true" numFmtId="2" fillId="22" applyFill="true">
      <alignment horizontal="center" vertical="center"/>
    </xf>
    <xf fontId="20283" applyFont="true" borderId="8" applyBorder="true" applyNumberFormat="true" numFmtId="165" fillId="19" applyFill="true">
      <alignment horizontal="left" vertical="center"/>
    </xf>
    <xf fontId="20284" applyFont="true" borderId="8" applyBorder="true" applyNumberFormat="true" numFmtId="165" fillId="22" applyFill="true">
      <alignment horizontal="center" vertical="center"/>
    </xf>
    <xf fontId="20285" applyFont="true" borderId="8" applyBorder="true" applyNumberFormat="true" numFmtId="166" fillId="22" applyFill="true">
      <alignment horizontal="center" vertical="center"/>
    </xf>
    <xf fontId="20286" applyFont="true" borderId="8" applyBorder="true" applyNumberFormat="true" numFmtId="1" fillId="22" applyFill="true">
      <alignment horizontal="center" vertical="center"/>
    </xf>
    <xf fontId="20287" applyFont="true" borderId="8" applyBorder="true" applyNumberFormat="true" numFmtId="1" fillId="22" applyFill="true">
      <alignment horizontal="center" vertical="center"/>
    </xf>
    <xf fontId="20288" applyFont="true" borderId="8" applyBorder="true" applyNumberFormat="true" numFmtId="1" fillId="22" applyFill="true">
      <alignment horizontal="center" vertical="center"/>
    </xf>
    <xf fontId="20289" applyFont="true" borderId="8" applyBorder="true" applyNumberFormat="true" numFmtId="1" fillId="22" applyFill="true">
      <alignment horizontal="center" vertical="center"/>
    </xf>
    <xf fontId="20290" applyFont="true" borderId="8" applyBorder="true" applyNumberFormat="true" numFmtId="1" fillId="22" applyFill="true">
      <alignment horizontal="center" vertical="center"/>
    </xf>
    <xf fontId="20291" applyFont="true" borderId="8" applyBorder="true" applyNumberFormat="true" numFmtId="1" fillId="22" applyFill="true">
      <alignment horizontal="center" vertical="center"/>
    </xf>
    <xf fontId="20292" applyFont="true" borderId="8" applyBorder="true" applyNumberFormat="true" numFmtId="1" fillId="22" applyFill="true">
      <alignment horizontal="center" vertical="center"/>
    </xf>
    <xf fontId="20293" applyFont="true" borderId="8" applyBorder="true" applyNumberFormat="true" numFmtId="165" fillId="22" applyFill="true">
      <alignment horizontal="center" vertical="center"/>
    </xf>
    <xf fontId="20294" applyFont="true" borderId="8" applyBorder="true" applyNumberFormat="true" numFmtId="165" fillId="22" applyFill="true">
      <alignment horizontal="center" vertical="center"/>
    </xf>
    <xf fontId="20295" applyFont="true" borderId="8" applyBorder="true" applyNumberFormat="true" numFmtId="1" fillId="22" applyFill="true">
      <alignment horizontal="center" vertical="center"/>
    </xf>
    <xf fontId="20296" applyFont="true" borderId="8" applyBorder="true" applyNumberFormat="true" numFmtId="1" fillId="22" applyFill="true">
      <alignment horizontal="center" vertical="center"/>
    </xf>
    <xf fontId="20297" applyFont="true" borderId="8" applyBorder="true" applyNumberFormat="true" numFmtId="1" fillId="22" applyFill="true">
      <alignment horizontal="center" vertical="center"/>
    </xf>
    <xf fontId="20298" applyFont="true" borderId="8" applyBorder="true" applyNumberFormat="true" numFmtId="167" fillId="22" applyFill="true">
      <alignment horizontal="center" vertical="center"/>
    </xf>
    <xf fontId="20299" applyFont="true" borderId="8" applyBorder="true" applyNumberFormat="true" numFmtId="1" fillId="22" applyFill="true">
      <alignment horizontal="center" vertical="center"/>
    </xf>
    <xf fontId="20300" applyFont="true" borderId="8" applyBorder="true" applyNumberFormat="true" numFmtId="167" fillId="22" applyFill="true">
      <alignment horizontal="center" vertical="center"/>
    </xf>
    <xf fontId="20301" applyFont="true" borderId="8" applyBorder="true" applyNumberFormat="true" numFmtId="1" fillId="22" applyFill="true">
      <alignment horizontal="center" vertical="center"/>
    </xf>
    <xf fontId="20302" applyFont="true" borderId="8" applyBorder="true" applyNumberFormat="true" numFmtId="167" fillId="22" applyFill="true">
      <alignment horizontal="center" vertical="center"/>
    </xf>
    <xf fontId="20303" applyFont="true" borderId="8" applyBorder="true" applyNumberFormat="true" numFmtId="1" fillId="22" applyFill="true">
      <alignment horizontal="center" vertical="center"/>
    </xf>
    <xf fontId="20304" applyFont="true" borderId="8" applyBorder="true" applyNumberFormat="true" numFmtId="167" fillId="22" applyFill="true">
      <alignment horizontal="center" vertical="center"/>
    </xf>
    <xf fontId="20305" applyFont="true" borderId="8" applyBorder="true" applyNumberFormat="true" numFmtId="167" fillId="22" applyFill="true">
      <alignment horizontal="center" vertical="center"/>
    </xf>
    <xf fontId="20306" applyFont="true" borderId="8" applyBorder="true" applyNumberFormat="true" numFmtId="1" fillId="22" applyFill="true">
      <alignment horizontal="center" vertical="center"/>
    </xf>
    <xf fontId="20307" applyFont="true" borderId="8" applyBorder="true" applyNumberFormat="true" numFmtId="1" fillId="22" applyFill="true">
      <alignment horizontal="center" vertical="center"/>
    </xf>
    <xf fontId="20308" applyFont="true" borderId="8" applyBorder="true" applyNumberFormat="true" numFmtId="1" fillId="22" applyFill="true">
      <alignment horizontal="center" vertical="center"/>
    </xf>
    <xf fontId="20309" applyFont="true" borderId="8" applyBorder="true" applyNumberFormat="true" numFmtId="167" fillId="22" applyFill="true">
      <alignment horizontal="center" vertical="center"/>
    </xf>
    <xf fontId="20310" applyFont="true" borderId="8" applyBorder="true" applyNumberFormat="true" numFmtId="166" fillId="22" applyFill="true">
      <alignment horizontal="center" vertical="center"/>
    </xf>
    <xf fontId="20311" applyFont="true" borderId="8" applyBorder="true" applyNumberFormat="true" numFmtId="166" fillId="22" applyFill="true">
      <alignment horizontal="center" vertical="center"/>
    </xf>
    <xf fontId="20312" applyFont="true" borderId="8" applyBorder="true" applyNumberFormat="true" numFmtId="1" fillId="22" applyFill="true">
      <alignment horizontal="center" vertical="center"/>
    </xf>
    <xf fontId="20313" applyFont="true" borderId="8" applyBorder="true" applyNumberFormat="true" numFmtId="1" fillId="22" applyFill="true">
      <alignment horizontal="center" vertical="center"/>
    </xf>
    <xf fontId="20314" applyFont="true" borderId="8" applyBorder="true" applyNumberFormat="true" numFmtId="1" fillId="22" applyFill="true">
      <alignment horizontal="center" vertical="center"/>
    </xf>
    <xf fontId="20315" applyFont="true" borderId="8" applyBorder="true" applyNumberFormat="true" numFmtId="167" fillId="22" applyFill="true">
      <alignment horizontal="center" vertical="center"/>
    </xf>
    <xf fontId="20316" applyFont="true" borderId="8" applyBorder="true" applyNumberFormat="true" numFmtId="1" fillId="22" applyFill="true">
      <alignment horizontal="center" vertical="center"/>
    </xf>
    <xf fontId="20317" applyFont="true" borderId="8" applyBorder="true" applyNumberFormat="true" numFmtId="167" fillId="22" applyFill="true">
      <alignment horizontal="center" vertical="center"/>
    </xf>
    <xf fontId="20318" applyFont="true" borderId="8" applyBorder="true" applyNumberFormat="true" numFmtId="1" fillId="22" applyFill="true">
      <alignment horizontal="center" vertical="center"/>
    </xf>
    <xf fontId="20319" applyFont="true" borderId="8" applyBorder="true" applyNumberFormat="true" numFmtId="1" fillId="22" applyFill="true">
      <alignment horizontal="center" vertical="center"/>
    </xf>
    <xf fontId="20320" applyFont="true" borderId="8" applyBorder="true" applyNumberFormat="true" numFmtId="1" fillId="22" applyFill="true">
      <alignment horizontal="center" vertical="center"/>
    </xf>
    <xf fontId="20321" applyFont="true" borderId="8" applyBorder="true" applyNumberFormat="true" numFmtId="1" fillId="22" applyFill="true">
      <alignment horizontal="center" vertical="center"/>
    </xf>
    <xf fontId="20322" applyFont="true" borderId="8" applyBorder="true" applyNumberFormat="true" numFmtId="167" fillId="22" applyFill="true">
      <alignment horizontal="center" vertical="center"/>
    </xf>
    <xf fontId="20323" applyFont="true" borderId="8" applyBorder="true" applyNumberFormat="true" numFmtId="1" fillId="22" applyFill="true">
      <alignment horizontal="center" vertical="center"/>
    </xf>
    <xf fontId="20324" applyFont="true" borderId="8" applyBorder="true" applyNumberFormat="true" numFmtId="167" fillId="22" applyFill="true">
      <alignment horizontal="center" vertical="center"/>
    </xf>
    <xf fontId="20325" applyFont="true" borderId="8" applyBorder="true" applyNumberFormat="true" numFmtId="1" fillId="22" applyFill="true">
      <alignment horizontal="center" vertical="center"/>
    </xf>
    <xf fontId="20326" applyFont="true" borderId="8" applyBorder="true" applyNumberFormat="true" numFmtId="167" fillId="22" applyFill="true">
      <alignment horizontal="center" vertical="center"/>
    </xf>
    <xf fontId="20327" applyFont="true" borderId="8" applyBorder="true" applyNumberFormat="true" numFmtId="2" fillId="22" applyFill="true">
      <alignment horizontal="center" vertical="center"/>
    </xf>
    <xf fontId="20328" applyFont="true" borderId="8" applyBorder="true" applyNumberFormat="true" numFmtId="2" fillId="22" applyFill="true">
      <alignment horizontal="center" vertical="center"/>
    </xf>
    <xf fontId="20329" applyFont="true" borderId="8" applyBorder="true" applyNumberFormat="true" numFmtId="2" fillId="22" applyFill="true">
      <alignment horizontal="center" vertical="center"/>
    </xf>
    <xf fontId="20330" applyFont="true" borderId="8" applyBorder="true" applyNumberFormat="true" numFmtId="2" fillId="22" applyFill="true">
      <alignment horizontal="center" vertical="center"/>
    </xf>
    <xf fontId="20331" applyFont="true" borderId="8" applyBorder="true" applyNumberFormat="true" numFmtId="2" fillId="22" applyFill="true">
      <alignment horizontal="center" vertical="center"/>
    </xf>
    <xf fontId="20332" applyFont="true" borderId="8" applyBorder="true" applyNumberFormat="true" numFmtId="2" fillId="22" applyFill="true">
      <alignment horizontal="center" vertical="center"/>
    </xf>
    <xf fontId="20333" applyFont="true" borderId="8" applyBorder="true" applyNumberFormat="true" numFmtId="2" fillId="22" applyFill="true">
      <alignment horizontal="center" vertical="center"/>
    </xf>
    <xf fontId="20334" applyFont="true" borderId="8" applyBorder="true" applyNumberFormat="true" numFmtId="2" fillId="22" applyFill="true">
      <alignment horizontal="center" vertical="center"/>
    </xf>
    <xf fontId="20335" applyFont="true" borderId="8" applyBorder="true" applyNumberFormat="true" numFmtId="2" fillId="22" applyFill="true">
      <alignment horizontal="center" vertical="center"/>
    </xf>
    <xf fontId="20336" applyFont="true" borderId="8" applyBorder="true" applyNumberFormat="true" numFmtId="2" fillId="22" applyFill="true">
      <alignment horizontal="center" vertical="center"/>
    </xf>
    <xf fontId="20337" applyFont="true" borderId="8" applyBorder="true" applyNumberFormat="true" numFmtId="2" fillId="22" applyFill="true">
      <alignment horizontal="center" vertical="center"/>
    </xf>
    <xf fontId="20338" applyFont="true" borderId="8" applyBorder="true" applyNumberFormat="true" numFmtId="2" fillId="22" applyFill="true">
      <alignment horizontal="center" vertical="center"/>
    </xf>
    <xf fontId="20339" applyFont="true" borderId="8" applyBorder="true" applyNumberFormat="true" numFmtId="2" fillId="22" applyFill="true">
      <alignment horizontal="center" vertical="center"/>
    </xf>
    <xf fontId="20340" applyFont="true" borderId="8" applyBorder="true" applyNumberFormat="true" numFmtId="2" fillId="22" applyFill="true">
      <alignment horizontal="center" vertical="center"/>
    </xf>
    <xf fontId="20341" applyFont="true" borderId="8" applyBorder="true" applyNumberFormat="true" numFmtId="2" fillId="22" applyFill="true">
      <alignment horizontal="center" vertical="center"/>
    </xf>
    <xf fontId="20342" applyFont="true" borderId="8" applyBorder="true" applyNumberFormat="true" numFmtId="2" fillId="22" applyFill="true">
      <alignment horizontal="center" vertical="center"/>
    </xf>
    <xf fontId="20343" applyFont="true" borderId="8" applyBorder="true" applyNumberFormat="true" numFmtId="2" fillId="22" applyFill="true">
      <alignment horizontal="center" vertical="center"/>
    </xf>
    <xf fontId="20344" applyFont="true" borderId="8" applyBorder="true" applyNumberFormat="true" numFmtId="2" fillId="22" applyFill="true">
      <alignment horizontal="center" vertical="center"/>
    </xf>
    <xf fontId="20345" applyFont="true" borderId="8" applyBorder="true" applyNumberFormat="true" numFmtId="2" fillId="22" applyFill="true">
      <alignment horizontal="center" vertical="center"/>
    </xf>
    <xf fontId="20346" applyFont="true" borderId="8" applyBorder="true" applyNumberFormat="true" numFmtId="2" fillId="22" applyFill="true">
      <alignment horizontal="center" vertical="center"/>
    </xf>
    <xf fontId="20347" applyFont="true" borderId="8" applyBorder="true" applyNumberFormat="true" numFmtId="2" fillId="22" applyFill="true">
      <alignment horizontal="center" vertical="center"/>
    </xf>
    <xf fontId="20348" applyFont="true" borderId="8" applyBorder="true" applyNumberFormat="true" numFmtId="2" fillId="22" applyFill="true">
      <alignment horizontal="center" vertical="center"/>
    </xf>
    <xf fontId="20349" applyFont="true" borderId="8" applyBorder="true" applyNumberFormat="true" numFmtId="2" fillId="22" applyFill="true">
      <alignment horizontal="center" vertical="center"/>
    </xf>
    <xf fontId="20350" applyFont="true" borderId="8" applyBorder="true" applyNumberFormat="true" numFmtId="2" fillId="22" applyFill="true">
      <alignment horizontal="center" vertical="center"/>
    </xf>
    <xf fontId="20351" applyFont="true" borderId="8" applyBorder="true" applyNumberFormat="true" numFmtId="2" fillId="22" applyFill="true">
      <alignment horizontal="center" vertical="center"/>
    </xf>
    <xf fontId="20352" applyFont="true" borderId="8" applyBorder="true" applyNumberFormat="true" numFmtId="2" fillId="22" applyFill="true">
      <alignment horizontal="center" vertical="center"/>
    </xf>
    <xf fontId="20353" applyFont="true" borderId="8" applyBorder="true" applyNumberFormat="true" numFmtId="2" fillId="22" applyFill="true">
      <alignment horizontal="center" vertical="center"/>
    </xf>
    <xf fontId="20354" applyFont="true" borderId="8" applyBorder="true" applyNumberFormat="true" numFmtId="2" fillId="22" applyFill="true">
      <alignment horizontal="center" vertical="center"/>
    </xf>
    <xf fontId="20355" applyFont="true" borderId="8" applyBorder="true" applyNumberFormat="true" numFmtId="2" fillId="22" applyFill="true">
      <alignment horizontal="center" vertical="center"/>
    </xf>
    <xf fontId="20356" applyFont="true" borderId="8" applyBorder="true" applyNumberFormat="true" numFmtId="2" fillId="22" applyFill="true">
      <alignment horizontal="center" vertical="center"/>
    </xf>
    <xf fontId="20357" applyFont="true" borderId="8" applyBorder="true" applyNumberFormat="true" numFmtId="2" fillId="22" applyFill="true">
      <alignment horizontal="center" vertical="center"/>
    </xf>
    <xf fontId="20358" applyFont="true" borderId="8" applyBorder="true" applyNumberFormat="true" numFmtId="2" fillId="22" applyFill="true">
      <alignment horizontal="center" vertical="center"/>
    </xf>
    <xf fontId="20359" applyFont="true" borderId="8" applyBorder="true" applyNumberFormat="true" numFmtId="2" fillId="22" applyFill="true">
      <alignment horizontal="center" vertical="center"/>
    </xf>
    <xf fontId="20360" applyFont="true" borderId="8" applyBorder="true" applyNumberFormat="true" numFmtId="2" fillId="22" applyFill="true">
      <alignment horizontal="center" vertical="center"/>
    </xf>
    <xf fontId="20361" applyFont="true" borderId="8" applyBorder="true" applyNumberFormat="true" numFmtId="165" fillId="19" applyFill="true">
      <alignment horizontal="left" vertical="center"/>
    </xf>
    <xf fontId="20362" applyFont="true" borderId="8" applyBorder="true" applyNumberFormat="true" numFmtId="165" fillId="22" applyFill="true">
      <alignment horizontal="center" vertical="center"/>
    </xf>
    <xf fontId="20363" applyFont="true" borderId="8" applyBorder="true" applyNumberFormat="true" numFmtId="166" fillId="22" applyFill="true">
      <alignment horizontal="center" vertical="center"/>
    </xf>
    <xf fontId="20364" applyFont="true" borderId="8" applyBorder="true" applyNumberFormat="true" numFmtId="1" fillId="22" applyFill="true">
      <alignment horizontal="center" vertical="center"/>
    </xf>
    <xf fontId="20365" applyFont="true" borderId="8" applyBorder="true" applyNumberFormat="true" numFmtId="1" fillId="22" applyFill="true">
      <alignment horizontal="center" vertical="center"/>
    </xf>
    <xf fontId="20366" applyFont="true" borderId="8" applyBorder="true" applyNumberFormat="true" numFmtId="1" fillId="22" applyFill="true">
      <alignment horizontal="center" vertical="center"/>
    </xf>
    <xf fontId="20367" applyFont="true" borderId="8" applyBorder="true" applyNumberFormat="true" numFmtId="1" fillId="22" applyFill="true">
      <alignment horizontal="center" vertical="center"/>
    </xf>
    <xf fontId="20368" applyFont="true" borderId="8" applyBorder="true" applyNumberFormat="true" numFmtId="1" fillId="22" applyFill="true">
      <alignment horizontal="center" vertical="center"/>
    </xf>
    <xf fontId="20369" applyFont="true" borderId="8" applyBorder="true" applyNumberFormat="true" numFmtId="1" fillId="22" applyFill="true">
      <alignment horizontal="center" vertical="center"/>
    </xf>
    <xf fontId="20370" applyFont="true" borderId="8" applyBorder="true" applyNumberFormat="true" numFmtId="1" fillId="22" applyFill="true">
      <alignment horizontal="center" vertical="center"/>
    </xf>
    <xf fontId="20371" applyFont="true" borderId="8" applyBorder="true" applyNumberFormat="true" numFmtId="165" fillId="22" applyFill="true">
      <alignment horizontal="center" vertical="center"/>
    </xf>
    <xf fontId="20372" applyFont="true" borderId="8" applyBorder="true" applyNumberFormat="true" numFmtId="165" fillId="22" applyFill="true">
      <alignment horizontal="center" vertical="center"/>
    </xf>
    <xf fontId="20373" applyFont="true" borderId="8" applyBorder="true" applyNumberFormat="true" numFmtId="1" fillId="22" applyFill="true">
      <alignment horizontal="center" vertical="center"/>
    </xf>
    <xf fontId="20374" applyFont="true" borderId="8" applyBorder="true" applyNumberFormat="true" numFmtId="1" fillId="22" applyFill="true">
      <alignment horizontal="center" vertical="center"/>
    </xf>
    <xf fontId="20375" applyFont="true" borderId="8" applyBorder="true" applyNumberFormat="true" numFmtId="1" fillId="22" applyFill="true">
      <alignment horizontal="center" vertical="center"/>
    </xf>
    <xf fontId="20376" applyFont="true" borderId="8" applyBorder="true" applyNumberFormat="true" numFmtId="167" fillId="22" applyFill="true">
      <alignment horizontal="center" vertical="center"/>
    </xf>
    <xf fontId="20377" applyFont="true" borderId="8" applyBorder="true" applyNumberFormat="true" numFmtId="1" fillId="22" applyFill="true">
      <alignment horizontal="center" vertical="center"/>
    </xf>
    <xf fontId="20378" applyFont="true" borderId="8" applyBorder="true" applyNumberFormat="true" numFmtId="167" fillId="22" applyFill="true">
      <alignment horizontal="center" vertical="center"/>
    </xf>
    <xf fontId="20379" applyFont="true" borderId="8" applyBorder="true" applyNumberFormat="true" numFmtId="1" fillId="22" applyFill="true">
      <alignment horizontal="center" vertical="center"/>
    </xf>
    <xf fontId="20380" applyFont="true" borderId="8" applyBorder="true" applyNumberFormat="true" numFmtId="167" fillId="22" applyFill="true">
      <alignment horizontal="center" vertical="center"/>
    </xf>
    <xf fontId="20381" applyFont="true" borderId="8" applyBorder="true" applyNumberFormat="true" numFmtId="1" fillId="22" applyFill="true">
      <alignment horizontal="center" vertical="center"/>
    </xf>
    <xf fontId="20382" applyFont="true" borderId="8" applyBorder="true" applyNumberFormat="true" numFmtId="167" fillId="22" applyFill="true">
      <alignment horizontal="center" vertical="center"/>
    </xf>
    <xf fontId="20383" applyFont="true" borderId="8" applyBorder="true" applyNumberFormat="true" numFmtId="167" fillId="22" applyFill="true">
      <alignment horizontal="center" vertical="center"/>
    </xf>
    <xf fontId="20384" applyFont="true" borderId="8" applyBorder="true" applyNumberFormat="true" numFmtId="1" fillId="22" applyFill="true">
      <alignment horizontal="center" vertical="center"/>
    </xf>
    <xf fontId="20385" applyFont="true" borderId="8" applyBorder="true" applyNumberFormat="true" numFmtId="1" fillId="22" applyFill="true">
      <alignment horizontal="center" vertical="center"/>
    </xf>
    <xf fontId="20386" applyFont="true" borderId="8" applyBorder="true" applyNumberFormat="true" numFmtId="1" fillId="22" applyFill="true">
      <alignment horizontal="center" vertical="center"/>
    </xf>
    <xf fontId="20387" applyFont="true" borderId="8" applyBorder="true" applyNumberFormat="true" numFmtId="167" fillId="22" applyFill="true">
      <alignment horizontal="center" vertical="center"/>
    </xf>
    <xf fontId="20388" applyFont="true" borderId="8" applyBorder="true" applyNumberFormat="true" numFmtId="166" fillId="22" applyFill="true">
      <alignment horizontal="center" vertical="center"/>
    </xf>
    <xf fontId="20389" applyFont="true" borderId="8" applyBorder="true" applyNumberFormat="true" numFmtId="166" fillId="22" applyFill="true">
      <alignment horizontal="center" vertical="center"/>
    </xf>
    <xf fontId="20390" applyFont="true" borderId="8" applyBorder="true" applyNumberFormat="true" numFmtId="1" fillId="22" applyFill="true">
      <alignment horizontal="center" vertical="center"/>
    </xf>
    <xf fontId="20391" applyFont="true" borderId="8" applyBorder="true" applyNumberFormat="true" numFmtId="1" fillId="22" applyFill="true">
      <alignment horizontal="center" vertical="center"/>
    </xf>
    <xf fontId="20392" applyFont="true" borderId="8" applyBorder="true" applyNumberFormat="true" numFmtId="1" fillId="22" applyFill="true">
      <alignment horizontal="center" vertical="center"/>
    </xf>
    <xf fontId="20393" applyFont="true" borderId="8" applyBorder="true" applyNumberFormat="true" numFmtId="167" fillId="22" applyFill="true">
      <alignment horizontal="center" vertical="center"/>
    </xf>
    <xf fontId="20394" applyFont="true" borderId="8" applyBorder="true" applyNumberFormat="true" numFmtId="1" fillId="22" applyFill="true">
      <alignment horizontal="center" vertical="center"/>
    </xf>
    <xf fontId="20395" applyFont="true" borderId="8" applyBorder="true" applyNumberFormat="true" numFmtId="167" fillId="22" applyFill="true">
      <alignment horizontal="center" vertical="center"/>
    </xf>
    <xf fontId="20396" applyFont="true" borderId="8" applyBorder="true" applyNumberFormat="true" numFmtId="1" fillId="22" applyFill="true">
      <alignment horizontal="center" vertical="center"/>
    </xf>
    <xf fontId="20397" applyFont="true" borderId="8" applyBorder="true" applyNumberFormat="true" numFmtId="1" fillId="22" applyFill="true">
      <alignment horizontal="center" vertical="center"/>
    </xf>
    <xf fontId="20398" applyFont="true" borderId="8" applyBorder="true" applyNumberFormat="true" numFmtId="1" fillId="22" applyFill="true">
      <alignment horizontal="center" vertical="center"/>
    </xf>
    <xf fontId="20399" applyFont="true" borderId="8" applyBorder="true" applyNumberFormat="true" numFmtId="1" fillId="22" applyFill="true">
      <alignment horizontal="center" vertical="center"/>
    </xf>
    <xf fontId="20400" applyFont="true" borderId="8" applyBorder="true" applyNumberFormat="true" numFmtId="167" fillId="22" applyFill="true">
      <alignment horizontal="center" vertical="center"/>
    </xf>
    <xf fontId="20401" applyFont="true" borderId="8" applyBorder="true" applyNumberFormat="true" numFmtId="1" fillId="22" applyFill="true">
      <alignment horizontal="center" vertical="center"/>
    </xf>
    <xf fontId="20402" applyFont="true" borderId="8" applyBorder="true" applyNumberFormat="true" numFmtId="167" fillId="22" applyFill="true">
      <alignment horizontal="center" vertical="center"/>
    </xf>
    <xf fontId="20403" applyFont="true" borderId="8" applyBorder="true" applyNumberFormat="true" numFmtId="1" fillId="22" applyFill="true">
      <alignment horizontal="center" vertical="center"/>
    </xf>
    <xf fontId="20404" applyFont="true" borderId="8" applyBorder="true" applyNumberFormat="true" numFmtId="167" fillId="22" applyFill="true">
      <alignment horizontal="center" vertical="center"/>
    </xf>
    <xf fontId="20405" applyFont="true" borderId="8" applyBorder="true" applyNumberFormat="true" numFmtId="2" fillId="22" applyFill="true">
      <alignment horizontal="center" vertical="center"/>
    </xf>
    <xf fontId="20406" applyFont="true" borderId="8" applyBorder="true" applyNumberFormat="true" numFmtId="2" fillId="22" applyFill="true">
      <alignment horizontal="center" vertical="center"/>
    </xf>
    <xf fontId="20407" applyFont="true" borderId="8" applyBorder="true" applyNumberFormat="true" numFmtId="2" fillId="22" applyFill="true">
      <alignment horizontal="center" vertical="center"/>
    </xf>
    <xf fontId="20408" applyFont="true" borderId="8" applyBorder="true" applyNumberFormat="true" numFmtId="2" fillId="22" applyFill="true">
      <alignment horizontal="center" vertical="center"/>
    </xf>
    <xf fontId="20409" applyFont="true" borderId="8" applyBorder="true" applyNumberFormat="true" numFmtId="2" fillId="22" applyFill="true">
      <alignment horizontal="center" vertical="center"/>
    </xf>
    <xf fontId="20410" applyFont="true" borderId="8" applyBorder="true" applyNumberFormat="true" numFmtId="2" fillId="22" applyFill="true">
      <alignment horizontal="center" vertical="center"/>
    </xf>
    <xf fontId="20411" applyFont="true" borderId="8" applyBorder="true" applyNumberFormat="true" numFmtId="2" fillId="22" applyFill="true">
      <alignment horizontal="center" vertical="center"/>
    </xf>
    <xf fontId="20412" applyFont="true" borderId="8" applyBorder="true" applyNumberFormat="true" numFmtId="2" fillId="22" applyFill="true">
      <alignment horizontal="center" vertical="center"/>
    </xf>
    <xf fontId="20413" applyFont="true" borderId="8" applyBorder="true" applyNumberFormat="true" numFmtId="2" fillId="22" applyFill="true">
      <alignment horizontal="center" vertical="center"/>
    </xf>
    <xf fontId="20414" applyFont="true" borderId="8" applyBorder="true" applyNumberFormat="true" numFmtId="2" fillId="22" applyFill="true">
      <alignment horizontal="center" vertical="center"/>
    </xf>
    <xf fontId="20415" applyFont="true" borderId="8" applyBorder="true" applyNumberFormat="true" numFmtId="2" fillId="22" applyFill="true">
      <alignment horizontal="center" vertical="center"/>
    </xf>
    <xf fontId="20416" applyFont="true" borderId="8" applyBorder="true" applyNumberFormat="true" numFmtId="2" fillId="22" applyFill="true">
      <alignment horizontal="center" vertical="center"/>
    </xf>
    <xf fontId="20417" applyFont="true" borderId="8" applyBorder="true" applyNumberFormat="true" numFmtId="2" fillId="22" applyFill="true">
      <alignment horizontal="center" vertical="center"/>
    </xf>
    <xf fontId="20418" applyFont="true" borderId="8" applyBorder="true" applyNumberFormat="true" numFmtId="2" fillId="22" applyFill="true">
      <alignment horizontal="center" vertical="center"/>
    </xf>
    <xf fontId="20419" applyFont="true" borderId="8" applyBorder="true" applyNumberFormat="true" numFmtId="2" fillId="22" applyFill="true">
      <alignment horizontal="center" vertical="center"/>
    </xf>
    <xf fontId="20420" applyFont="true" borderId="8" applyBorder="true" applyNumberFormat="true" numFmtId="2" fillId="22" applyFill="true">
      <alignment horizontal="center" vertical="center"/>
    </xf>
    <xf fontId="20421" applyFont="true" borderId="8" applyBorder="true" applyNumberFormat="true" numFmtId="2" fillId="22" applyFill="true">
      <alignment horizontal="center" vertical="center"/>
    </xf>
    <xf fontId="20422" applyFont="true" borderId="8" applyBorder="true" applyNumberFormat="true" numFmtId="2" fillId="22" applyFill="true">
      <alignment horizontal="center" vertical="center"/>
    </xf>
    <xf fontId="20423" applyFont="true" borderId="8" applyBorder="true" applyNumberFormat="true" numFmtId="2" fillId="22" applyFill="true">
      <alignment horizontal="center" vertical="center"/>
    </xf>
    <xf fontId="20424" applyFont="true" borderId="8" applyBorder="true" applyNumberFormat="true" numFmtId="2" fillId="22" applyFill="true">
      <alignment horizontal="center" vertical="center"/>
    </xf>
    <xf fontId="20425" applyFont="true" borderId="8" applyBorder="true" applyNumberFormat="true" numFmtId="2" fillId="22" applyFill="true">
      <alignment horizontal="center" vertical="center"/>
    </xf>
    <xf fontId="20426" applyFont="true" borderId="8" applyBorder="true" applyNumberFormat="true" numFmtId="2" fillId="22" applyFill="true">
      <alignment horizontal="center" vertical="center"/>
    </xf>
    <xf fontId="20427" applyFont="true" borderId="8" applyBorder="true" applyNumberFormat="true" numFmtId="2" fillId="22" applyFill="true">
      <alignment horizontal="center" vertical="center"/>
    </xf>
    <xf fontId="20428" applyFont="true" borderId="8" applyBorder="true" applyNumberFormat="true" numFmtId="2" fillId="22" applyFill="true">
      <alignment horizontal="center" vertical="center"/>
    </xf>
    <xf fontId="20429" applyFont="true" borderId="8" applyBorder="true" applyNumberFormat="true" numFmtId="2" fillId="22" applyFill="true">
      <alignment horizontal="center" vertical="center"/>
    </xf>
    <xf fontId="20430" applyFont="true" borderId="8" applyBorder="true" applyNumberFormat="true" numFmtId="2" fillId="22" applyFill="true">
      <alignment horizontal="center" vertical="center"/>
    </xf>
    <xf fontId="20431" applyFont="true" borderId="8" applyBorder="true" applyNumberFormat="true" numFmtId="2" fillId="22" applyFill="true">
      <alignment horizontal="center" vertical="center"/>
    </xf>
    <xf fontId="20432" applyFont="true" borderId="8" applyBorder="true" applyNumberFormat="true" numFmtId="2" fillId="22" applyFill="true">
      <alignment horizontal="center" vertical="center"/>
    </xf>
    <xf fontId="20433" applyFont="true" borderId="8" applyBorder="true" applyNumberFormat="true" numFmtId="2" fillId="22" applyFill="true">
      <alignment horizontal="center" vertical="center"/>
    </xf>
    <xf fontId="20434" applyFont="true" borderId="8" applyBorder="true" applyNumberFormat="true" numFmtId="2" fillId="22" applyFill="true">
      <alignment horizontal="center" vertical="center"/>
    </xf>
    <xf fontId="20435" applyFont="true" borderId="8" applyBorder="true" applyNumberFormat="true" numFmtId="2" fillId="22" applyFill="true">
      <alignment horizontal="center" vertical="center"/>
    </xf>
    <xf fontId="20436" applyFont="true" borderId="8" applyBorder="true" applyNumberFormat="true" numFmtId="2" fillId="22" applyFill="true">
      <alignment horizontal="center" vertical="center"/>
    </xf>
    <xf fontId="20437" applyFont="true" borderId="8" applyBorder="true" applyNumberFormat="true" numFmtId="2" fillId="22" applyFill="true">
      <alignment horizontal="center" vertical="center"/>
    </xf>
    <xf fontId="20438" applyFont="true" borderId="8" applyBorder="true" applyNumberFormat="true" numFmtId="2" fillId="22" applyFill="true">
      <alignment horizontal="center" vertical="center"/>
    </xf>
    <xf fontId="20439" applyFont="true" borderId="8" applyBorder="true" applyNumberFormat="true" numFmtId="165" fillId="19" applyFill="true">
      <alignment horizontal="left" vertical="center"/>
    </xf>
    <xf fontId="20440" applyFont="true" borderId="8" applyBorder="true" applyNumberFormat="true" numFmtId="165" fillId="22" applyFill="true">
      <alignment horizontal="center" vertical="center"/>
    </xf>
    <xf fontId="20441" applyFont="true" borderId="8" applyBorder="true" applyNumberFormat="true" numFmtId="166" fillId="22" applyFill="true">
      <alignment horizontal="center" vertical="center"/>
    </xf>
    <xf fontId="20442" applyFont="true" borderId="8" applyBorder="true" applyNumberFormat="true" numFmtId="1" fillId="22" applyFill="true">
      <alignment horizontal="center" vertical="center"/>
    </xf>
    <xf fontId="20443" applyFont="true" borderId="8" applyBorder="true" applyNumberFormat="true" numFmtId="1" fillId="22" applyFill="true">
      <alignment horizontal="center" vertical="center"/>
    </xf>
    <xf fontId="20444" applyFont="true" borderId="8" applyBorder="true" applyNumberFormat="true" numFmtId="1" fillId="22" applyFill="true">
      <alignment horizontal="center" vertical="center"/>
    </xf>
    <xf fontId="20445" applyFont="true" borderId="8" applyBorder="true" applyNumberFormat="true" numFmtId="1" fillId="22" applyFill="true">
      <alignment horizontal="center" vertical="center"/>
    </xf>
    <xf fontId="20446" applyFont="true" borderId="8" applyBorder="true" applyNumberFormat="true" numFmtId="1" fillId="22" applyFill="true">
      <alignment horizontal="center" vertical="center"/>
    </xf>
    <xf fontId="20447" applyFont="true" borderId="8" applyBorder="true" applyNumberFormat="true" numFmtId="1" fillId="22" applyFill="true">
      <alignment horizontal="center" vertical="center"/>
    </xf>
    <xf fontId="20448" applyFont="true" borderId="8" applyBorder="true" applyNumberFormat="true" numFmtId="1" fillId="22" applyFill="true">
      <alignment horizontal="center" vertical="center"/>
    </xf>
    <xf fontId="20449" applyFont="true" borderId="8" applyBorder="true" applyNumberFormat="true" numFmtId="165" fillId="22" applyFill="true">
      <alignment horizontal="center" vertical="center"/>
    </xf>
    <xf fontId="20450" applyFont="true" borderId="8" applyBorder="true" applyNumberFormat="true" numFmtId="165" fillId="22" applyFill="true">
      <alignment horizontal="center" vertical="center"/>
    </xf>
    <xf fontId="20451" applyFont="true" borderId="8" applyBorder="true" applyNumberFormat="true" numFmtId="1" fillId="22" applyFill="true">
      <alignment horizontal="center" vertical="center"/>
    </xf>
    <xf fontId="20452" applyFont="true" borderId="8" applyBorder="true" applyNumberFormat="true" numFmtId="1" fillId="22" applyFill="true">
      <alignment horizontal="center" vertical="center"/>
    </xf>
    <xf fontId="20453" applyFont="true" borderId="8" applyBorder="true" applyNumberFormat="true" numFmtId="1" fillId="22" applyFill="true">
      <alignment horizontal="center" vertical="center"/>
    </xf>
    <xf fontId="20454" applyFont="true" borderId="8" applyBorder="true" applyNumberFormat="true" numFmtId="167" fillId="22" applyFill="true">
      <alignment horizontal="center" vertical="center"/>
    </xf>
    <xf fontId="20455" applyFont="true" borderId="8" applyBorder="true" applyNumberFormat="true" numFmtId="1" fillId="22" applyFill="true">
      <alignment horizontal="center" vertical="center"/>
    </xf>
    <xf fontId="20456" applyFont="true" borderId="8" applyBorder="true" applyNumberFormat="true" numFmtId="167" fillId="22" applyFill="true">
      <alignment horizontal="center" vertical="center"/>
    </xf>
    <xf fontId="20457" applyFont="true" borderId="8" applyBorder="true" applyNumberFormat="true" numFmtId="1" fillId="22" applyFill="true">
      <alignment horizontal="center" vertical="center"/>
    </xf>
    <xf fontId="20458" applyFont="true" borderId="8" applyBorder="true" applyNumberFormat="true" numFmtId="167" fillId="22" applyFill="true">
      <alignment horizontal="center" vertical="center"/>
    </xf>
    <xf fontId="20459" applyFont="true" borderId="8" applyBorder="true" applyNumberFormat="true" numFmtId="1" fillId="22" applyFill="true">
      <alignment horizontal="center" vertical="center"/>
    </xf>
    <xf fontId="20460" applyFont="true" borderId="8" applyBorder="true" applyNumberFormat="true" numFmtId="167" fillId="22" applyFill="true">
      <alignment horizontal="center" vertical="center"/>
    </xf>
    <xf fontId="20461" applyFont="true" borderId="8" applyBorder="true" applyNumberFormat="true" numFmtId="167" fillId="22" applyFill="true">
      <alignment horizontal="center" vertical="center"/>
    </xf>
    <xf fontId="20462" applyFont="true" borderId="8" applyBorder="true" applyNumberFormat="true" numFmtId="1" fillId="22" applyFill="true">
      <alignment horizontal="center" vertical="center"/>
    </xf>
    <xf fontId="20463" applyFont="true" borderId="8" applyBorder="true" applyNumberFormat="true" numFmtId="1" fillId="22" applyFill="true">
      <alignment horizontal="center" vertical="center"/>
    </xf>
    <xf fontId="20464" applyFont="true" borderId="8" applyBorder="true" applyNumberFormat="true" numFmtId="1" fillId="22" applyFill="true">
      <alignment horizontal="center" vertical="center"/>
    </xf>
    <xf fontId="20465" applyFont="true" borderId="8" applyBorder="true" applyNumberFormat="true" numFmtId="167" fillId="22" applyFill="true">
      <alignment horizontal="center" vertical="center"/>
    </xf>
    <xf fontId="20466" applyFont="true" borderId="8" applyBorder="true" applyNumberFormat="true" numFmtId="166" fillId="22" applyFill="true">
      <alignment horizontal="center" vertical="center"/>
    </xf>
    <xf fontId="20467" applyFont="true" borderId="8" applyBorder="true" applyNumberFormat="true" numFmtId="166" fillId="22" applyFill="true">
      <alignment horizontal="center" vertical="center"/>
    </xf>
    <xf fontId="20468" applyFont="true" borderId="8" applyBorder="true" applyNumberFormat="true" numFmtId="1" fillId="22" applyFill="true">
      <alignment horizontal="center" vertical="center"/>
    </xf>
    <xf fontId="20469" applyFont="true" borderId="8" applyBorder="true" applyNumberFormat="true" numFmtId="1" fillId="22" applyFill="true">
      <alignment horizontal="center" vertical="center"/>
    </xf>
    <xf fontId="20470" applyFont="true" borderId="8" applyBorder="true" applyNumberFormat="true" numFmtId="1" fillId="22" applyFill="true">
      <alignment horizontal="center" vertical="center"/>
    </xf>
    <xf fontId="20471" applyFont="true" borderId="8" applyBorder="true" applyNumberFormat="true" numFmtId="167" fillId="22" applyFill="true">
      <alignment horizontal="center" vertical="center"/>
    </xf>
    <xf fontId="20472" applyFont="true" borderId="8" applyBorder="true" applyNumberFormat="true" numFmtId="1" fillId="22" applyFill="true">
      <alignment horizontal="center" vertical="center"/>
    </xf>
    <xf fontId="20473" applyFont="true" borderId="8" applyBorder="true" applyNumberFormat="true" numFmtId="167" fillId="22" applyFill="true">
      <alignment horizontal="center" vertical="center"/>
    </xf>
    <xf fontId="20474" applyFont="true" borderId="8" applyBorder="true" applyNumberFormat="true" numFmtId="1" fillId="22" applyFill="true">
      <alignment horizontal="center" vertical="center"/>
    </xf>
    <xf fontId="20475" applyFont="true" borderId="8" applyBorder="true" applyNumberFormat="true" numFmtId="1" fillId="22" applyFill="true">
      <alignment horizontal="center" vertical="center"/>
    </xf>
    <xf fontId="20476" applyFont="true" borderId="8" applyBorder="true" applyNumberFormat="true" numFmtId="1" fillId="22" applyFill="true">
      <alignment horizontal="center" vertical="center"/>
    </xf>
    <xf fontId="20477" applyFont="true" borderId="8" applyBorder="true" applyNumberFormat="true" numFmtId="1" fillId="22" applyFill="true">
      <alignment horizontal="center" vertical="center"/>
    </xf>
    <xf fontId="20478" applyFont="true" borderId="8" applyBorder="true" applyNumberFormat="true" numFmtId="167" fillId="22" applyFill="true">
      <alignment horizontal="center" vertical="center"/>
    </xf>
    <xf fontId="20479" applyFont="true" borderId="8" applyBorder="true" applyNumberFormat="true" numFmtId="1" fillId="22" applyFill="true">
      <alignment horizontal="center" vertical="center"/>
    </xf>
    <xf fontId="20480" applyFont="true" borderId="8" applyBorder="true" applyNumberFormat="true" numFmtId="167" fillId="22" applyFill="true">
      <alignment horizontal="center" vertical="center"/>
    </xf>
    <xf fontId="20481" applyFont="true" borderId="8" applyBorder="true" applyNumberFormat="true" numFmtId="1" fillId="22" applyFill="true">
      <alignment horizontal="center" vertical="center"/>
    </xf>
    <xf fontId="20482" applyFont="true" borderId="8" applyBorder="true" applyNumberFormat="true" numFmtId="167" fillId="22" applyFill="true">
      <alignment horizontal="center" vertical="center"/>
    </xf>
    <xf fontId="20483" applyFont="true" borderId="8" applyBorder="true" applyNumberFormat="true" numFmtId="2" fillId="22" applyFill="true">
      <alignment horizontal="center" vertical="center"/>
    </xf>
    <xf fontId="20484" applyFont="true" borderId="8" applyBorder="true" applyNumberFormat="true" numFmtId="2" fillId="22" applyFill="true">
      <alignment horizontal="center" vertical="center"/>
    </xf>
    <xf fontId="20485" applyFont="true" borderId="8" applyBorder="true" applyNumberFormat="true" numFmtId="2" fillId="22" applyFill="true">
      <alignment horizontal="center" vertical="center"/>
    </xf>
    <xf fontId="20486" applyFont="true" borderId="8" applyBorder="true" applyNumberFormat="true" numFmtId="2" fillId="22" applyFill="true">
      <alignment horizontal="center" vertical="center"/>
    </xf>
    <xf fontId="20487" applyFont="true" borderId="8" applyBorder="true" applyNumberFormat="true" numFmtId="2" fillId="22" applyFill="true">
      <alignment horizontal="center" vertical="center"/>
    </xf>
    <xf fontId="20488" applyFont="true" borderId="8" applyBorder="true" applyNumberFormat="true" numFmtId="2" fillId="22" applyFill="true">
      <alignment horizontal="center" vertical="center"/>
    </xf>
    <xf fontId="20489" applyFont="true" borderId="8" applyBorder="true" applyNumberFormat="true" numFmtId="2" fillId="22" applyFill="true">
      <alignment horizontal="center" vertical="center"/>
    </xf>
    <xf fontId="20490" applyFont="true" borderId="8" applyBorder="true" applyNumberFormat="true" numFmtId="2" fillId="22" applyFill="true">
      <alignment horizontal="center" vertical="center"/>
    </xf>
    <xf fontId="20491" applyFont="true" borderId="8" applyBorder="true" applyNumberFormat="true" numFmtId="2" fillId="22" applyFill="true">
      <alignment horizontal="center" vertical="center"/>
    </xf>
    <xf fontId="20492" applyFont="true" borderId="8" applyBorder="true" applyNumberFormat="true" numFmtId="2" fillId="22" applyFill="true">
      <alignment horizontal="center" vertical="center"/>
    </xf>
    <xf fontId="20493" applyFont="true" borderId="8" applyBorder="true" applyNumberFormat="true" numFmtId="2" fillId="22" applyFill="true">
      <alignment horizontal="center" vertical="center"/>
    </xf>
    <xf fontId="20494" applyFont="true" borderId="8" applyBorder="true" applyNumberFormat="true" numFmtId="2" fillId="22" applyFill="true">
      <alignment horizontal="center" vertical="center"/>
    </xf>
    <xf fontId="20495" applyFont="true" borderId="8" applyBorder="true" applyNumberFormat="true" numFmtId="2" fillId="22" applyFill="true">
      <alignment horizontal="center" vertical="center"/>
    </xf>
    <xf fontId="20496" applyFont="true" borderId="8" applyBorder="true" applyNumberFormat="true" numFmtId="2" fillId="22" applyFill="true">
      <alignment horizontal="center" vertical="center"/>
    </xf>
    <xf fontId="20497" applyFont="true" borderId="8" applyBorder="true" applyNumberFormat="true" numFmtId="2" fillId="22" applyFill="true">
      <alignment horizontal="center" vertical="center"/>
    </xf>
    <xf fontId="20498" applyFont="true" borderId="8" applyBorder="true" applyNumberFormat="true" numFmtId="2" fillId="22" applyFill="true">
      <alignment horizontal="center" vertical="center"/>
    </xf>
    <xf fontId="20499" applyFont="true" borderId="8" applyBorder="true" applyNumberFormat="true" numFmtId="2" fillId="22" applyFill="true">
      <alignment horizontal="center" vertical="center"/>
    </xf>
    <xf fontId="20500" applyFont="true" borderId="8" applyBorder="true" applyNumberFormat="true" numFmtId="2" fillId="22" applyFill="true">
      <alignment horizontal="center" vertical="center"/>
    </xf>
    <xf fontId="20501" applyFont="true" borderId="8" applyBorder="true" applyNumberFormat="true" numFmtId="2" fillId="22" applyFill="true">
      <alignment horizontal="center" vertical="center"/>
    </xf>
    <xf fontId="20502" applyFont="true" borderId="8" applyBorder="true" applyNumberFormat="true" numFmtId="2" fillId="22" applyFill="true">
      <alignment horizontal="center" vertical="center"/>
    </xf>
    <xf fontId="20503" applyFont="true" borderId="8" applyBorder="true" applyNumberFormat="true" numFmtId="2" fillId="22" applyFill="true">
      <alignment horizontal="center" vertical="center"/>
    </xf>
    <xf fontId="20504" applyFont="true" borderId="8" applyBorder="true" applyNumberFormat="true" numFmtId="2" fillId="22" applyFill="true">
      <alignment horizontal="center" vertical="center"/>
    </xf>
    <xf fontId="20505" applyFont="true" borderId="8" applyBorder="true" applyNumberFormat="true" numFmtId="2" fillId="22" applyFill="true">
      <alignment horizontal="center" vertical="center"/>
    </xf>
    <xf fontId="20506" applyFont="true" borderId="8" applyBorder="true" applyNumberFormat="true" numFmtId="2" fillId="22" applyFill="true">
      <alignment horizontal="center" vertical="center"/>
    </xf>
    <xf fontId="20507" applyFont="true" borderId="8" applyBorder="true" applyNumberFormat="true" numFmtId="2" fillId="22" applyFill="true">
      <alignment horizontal="center" vertical="center"/>
    </xf>
    <xf fontId="20508" applyFont="true" borderId="8" applyBorder="true" applyNumberFormat="true" numFmtId="2" fillId="22" applyFill="true">
      <alignment horizontal="center" vertical="center"/>
    </xf>
    <xf fontId="20509" applyFont="true" borderId="8" applyBorder="true" applyNumberFormat="true" numFmtId="2" fillId="22" applyFill="true">
      <alignment horizontal="center" vertical="center"/>
    </xf>
    <xf fontId="20510" applyFont="true" borderId="8" applyBorder="true" applyNumberFormat="true" numFmtId="2" fillId="22" applyFill="true">
      <alignment horizontal="center" vertical="center"/>
    </xf>
    <xf fontId="20511" applyFont="true" borderId="8" applyBorder="true" applyNumberFormat="true" numFmtId="2" fillId="22" applyFill="true">
      <alignment horizontal="center" vertical="center"/>
    </xf>
    <xf fontId="20512" applyFont="true" borderId="8" applyBorder="true" applyNumberFormat="true" numFmtId="2" fillId="22" applyFill="true">
      <alignment horizontal="center" vertical="center"/>
    </xf>
    <xf fontId="20513" applyFont="true" borderId="8" applyBorder="true" applyNumberFormat="true" numFmtId="2" fillId="22" applyFill="true">
      <alignment horizontal="center" vertical="center"/>
    </xf>
    <xf fontId="20514" applyFont="true" borderId="8" applyBorder="true" applyNumberFormat="true" numFmtId="2" fillId="22" applyFill="true">
      <alignment horizontal="center" vertical="center"/>
    </xf>
    <xf fontId="20515" applyFont="true" borderId="8" applyBorder="true" applyNumberFormat="true" numFmtId="2" fillId="22" applyFill="true">
      <alignment horizontal="center" vertical="center"/>
    </xf>
    <xf fontId="20516" applyFont="true" borderId="8" applyBorder="true" applyNumberFormat="true" numFmtId="2" fillId="22" applyFill="true">
      <alignment horizontal="center" vertical="center"/>
    </xf>
    <xf fontId="20517" applyFont="true" borderId="8" applyBorder="true" applyNumberFormat="true" numFmtId="165" fillId="19" applyFill="true">
      <alignment horizontal="left" vertical="center"/>
    </xf>
    <xf fontId="20518" applyFont="true" borderId="8" applyBorder="true" applyNumberFormat="true" numFmtId="165" fillId="22" applyFill="true">
      <alignment horizontal="center" vertical="center"/>
    </xf>
    <xf fontId="20519" applyFont="true" borderId="8" applyBorder="true" applyNumberFormat="true" numFmtId="166" fillId="22" applyFill="true">
      <alignment horizontal="center" vertical="center"/>
    </xf>
    <xf fontId="20520" applyFont="true" borderId="8" applyBorder="true" applyNumberFormat="true" numFmtId="1" fillId="22" applyFill="true">
      <alignment horizontal="center" vertical="center"/>
    </xf>
    <xf fontId="20521" applyFont="true" borderId="8" applyBorder="true" applyNumberFormat="true" numFmtId="1" fillId="22" applyFill="true">
      <alignment horizontal="center" vertical="center"/>
    </xf>
    <xf fontId="20522" applyFont="true" borderId="8" applyBorder="true" applyNumberFormat="true" numFmtId="1" fillId="22" applyFill="true">
      <alignment horizontal="center" vertical="center"/>
    </xf>
    <xf fontId="20523" applyFont="true" borderId="8" applyBorder="true" applyNumberFormat="true" numFmtId="1" fillId="22" applyFill="true">
      <alignment horizontal="center" vertical="center"/>
    </xf>
    <xf fontId="20524" applyFont="true" borderId="8" applyBorder="true" applyNumberFormat="true" numFmtId="1" fillId="22" applyFill="true">
      <alignment horizontal="center" vertical="center"/>
    </xf>
    <xf fontId="20525" applyFont="true" borderId="8" applyBorder="true" applyNumberFormat="true" numFmtId="1" fillId="22" applyFill="true">
      <alignment horizontal="center" vertical="center"/>
    </xf>
    <xf fontId="20526" applyFont="true" borderId="8" applyBorder="true" applyNumberFormat="true" numFmtId="1" fillId="22" applyFill="true">
      <alignment horizontal="center" vertical="center"/>
    </xf>
    <xf fontId="20527" applyFont="true" borderId="8" applyBorder="true" applyNumberFormat="true" numFmtId="165" fillId="22" applyFill="true">
      <alignment horizontal="center" vertical="center"/>
    </xf>
    <xf fontId="20528" applyFont="true" borderId="8" applyBorder="true" applyNumberFormat="true" numFmtId="165" fillId="22" applyFill="true">
      <alignment horizontal="center" vertical="center"/>
    </xf>
    <xf fontId="20529" applyFont="true" borderId="8" applyBorder="true" applyNumberFormat="true" numFmtId="1" fillId="22" applyFill="true">
      <alignment horizontal="center" vertical="center"/>
    </xf>
    <xf fontId="20530" applyFont="true" borderId="8" applyBorder="true" applyNumberFormat="true" numFmtId="1" fillId="22" applyFill="true">
      <alignment horizontal="center" vertical="center"/>
    </xf>
    <xf fontId="20531" applyFont="true" borderId="8" applyBorder="true" applyNumberFormat="true" numFmtId="1" fillId="22" applyFill="true">
      <alignment horizontal="center" vertical="center"/>
    </xf>
    <xf fontId="20532" applyFont="true" borderId="8" applyBorder="true" applyNumberFormat="true" numFmtId="167" fillId="22" applyFill="true">
      <alignment horizontal="center" vertical="center"/>
    </xf>
    <xf fontId="20533" applyFont="true" borderId="8" applyBorder="true" applyNumberFormat="true" numFmtId="1" fillId="22" applyFill="true">
      <alignment horizontal="center" vertical="center"/>
    </xf>
    <xf fontId="20534" applyFont="true" borderId="8" applyBorder="true" applyNumberFormat="true" numFmtId="167" fillId="22" applyFill="true">
      <alignment horizontal="center" vertical="center"/>
    </xf>
    <xf fontId="20535" applyFont="true" borderId="8" applyBorder="true" applyNumberFormat="true" numFmtId="1" fillId="22" applyFill="true">
      <alignment horizontal="center" vertical="center"/>
    </xf>
    <xf fontId="20536" applyFont="true" borderId="8" applyBorder="true" applyNumberFormat="true" numFmtId="167" fillId="22" applyFill="true">
      <alignment horizontal="center" vertical="center"/>
    </xf>
    <xf fontId="20537" applyFont="true" borderId="8" applyBorder="true" applyNumberFormat="true" numFmtId="1" fillId="22" applyFill="true">
      <alignment horizontal="center" vertical="center"/>
    </xf>
    <xf fontId="20538" applyFont="true" borderId="8" applyBorder="true" applyNumberFormat="true" numFmtId="167" fillId="22" applyFill="true">
      <alignment horizontal="center" vertical="center"/>
    </xf>
    <xf fontId="20539" applyFont="true" borderId="8" applyBorder="true" applyNumberFormat="true" numFmtId="167" fillId="22" applyFill="true">
      <alignment horizontal="center" vertical="center"/>
    </xf>
    <xf fontId="20540" applyFont="true" borderId="8" applyBorder="true" applyNumberFormat="true" numFmtId="1" fillId="22" applyFill="true">
      <alignment horizontal="center" vertical="center"/>
    </xf>
    <xf fontId="20541" applyFont="true" borderId="8" applyBorder="true" applyNumberFormat="true" numFmtId="1" fillId="22" applyFill="true">
      <alignment horizontal="center" vertical="center"/>
    </xf>
    <xf fontId="20542" applyFont="true" borderId="8" applyBorder="true" applyNumberFormat="true" numFmtId="1" fillId="22" applyFill="true">
      <alignment horizontal="center" vertical="center"/>
    </xf>
    <xf fontId="20543" applyFont="true" borderId="8" applyBorder="true" applyNumberFormat="true" numFmtId="167" fillId="22" applyFill="true">
      <alignment horizontal="center" vertical="center"/>
    </xf>
    <xf fontId="20544" applyFont="true" borderId="8" applyBorder="true" applyNumberFormat="true" numFmtId="166" fillId="22" applyFill="true">
      <alignment horizontal="center" vertical="center"/>
    </xf>
    <xf fontId="20545" applyFont="true" borderId="8" applyBorder="true" applyNumberFormat="true" numFmtId="166" fillId="22" applyFill="true">
      <alignment horizontal="center" vertical="center"/>
    </xf>
    <xf fontId="20546" applyFont="true" borderId="8" applyBorder="true" applyNumberFormat="true" numFmtId="1" fillId="22" applyFill="true">
      <alignment horizontal="center" vertical="center"/>
    </xf>
    <xf fontId="20547" applyFont="true" borderId="8" applyBorder="true" applyNumberFormat="true" numFmtId="1" fillId="22" applyFill="true">
      <alignment horizontal="center" vertical="center"/>
    </xf>
    <xf fontId="20548" applyFont="true" borderId="8" applyBorder="true" applyNumberFormat="true" numFmtId="1" fillId="22" applyFill="true">
      <alignment horizontal="center" vertical="center"/>
    </xf>
    <xf fontId="20549" applyFont="true" borderId="8" applyBorder="true" applyNumberFormat="true" numFmtId="167" fillId="22" applyFill="true">
      <alignment horizontal="center" vertical="center"/>
    </xf>
    <xf fontId="20550" applyFont="true" borderId="8" applyBorder="true" applyNumberFormat="true" numFmtId="1" fillId="22" applyFill="true">
      <alignment horizontal="center" vertical="center"/>
    </xf>
    <xf fontId="20551" applyFont="true" borderId="8" applyBorder="true" applyNumberFormat="true" numFmtId="167" fillId="22" applyFill="true">
      <alignment horizontal="center" vertical="center"/>
    </xf>
    <xf fontId="20552" applyFont="true" borderId="8" applyBorder="true" applyNumberFormat="true" numFmtId="1" fillId="22" applyFill="true">
      <alignment horizontal="center" vertical="center"/>
    </xf>
    <xf fontId="20553" applyFont="true" borderId="8" applyBorder="true" applyNumberFormat="true" numFmtId="1" fillId="22" applyFill="true">
      <alignment horizontal="center" vertical="center"/>
    </xf>
    <xf fontId="20554" applyFont="true" borderId="8" applyBorder="true" applyNumberFormat="true" numFmtId="1" fillId="22" applyFill="true">
      <alignment horizontal="center" vertical="center"/>
    </xf>
    <xf fontId="20555" applyFont="true" borderId="8" applyBorder="true" applyNumberFormat="true" numFmtId="1" fillId="22" applyFill="true">
      <alignment horizontal="center" vertical="center"/>
    </xf>
    <xf fontId="20556" applyFont="true" borderId="8" applyBorder="true" applyNumberFormat="true" numFmtId="167" fillId="22" applyFill="true">
      <alignment horizontal="center" vertical="center"/>
    </xf>
    <xf fontId="20557" applyFont="true" borderId="8" applyBorder="true" applyNumberFormat="true" numFmtId="1" fillId="22" applyFill="true">
      <alignment horizontal="center" vertical="center"/>
    </xf>
    <xf fontId="20558" applyFont="true" borderId="8" applyBorder="true" applyNumberFormat="true" numFmtId="167" fillId="22" applyFill="true">
      <alignment horizontal="center" vertical="center"/>
    </xf>
    <xf fontId="20559" applyFont="true" borderId="8" applyBorder="true" applyNumberFormat="true" numFmtId="1" fillId="22" applyFill="true">
      <alignment horizontal="center" vertical="center"/>
    </xf>
    <xf fontId="20560" applyFont="true" borderId="8" applyBorder="true" applyNumberFormat="true" numFmtId="167" fillId="22" applyFill="true">
      <alignment horizontal="center" vertical="center"/>
    </xf>
    <xf fontId="20561" applyFont="true" borderId="8" applyBorder="true" applyNumberFormat="true" numFmtId="2" fillId="22" applyFill="true">
      <alignment horizontal="center" vertical="center"/>
    </xf>
    <xf fontId="20562" applyFont="true" borderId="8" applyBorder="true" applyNumberFormat="true" numFmtId="2" fillId="22" applyFill="true">
      <alignment horizontal="center" vertical="center"/>
    </xf>
    <xf fontId="20563" applyFont="true" borderId="8" applyBorder="true" applyNumberFormat="true" numFmtId="2" fillId="22" applyFill="true">
      <alignment horizontal="center" vertical="center"/>
    </xf>
    <xf fontId="20564" applyFont="true" borderId="8" applyBorder="true" applyNumberFormat="true" numFmtId="2" fillId="22" applyFill="true">
      <alignment horizontal="center" vertical="center"/>
    </xf>
    <xf fontId="20565" applyFont="true" borderId="8" applyBorder="true" applyNumberFormat="true" numFmtId="2" fillId="22" applyFill="true">
      <alignment horizontal="center" vertical="center"/>
    </xf>
    <xf fontId="20566" applyFont="true" borderId="8" applyBorder="true" applyNumberFormat="true" numFmtId="2" fillId="22" applyFill="true">
      <alignment horizontal="center" vertical="center"/>
    </xf>
    <xf fontId="20567" applyFont="true" borderId="8" applyBorder="true" applyNumberFormat="true" numFmtId="2" fillId="22" applyFill="true">
      <alignment horizontal="center" vertical="center"/>
    </xf>
    <xf fontId="20568" applyFont="true" borderId="8" applyBorder="true" applyNumberFormat="true" numFmtId="2" fillId="22" applyFill="true">
      <alignment horizontal="center" vertical="center"/>
    </xf>
    <xf fontId="20569" applyFont="true" borderId="8" applyBorder="true" applyNumberFormat="true" numFmtId="2" fillId="22" applyFill="true">
      <alignment horizontal="center" vertical="center"/>
    </xf>
    <xf fontId="20570" applyFont="true" borderId="8" applyBorder="true" applyNumberFormat="true" numFmtId="2" fillId="22" applyFill="true">
      <alignment horizontal="center" vertical="center"/>
    </xf>
    <xf fontId="20571" applyFont="true" borderId="8" applyBorder="true" applyNumberFormat="true" numFmtId="2" fillId="22" applyFill="true">
      <alignment horizontal="center" vertical="center"/>
    </xf>
    <xf fontId="20572" applyFont="true" borderId="8" applyBorder="true" applyNumberFormat="true" numFmtId="2" fillId="22" applyFill="true">
      <alignment horizontal="center" vertical="center"/>
    </xf>
    <xf fontId="20573" applyFont="true" borderId="8" applyBorder="true" applyNumberFormat="true" numFmtId="2" fillId="22" applyFill="true">
      <alignment horizontal="center" vertical="center"/>
    </xf>
    <xf fontId="20574" applyFont="true" borderId="8" applyBorder="true" applyNumberFormat="true" numFmtId="2" fillId="22" applyFill="true">
      <alignment horizontal="center" vertical="center"/>
    </xf>
    <xf fontId="20575" applyFont="true" borderId="8" applyBorder="true" applyNumberFormat="true" numFmtId="2" fillId="22" applyFill="true">
      <alignment horizontal="center" vertical="center"/>
    </xf>
    <xf fontId="20576" applyFont="true" borderId="8" applyBorder="true" applyNumberFormat="true" numFmtId="2" fillId="22" applyFill="true">
      <alignment horizontal="center" vertical="center"/>
    </xf>
    <xf fontId="20577" applyFont="true" borderId="8" applyBorder="true" applyNumberFormat="true" numFmtId="2" fillId="22" applyFill="true">
      <alignment horizontal="center" vertical="center"/>
    </xf>
    <xf fontId="20578" applyFont="true" borderId="8" applyBorder="true" applyNumberFormat="true" numFmtId="2" fillId="22" applyFill="true">
      <alignment horizontal="center" vertical="center"/>
    </xf>
    <xf fontId="20579" applyFont="true" borderId="8" applyBorder="true" applyNumberFormat="true" numFmtId="2" fillId="22" applyFill="true">
      <alignment horizontal="center" vertical="center"/>
    </xf>
    <xf fontId="20580" applyFont="true" borderId="8" applyBorder="true" applyNumberFormat="true" numFmtId="2" fillId="22" applyFill="true">
      <alignment horizontal="center" vertical="center"/>
    </xf>
    <xf fontId="20581" applyFont="true" borderId="8" applyBorder="true" applyNumberFormat="true" numFmtId="2" fillId="22" applyFill="true">
      <alignment horizontal="center" vertical="center"/>
    </xf>
    <xf fontId="20582" applyFont="true" borderId="8" applyBorder="true" applyNumberFormat="true" numFmtId="2" fillId="22" applyFill="true">
      <alignment horizontal="center" vertical="center"/>
    </xf>
    <xf fontId="20583" applyFont="true" borderId="8" applyBorder="true" applyNumberFormat="true" numFmtId="2" fillId="22" applyFill="true">
      <alignment horizontal="center" vertical="center"/>
    </xf>
    <xf fontId="20584" applyFont="true" borderId="8" applyBorder="true" applyNumberFormat="true" numFmtId="2" fillId="22" applyFill="true">
      <alignment horizontal="center" vertical="center"/>
    </xf>
    <xf fontId="20585" applyFont="true" borderId="8" applyBorder="true" applyNumberFormat="true" numFmtId="2" fillId="22" applyFill="true">
      <alignment horizontal="center" vertical="center"/>
    </xf>
    <xf fontId="20586" applyFont="true" borderId="8" applyBorder="true" applyNumberFormat="true" numFmtId="2" fillId="22" applyFill="true">
      <alignment horizontal="center" vertical="center"/>
    </xf>
    <xf fontId="20587" applyFont="true" borderId="8" applyBorder="true" applyNumberFormat="true" numFmtId="2" fillId="22" applyFill="true">
      <alignment horizontal="center" vertical="center"/>
    </xf>
    <xf fontId="20588" applyFont="true" borderId="8" applyBorder="true" applyNumberFormat="true" numFmtId="2" fillId="22" applyFill="true">
      <alignment horizontal="center" vertical="center"/>
    </xf>
    <xf fontId="20589" applyFont="true" borderId="8" applyBorder="true" applyNumberFormat="true" numFmtId="2" fillId="22" applyFill="true">
      <alignment horizontal="center" vertical="center"/>
    </xf>
    <xf fontId="20590" applyFont="true" borderId="8" applyBorder="true" applyNumberFormat="true" numFmtId="2" fillId="22" applyFill="true">
      <alignment horizontal="center" vertical="center"/>
    </xf>
    <xf fontId="20591" applyFont="true" borderId="8" applyBorder="true" applyNumberFormat="true" numFmtId="2" fillId="22" applyFill="true">
      <alignment horizontal="center" vertical="center"/>
    </xf>
    <xf fontId="20592" applyFont="true" borderId="8" applyBorder="true" applyNumberFormat="true" numFmtId="2" fillId="22" applyFill="true">
      <alignment horizontal="center" vertical="center"/>
    </xf>
    <xf fontId="20593" applyFont="true" borderId="8" applyBorder="true" applyNumberFormat="true" numFmtId="2" fillId="22" applyFill="true">
      <alignment horizontal="center" vertical="center"/>
    </xf>
    <xf fontId="20594" applyFont="true" borderId="8" applyBorder="true" applyNumberFormat="true" numFmtId="2" fillId="22" applyFill="true">
      <alignment horizontal="center" vertical="center"/>
    </xf>
    <xf fontId="20595" applyFont="true" borderId="8" applyBorder="true" applyNumberFormat="true" numFmtId="165" fillId="19" applyFill="true">
      <alignment horizontal="left" vertical="center"/>
    </xf>
    <xf fontId="20596" applyFont="true" borderId="8" applyBorder="true" applyNumberFormat="true" numFmtId="165" fillId="22" applyFill="true">
      <alignment horizontal="center" vertical="center"/>
    </xf>
    <xf fontId="20597" applyFont="true" borderId="8" applyBorder="true" applyNumberFormat="true" numFmtId="166" fillId="22" applyFill="true">
      <alignment horizontal="center" vertical="center"/>
    </xf>
    <xf fontId="20598" applyFont="true" borderId="8" applyBorder="true" applyNumberFormat="true" numFmtId="1" fillId="22" applyFill="true">
      <alignment horizontal="center" vertical="center"/>
    </xf>
    <xf fontId="20599" applyFont="true" borderId="8" applyBorder="true" applyNumberFormat="true" numFmtId="1" fillId="22" applyFill="true">
      <alignment horizontal="center" vertical="center"/>
    </xf>
    <xf fontId="20600" applyFont="true" borderId="8" applyBorder="true" applyNumberFormat="true" numFmtId="1" fillId="22" applyFill="true">
      <alignment horizontal="center" vertical="center"/>
    </xf>
    <xf fontId="20601" applyFont="true" borderId="8" applyBorder="true" applyNumberFormat="true" numFmtId="1" fillId="22" applyFill="true">
      <alignment horizontal="center" vertical="center"/>
    </xf>
    <xf fontId="20602" applyFont="true" borderId="8" applyBorder="true" applyNumberFormat="true" numFmtId="1" fillId="22" applyFill="true">
      <alignment horizontal="center" vertical="center"/>
    </xf>
    <xf fontId="20603" applyFont="true" borderId="8" applyBorder="true" applyNumberFormat="true" numFmtId="1" fillId="22" applyFill="true">
      <alignment horizontal="center" vertical="center"/>
    </xf>
    <xf fontId="20604" applyFont="true" borderId="8" applyBorder="true" applyNumberFormat="true" numFmtId="1" fillId="22" applyFill="true">
      <alignment horizontal="center" vertical="center"/>
    </xf>
    <xf fontId="20605" applyFont="true" borderId="8" applyBorder="true" applyNumberFormat="true" numFmtId="165" fillId="22" applyFill="true">
      <alignment horizontal="center" vertical="center"/>
    </xf>
    <xf fontId="20606" applyFont="true" borderId="8" applyBorder="true" applyNumberFormat="true" numFmtId="165" fillId="22" applyFill="true">
      <alignment horizontal="center" vertical="center"/>
    </xf>
    <xf fontId="20607" applyFont="true" borderId="8" applyBorder="true" applyNumberFormat="true" numFmtId="1" fillId="22" applyFill="true">
      <alignment horizontal="center" vertical="center"/>
    </xf>
    <xf fontId="20608" applyFont="true" borderId="8" applyBorder="true" applyNumberFormat="true" numFmtId="1" fillId="22" applyFill="true">
      <alignment horizontal="center" vertical="center"/>
    </xf>
    <xf fontId="20609" applyFont="true" borderId="8" applyBorder="true" applyNumberFormat="true" numFmtId="1" fillId="22" applyFill="true">
      <alignment horizontal="center" vertical="center"/>
    </xf>
    <xf fontId="20610" applyFont="true" borderId="8" applyBorder="true" applyNumberFormat="true" numFmtId="167" fillId="22" applyFill="true">
      <alignment horizontal="center" vertical="center"/>
    </xf>
    <xf fontId="20611" applyFont="true" borderId="8" applyBorder="true" applyNumberFormat="true" numFmtId="1" fillId="22" applyFill="true">
      <alignment horizontal="center" vertical="center"/>
    </xf>
    <xf fontId="20612" applyFont="true" borderId="8" applyBorder="true" applyNumberFormat="true" numFmtId="167" fillId="22" applyFill="true">
      <alignment horizontal="center" vertical="center"/>
    </xf>
    <xf fontId="20613" applyFont="true" borderId="8" applyBorder="true" applyNumberFormat="true" numFmtId="1" fillId="22" applyFill="true">
      <alignment horizontal="center" vertical="center"/>
    </xf>
    <xf fontId="20614" applyFont="true" borderId="8" applyBorder="true" applyNumberFormat="true" numFmtId="167" fillId="22" applyFill="true">
      <alignment horizontal="center" vertical="center"/>
    </xf>
    <xf fontId="20615" applyFont="true" borderId="8" applyBorder="true" applyNumberFormat="true" numFmtId="1" fillId="22" applyFill="true">
      <alignment horizontal="center" vertical="center"/>
    </xf>
    <xf fontId="20616" applyFont="true" borderId="8" applyBorder="true" applyNumberFormat="true" numFmtId="167" fillId="22" applyFill="true">
      <alignment horizontal="center" vertical="center"/>
    </xf>
    <xf fontId="20617" applyFont="true" borderId="8" applyBorder="true" applyNumberFormat="true" numFmtId="167" fillId="22" applyFill="true">
      <alignment horizontal="center" vertical="center"/>
    </xf>
    <xf fontId="20618" applyFont="true" borderId="8" applyBorder="true" applyNumberFormat="true" numFmtId="1" fillId="22" applyFill="true">
      <alignment horizontal="center" vertical="center"/>
    </xf>
    <xf fontId="20619" applyFont="true" borderId="8" applyBorder="true" applyNumberFormat="true" numFmtId="1" fillId="22" applyFill="true">
      <alignment horizontal="center" vertical="center"/>
    </xf>
    <xf fontId="20620" applyFont="true" borderId="8" applyBorder="true" applyNumberFormat="true" numFmtId="1" fillId="22" applyFill="true">
      <alignment horizontal="center" vertical="center"/>
    </xf>
    <xf fontId="20621" applyFont="true" borderId="8" applyBorder="true" applyNumberFormat="true" numFmtId="167" fillId="22" applyFill="true">
      <alignment horizontal="center" vertical="center"/>
    </xf>
    <xf fontId="20622" applyFont="true" borderId="8" applyBorder="true" applyNumberFormat="true" numFmtId="166" fillId="22" applyFill="true">
      <alignment horizontal="center" vertical="center"/>
    </xf>
    <xf fontId="20623" applyFont="true" borderId="8" applyBorder="true" applyNumberFormat="true" numFmtId="166" fillId="22" applyFill="true">
      <alignment horizontal="center" vertical="center"/>
    </xf>
    <xf fontId="20624" applyFont="true" borderId="8" applyBorder="true" applyNumberFormat="true" numFmtId="1" fillId="22" applyFill="true">
      <alignment horizontal="center" vertical="center"/>
    </xf>
    <xf fontId="20625" applyFont="true" borderId="8" applyBorder="true" applyNumberFormat="true" numFmtId="1" fillId="22" applyFill="true">
      <alignment horizontal="center" vertical="center"/>
    </xf>
    <xf fontId="20626" applyFont="true" borderId="8" applyBorder="true" applyNumberFormat="true" numFmtId="1" fillId="22" applyFill="true">
      <alignment horizontal="center" vertical="center"/>
    </xf>
    <xf fontId="20627" applyFont="true" borderId="8" applyBorder="true" applyNumberFormat="true" numFmtId="167" fillId="22" applyFill="true">
      <alignment horizontal="center" vertical="center"/>
    </xf>
    <xf fontId="20628" applyFont="true" borderId="8" applyBorder="true" applyNumberFormat="true" numFmtId="1" fillId="22" applyFill="true">
      <alignment horizontal="center" vertical="center"/>
    </xf>
    <xf fontId="20629" applyFont="true" borderId="8" applyBorder="true" applyNumberFormat="true" numFmtId="167" fillId="22" applyFill="true">
      <alignment horizontal="center" vertical="center"/>
    </xf>
    <xf fontId="20630" applyFont="true" borderId="8" applyBorder="true" applyNumberFormat="true" numFmtId="1" fillId="22" applyFill="true">
      <alignment horizontal="center" vertical="center"/>
    </xf>
    <xf fontId="20631" applyFont="true" borderId="8" applyBorder="true" applyNumberFormat="true" numFmtId="1" fillId="22" applyFill="true">
      <alignment horizontal="center" vertical="center"/>
    </xf>
    <xf fontId="20632" applyFont="true" borderId="8" applyBorder="true" applyNumberFormat="true" numFmtId="1" fillId="22" applyFill="true">
      <alignment horizontal="center" vertical="center"/>
    </xf>
    <xf fontId="20633" applyFont="true" borderId="8" applyBorder="true" applyNumberFormat="true" numFmtId="1" fillId="22" applyFill="true">
      <alignment horizontal="center" vertical="center"/>
    </xf>
    <xf fontId="20634" applyFont="true" borderId="8" applyBorder="true" applyNumberFormat="true" numFmtId="167" fillId="22" applyFill="true">
      <alignment horizontal="center" vertical="center"/>
    </xf>
    <xf fontId="20635" applyFont="true" borderId="8" applyBorder="true" applyNumberFormat="true" numFmtId="1" fillId="22" applyFill="true">
      <alignment horizontal="center" vertical="center"/>
    </xf>
    <xf fontId="20636" applyFont="true" borderId="8" applyBorder="true" applyNumberFormat="true" numFmtId="167" fillId="22" applyFill="true">
      <alignment horizontal="center" vertical="center"/>
    </xf>
    <xf fontId="20637" applyFont="true" borderId="8" applyBorder="true" applyNumberFormat="true" numFmtId="1" fillId="22" applyFill="true">
      <alignment horizontal="center" vertical="center"/>
    </xf>
    <xf fontId="20638" applyFont="true" borderId="8" applyBorder="true" applyNumberFormat="true" numFmtId="167" fillId="22" applyFill="true">
      <alignment horizontal="center" vertical="center"/>
    </xf>
    <xf fontId="20639" applyFont="true" borderId="8" applyBorder="true" applyNumberFormat="true" numFmtId="2" fillId="22" applyFill="true">
      <alignment horizontal="center" vertical="center"/>
    </xf>
    <xf fontId="20640" applyFont="true" borderId="8" applyBorder="true" applyNumberFormat="true" numFmtId="2" fillId="22" applyFill="true">
      <alignment horizontal="center" vertical="center"/>
    </xf>
    <xf fontId="20641" applyFont="true" borderId="8" applyBorder="true" applyNumberFormat="true" numFmtId="2" fillId="22" applyFill="true">
      <alignment horizontal="center" vertical="center"/>
    </xf>
    <xf fontId="20642" applyFont="true" borderId="8" applyBorder="true" applyNumberFormat="true" numFmtId="2" fillId="22" applyFill="true">
      <alignment horizontal="center" vertical="center"/>
    </xf>
    <xf fontId="20643" applyFont="true" borderId="8" applyBorder="true" applyNumberFormat="true" numFmtId="2" fillId="22" applyFill="true">
      <alignment horizontal="center" vertical="center"/>
    </xf>
    <xf fontId="20644" applyFont="true" borderId="8" applyBorder="true" applyNumberFormat="true" numFmtId="2" fillId="22" applyFill="true">
      <alignment horizontal="center" vertical="center"/>
    </xf>
    <xf fontId="20645" applyFont="true" borderId="8" applyBorder="true" applyNumberFormat="true" numFmtId="2" fillId="22" applyFill="true">
      <alignment horizontal="center" vertical="center"/>
    </xf>
    <xf fontId="20646" applyFont="true" borderId="8" applyBorder="true" applyNumberFormat="true" numFmtId="2" fillId="22" applyFill="true">
      <alignment horizontal="center" vertical="center"/>
    </xf>
    <xf fontId="20647" applyFont="true" borderId="8" applyBorder="true" applyNumberFormat="true" numFmtId="2" fillId="22" applyFill="true">
      <alignment horizontal="center" vertical="center"/>
    </xf>
    <xf fontId="20648" applyFont="true" borderId="8" applyBorder="true" applyNumberFormat="true" numFmtId="2" fillId="22" applyFill="true">
      <alignment horizontal="center" vertical="center"/>
    </xf>
    <xf fontId="20649" applyFont="true" borderId="8" applyBorder="true" applyNumberFormat="true" numFmtId="2" fillId="22" applyFill="true">
      <alignment horizontal="center" vertical="center"/>
    </xf>
    <xf fontId="20650" applyFont="true" borderId="8" applyBorder="true" applyNumberFormat="true" numFmtId="2" fillId="22" applyFill="true">
      <alignment horizontal="center" vertical="center"/>
    </xf>
    <xf fontId="20651" applyFont="true" borderId="8" applyBorder="true" applyNumberFormat="true" numFmtId="2" fillId="22" applyFill="true">
      <alignment horizontal="center" vertical="center"/>
    </xf>
    <xf fontId="20652" applyFont="true" borderId="8" applyBorder="true" applyNumberFormat="true" numFmtId="2" fillId="22" applyFill="true">
      <alignment horizontal="center" vertical="center"/>
    </xf>
    <xf fontId="20653" applyFont="true" borderId="8" applyBorder="true" applyNumberFormat="true" numFmtId="2" fillId="22" applyFill="true">
      <alignment horizontal="center" vertical="center"/>
    </xf>
    <xf fontId="20654" applyFont="true" borderId="8" applyBorder="true" applyNumberFormat="true" numFmtId="2" fillId="22" applyFill="true">
      <alignment horizontal="center" vertical="center"/>
    </xf>
    <xf fontId="20655" applyFont="true" borderId="8" applyBorder="true" applyNumberFormat="true" numFmtId="2" fillId="22" applyFill="true">
      <alignment horizontal="center" vertical="center"/>
    </xf>
    <xf fontId="20656" applyFont="true" borderId="8" applyBorder="true" applyNumberFormat="true" numFmtId="2" fillId="22" applyFill="true">
      <alignment horizontal="center" vertical="center"/>
    </xf>
    <xf fontId="20657" applyFont="true" borderId="8" applyBorder="true" applyNumberFormat="true" numFmtId="2" fillId="22" applyFill="true">
      <alignment horizontal="center" vertical="center"/>
    </xf>
    <xf fontId="20658" applyFont="true" borderId="8" applyBorder="true" applyNumberFormat="true" numFmtId="2" fillId="22" applyFill="true">
      <alignment horizontal="center" vertical="center"/>
    </xf>
    <xf fontId="20659" applyFont="true" borderId="8" applyBorder="true" applyNumberFormat="true" numFmtId="2" fillId="22" applyFill="true">
      <alignment horizontal="center" vertical="center"/>
    </xf>
    <xf fontId="20660" applyFont="true" borderId="8" applyBorder="true" applyNumberFormat="true" numFmtId="2" fillId="22" applyFill="true">
      <alignment horizontal="center" vertical="center"/>
    </xf>
    <xf fontId="20661" applyFont="true" borderId="8" applyBorder="true" applyNumberFormat="true" numFmtId="2" fillId="22" applyFill="true">
      <alignment horizontal="center" vertical="center"/>
    </xf>
    <xf fontId="20662" applyFont="true" borderId="8" applyBorder="true" applyNumberFormat="true" numFmtId="2" fillId="22" applyFill="true">
      <alignment horizontal="center" vertical="center"/>
    </xf>
    <xf fontId="20663" applyFont="true" borderId="8" applyBorder="true" applyNumberFormat="true" numFmtId="2" fillId="22" applyFill="true">
      <alignment horizontal="center" vertical="center"/>
    </xf>
    <xf fontId="20664" applyFont="true" borderId="8" applyBorder="true" applyNumberFormat="true" numFmtId="2" fillId="22" applyFill="true">
      <alignment horizontal="center" vertical="center"/>
    </xf>
    <xf fontId="20665" applyFont="true" borderId="8" applyBorder="true" applyNumberFormat="true" numFmtId="2" fillId="22" applyFill="true">
      <alignment horizontal="center" vertical="center"/>
    </xf>
    <xf fontId="20666" applyFont="true" borderId="8" applyBorder="true" applyNumberFormat="true" numFmtId="2" fillId="22" applyFill="true">
      <alignment horizontal="center" vertical="center"/>
    </xf>
    <xf fontId="20667" applyFont="true" borderId="8" applyBorder="true" applyNumberFormat="true" numFmtId="2" fillId="22" applyFill="true">
      <alignment horizontal="center" vertical="center"/>
    </xf>
    <xf fontId="20668" applyFont="true" borderId="8" applyBorder="true" applyNumberFormat="true" numFmtId="2" fillId="22" applyFill="true">
      <alignment horizontal="center" vertical="center"/>
    </xf>
    <xf fontId="20669" applyFont="true" borderId="8" applyBorder="true" applyNumberFormat="true" numFmtId="2" fillId="22" applyFill="true">
      <alignment horizontal="center" vertical="center"/>
    </xf>
    <xf fontId="20670" applyFont="true" borderId="8" applyBorder="true" applyNumberFormat="true" numFmtId="2" fillId="22" applyFill="true">
      <alignment horizontal="center" vertical="center"/>
    </xf>
    <xf fontId="20671" applyFont="true" borderId="8" applyBorder="true" applyNumberFormat="true" numFmtId="2" fillId="22" applyFill="true">
      <alignment horizontal="center" vertical="center"/>
    </xf>
    <xf fontId="20672" applyFont="true" borderId="8" applyBorder="true" applyNumberFormat="true" numFmtId="2" fillId="22" applyFill="true">
      <alignment horizontal="center" vertical="center"/>
    </xf>
    <xf fontId="20673" applyFont="true" borderId="8" applyBorder="true" applyNumberFormat="true" numFmtId="165" fillId="19" applyFill="true">
      <alignment horizontal="left" vertical="center"/>
    </xf>
    <xf fontId="20674" applyFont="true" borderId="8" applyBorder="true" applyNumberFormat="true" numFmtId="165" fillId="22" applyFill="true">
      <alignment horizontal="center" vertical="center"/>
    </xf>
    <xf fontId="20675" applyFont="true" borderId="8" applyBorder="true" applyNumberFormat="true" numFmtId="166" fillId="22" applyFill="true">
      <alignment horizontal="center" vertical="center"/>
    </xf>
    <xf fontId="20676" applyFont="true" borderId="8" applyBorder="true" applyNumberFormat="true" numFmtId="1" fillId="22" applyFill="true">
      <alignment horizontal="center" vertical="center"/>
    </xf>
    <xf fontId="20677" applyFont="true" borderId="8" applyBorder="true" applyNumberFormat="true" numFmtId="1" fillId="22" applyFill="true">
      <alignment horizontal="center" vertical="center"/>
    </xf>
    <xf fontId="20678" applyFont="true" borderId="8" applyBorder="true" applyNumberFormat="true" numFmtId="1" fillId="22" applyFill="true">
      <alignment horizontal="center" vertical="center"/>
    </xf>
    <xf fontId="20679" applyFont="true" borderId="8" applyBorder="true" applyNumberFormat="true" numFmtId="1" fillId="22" applyFill="true">
      <alignment horizontal="center" vertical="center"/>
    </xf>
    <xf fontId="20680" applyFont="true" borderId="8" applyBorder="true" applyNumberFormat="true" numFmtId="1" fillId="22" applyFill="true">
      <alignment horizontal="center" vertical="center"/>
    </xf>
    <xf fontId="20681" applyFont="true" borderId="8" applyBorder="true" applyNumberFormat="true" numFmtId="1" fillId="22" applyFill="true">
      <alignment horizontal="center" vertical="center"/>
    </xf>
    <xf fontId="20682" applyFont="true" borderId="8" applyBorder="true" applyNumberFormat="true" numFmtId="1" fillId="22" applyFill="true">
      <alignment horizontal="center" vertical="center"/>
    </xf>
    <xf fontId="20683" applyFont="true" borderId="8" applyBorder="true" applyNumberFormat="true" numFmtId="165" fillId="22" applyFill="true">
      <alignment horizontal="center" vertical="center"/>
    </xf>
    <xf fontId="20684" applyFont="true" borderId="8" applyBorder="true" applyNumberFormat="true" numFmtId="165" fillId="22" applyFill="true">
      <alignment horizontal="center" vertical="center"/>
    </xf>
    <xf fontId="20685" applyFont="true" borderId="8" applyBorder="true" applyNumberFormat="true" numFmtId="1" fillId="22" applyFill="true">
      <alignment horizontal="center" vertical="center"/>
    </xf>
    <xf fontId="20686" applyFont="true" borderId="8" applyBorder="true" applyNumberFormat="true" numFmtId="1" fillId="22" applyFill="true">
      <alignment horizontal="center" vertical="center"/>
    </xf>
    <xf fontId="20687" applyFont="true" borderId="8" applyBorder="true" applyNumberFormat="true" numFmtId="1" fillId="22" applyFill="true">
      <alignment horizontal="center" vertical="center"/>
    </xf>
    <xf fontId="20688" applyFont="true" borderId="8" applyBorder="true" applyNumberFormat="true" numFmtId="167" fillId="22" applyFill="true">
      <alignment horizontal="center" vertical="center"/>
    </xf>
    <xf fontId="20689" applyFont="true" borderId="8" applyBorder="true" applyNumberFormat="true" numFmtId="1" fillId="22" applyFill="true">
      <alignment horizontal="center" vertical="center"/>
    </xf>
    <xf fontId="20690" applyFont="true" borderId="8" applyBorder="true" applyNumberFormat="true" numFmtId="167" fillId="22" applyFill="true">
      <alignment horizontal="center" vertical="center"/>
    </xf>
    <xf fontId="20691" applyFont="true" borderId="8" applyBorder="true" applyNumberFormat="true" numFmtId="1" fillId="22" applyFill="true">
      <alignment horizontal="center" vertical="center"/>
    </xf>
    <xf fontId="20692" applyFont="true" borderId="8" applyBorder="true" applyNumberFormat="true" numFmtId="167" fillId="22" applyFill="true">
      <alignment horizontal="center" vertical="center"/>
    </xf>
    <xf fontId="20693" applyFont="true" borderId="8" applyBorder="true" applyNumberFormat="true" numFmtId="1" fillId="22" applyFill="true">
      <alignment horizontal="center" vertical="center"/>
    </xf>
    <xf fontId="20694" applyFont="true" borderId="8" applyBorder="true" applyNumberFormat="true" numFmtId="167" fillId="22" applyFill="true">
      <alignment horizontal="center" vertical="center"/>
    </xf>
    <xf fontId="20695" applyFont="true" borderId="8" applyBorder="true" applyNumberFormat="true" numFmtId="167" fillId="22" applyFill="true">
      <alignment horizontal="center" vertical="center"/>
    </xf>
    <xf fontId="20696" applyFont="true" borderId="8" applyBorder="true" applyNumberFormat="true" numFmtId="1" fillId="22" applyFill="true">
      <alignment horizontal="center" vertical="center"/>
    </xf>
    <xf fontId="20697" applyFont="true" borderId="8" applyBorder="true" applyNumberFormat="true" numFmtId="1" fillId="22" applyFill="true">
      <alignment horizontal="center" vertical="center"/>
    </xf>
    <xf fontId="20698" applyFont="true" borderId="8" applyBorder="true" applyNumberFormat="true" numFmtId="1" fillId="22" applyFill="true">
      <alignment horizontal="center" vertical="center"/>
    </xf>
    <xf fontId="20699" applyFont="true" borderId="8" applyBorder="true" applyNumberFormat="true" numFmtId="167" fillId="22" applyFill="true">
      <alignment horizontal="center" vertical="center"/>
    </xf>
    <xf fontId="20700" applyFont="true" borderId="8" applyBorder="true" applyNumberFormat="true" numFmtId="166" fillId="22" applyFill="true">
      <alignment horizontal="center" vertical="center"/>
    </xf>
    <xf fontId="20701" applyFont="true" borderId="8" applyBorder="true" applyNumberFormat="true" numFmtId="166" fillId="22" applyFill="true">
      <alignment horizontal="center" vertical="center"/>
    </xf>
    <xf fontId="20702" applyFont="true" borderId="8" applyBorder="true" applyNumberFormat="true" numFmtId="1" fillId="22" applyFill="true">
      <alignment horizontal="center" vertical="center"/>
    </xf>
    <xf fontId="20703" applyFont="true" borderId="8" applyBorder="true" applyNumberFormat="true" numFmtId="1" fillId="22" applyFill="true">
      <alignment horizontal="center" vertical="center"/>
    </xf>
    <xf fontId="20704" applyFont="true" borderId="8" applyBorder="true" applyNumberFormat="true" numFmtId="1" fillId="22" applyFill="true">
      <alignment horizontal="center" vertical="center"/>
    </xf>
    <xf fontId="20705" applyFont="true" borderId="8" applyBorder="true" applyNumberFormat="true" numFmtId="167" fillId="22" applyFill="true">
      <alignment horizontal="center" vertical="center"/>
    </xf>
    <xf fontId="20706" applyFont="true" borderId="8" applyBorder="true" applyNumberFormat="true" numFmtId="1" fillId="22" applyFill="true">
      <alignment horizontal="center" vertical="center"/>
    </xf>
    <xf fontId="20707" applyFont="true" borderId="8" applyBorder="true" applyNumberFormat="true" numFmtId="167" fillId="22" applyFill="true">
      <alignment horizontal="center" vertical="center"/>
    </xf>
    <xf fontId="20708" applyFont="true" borderId="8" applyBorder="true" applyNumberFormat="true" numFmtId="1" fillId="22" applyFill="true">
      <alignment horizontal="center" vertical="center"/>
    </xf>
    <xf fontId="20709" applyFont="true" borderId="8" applyBorder="true" applyNumberFormat="true" numFmtId="1" fillId="22" applyFill="true">
      <alignment horizontal="center" vertical="center"/>
    </xf>
    <xf fontId="20710" applyFont="true" borderId="8" applyBorder="true" applyNumberFormat="true" numFmtId="1" fillId="22" applyFill="true">
      <alignment horizontal="center" vertical="center"/>
    </xf>
    <xf fontId="20711" applyFont="true" borderId="8" applyBorder="true" applyNumberFormat="true" numFmtId="1" fillId="22" applyFill="true">
      <alignment horizontal="center" vertical="center"/>
    </xf>
    <xf fontId="20712" applyFont="true" borderId="8" applyBorder="true" applyNumberFormat="true" numFmtId="167" fillId="22" applyFill="true">
      <alignment horizontal="center" vertical="center"/>
    </xf>
    <xf fontId="20713" applyFont="true" borderId="8" applyBorder="true" applyNumberFormat="true" numFmtId="1" fillId="22" applyFill="true">
      <alignment horizontal="center" vertical="center"/>
    </xf>
    <xf fontId="20714" applyFont="true" borderId="8" applyBorder="true" applyNumberFormat="true" numFmtId="167" fillId="22" applyFill="true">
      <alignment horizontal="center" vertical="center"/>
    </xf>
    <xf fontId="20715" applyFont="true" borderId="8" applyBorder="true" applyNumberFormat="true" numFmtId="1" fillId="22" applyFill="true">
      <alignment horizontal="center" vertical="center"/>
    </xf>
    <xf fontId="20716" applyFont="true" borderId="8" applyBorder="true" applyNumberFormat="true" numFmtId="167" fillId="22" applyFill="true">
      <alignment horizontal="center" vertical="center"/>
    </xf>
    <xf fontId="20717" applyFont="true" borderId="8" applyBorder="true" applyNumberFormat="true" numFmtId="2" fillId="22" applyFill="true">
      <alignment horizontal="center" vertical="center"/>
    </xf>
    <xf fontId="20718" applyFont="true" borderId="8" applyBorder="true" applyNumberFormat="true" numFmtId="2" fillId="22" applyFill="true">
      <alignment horizontal="center" vertical="center"/>
    </xf>
    <xf fontId="20719" applyFont="true" borderId="8" applyBorder="true" applyNumberFormat="true" numFmtId="2" fillId="22" applyFill="true">
      <alignment horizontal="center" vertical="center"/>
    </xf>
    <xf fontId="20720" applyFont="true" borderId="8" applyBorder="true" applyNumberFormat="true" numFmtId="2" fillId="22" applyFill="true">
      <alignment horizontal="center" vertical="center"/>
    </xf>
    <xf fontId="20721" applyFont="true" borderId="8" applyBorder="true" applyNumberFormat="true" numFmtId="2" fillId="22" applyFill="true">
      <alignment horizontal="center" vertical="center"/>
    </xf>
    <xf fontId="20722" applyFont="true" borderId="8" applyBorder="true" applyNumberFormat="true" numFmtId="2" fillId="22" applyFill="true">
      <alignment horizontal="center" vertical="center"/>
    </xf>
    <xf fontId="20723" applyFont="true" borderId="8" applyBorder="true" applyNumberFormat="true" numFmtId="2" fillId="22" applyFill="true">
      <alignment horizontal="center" vertical="center"/>
    </xf>
    <xf fontId="20724" applyFont="true" borderId="8" applyBorder="true" applyNumberFormat="true" numFmtId="2" fillId="22" applyFill="true">
      <alignment horizontal="center" vertical="center"/>
    </xf>
    <xf fontId="20725" applyFont="true" borderId="8" applyBorder="true" applyNumberFormat="true" numFmtId="2" fillId="22" applyFill="true">
      <alignment horizontal="center" vertical="center"/>
    </xf>
    <xf fontId="20726" applyFont="true" borderId="8" applyBorder="true" applyNumberFormat="true" numFmtId="2" fillId="22" applyFill="true">
      <alignment horizontal="center" vertical="center"/>
    </xf>
    <xf fontId="20727" applyFont="true" borderId="8" applyBorder="true" applyNumberFormat="true" numFmtId="2" fillId="22" applyFill="true">
      <alignment horizontal="center" vertical="center"/>
    </xf>
    <xf fontId="20728" applyFont="true" borderId="8" applyBorder="true" applyNumberFormat="true" numFmtId="2" fillId="22" applyFill="true">
      <alignment horizontal="center" vertical="center"/>
    </xf>
    <xf fontId="20729" applyFont="true" borderId="8" applyBorder="true" applyNumberFormat="true" numFmtId="2" fillId="22" applyFill="true">
      <alignment horizontal="center" vertical="center"/>
    </xf>
    <xf fontId="20730" applyFont="true" borderId="8" applyBorder="true" applyNumberFormat="true" numFmtId="2" fillId="22" applyFill="true">
      <alignment horizontal="center" vertical="center"/>
    </xf>
    <xf fontId="20731" applyFont="true" borderId="8" applyBorder="true" applyNumberFormat="true" numFmtId="2" fillId="22" applyFill="true">
      <alignment horizontal="center" vertical="center"/>
    </xf>
    <xf fontId="20732" applyFont="true" borderId="8" applyBorder="true" applyNumberFormat="true" numFmtId="2" fillId="22" applyFill="true">
      <alignment horizontal="center" vertical="center"/>
    </xf>
    <xf fontId="20733" applyFont="true" borderId="8" applyBorder="true" applyNumberFormat="true" numFmtId="2" fillId="22" applyFill="true">
      <alignment horizontal="center" vertical="center"/>
    </xf>
    <xf fontId="20734" applyFont="true" borderId="8" applyBorder="true" applyNumberFormat="true" numFmtId="2" fillId="22" applyFill="true">
      <alignment horizontal="center" vertical="center"/>
    </xf>
    <xf fontId="20735" applyFont="true" borderId="8" applyBorder="true" applyNumberFormat="true" numFmtId="2" fillId="22" applyFill="true">
      <alignment horizontal="center" vertical="center"/>
    </xf>
    <xf fontId="20736" applyFont="true" borderId="8" applyBorder="true" applyNumberFormat="true" numFmtId="2" fillId="22" applyFill="true">
      <alignment horizontal="center" vertical="center"/>
    </xf>
    <xf fontId="20737" applyFont="true" borderId="8" applyBorder="true" applyNumberFormat="true" numFmtId="2" fillId="22" applyFill="true">
      <alignment horizontal="center" vertical="center"/>
    </xf>
    <xf fontId="20738" applyFont="true" borderId="8" applyBorder="true" applyNumberFormat="true" numFmtId="2" fillId="22" applyFill="true">
      <alignment horizontal="center" vertical="center"/>
    </xf>
    <xf fontId="20739" applyFont="true" borderId="8" applyBorder="true" applyNumberFormat="true" numFmtId="2" fillId="22" applyFill="true">
      <alignment horizontal="center" vertical="center"/>
    </xf>
    <xf fontId="20740" applyFont="true" borderId="8" applyBorder="true" applyNumberFormat="true" numFmtId="2" fillId="22" applyFill="true">
      <alignment horizontal="center" vertical="center"/>
    </xf>
    <xf fontId="20741" applyFont="true" borderId="8" applyBorder="true" applyNumberFormat="true" numFmtId="2" fillId="22" applyFill="true">
      <alignment horizontal="center" vertical="center"/>
    </xf>
    <xf fontId="20742" applyFont="true" borderId="8" applyBorder="true" applyNumberFormat="true" numFmtId="2" fillId="22" applyFill="true">
      <alignment horizontal="center" vertical="center"/>
    </xf>
    <xf fontId="20743" applyFont="true" borderId="8" applyBorder="true" applyNumberFormat="true" numFmtId="2" fillId="22" applyFill="true">
      <alignment horizontal="center" vertical="center"/>
    </xf>
    <xf fontId="20744" applyFont="true" borderId="8" applyBorder="true" applyNumberFormat="true" numFmtId="2" fillId="22" applyFill="true">
      <alignment horizontal="center" vertical="center"/>
    </xf>
    <xf fontId="20745" applyFont="true" borderId="8" applyBorder="true" applyNumberFormat="true" numFmtId="2" fillId="22" applyFill="true">
      <alignment horizontal="center" vertical="center"/>
    </xf>
    <xf fontId="20746" applyFont="true" borderId="8" applyBorder="true" applyNumberFormat="true" numFmtId="2" fillId="22" applyFill="true">
      <alignment horizontal="center" vertical="center"/>
    </xf>
    <xf fontId="20747" applyFont="true" borderId="8" applyBorder="true" applyNumberFormat="true" numFmtId="2" fillId="22" applyFill="true">
      <alignment horizontal="center" vertical="center"/>
    </xf>
    <xf fontId="20748" applyFont="true" borderId="8" applyBorder="true" applyNumberFormat="true" numFmtId="2" fillId="22" applyFill="true">
      <alignment horizontal="center" vertical="center"/>
    </xf>
    <xf fontId="20749" applyFont="true" borderId="8" applyBorder="true" applyNumberFormat="true" numFmtId="2" fillId="22" applyFill="true">
      <alignment horizontal="center" vertical="center"/>
    </xf>
    <xf fontId="20750" applyFont="true" borderId="8" applyBorder="true" applyNumberFormat="true" numFmtId="2" fillId="22" applyFill="true">
      <alignment horizontal="center" vertical="center"/>
    </xf>
    <xf fontId="20751" applyFont="true" borderId="8" applyBorder="true" applyNumberFormat="true" numFmtId="165" fillId="19" applyFill="true">
      <alignment horizontal="left" vertical="center"/>
    </xf>
    <xf fontId="20752" applyFont="true" borderId="8" applyBorder="true" applyNumberFormat="true" numFmtId="165" fillId="22" applyFill="true">
      <alignment horizontal="center" vertical="center"/>
    </xf>
    <xf fontId="20753" applyFont="true" borderId="8" applyBorder="true" applyNumberFormat="true" numFmtId="166" fillId="22" applyFill="true">
      <alignment horizontal="center" vertical="center"/>
    </xf>
    <xf fontId="20754" applyFont="true" borderId="8" applyBorder="true" applyNumberFormat="true" numFmtId="1" fillId="22" applyFill="true">
      <alignment horizontal="center" vertical="center"/>
    </xf>
    <xf fontId="20755" applyFont="true" borderId="8" applyBorder="true" applyNumberFormat="true" numFmtId="1" fillId="22" applyFill="true">
      <alignment horizontal="center" vertical="center"/>
    </xf>
    <xf fontId="20756" applyFont="true" borderId="8" applyBorder="true" applyNumberFormat="true" numFmtId="1" fillId="22" applyFill="true">
      <alignment horizontal="center" vertical="center"/>
    </xf>
    <xf fontId="20757" applyFont="true" borderId="8" applyBorder="true" applyNumberFormat="true" numFmtId="1" fillId="22" applyFill="true">
      <alignment horizontal="center" vertical="center"/>
    </xf>
    <xf fontId="20758" applyFont="true" borderId="8" applyBorder="true" applyNumberFormat="true" numFmtId="1" fillId="22" applyFill="true">
      <alignment horizontal="center" vertical="center"/>
    </xf>
    <xf fontId="20759" applyFont="true" borderId="8" applyBorder="true" applyNumberFormat="true" numFmtId="1" fillId="22" applyFill="true">
      <alignment horizontal="center" vertical="center"/>
    </xf>
    <xf fontId="20760" applyFont="true" borderId="8" applyBorder="true" applyNumberFormat="true" numFmtId="1" fillId="22" applyFill="true">
      <alignment horizontal="center" vertical="center"/>
    </xf>
    <xf fontId="20761" applyFont="true" borderId="8" applyBorder="true" applyNumberFormat="true" numFmtId="165" fillId="22" applyFill="true">
      <alignment horizontal="center" vertical="center"/>
    </xf>
    <xf fontId="20762" applyFont="true" borderId="8" applyBorder="true" applyNumberFormat="true" numFmtId="165" fillId="22" applyFill="true">
      <alignment horizontal="center" vertical="center"/>
    </xf>
    <xf fontId="20763" applyFont="true" borderId="8" applyBorder="true" applyNumberFormat="true" numFmtId="1" fillId="22" applyFill="true">
      <alignment horizontal="center" vertical="center"/>
    </xf>
    <xf fontId="20764" applyFont="true" borderId="8" applyBorder="true" applyNumberFormat="true" numFmtId="1" fillId="22" applyFill="true">
      <alignment horizontal="center" vertical="center"/>
    </xf>
    <xf fontId="20765" applyFont="true" borderId="8" applyBorder="true" applyNumberFormat="true" numFmtId="1" fillId="22" applyFill="true">
      <alignment horizontal="center" vertical="center"/>
    </xf>
    <xf fontId="20766" applyFont="true" borderId="8" applyBorder="true" applyNumberFormat="true" numFmtId="167" fillId="22" applyFill="true">
      <alignment horizontal="center" vertical="center"/>
    </xf>
    <xf fontId="20767" applyFont="true" borderId="8" applyBorder="true" applyNumberFormat="true" numFmtId="1" fillId="22" applyFill="true">
      <alignment horizontal="center" vertical="center"/>
    </xf>
    <xf fontId="20768" applyFont="true" borderId="8" applyBorder="true" applyNumberFormat="true" numFmtId="167" fillId="22" applyFill="true">
      <alignment horizontal="center" vertical="center"/>
    </xf>
    <xf fontId="20769" applyFont="true" borderId="8" applyBorder="true" applyNumberFormat="true" numFmtId="1" fillId="22" applyFill="true">
      <alignment horizontal="center" vertical="center"/>
    </xf>
    <xf fontId="20770" applyFont="true" borderId="8" applyBorder="true" applyNumberFormat="true" numFmtId="167" fillId="22" applyFill="true">
      <alignment horizontal="center" vertical="center"/>
    </xf>
    <xf fontId="20771" applyFont="true" borderId="8" applyBorder="true" applyNumberFormat="true" numFmtId="1" fillId="22" applyFill="true">
      <alignment horizontal="center" vertical="center"/>
    </xf>
    <xf fontId="20772" applyFont="true" borderId="8" applyBorder="true" applyNumberFormat="true" numFmtId="167" fillId="22" applyFill="true">
      <alignment horizontal="center" vertical="center"/>
    </xf>
    <xf fontId="20773" applyFont="true" borderId="8" applyBorder="true" applyNumberFormat="true" numFmtId="167" fillId="22" applyFill="true">
      <alignment horizontal="center" vertical="center"/>
    </xf>
    <xf fontId="20774" applyFont="true" borderId="8" applyBorder="true" applyNumberFormat="true" numFmtId="1" fillId="22" applyFill="true">
      <alignment horizontal="center" vertical="center"/>
    </xf>
    <xf fontId="20775" applyFont="true" borderId="8" applyBorder="true" applyNumberFormat="true" numFmtId="1" fillId="22" applyFill="true">
      <alignment horizontal="center" vertical="center"/>
    </xf>
    <xf fontId="20776" applyFont="true" borderId="8" applyBorder="true" applyNumberFormat="true" numFmtId="1" fillId="22" applyFill="true">
      <alignment horizontal="center" vertical="center"/>
    </xf>
    <xf fontId="20777" applyFont="true" borderId="8" applyBorder="true" applyNumberFormat="true" numFmtId="167" fillId="22" applyFill="true">
      <alignment horizontal="center" vertical="center"/>
    </xf>
    <xf fontId="20778" applyFont="true" borderId="8" applyBorder="true" applyNumberFormat="true" numFmtId="166" fillId="22" applyFill="true">
      <alignment horizontal="center" vertical="center"/>
    </xf>
    <xf fontId="20779" applyFont="true" borderId="8" applyBorder="true" applyNumberFormat="true" numFmtId="166" fillId="22" applyFill="true">
      <alignment horizontal="center" vertical="center"/>
    </xf>
    <xf fontId="20780" applyFont="true" borderId="8" applyBorder="true" applyNumberFormat="true" numFmtId="1" fillId="22" applyFill="true">
      <alignment horizontal="center" vertical="center"/>
    </xf>
    <xf fontId="20781" applyFont="true" borderId="8" applyBorder="true" applyNumberFormat="true" numFmtId="1" fillId="22" applyFill="true">
      <alignment horizontal="center" vertical="center"/>
    </xf>
    <xf fontId="20782" applyFont="true" borderId="8" applyBorder="true" applyNumberFormat="true" numFmtId="1" fillId="22" applyFill="true">
      <alignment horizontal="center" vertical="center"/>
    </xf>
    <xf fontId="20783" applyFont="true" borderId="8" applyBorder="true" applyNumberFormat="true" numFmtId="167" fillId="22" applyFill="true">
      <alignment horizontal="center" vertical="center"/>
    </xf>
    <xf fontId="20784" applyFont="true" borderId="8" applyBorder="true" applyNumberFormat="true" numFmtId="1" fillId="22" applyFill="true">
      <alignment horizontal="center" vertical="center"/>
    </xf>
    <xf fontId="20785" applyFont="true" borderId="8" applyBorder="true" applyNumberFormat="true" numFmtId="167" fillId="22" applyFill="true">
      <alignment horizontal="center" vertical="center"/>
    </xf>
    <xf fontId="20786" applyFont="true" borderId="8" applyBorder="true" applyNumberFormat="true" numFmtId="1" fillId="22" applyFill="true">
      <alignment horizontal="center" vertical="center"/>
    </xf>
    <xf fontId="20787" applyFont="true" borderId="8" applyBorder="true" applyNumberFormat="true" numFmtId="1" fillId="22" applyFill="true">
      <alignment horizontal="center" vertical="center"/>
    </xf>
    <xf fontId="20788" applyFont="true" borderId="8" applyBorder="true" applyNumberFormat="true" numFmtId="1" fillId="22" applyFill="true">
      <alignment horizontal="center" vertical="center"/>
    </xf>
    <xf fontId="20789" applyFont="true" borderId="8" applyBorder="true" applyNumberFormat="true" numFmtId="1" fillId="22" applyFill="true">
      <alignment horizontal="center" vertical="center"/>
    </xf>
    <xf fontId="20790" applyFont="true" borderId="8" applyBorder="true" applyNumberFormat="true" numFmtId="167" fillId="22" applyFill="true">
      <alignment horizontal="center" vertical="center"/>
    </xf>
    <xf fontId="20791" applyFont="true" borderId="8" applyBorder="true" applyNumberFormat="true" numFmtId="1" fillId="22" applyFill="true">
      <alignment horizontal="center" vertical="center"/>
    </xf>
    <xf fontId="20792" applyFont="true" borderId="8" applyBorder="true" applyNumberFormat="true" numFmtId="167" fillId="22" applyFill="true">
      <alignment horizontal="center" vertical="center"/>
    </xf>
    <xf fontId="20793" applyFont="true" borderId="8" applyBorder="true" applyNumberFormat="true" numFmtId="1" fillId="22" applyFill="true">
      <alignment horizontal="center" vertical="center"/>
    </xf>
    <xf fontId="20794" applyFont="true" borderId="8" applyBorder="true" applyNumberFormat="true" numFmtId="167" fillId="22" applyFill="true">
      <alignment horizontal="center" vertical="center"/>
    </xf>
    <xf fontId="20795" applyFont="true" borderId="8" applyBorder="true" applyNumberFormat="true" numFmtId="2" fillId="22" applyFill="true">
      <alignment horizontal="center" vertical="center"/>
    </xf>
    <xf fontId="20796" applyFont="true" borderId="8" applyBorder="true" applyNumberFormat="true" numFmtId="2" fillId="22" applyFill="true">
      <alignment horizontal="center" vertical="center"/>
    </xf>
    <xf fontId="20797" applyFont="true" borderId="8" applyBorder="true" applyNumberFormat="true" numFmtId="2" fillId="22" applyFill="true">
      <alignment horizontal="center" vertical="center"/>
    </xf>
    <xf fontId="20798" applyFont="true" borderId="8" applyBorder="true" applyNumberFormat="true" numFmtId="2" fillId="22" applyFill="true">
      <alignment horizontal="center" vertical="center"/>
    </xf>
    <xf fontId="20799" applyFont="true" borderId="8" applyBorder="true" applyNumberFormat="true" numFmtId="2" fillId="22" applyFill="true">
      <alignment horizontal="center" vertical="center"/>
    </xf>
    <xf fontId="20800" applyFont="true" borderId="8" applyBorder="true" applyNumberFormat="true" numFmtId="2" fillId="22" applyFill="true">
      <alignment horizontal="center" vertical="center"/>
    </xf>
    <xf fontId="20801" applyFont="true" borderId="8" applyBorder="true" applyNumberFormat="true" numFmtId="2" fillId="22" applyFill="true">
      <alignment horizontal="center" vertical="center"/>
    </xf>
    <xf fontId="20802" applyFont="true" borderId="8" applyBorder="true" applyNumberFormat="true" numFmtId="2" fillId="22" applyFill="true">
      <alignment horizontal="center" vertical="center"/>
    </xf>
    <xf fontId="20803" applyFont="true" borderId="8" applyBorder="true" applyNumberFormat="true" numFmtId="2" fillId="22" applyFill="true">
      <alignment horizontal="center" vertical="center"/>
    </xf>
    <xf fontId="20804" applyFont="true" borderId="8" applyBorder="true" applyNumberFormat="true" numFmtId="2" fillId="22" applyFill="true">
      <alignment horizontal="center" vertical="center"/>
    </xf>
    <xf fontId="20805" applyFont="true" borderId="8" applyBorder="true" applyNumberFormat="true" numFmtId="2" fillId="22" applyFill="true">
      <alignment horizontal="center" vertical="center"/>
    </xf>
    <xf fontId="20806" applyFont="true" borderId="8" applyBorder="true" applyNumberFormat="true" numFmtId="2" fillId="22" applyFill="true">
      <alignment horizontal="center" vertical="center"/>
    </xf>
    <xf fontId="20807" applyFont="true" borderId="8" applyBorder="true" applyNumberFormat="true" numFmtId="2" fillId="22" applyFill="true">
      <alignment horizontal="center" vertical="center"/>
    </xf>
    <xf fontId="20808" applyFont="true" borderId="8" applyBorder="true" applyNumberFormat="true" numFmtId="2" fillId="22" applyFill="true">
      <alignment horizontal="center" vertical="center"/>
    </xf>
    <xf fontId="20809" applyFont="true" borderId="8" applyBorder="true" applyNumberFormat="true" numFmtId="2" fillId="22" applyFill="true">
      <alignment horizontal="center" vertical="center"/>
    </xf>
    <xf fontId="20810" applyFont="true" borderId="8" applyBorder="true" applyNumberFormat="true" numFmtId="2" fillId="22" applyFill="true">
      <alignment horizontal="center" vertical="center"/>
    </xf>
    <xf fontId="20811" applyFont="true" borderId="8" applyBorder="true" applyNumberFormat="true" numFmtId="2" fillId="22" applyFill="true">
      <alignment horizontal="center" vertical="center"/>
    </xf>
    <xf fontId="20812" applyFont="true" borderId="8" applyBorder="true" applyNumberFormat="true" numFmtId="2" fillId="22" applyFill="true">
      <alignment horizontal="center" vertical="center"/>
    </xf>
    <xf fontId="20813" applyFont="true" borderId="8" applyBorder="true" applyNumberFormat="true" numFmtId="2" fillId="22" applyFill="true">
      <alignment horizontal="center" vertical="center"/>
    </xf>
    <xf fontId="20814" applyFont="true" borderId="8" applyBorder="true" applyNumberFormat="true" numFmtId="2" fillId="22" applyFill="true">
      <alignment horizontal="center" vertical="center"/>
    </xf>
    <xf fontId="20815" applyFont="true" borderId="8" applyBorder="true" applyNumberFormat="true" numFmtId="2" fillId="22" applyFill="true">
      <alignment horizontal="center" vertical="center"/>
    </xf>
    <xf fontId="20816" applyFont="true" borderId="8" applyBorder="true" applyNumberFormat="true" numFmtId="2" fillId="22" applyFill="true">
      <alignment horizontal="center" vertical="center"/>
    </xf>
    <xf fontId="20817" applyFont="true" borderId="8" applyBorder="true" applyNumberFormat="true" numFmtId="2" fillId="22" applyFill="true">
      <alignment horizontal="center" vertical="center"/>
    </xf>
    <xf fontId="20818" applyFont="true" borderId="8" applyBorder="true" applyNumberFormat="true" numFmtId="2" fillId="22" applyFill="true">
      <alignment horizontal="center" vertical="center"/>
    </xf>
    <xf fontId="20819" applyFont="true" borderId="8" applyBorder="true" applyNumberFormat="true" numFmtId="2" fillId="22" applyFill="true">
      <alignment horizontal="center" vertical="center"/>
    </xf>
    <xf fontId="20820" applyFont="true" borderId="8" applyBorder="true" applyNumberFormat="true" numFmtId="2" fillId="22" applyFill="true">
      <alignment horizontal="center" vertical="center"/>
    </xf>
    <xf fontId="20821" applyFont="true" borderId="8" applyBorder="true" applyNumberFormat="true" numFmtId="2" fillId="22" applyFill="true">
      <alignment horizontal="center" vertical="center"/>
    </xf>
    <xf fontId="20822" applyFont="true" borderId="8" applyBorder="true" applyNumberFormat="true" numFmtId="2" fillId="22" applyFill="true">
      <alignment horizontal="center" vertical="center"/>
    </xf>
    <xf fontId="20823" applyFont="true" borderId="8" applyBorder="true" applyNumberFormat="true" numFmtId="2" fillId="22" applyFill="true">
      <alignment horizontal="center" vertical="center"/>
    </xf>
    <xf fontId="20824" applyFont="true" borderId="8" applyBorder="true" applyNumberFormat="true" numFmtId="2" fillId="22" applyFill="true">
      <alignment horizontal="center" vertical="center"/>
    </xf>
    <xf fontId="20825" applyFont="true" borderId="8" applyBorder="true" applyNumberFormat="true" numFmtId="2" fillId="22" applyFill="true">
      <alignment horizontal="center" vertical="center"/>
    </xf>
    <xf fontId="20826" applyFont="true" borderId="8" applyBorder="true" applyNumberFormat="true" numFmtId="2" fillId="22" applyFill="true">
      <alignment horizontal="center" vertical="center"/>
    </xf>
    <xf fontId="20827" applyFont="true" borderId="8" applyBorder="true" applyNumberFormat="true" numFmtId="2" fillId="22" applyFill="true">
      <alignment horizontal="center" vertical="center"/>
    </xf>
    <xf fontId="20828" applyFont="true" borderId="8" applyBorder="true" applyNumberFormat="true" numFmtId="2" fillId="22" applyFill="true">
      <alignment horizontal="center" vertical="center"/>
    </xf>
    <xf fontId="20829" applyFont="true" borderId="8" applyBorder="true" applyNumberFormat="true" numFmtId="165" fillId="19" applyFill="true">
      <alignment horizontal="left" vertical="center"/>
    </xf>
    <xf fontId="20830" applyFont="true" borderId="8" applyBorder="true" applyNumberFormat="true" numFmtId="165" fillId="22" applyFill="true">
      <alignment horizontal="center" vertical="center"/>
    </xf>
    <xf fontId="20831" applyFont="true" borderId="8" applyBorder="true" applyNumberFormat="true" numFmtId="166" fillId="22" applyFill="true">
      <alignment horizontal="center" vertical="center"/>
    </xf>
    <xf fontId="20832" applyFont="true" borderId="8" applyBorder="true" applyNumberFormat="true" numFmtId="1" fillId="22" applyFill="true">
      <alignment horizontal="center" vertical="center"/>
    </xf>
    <xf fontId="20833" applyFont="true" borderId="8" applyBorder="true" applyNumberFormat="true" numFmtId="1" fillId="22" applyFill="true">
      <alignment horizontal="center" vertical="center"/>
    </xf>
    <xf fontId="20834" applyFont="true" borderId="8" applyBorder="true" applyNumberFormat="true" numFmtId="1" fillId="22" applyFill="true">
      <alignment horizontal="center" vertical="center"/>
    </xf>
    <xf fontId="20835" applyFont="true" borderId="8" applyBorder="true" applyNumberFormat="true" numFmtId="1" fillId="22" applyFill="true">
      <alignment horizontal="center" vertical="center"/>
    </xf>
    <xf fontId="20836" applyFont="true" borderId="8" applyBorder="true" applyNumberFormat="true" numFmtId="1" fillId="22" applyFill="true">
      <alignment horizontal="center" vertical="center"/>
    </xf>
    <xf fontId="20837" applyFont="true" borderId="8" applyBorder="true" applyNumberFormat="true" numFmtId="1" fillId="22" applyFill="true">
      <alignment horizontal="center" vertical="center"/>
    </xf>
    <xf fontId="20838" applyFont="true" borderId="8" applyBorder="true" applyNumberFormat="true" numFmtId="1" fillId="22" applyFill="true">
      <alignment horizontal="center" vertical="center"/>
    </xf>
    <xf fontId="20839" applyFont="true" borderId="8" applyBorder="true" applyNumberFormat="true" numFmtId="165" fillId="22" applyFill="true">
      <alignment horizontal="center" vertical="center"/>
    </xf>
    <xf fontId="20840" applyFont="true" borderId="8" applyBorder="true" applyNumberFormat="true" numFmtId="165" fillId="22" applyFill="true">
      <alignment horizontal="center" vertical="center"/>
    </xf>
    <xf fontId="20841" applyFont="true" borderId="8" applyBorder="true" applyNumberFormat="true" numFmtId="1" fillId="22" applyFill="true">
      <alignment horizontal="center" vertical="center"/>
    </xf>
    <xf fontId="20842" applyFont="true" borderId="8" applyBorder="true" applyNumberFormat="true" numFmtId="1" fillId="22" applyFill="true">
      <alignment horizontal="center" vertical="center"/>
    </xf>
    <xf fontId="20843" applyFont="true" borderId="8" applyBorder="true" applyNumberFormat="true" numFmtId="1" fillId="22" applyFill="true">
      <alignment horizontal="center" vertical="center"/>
    </xf>
    <xf fontId="20844" applyFont="true" borderId="8" applyBorder="true" applyNumberFormat="true" numFmtId="167" fillId="22" applyFill="true">
      <alignment horizontal="center" vertical="center"/>
    </xf>
    <xf fontId="20845" applyFont="true" borderId="8" applyBorder="true" applyNumberFormat="true" numFmtId="1" fillId="22" applyFill="true">
      <alignment horizontal="center" vertical="center"/>
    </xf>
    <xf fontId="20846" applyFont="true" borderId="8" applyBorder="true" applyNumberFormat="true" numFmtId="167" fillId="22" applyFill="true">
      <alignment horizontal="center" vertical="center"/>
    </xf>
    <xf fontId="20847" applyFont="true" borderId="8" applyBorder="true" applyNumberFormat="true" numFmtId="1" fillId="22" applyFill="true">
      <alignment horizontal="center" vertical="center"/>
    </xf>
    <xf fontId="20848" applyFont="true" borderId="8" applyBorder="true" applyNumberFormat="true" numFmtId="167" fillId="22" applyFill="true">
      <alignment horizontal="center" vertical="center"/>
    </xf>
    <xf fontId="20849" applyFont="true" borderId="8" applyBorder="true" applyNumberFormat="true" numFmtId="1" fillId="22" applyFill="true">
      <alignment horizontal="center" vertical="center"/>
    </xf>
    <xf fontId="20850" applyFont="true" borderId="8" applyBorder="true" applyNumberFormat="true" numFmtId="167" fillId="22" applyFill="true">
      <alignment horizontal="center" vertical="center"/>
    </xf>
    <xf fontId="20851" applyFont="true" borderId="8" applyBorder="true" applyNumberFormat="true" numFmtId="167" fillId="22" applyFill="true">
      <alignment horizontal="center" vertical="center"/>
    </xf>
    <xf fontId="20852" applyFont="true" borderId="8" applyBorder="true" applyNumberFormat="true" numFmtId="1" fillId="22" applyFill="true">
      <alignment horizontal="center" vertical="center"/>
    </xf>
    <xf fontId="20853" applyFont="true" borderId="8" applyBorder="true" applyNumberFormat="true" numFmtId="1" fillId="22" applyFill="true">
      <alignment horizontal="center" vertical="center"/>
    </xf>
    <xf fontId="20854" applyFont="true" borderId="8" applyBorder="true" applyNumberFormat="true" numFmtId="1" fillId="22" applyFill="true">
      <alignment horizontal="center" vertical="center"/>
    </xf>
    <xf fontId="20855" applyFont="true" borderId="8" applyBorder="true" applyNumberFormat="true" numFmtId="167" fillId="22" applyFill="true">
      <alignment horizontal="center" vertical="center"/>
    </xf>
    <xf fontId="20856" applyFont="true" borderId="8" applyBorder="true" applyNumberFormat="true" numFmtId="166" fillId="22" applyFill="true">
      <alignment horizontal="center" vertical="center"/>
    </xf>
    <xf fontId="20857" applyFont="true" borderId="8" applyBorder="true" applyNumberFormat="true" numFmtId="166" fillId="22" applyFill="true">
      <alignment horizontal="center" vertical="center"/>
    </xf>
    <xf fontId="20858" applyFont="true" borderId="8" applyBorder="true" applyNumberFormat="true" numFmtId="1" fillId="22" applyFill="true">
      <alignment horizontal="center" vertical="center"/>
    </xf>
    <xf fontId="20859" applyFont="true" borderId="8" applyBorder="true" applyNumberFormat="true" numFmtId="1" fillId="22" applyFill="true">
      <alignment horizontal="center" vertical="center"/>
    </xf>
    <xf fontId="20860" applyFont="true" borderId="8" applyBorder="true" applyNumberFormat="true" numFmtId="1" fillId="22" applyFill="true">
      <alignment horizontal="center" vertical="center"/>
    </xf>
    <xf fontId="20861" applyFont="true" borderId="8" applyBorder="true" applyNumberFormat="true" numFmtId="167" fillId="22" applyFill="true">
      <alignment horizontal="center" vertical="center"/>
    </xf>
    <xf fontId="20862" applyFont="true" borderId="8" applyBorder="true" applyNumberFormat="true" numFmtId="1" fillId="22" applyFill="true">
      <alignment horizontal="center" vertical="center"/>
    </xf>
    <xf fontId="20863" applyFont="true" borderId="8" applyBorder="true" applyNumberFormat="true" numFmtId="167" fillId="22" applyFill="true">
      <alignment horizontal="center" vertical="center"/>
    </xf>
    <xf fontId="20864" applyFont="true" borderId="8" applyBorder="true" applyNumberFormat="true" numFmtId="1" fillId="22" applyFill="true">
      <alignment horizontal="center" vertical="center"/>
    </xf>
    <xf fontId="20865" applyFont="true" borderId="8" applyBorder="true" applyNumberFormat="true" numFmtId="1" fillId="22" applyFill="true">
      <alignment horizontal="center" vertical="center"/>
    </xf>
    <xf fontId="20866" applyFont="true" borderId="8" applyBorder="true" applyNumberFormat="true" numFmtId="1" fillId="22" applyFill="true">
      <alignment horizontal="center" vertical="center"/>
    </xf>
    <xf fontId="20867" applyFont="true" borderId="8" applyBorder="true" applyNumberFormat="true" numFmtId="1" fillId="22" applyFill="true">
      <alignment horizontal="center" vertical="center"/>
    </xf>
    <xf fontId="20868" applyFont="true" borderId="8" applyBorder="true" applyNumberFormat="true" numFmtId="167" fillId="22" applyFill="true">
      <alignment horizontal="center" vertical="center"/>
    </xf>
    <xf fontId="20869" applyFont="true" borderId="8" applyBorder="true" applyNumberFormat="true" numFmtId="1" fillId="22" applyFill="true">
      <alignment horizontal="center" vertical="center"/>
    </xf>
    <xf fontId="20870" applyFont="true" borderId="8" applyBorder="true" applyNumberFormat="true" numFmtId="167" fillId="22" applyFill="true">
      <alignment horizontal="center" vertical="center"/>
    </xf>
    <xf fontId="20871" applyFont="true" borderId="8" applyBorder="true" applyNumberFormat="true" numFmtId="1" fillId="22" applyFill="true">
      <alignment horizontal="center" vertical="center"/>
    </xf>
    <xf fontId="20872" applyFont="true" borderId="8" applyBorder="true" applyNumberFormat="true" numFmtId="167" fillId="22" applyFill="true">
      <alignment horizontal="center" vertical="center"/>
    </xf>
    <xf fontId="20873" applyFont="true" borderId="8" applyBorder="true" applyNumberFormat="true" numFmtId="2" fillId="22" applyFill="true">
      <alignment horizontal="center" vertical="center"/>
    </xf>
    <xf fontId="20874" applyFont="true" borderId="8" applyBorder="true" applyNumberFormat="true" numFmtId="2" fillId="22" applyFill="true">
      <alignment horizontal="center" vertical="center"/>
    </xf>
    <xf fontId="20875" applyFont="true" borderId="8" applyBorder="true" applyNumberFormat="true" numFmtId="2" fillId="22" applyFill="true">
      <alignment horizontal="center" vertical="center"/>
    </xf>
    <xf fontId="20876" applyFont="true" borderId="8" applyBorder="true" applyNumberFormat="true" numFmtId="2" fillId="22" applyFill="true">
      <alignment horizontal="center" vertical="center"/>
    </xf>
    <xf fontId="20877" applyFont="true" borderId="8" applyBorder="true" applyNumberFormat="true" numFmtId="2" fillId="22" applyFill="true">
      <alignment horizontal="center" vertical="center"/>
    </xf>
    <xf fontId="20878" applyFont="true" borderId="8" applyBorder="true" applyNumberFormat="true" numFmtId="2" fillId="22" applyFill="true">
      <alignment horizontal="center" vertical="center"/>
    </xf>
    <xf fontId="20879" applyFont="true" borderId="8" applyBorder="true" applyNumberFormat="true" numFmtId="2" fillId="22" applyFill="true">
      <alignment horizontal="center" vertical="center"/>
    </xf>
    <xf fontId="20880" applyFont="true" borderId="8" applyBorder="true" applyNumberFormat="true" numFmtId="2" fillId="22" applyFill="true">
      <alignment horizontal="center" vertical="center"/>
    </xf>
    <xf fontId="20881" applyFont="true" borderId="8" applyBorder="true" applyNumberFormat="true" numFmtId="2" fillId="22" applyFill="true">
      <alignment horizontal="center" vertical="center"/>
    </xf>
    <xf fontId="20882" applyFont="true" borderId="8" applyBorder="true" applyNumberFormat="true" numFmtId="2" fillId="22" applyFill="true">
      <alignment horizontal="center" vertical="center"/>
    </xf>
    <xf fontId="20883" applyFont="true" borderId="8" applyBorder="true" applyNumberFormat="true" numFmtId="2" fillId="22" applyFill="true">
      <alignment horizontal="center" vertical="center"/>
    </xf>
    <xf fontId="20884" applyFont="true" borderId="8" applyBorder="true" applyNumberFormat="true" numFmtId="2" fillId="22" applyFill="true">
      <alignment horizontal="center" vertical="center"/>
    </xf>
    <xf fontId="20885" applyFont="true" borderId="8" applyBorder="true" applyNumberFormat="true" numFmtId="2" fillId="22" applyFill="true">
      <alignment horizontal="center" vertical="center"/>
    </xf>
    <xf fontId="20886" applyFont="true" borderId="8" applyBorder="true" applyNumberFormat="true" numFmtId="2" fillId="22" applyFill="true">
      <alignment horizontal="center" vertical="center"/>
    </xf>
    <xf fontId="20887" applyFont="true" borderId="8" applyBorder="true" applyNumberFormat="true" numFmtId="2" fillId="22" applyFill="true">
      <alignment horizontal="center" vertical="center"/>
    </xf>
    <xf fontId="20888" applyFont="true" borderId="8" applyBorder="true" applyNumberFormat="true" numFmtId="2" fillId="22" applyFill="true">
      <alignment horizontal="center" vertical="center"/>
    </xf>
    <xf fontId="20889" applyFont="true" borderId="8" applyBorder="true" applyNumberFormat="true" numFmtId="2" fillId="22" applyFill="true">
      <alignment horizontal="center" vertical="center"/>
    </xf>
    <xf fontId="20890" applyFont="true" borderId="8" applyBorder="true" applyNumberFormat="true" numFmtId="2" fillId="22" applyFill="true">
      <alignment horizontal="center" vertical="center"/>
    </xf>
    <xf fontId="20891" applyFont="true" borderId="8" applyBorder="true" applyNumberFormat="true" numFmtId="2" fillId="22" applyFill="true">
      <alignment horizontal="center" vertical="center"/>
    </xf>
    <xf fontId="20892" applyFont="true" borderId="8" applyBorder="true" applyNumberFormat="true" numFmtId="2" fillId="22" applyFill="true">
      <alignment horizontal="center" vertical="center"/>
    </xf>
    <xf fontId="20893" applyFont="true" borderId="8" applyBorder="true" applyNumberFormat="true" numFmtId="2" fillId="22" applyFill="true">
      <alignment horizontal="center" vertical="center"/>
    </xf>
    <xf fontId="20894" applyFont="true" borderId="8" applyBorder="true" applyNumberFormat="true" numFmtId="2" fillId="22" applyFill="true">
      <alignment horizontal="center" vertical="center"/>
    </xf>
    <xf fontId="20895" applyFont="true" borderId="8" applyBorder="true" applyNumberFormat="true" numFmtId="2" fillId="22" applyFill="true">
      <alignment horizontal="center" vertical="center"/>
    </xf>
    <xf fontId="20896" applyFont="true" borderId="8" applyBorder="true" applyNumberFormat="true" numFmtId="2" fillId="22" applyFill="true">
      <alignment horizontal="center" vertical="center"/>
    </xf>
    <xf fontId="20897" applyFont="true" borderId="8" applyBorder="true" applyNumberFormat="true" numFmtId="2" fillId="22" applyFill="true">
      <alignment horizontal="center" vertical="center"/>
    </xf>
    <xf fontId="20898" applyFont="true" borderId="8" applyBorder="true" applyNumberFormat="true" numFmtId="2" fillId="22" applyFill="true">
      <alignment horizontal="center" vertical="center"/>
    </xf>
    <xf fontId="20899" applyFont="true" borderId="8" applyBorder="true" applyNumberFormat="true" numFmtId="2" fillId="22" applyFill="true">
      <alignment horizontal="center" vertical="center"/>
    </xf>
    <xf fontId="20900" applyFont="true" borderId="8" applyBorder="true" applyNumberFormat="true" numFmtId="2" fillId="22" applyFill="true">
      <alignment horizontal="center" vertical="center"/>
    </xf>
    <xf fontId="20901" applyFont="true" borderId="8" applyBorder="true" applyNumberFormat="true" numFmtId="2" fillId="22" applyFill="true">
      <alignment horizontal="center" vertical="center"/>
    </xf>
    <xf fontId="20902" applyFont="true" borderId="8" applyBorder="true" applyNumberFormat="true" numFmtId="2" fillId="22" applyFill="true">
      <alignment horizontal="center" vertical="center"/>
    </xf>
    <xf fontId="20903" applyFont="true" borderId="8" applyBorder="true" applyNumberFormat="true" numFmtId="2" fillId="22" applyFill="true">
      <alignment horizontal="center" vertical="center"/>
    </xf>
    <xf fontId="20904" applyFont="true" borderId="8" applyBorder="true" applyNumberFormat="true" numFmtId="2" fillId="22" applyFill="true">
      <alignment horizontal="center" vertical="center"/>
    </xf>
    <xf fontId="20905" applyFont="true" borderId="8" applyBorder="true" applyNumberFormat="true" numFmtId="2" fillId="22" applyFill="true">
      <alignment horizontal="center" vertical="center"/>
    </xf>
    <xf fontId="20906" applyFont="true" borderId="8" applyBorder="true" applyNumberFormat="true" numFmtId="2" fillId="22" applyFill="true">
      <alignment horizontal="center" vertical="center"/>
    </xf>
    <xf fontId="20907" applyFont="true" borderId="8" applyBorder="true" applyNumberFormat="true" numFmtId="165" fillId="19" applyFill="true">
      <alignment horizontal="left" vertical="center"/>
    </xf>
    <xf fontId="20908" applyFont="true" borderId="8" applyBorder="true" applyNumberFormat="true" numFmtId="165" fillId="22" applyFill="true">
      <alignment horizontal="center" vertical="center"/>
    </xf>
    <xf fontId="20909" applyFont="true" borderId="8" applyBorder="true" applyNumberFormat="true" numFmtId="166" fillId="22" applyFill="true">
      <alignment horizontal="center" vertical="center"/>
    </xf>
    <xf fontId="20910" applyFont="true" borderId="8" applyBorder="true" applyNumberFormat="true" numFmtId="1" fillId="22" applyFill="true">
      <alignment horizontal="center" vertical="center"/>
    </xf>
    <xf fontId="20911" applyFont="true" borderId="8" applyBorder="true" applyNumberFormat="true" numFmtId="1" fillId="22" applyFill="true">
      <alignment horizontal="center" vertical="center"/>
    </xf>
    <xf fontId="20912" applyFont="true" borderId="8" applyBorder="true" applyNumberFormat="true" numFmtId="1" fillId="22" applyFill="true">
      <alignment horizontal="center" vertical="center"/>
    </xf>
    <xf fontId="20913" applyFont="true" borderId="8" applyBorder="true" applyNumberFormat="true" numFmtId="1" fillId="22" applyFill="true">
      <alignment horizontal="center" vertical="center"/>
    </xf>
    <xf fontId="20914" applyFont="true" borderId="8" applyBorder="true" applyNumberFormat="true" numFmtId="1" fillId="22" applyFill="true">
      <alignment horizontal="center" vertical="center"/>
    </xf>
    <xf fontId="20915" applyFont="true" borderId="8" applyBorder="true" applyNumberFormat="true" numFmtId="1" fillId="22" applyFill="true">
      <alignment horizontal="center" vertical="center"/>
    </xf>
    <xf fontId="20916" applyFont="true" borderId="8" applyBorder="true" applyNumberFormat="true" numFmtId="1" fillId="22" applyFill="true">
      <alignment horizontal="center" vertical="center"/>
    </xf>
    <xf fontId="20917" applyFont="true" borderId="8" applyBorder="true" applyNumberFormat="true" numFmtId="165" fillId="22" applyFill="true">
      <alignment horizontal="center" vertical="center"/>
    </xf>
    <xf fontId="20918" applyFont="true" borderId="8" applyBorder="true" applyNumberFormat="true" numFmtId="165" fillId="22" applyFill="true">
      <alignment horizontal="center" vertical="center"/>
    </xf>
    <xf fontId="20919" applyFont="true" borderId="8" applyBorder="true" applyNumberFormat="true" numFmtId="1" fillId="22" applyFill="true">
      <alignment horizontal="center" vertical="center"/>
    </xf>
    <xf fontId="20920" applyFont="true" borderId="8" applyBorder="true" applyNumberFormat="true" numFmtId="1" fillId="22" applyFill="true">
      <alignment horizontal="center" vertical="center"/>
    </xf>
    <xf fontId="20921" applyFont="true" borderId="8" applyBorder="true" applyNumberFormat="true" numFmtId="1" fillId="22" applyFill="true">
      <alignment horizontal="center" vertical="center"/>
    </xf>
    <xf fontId="20922" applyFont="true" borderId="8" applyBorder="true" applyNumberFormat="true" numFmtId="167" fillId="22" applyFill="true">
      <alignment horizontal="center" vertical="center"/>
    </xf>
    <xf fontId="20923" applyFont="true" borderId="8" applyBorder="true" applyNumberFormat="true" numFmtId="1" fillId="22" applyFill="true">
      <alignment horizontal="center" vertical="center"/>
    </xf>
    <xf fontId="20924" applyFont="true" borderId="8" applyBorder="true" applyNumberFormat="true" numFmtId="167" fillId="22" applyFill="true">
      <alignment horizontal="center" vertical="center"/>
    </xf>
    <xf fontId="20925" applyFont="true" borderId="8" applyBorder="true" applyNumberFormat="true" numFmtId="1" fillId="22" applyFill="true">
      <alignment horizontal="center" vertical="center"/>
    </xf>
    <xf fontId="20926" applyFont="true" borderId="8" applyBorder="true" applyNumberFormat="true" numFmtId="167" fillId="22" applyFill="true">
      <alignment horizontal="center" vertical="center"/>
    </xf>
    <xf fontId="20927" applyFont="true" borderId="8" applyBorder="true" applyNumberFormat="true" numFmtId="1" fillId="22" applyFill="true">
      <alignment horizontal="center" vertical="center"/>
    </xf>
    <xf fontId="20928" applyFont="true" borderId="8" applyBorder="true" applyNumberFormat="true" numFmtId="167" fillId="22" applyFill="true">
      <alignment horizontal="center" vertical="center"/>
    </xf>
    <xf fontId="20929" applyFont="true" borderId="8" applyBorder="true" applyNumberFormat="true" numFmtId="167" fillId="22" applyFill="true">
      <alignment horizontal="center" vertical="center"/>
    </xf>
    <xf fontId="20930" applyFont="true" borderId="8" applyBorder="true" applyNumberFormat="true" numFmtId="1" fillId="22" applyFill="true">
      <alignment horizontal="center" vertical="center"/>
    </xf>
    <xf fontId="20931" applyFont="true" borderId="8" applyBorder="true" applyNumberFormat="true" numFmtId="1" fillId="22" applyFill="true">
      <alignment horizontal="center" vertical="center"/>
    </xf>
    <xf fontId="20932" applyFont="true" borderId="8" applyBorder="true" applyNumberFormat="true" numFmtId="1" fillId="22" applyFill="true">
      <alignment horizontal="center" vertical="center"/>
    </xf>
    <xf fontId="20933" applyFont="true" borderId="8" applyBorder="true" applyNumberFormat="true" numFmtId="167" fillId="22" applyFill="true">
      <alignment horizontal="center" vertical="center"/>
    </xf>
    <xf fontId="20934" applyFont="true" borderId="8" applyBorder="true" applyNumberFormat="true" numFmtId="166" fillId="22" applyFill="true">
      <alignment horizontal="center" vertical="center"/>
    </xf>
    <xf fontId="20935" applyFont="true" borderId="8" applyBorder="true" applyNumberFormat="true" numFmtId="166" fillId="22" applyFill="true">
      <alignment horizontal="center" vertical="center"/>
    </xf>
    <xf fontId="20936" applyFont="true" borderId="8" applyBorder="true" applyNumberFormat="true" numFmtId="1" fillId="22" applyFill="true">
      <alignment horizontal="center" vertical="center"/>
    </xf>
    <xf fontId="20937" applyFont="true" borderId="8" applyBorder="true" applyNumberFormat="true" numFmtId="1" fillId="22" applyFill="true">
      <alignment horizontal="center" vertical="center"/>
    </xf>
    <xf fontId="20938" applyFont="true" borderId="8" applyBorder="true" applyNumberFormat="true" numFmtId="1" fillId="22" applyFill="true">
      <alignment horizontal="center" vertical="center"/>
    </xf>
    <xf fontId="20939" applyFont="true" borderId="8" applyBorder="true" applyNumberFormat="true" numFmtId="167" fillId="22" applyFill="true">
      <alignment horizontal="center" vertical="center"/>
    </xf>
    <xf fontId="20940" applyFont="true" borderId="8" applyBorder="true" applyNumberFormat="true" numFmtId="1" fillId="22" applyFill="true">
      <alignment horizontal="center" vertical="center"/>
    </xf>
    <xf fontId="20941" applyFont="true" borderId="8" applyBorder="true" applyNumberFormat="true" numFmtId="167" fillId="22" applyFill="true">
      <alignment horizontal="center" vertical="center"/>
    </xf>
    <xf fontId="20942" applyFont="true" borderId="8" applyBorder="true" applyNumberFormat="true" numFmtId="1" fillId="22" applyFill="true">
      <alignment horizontal="center" vertical="center"/>
    </xf>
    <xf fontId="20943" applyFont="true" borderId="8" applyBorder="true" applyNumberFormat="true" numFmtId="1" fillId="22" applyFill="true">
      <alignment horizontal="center" vertical="center"/>
    </xf>
    <xf fontId="20944" applyFont="true" borderId="8" applyBorder="true" applyNumberFormat="true" numFmtId="1" fillId="22" applyFill="true">
      <alignment horizontal="center" vertical="center"/>
    </xf>
    <xf fontId="20945" applyFont="true" borderId="8" applyBorder="true" applyNumberFormat="true" numFmtId="1" fillId="22" applyFill="true">
      <alignment horizontal="center" vertical="center"/>
    </xf>
    <xf fontId="20946" applyFont="true" borderId="8" applyBorder="true" applyNumberFormat="true" numFmtId="167" fillId="22" applyFill="true">
      <alignment horizontal="center" vertical="center"/>
    </xf>
    <xf fontId="20947" applyFont="true" borderId="8" applyBorder="true" applyNumberFormat="true" numFmtId="1" fillId="22" applyFill="true">
      <alignment horizontal="center" vertical="center"/>
    </xf>
    <xf fontId="20948" applyFont="true" borderId="8" applyBorder="true" applyNumberFormat="true" numFmtId="167" fillId="22" applyFill="true">
      <alignment horizontal="center" vertical="center"/>
    </xf>
    <xf fontId="20949" applyFont="true" borderId="8" applyBorder="true" applyNumberFormat="true" numFmtId="1" fillId="22" applyFill="true">
      <alignment horizontal="center" vertical="center"/>
    </xf>
    <xf fontId="20950" applyFont="true" borderId="8" applyBorder="true" applyNumberFormat="true" numFmtId="167" fillId="22" applyFill="true">
      <alignment horizontal="center" vertical="center"/>
    </xf>
    <xf fontId="20951" applyFont="true" borderId="8" applyBorder="true" applyNumberFormat="true" numFmtId="2" fillId="22" applyFill="true">
      <alignment horizontal="center" vertical="center"/>
    </xf>
    <xf fontId="20952" applyFont="true" borderId="8" applyBorder="true" applyNumberFormat="true" numFmtId="2" fillId="22" applyFill="true">
      <alignment horizontal="center" vertical="center"/>
    </xf>
    <xf fontId="20953" applyFont="true" borderId="8" applyBorder="true" applyNumberFormat="true" numFmtId="2" fillId="22" applyFill="true">
      <alignment horizontal="center" vertical="center"/>
    </xf>
    <xf fontId="20954" applyFont="true" borderId="8" applyBorder="true" applyNumberFormat="true" numFmtId="2" fillId="22" applyFill="true">
      <alignment horizontal="center" vertical="center"/>
    </xf>
    <xf fontId="20955" applyFont="true" borderId="8" applyBorder="true" applyNumberFormat="true" numFmtId="2" fillId="22" applyFill="true">
      <alignment horizontal="center" vertical="center"/>
    </xf>
    <xf fontId="20956" applyFont="true" borderId="8" applyBorder="true" applyNumberFormat="true" numFmtId="2" fillId="22" applyFill="true">
      <alignment horizontal="center" vertical="center"/>
    </xf>
    <xf fontId="20957" applyFont="true" borderId="8" applyBorder="true" applyNumberFormat="true" numFmtId="2" fillId="22" applyFill="true">
      <alignment horizontal="center" vertical="center"/>
    </xf>
    <xf fontId="20958" applyFont="true" borderId="8" applyBorder="true" applyNumberFormat="true" numFmtId="2" fillId="22" applyFill="true">
      <alignment horizontal="center" vertical="center"/>
    </xf>
    <xf fontId="20959" applyFont="true" borderId="8" applyBorder="true" applyNumberFormat="true" numFmtId="2" fillId="22" applyFill="true">
      <alignment horizontal="center" vertical="center"/>
    </xf>
    <xf fontId="20960" applyFont="true" borderId="8" applyBorder="true" applyNumberFormat="true" numFmtId="2" fillId="22" applyFill="true">
      <alignment horizontal="center" vertical="center"/>
    </xf>
    <xf fontId="20961" applyFont="true" borderId="8" applyBorder="true" applyNumberFormat="true" numFmtId="2" fillId="22" applyFill="true">
      <alignment horizontal="center" vertical="center"/>
    </xf>
    <xf fontId="20962" applyFont="true" borderId="8" applyBorder="true" applyNumberFormat="true" numFmtId="2" fillId="22" applyFill="true">
      <alignment horizontal="center" vertical="center"/>
    </xf>
    <xf fontId="20963" applyFont="true" borderId="8" applyBorder="true" applyNumberFormat="true" numFmtId="2" fillId="22" applyFill="true">
      <alignment horizontal="center" vertical="center"/>
    </xf>
    <xf fontId="20964" applyFont="true" borderId="8" applyBorder="true" applyNumberFormat="true" numFmtId="2" fillId="22" applyFill="true">
      <alignment horizontal="center" vertical="center"/>
    </xf>
    <xf fontId="20965" applyFont="true" borderId="8" applyBorder="true" applyNumberFormat="true" numFmtId="2" fillId="22" applyFill="true">
      <alignment horizontal="center" vertical="center"/>
    </xf>
    <xf fontId="20966" applyFont="true" borderId="8" applyBorder="true" applyNumberFormat="true" numFmtId="2" fillId="22" applyFill="true">
      <alignment horizontal="center" vertical="center"/>
    </xf>
    <xf fontId="20967" applyFont="true" borderId="8" applyBorder="true" applyNumberFormat="true" numFmtId="2" fillId="22" applyFill="true">
      <alignment horizontal="center" vertical="center"/>
    </xf>
    <xf fontId="20968" applyFont="true" borderId="8" applyBorder="true" applyNumberFormat="true" numFmtId="2" fillId="22" applyFill="true">
      <alignment horizontal="center" vertical="center"/>
    </xf>
    <xf fontId="20969" applyFont="true" borderId="8" applyBorder="true" applyNumberFormat="true" numFmtId="2" fillId="22" applyFill="true">
      <alignment horizontal="center" vertical="center"/>
    </xf>
    <xf fontId="20970" applyFont="true" borderId="8" applyBorder="true" applyNumberFormat="true" numFmtId="2" fillId="22" applyFill="true">
      <alignment horizontal="center" vertical="center"/>
    </xf>
    <xf fontId="20971" applyFont="true" borderId="8" applyBorder="true" applyNumberFormat="true" numFmtId="2" fillId="22" applyFill="true">
      <alignment horizontal="center" vertical="center"/>
    </xf>
    <xf fontId="20972" applyFont="true" borderId="8" applyBorder="true" applyNumberFormat="true" numFmtId="2" fillId="22" applyFill="true">
      <alignment horizontal="center" vertical="center"/>
    </xf>
    <xf fontId="20973" applyFont="true" borderId="8" applyBorder="true" applyNumberFormat="true" numFmtId="2" fillId="22" applyFill="true">
      <alignment horizontal="center" vertical="center"/>
    </xf>
    <xf fontId="20974" applyFont="true" borderId="8" applyBorder="true" applyNumberFormat="true" numFmtId="2" fillId="22" applyFill="true">
      <alignment horizontal="center" vertical="center"/>
    </xf>
    <xf fontId="20975" applyFont="true" borderId="8" applyBorder="true" applyNumberFormat="true" numFmtId="2" fillId="22" applyFill="true">
      <alignment horizontal="center" vertical="center"/>
    </xf>
    <xf fontId="20976" applyFont="true" borderId="8" applyBorder="true" applyNumberFormat="true" numFmtId="2" fillId="22" applyFill="true">
      <alignment horizontal="center" vertical="center"/>
    </xf>
    <xf fontId="20977" applyFont="true" borderId="8" applyBorder="true" applyNumberFormat="true" numFmtId="2" fillId="22" applyFill="true">
      <alignment horizontal="center" vertical="center"/>
    </xf>
    <xf fontId="20978" applyFont="true" borderId="8" applyBorder="true" applyNumberFormat="true" numFmtId="2" fillId="22" applyFill="true">
      <alignment horizontal="center" vertical="center"/>
    </xf>
    <xf fontId="20979" applyFont="true" borderId="8" applyBorder="true" applyNumberFormat="true" numFmtId="2" fillId="22" applyFill="true">
      <alignment horizontal="center" vertical="center"/>
    </xf>
    <xf fontId="20980" applyFont="true" borderId="8" applyBorder="true" applyNumberFormat="true" numFmtId="2" fillId="22" applyFill="true">
      <alignment horizontal="center" vertical="center"/>
    </xf>
    <xf fontId="20981" applyFont="true" borderId="8" applyBorder="true" applyNumberFormat="true" numFmtId="2" fillId="22" applyFill="true">
      <alignment horizontal="center" vertical="center"/>
    </xf>
    <xf fontId="20982" applyFont="true" borderId="8" applyBorder="true" applyNumberFormat="true" numFmtId="2" fillId="22" applyFill="true">
      <alignment horizontal="center" vertical="center"/>
    </xf>
    <xf fontId="20983" applyFont="true" borderId="8" applyBorder="true" applyNumberFormat="true" numFmtId="2" fillId="22" applyFill="true">
      <alignment horizontal="center" vertical="center"/>
    </xf>
    <xf fontId="20984" applyFont="true" borderId="8" applyBorder="true" applyNumberFormat="true" numFmtId="2" fillId="22" applyFill="true">
      <alignment horizontal="center" vertical="center"/>
    </xf>
    <xf fontId="20985" applyFont="true" borderId="8" applyBorder="true" applyNumberFormat="true" numFmtId="165" fillId="19" applyFill="true">
      <alignment horizontal="left" vertical="center"/>
    </xf>
    <xf fontId="20986" applyFont="true" borderId="8" applyBorder="true" applyNumberFormat="true" numFmtId="165" fillId="22" applyFill="true">
      <alignment horizontal="center" vertical="center"/>
    </xf>
    <xf fontId="20987" applyFont="true" borderId="8" applyBorder="true" applyNumberFormat="true" numFmtId="166" fillId="22" applyFill="true">
      <alignment horizontal="center" vertical="center"/>
    </xf>
    <xf fontId="20988" applyFont="true" borderId="8" applyBorder="true" applyNumberFormat="true" numFmtId="1" fillId="22" applyFill="true">
      <alignment horizontal="center" vertical="center"/>
    </xf>
    <xf fontId="20989" applyFont="true" borderId="8" applyBorder="true" applyNumberFormat="true" numFmtId="1" fillId="22" applyFill="true">
      <alignment horizontal="center" vertical="center"/>
    </xf>
    <xf fontId="20990" applyFont="true" borderId="8" applyBorder="true" applyNumberFormat="true" numFmtId="1" fillId="22" applyFill="true">
      <alignment horizontal="center" vertical="center"/>
    </xf>
    <xf fontId="20991" applyFont="true" borderId="8" applyBorder="true" applyNumberFormat="true" numFmtId="1" fillId="22" applyFill="true">
      <alignment horizontal="center" vertical="center"/>
    </xf>
    <xf fontId="20992" applyFont="true" borderId="8" applyBorder="true" applyNumberFormat="true" numFmtId="1" fillId="22" applyFill="true">
      <alignment horizontal="center" vertical="center"/>
    </xf>
    <xf fontId="20993" applyFont="true" borderId="8" applyBorder="true" applyNumberFormat="true" numFmtId="1" fillId="22" applyFill="true">
      <alignment horizontal="center" vertical="center"/>
    </xf>
    <xf fontId="20994" applyFont="true" borderId="8" applyBorder="true" applyNumberFormat="true" numFmtId="1" fillId="22" applyFill="true">
      <alignment horizontal="center" vertical="center"/>
    </xf>
    <xf fontId="20995" applyFont="true" borderId="8" applyBorder="true" applyNumberFormat="true" numFmtId="165" fillId="22" applyFill="true">
      <alignment horizontal="center" vertical="center"/>
    </xf>
    <xf fontId="20996" applyFont="true" borderId="8" applyBorder="true" applyNumberFormat="true" numFmtId="165" fillId="22" applyFill="true">
      <alignment horizontal="center" vertical="center"/>
    </xf>
    <xf fontId="20997" applyFont="true" borderId="8" applyBorder="true" applyNumberFormat="true" numFmtId="1" fillId="22" applyFill="true">
      <alignment horizontal="center" vertical="center"/>
    </xf>
    <xf fontId="20998" applyFont="true" borderId="8" applyBorder="true" applyNumberFormat="true" numFmtId="1" fillId="22" applyFill="true">
      <alignment horizontal="center" vertical="center"/>
    </xf>
    <xf fontId="20999" applyFont="true" borderId="8" applyBorder="true" applyNumberFormat="true" numFmtId="1" fillId="22" applyFill="true">
      <alignment horizontal="center" vertical="center"/>
    </xf>
    <xf fontId="21000" applyFont="true" borderId="8" applyBorder="true" applyNumberFormat="true" numFmtId="167" fillId="22" applyFill="true">
      <alignment horizontal="center" vertical="center"/>
    </xf>
    <xf fontId="21001" applyFont="true" borderId="8" applyBorder="true" applyNumberFormat="true" numFmtId="1" fillId="22" applyFill="true">
      <alignment horizontal="center" vertical="center"/>
    </xf>
    <xf fontId="21002" applyFont="true" borderId="8" applyBorder="true" applyNumberFormat="true" numFmtId="167" fillId="22" applyFill="true">
      <alignment horizontal="center" vertical="center"/>
    </xf>
    <xf fontId="21003" applyFont="true" borderId="8" applyBorder="true" applyNumberFormat="true" numFmtId="1" fillId="22" applyFill="true">
      <alignment horizontal="center" vertical="center"/>
    </xf>
    <xf fontId="21004" applyFont="true" borderId="8" applyBorder="true" applyNumberFormat="true" numFmtId="167" fillId="22" applyFill="true">
      <alignment horizontal="center" vertical="center"/>
    </xf>
    <xf fontId="21005" applyFont="true" borderId="8" applyBorder="true" applyNumberFormat="true" numFmtId="1" fillId="22" applyFill="true">
      <alignment horizontal="center" vertical="center"/>
    </xf>
    <xf fontId="21006" applyFont="true" borderId="8" applyBorder="true" applyNumberFormat="true" numFmtId="167" fillId="22" applyFill="true">
      <alignment horizontal="center" vertical="center"/>
    </xf>
    <xf fontId="21007" applyFont="true" borderId="8" applyBorder="true" applyNumberFormat="true" numFmtId="167" fillId="22" applyFill="true">
      <alignment horizontal="center" vertical="center"/>
    </xf>
    <xf fontId="21008" applyFont="true" borderId="8" applyBorder="true" applyNumberFormat="true" numFmtId="1" fillId="22" applyFill="true">
      <alignment horizontal="center" vertical="center"/>
    </xf>
    <xf fontId="21009" applyFont="true" borderId="8" applyBorder="true" applyNumberFormat="true" numFmtId="1" fillId="22" applyFill="true">
      <alignment horizontal="center" vertical="center"/>
    </xf>
    <xf fontId="21010" applyFont="true" borderId="8" applyBorder="true" applyNumberFormat="true" numFmtId="1" fillId="22" applyFill="true">
      <alignment horizontal="center" vertical="center"/>
    </xf>
    <xf fontId="21011" applyFont="true" borderId="8" applyBorder="true" applyNumberFormat="true" numFmtId="167" fillId="22" applyFill="true">
      <alignment horizontal="center" vertical="center"/>
    </xf>
    <xf fontId="21012" applyFont="true" borderId="8" applyBorder="true" applyNumberFormat="true" numFmtId="166" fillId="22" applyFill="true">
      <alignment horizontal="center" vertical="center"/>
    </xf>
    <xf fontId="21013" applyFont="true" borderId="8" applyBorder="true" applyNumberFormat="true" numFmtId="166" fillId="22" applyFill="true">
      <alignment horizontal="center" vertical="center"/>
    </xf>
    <xf fontId="21014" applyFont="true" borderId="8" applyBorder="true" applyNumberFormat="true" numFmtId="1" fillId="22" applyFill="true">
      <alignment horizontal="center" vertical="center"/>
    </xf>
    <xf fontId="21015" applyFont="true" borderId="8" applyBorder="true" applyNumberFormat="true" numFmtId="1" fillId="22" applyFill="true">
      <alignment horizontal="center" vertical="center"/>
    </xf>
    <xf fontId="21016" applyFont="true" borderId="8" applyBorder="true" applyNumberFormat="true" numFmtId="1" fillId="22" applyFill="true">
      <alignment horizontal="center" vertical="center"/>
    </xf>
    <xf fontId="21017" applyFont="true" borderId="8" applyBorder="true" applyNumberFormat="true" numFmtId="167" fillId="22" applyFill="true">
      <alignment horizontal="center" vertical="center"/>
    </xf>
    <xf fontId="21018" applyFont="true" borderId="8" applyBorder="true" applyNumberFormat="true" numFmtId="1" fillId="22" applyFill="true">
      <alignment horizontal="center" vertical="center"/>
    </xf>
    <xf fontId="21019" applyFont="true" borderId="8" applyBorder="true" applyNumberFormat="true" numFmtId="167" fillId="22" applyFill="true">
      <alignment horizontal="center" vertical="center"/>
    </xf>
    <xf fontId="21020" applyFont="true" borderId="8" applyBorder="true" applyNumberFormat="true" numFmtId="1" fillId="22" applyFill="true">
      <alignment horizontal="center" vertical="center"/>
    </xf>
    <xf fontId="21021" applyFont="true" borderId="8" applyBorder="true" applyNumberFormat="true" numFmtId="1" fillId="22" applyFill="true">
      <alignment horizontal="center" vertical="center"/>
    </xf>
    <xf fontId="21022" applyFont="true" borderId="8" applyBorder="true" applyNumberFormat="true" numFmtId="1" fillId="22" applyFill="true">
      <alignment horizontal="center" vertical="center"/>
    </xf>
    <xf fontId="21023" applyFont="true" borderId="8" applyBorder="true" applyNumberFormat="true" numFmtId="1" fillId="22" applyFill="true">
      <alignment horizontal="center" vertical="center"/>
    </xf>
    <xf fontId="21024" applyFont="true" borderId="8" applyBorder="true" applyNumberFormat="true" numFmtId="167" fillId="22" applyFill="true">
      <alignment horizontal="center" vertical="center"/>
    </xf>
    <xf fontId="21025" applyFont="true" borderId="8" applyBorder="true" applyNumberFormat="true" numFmtId="1" fillId="22" applyFill="true">
      <alignment horizontal="center" vertical="center"/>
    </xf>
    <xf fontId="21026" applyFont="true" borderId="8" applyBorder="true" applyNumberFormat="true" numFmtId="167" fillId="22" applyFill="true">
      <alignment horizontal="center" vertical="center"/>
    </xf>
    <xf fontId="21027" applyFont="true" borderId="8" applyBorder="true" applyNumberFormat="true" numFmtId="1" fillId="22" applyFill="true">
      <alignment horizontal="center" vertical="center"/>
    </xf>
    <xf fontId="21028" applyFont="true" borderId="8" applyBorder="true" applyNumberFormat="true" numFmtId="167" fillId="22" applyFill="true">
      <alignment horizontal="center" vertical="center"/>
    </xf>
    <xf fontId="21029" applyFont="true" borderId="8" applyBorder="true" applyNumberFormat="true" numFmtId="2" fillId="22" applyFill="true">
      <alignment horizontal="center" vertical="center"/>
    </xf>
    <xf fontId="21030" applyFont="true" borderId="8" applyBorder="true" applyNumberFormat="true" numFmtId="2" fillId="22" applyFill="true">
      <alignment horizontal="center" vertical="center"/>
    </xf>
    <xf fontId="21031" applyFont="true" borderId="8" applyBorder="true" applyNumberFormat="true" numFmtId="2" fillId="22" applyFill="true">
      <alignment horizontal="center" vertical="center"/>
    </xf>
    <xf fontId="21032" applyFont="true" borderId="8" applyBorder="true" applyNumberFormat="true" numFmtId="2" fillId="22" applyFill="true">
      <alignment horizontal="center" vertical="center"/>
    </xf>
    <xf fontId="21033" applyFont="true" borderId="8" applyBorder="true" applyNumberFormat="true" numFmtId="2" fillId="22" applyFill="true">
      <alignment horizontal="center" vertical="center"/>
    </xf>
    <xf fontId="21034" applyFont="true" borderId="8" applyBorder="true" applyNumberFormat="true" numFmtId="2" fillId="22" applyFill="true">
      <alignment horizontal="center" vertical="center"/>
    </xf>
    <xf fontId="21035" applyFont="true" borderId="8" applyBorder="true" applyNumberFormat="true" numFmtId="2" fillId="22" applyFill="true">
      <alignment horizontal="center" vertical="center"/>
    </xf>
    <xf fontId="21036" applyFont="true" borderId="8" applyBorder="true" applyNumberFormat="true" numFmtId="2" fillId="22" applyFill="true">
      <alignment horizontal="center" vertical="center"/>
    </xf>
    <xf fontId="21037" applyFont="true" borderId="8" applyBorder="true" applyNumberFormat="true" numFmtId="2" fillId="22" applyFill="true">
      <alignment horizontal="center" vertical="center"/>
    </xf>
    <xf fontId="21038" applyFont="true" borderId="8" applyBorder="true" applyNumberFormat="true" numFmtId="2" fillId="22" applyFill="true">
      <alignment horizontal="center" vertical="center"/>
    </xf>
    <xf fontId="21039" applyFont="true" borderId="8" applyBorder="true" applyNumberFormat="true" numFmtId="2" fillId="22" applyFill="true">
      <alignment horizontal="center" vertical="center"/>
    </xf>
    <xf fontId="21040" applyFont="true" borderId="8" applyBorder="true" applyNumberFormat="true" numFmtId="2" fillId="22" applyFill="true">
      <alignment horizontal="center" vertical="center"/>
    </xf>
    <xf fontId="21041" applyFont="true" borderId="8" applyBorder="true" applyNumberFormat="true" numFmtId="2" fillId="22" applyFill="true">
      <alignment horizontal="center" vertical="center"/>
    </xf>
    <xf fontId="21042" applyFont="true" borderId="8" applyBorder="true" applyNumberFormat="true" numFmtId="2" fillId="22" applyFill="true">
      <alignment horizontal="center" vertical="center"/>
    </xf>
    <xf fontId="21043" applyFont="true" borderId="8" applyBorder="true" applyNumberFormat="true" numFmtId="2" fillId="22" applyFill="true">
      <alignment horizontal="center" vertical="center"/>
    </xf>
    <xf fontId="21044" applyFont="true" borderId="8" applyBorder="true" applyNumberFormat="true" numFmtId="2" fillId="22" applyFill="true">
      <alignment horizontal="center" vertical="center"/>
    </xf>
    <xf fontId="21045" applyFont="true" borderId="8" applyBorder="true" applyNumberFormat="true" numFmtId="2" fillId="22" applyFill="true">
      <alignment horizontal="center" vertical="center"/>
    </xf>
    <xf fontId="21046" applyFont="true" borderId="8" applyBorder="true" applyNumberFormat="true" numFmtId="2" fillId="22" applyFill="true">
      <alignment horizontal="center" vertical="center"/>
    </xf>
    <xf fontId="21047" applyFont="true" borderId="8" applyBorder="true" applyNumberFormat="true" numFmtId="2" fillId="22" applyFill="true">
      <alignment horizontal="center" vertical="center"/>
    </xf>
    <xf fontId="21048" applyFont="true" borderId="8" applyBorder="true" applyNumberFormat="true" numFmtId="2" fillId="22" applyFill="true">
      <alignment horizontal="center" vertical="center"/>
    </xf>
    <xf fontId="21049" applyFont="true" borderId="8" applyBorder="true" applyNumberFormat="true" numFmtId="2" fillId="22" applyFill="true">
      <alignment horizontal="center" vertical="center"/>
    </xf>
    <xf fontId="21050" applyFont="true" borderId="8" applyBorder="true" applyNumberFormat="true" numFmtId="2" fillId="22" applyFill="true">
      <alignment horizontal="center" vertical="center"/>
    </xf>
    <xf fontId="21051" applyFont="true" borderId="8" applyBorder="true" applyNumberFormat="true" numFmtId="2" fillId="22" applyFill="true">
      <alignment horizontal="center" vertical="center"/>
    </xf>
    <xf fontId="21052" applyFont="true" borderId="8" applyBorder="true" applyNumberFormat="true" numFmtId="2" fillId="22" applyFill="true">
      <alignment horizontal="center" vertical="center"/>
    </xf>
    <xf fontId="21053" applyFont="true" borderId="8" applyBorder="true" applyNumberFormat="true" numFmtId="2" fillId="22" applyFill="true">
      <alignment horizontal="center" vertical="center"/>
    </xf>
    <xf fontId="21054" applyFont="true" borderId="8" applyBorder="true" applyNumberFormat="true" numFmtId="2" fillId="22" applyFill="true">
      <alignment horizontal="center" vertical="center"/>
    </xf>
    <xf fontId="21055" applyFont="true" borderId="8" applyBorder="true" applyNumberFormat="true" numFmtId="2" fillId="22" applyFill="true">
      <alignment horizontal="center" vertical="center"/>
    </xf>
    <xf fontId="21056" applyFont="true" borderId="8" applyBorder="true" applyNumberFormat="true" numFmtId="2" fillId="22" applyFill="true">
      <alignment horizontal="center" vertical="center"/>
    </xf>
    <xf fontId="21057" applyFont="true" borderId="8" applyBorder="true" applyNumberFormat="true" numFmtId="2" fillId="22" applyFill="true">
      <alignment horizontal="center" vertical="center"/>
    </xf>
    <xf fontId="21058" applyFont="true" borderId="8" applyBorder="true" applyNumberFormat="true" numFmtId="2" fillId="22" applyFill="true">
      <alignment horizontal="center" vertical="center"/>
    </xf>
    <xf fontId="21059" applyFont="true" borderId="8" applyBorder="true" applyNumberFormat="true" numFmtId="2" fillId="22" applyFill="true">
      <alignment horizontal="center" vertical="center"/>
    </xf>
    <xf fontId="21060" applyFont="true" borderId="8" applyBorder="true" applyNumberFormat="true" numFmtId="2" fillId="22" applyFill="true">
      <alignment horizontal="center" vertical="center"/>
    </xf>
    <xf fontId="21061" applyFont="true" borderId="8" applyBorder="true" applyNumberFormat="true" numFmtId="2" fillId="22" applyFill="true">
      <alignment horizontal="center" vertical="center"/>
    </xf>
    <xf fontId="21062" applyFont="true" borderId="8" applyBorder="true" applyNumberFormat="true" numFmtId="2" fillId="22" applyFill="true">
      <alignment horizontal="center" vertical="center"/>
    </xf>
    <xf fontId="21063" applyFont="true" borderId="8" applyBorder="true" applyNumberFormat="true" numFmtId="165" fillId="19" applyFill="true">
      <alignment horizontal="left" vertical="center"/>
    </xf>
    <xf fontId="21064" applyFont="true" borderId="8" applyBorder="true" applyNumberFormat="true" numFmtId="165" fillId="22" applyFill="true">
      <alignment horizontal="center" vertical="center"/>
    </xf>
    <xf fontId="21065" applyFont="true" borderId="8" applyBorder="true" applyNumberFormat="true" numFmtId="166" fillId="22" applyFill="true">
      <alignment horizontal="center" vertical="center"/>
    </xf>
    <xf fontId="21066" applyFont="true" borderId="8" applyBorder="true" applyNumberFormat="true" numFmtId="1" fillId="22" applyFill="true">
      <alignment horizontal="center" vertical="center"/>
    </xf>
    <xf fontId="21067" applyFont="true" borderId="8" applyBorder="true" applyNumberFormat="true" numFmtId="1" fillId="22" applyFill="true">
      <alignment horizontal="center" vertical="center"/>
    </xf>
    <xf fontId="21068" applyFont="true" borderId="8" applyBorder="true" applyNumberFormat="true" numFmtId="1" fillId="22" applyFill="true">
      <alignment horizontal="center" vertical="center"/>
    </xf>
    <xf fontId="21069" applyFont="true" borderId="8" applyBorder="true" applyNumberFormat="true" numFmtId="1" fillId="22" applyFill="true">
      <alignment horizontal="center" vertical="center"/>
    </xf>
    <xf fontId="21070" applyFont="true" borderId="8" applyBorder="true" applyNumberFormat="true" numFmtId="1" fillId="22" applyFill="true">
      <alignment horizontal="center" vertical="center"/>
    </xf>
    <xf fontId="21071" applyFont="true" borderId="8" applyBorder="true" applyNumberFormat="true" numFmtId="1" fillId="22" applyFill="true">
      <alignment horizontal="center" vertical="center"/>
    </xf>
    <xf fontId="21072" applyFont="true" borderId="8" applyBorder="true" applyNumberFormat="true" numFmtId="1" fillId="22" applyFill="true">
      <alignment horizontal="center" vertical="center"/>
    </xf>
    <xf fontId="21073" applyFont="true" borderId="8" applyBorder="true" applyNumberFormat="true" numFmtId="165" fillId="22" applyFill="true">
      <alignment horizontal="center" vertical="center"/>
    </xf>
    <xf fontId="21074" applyFont="true" borderId="8" applyBorder="true" applyNumberFormat="true" numFmtId="165" fillId="22" applyFill="true">
      <alignment horizontal="center" vertical="center"/>
    </xf>
    <xf fontId="21075" applyFont="true" borderId="8" applyBorder="true" applyNumberFormat="true" numFmtId="1" fillId="22" applyFill="true">
      <alignment horizontal="center" vertical="center"/>
    </xf>
    <xf fontId="21076" applyFont="true" borderId="8" applyBorder="true" applyNumberFormat="true" numFmtId="1" fillId="22" applyFill="true">
      <alignment horizontal="center" vertical="center"/>
    </xf>
    <xf fontId="21077" applyFont="true" borderId="8" applyBorder="true" applyNumberFormat="true" numFmtId="1" fillId="22" applyFill="true">
      <alignment horizontal="center" vertical="center"/>
    </xf>
    <xf fontId="21078" applyFont="true" borderId="8" applyBorder="true" applyNumberFormat="true" numFmtId="167" fillId="22" applyFill="true">
      <alignment horizontal="center" vertical="center"/>
    </xf>
    <xf fontId="21079" applyFont="true" borderId="8" applyBorder="true" applyNumberFormat="true" numFmtId="1" fillId="22" applyFill="true">
      <alignment horizontal="center" vertical="center"/>
    </xf>
    <xf fontId="21080" applyFont="true" borderId="8" applyBorder="true" applyNumberFormat="true" numFmtId="167" fillId="22" applyFill="true">
      <alignment horizontal="center" vertical="center"/>
    </xf>
    <xf fontId="21081" applyFont="true" borderId="8" applyBorder="true" applyNumberFormat="true" numFmtId="1" fillId="22" applyFill="true">
      <alignment horizontal="center" vertical="center"/>
    </xf>
    <xf fontId="21082" applyFont="true" borderId="8" applyBorder="true" applyNumberFormat="true" numFmtId="167" fillId="22" applyFill="true">
      <alignment horizontal="center" vertical="center"/>
    </xf>
    <xf fontId="21083" applyFont="true" borderId="8" applyBorder="true" applyNumberFormat="true" numFmtId="1" fillId="22" applyFill="true">
      <alignment horizontal="center" vertical="center"/>
    </xf>
    <xf fontId="21084" applyFont="true" borderId="8" applyBorder="true" applyNumberFormat="true" numFmtId="167" fillId="22" applyFill="true">
      <alignment horizontal="center" vertical="center"/>
    </xf>
    <xf fontId="21085" applyFont="true" borderId="8" applyBorder="true" applyNumberFormat="true" numFmtId="167" fillId="22" applyFill="true">
      <alignment horizontal="center" vertical="center"/>
    </xf>
    <xf fontId="21086" applyFont="true" borderId="8" applyBorder="true" applyNumberFormat="true" numFmtId="1" fillId="22" applyFill="true">
      <alignment horizontal="center" vertical="center"/>
    </xf>
    <xf fontId="21087" applyFont="true" borderId="8" applyBorder="true" applyNumberFormat="true" numFmtId="1" fillId="22" applyFill="true">
      <alignment horizontal="center" vertical="center"/>
    </xf>
    <xf fontId="21088" applyFont="true" borderId="8" applyBorder="true" applyNumberFormat="true" numFmtId="1" fillId="22" applyFill="true">
      <alignment horizontal="center" vertical="center"/>
    </xf>
    <xf fontId="21089" applyFont="true" borderId="8" applyBorder="true" applyNumberFormat="true" numFmtId="167" fillId="22" applyFill="true">
      <alignment horizontal="center" vertical="center"/>
    </xf>
    <xf fontId="21090" applyFont="true" borderId="8" applyBorder="true" applyNumberFormat="true" numFmtId="166" fillId="22" applyFill="true">
      <alignment horizontal="center" vertical="center"/>
    </xf>
    <xf fontId="21091" applyFont="true" borderId="8" applyBorder="true" applyNumberFormat="true" numFmtId="166" fillId="22" applyFill="true">
      <alignment horizontal="center" vertical="center"/>
    </xf>
    <xf fontId="21092" applyFont="true" borderId="8" applyBorder="true" applyNumberFormat="true" numFmtId="1" fillId="22" applyFill="true">
      <alignment horizontal="center" vertical="center"/>
    </xf>
    <xf fontId="21093" applyFont="true" borderId="8" applyBorder="true" applyNumberFormat="true" numFmtId="1" fillId="22" applyFill="true">
      <alignment horizontal="center" vertical="center"/>
    </xf>
    <xf fontId="21094" applyFont="true" borderId="8" applyBorder="true" applyNumberFormat="true" numFmtId="1" fillId="22" applyFill="true">
      <alignment horizontal="center" vertical="center"/>
    </xf>
    <xf fontId="21095" applyFont="true" borderId="8" applyBorder="true" applyNumberFormat="true" numFmtId="167" fillId="22" applyFill="true">
      <alignment horizontal="center" vertical="center"/>
    </xf>
    <xf fontId="21096" applyFont="true" borderId="8" applyBorder="true" applyNumberFormat="true" numFmtId="1" fillId="22" applyFill="true">
      <alignment horizontal="center" vertical="center"/>
    </xf>
    <xf fontId="21097" applyFont="true" borderId="8" applyBorder="true" applyNumberFormat="true" numFmtId="167" fillId="22" applyFill="true">
      <alignment horizontal="center" vertical="center"/>
    </xf>
    <xf fontId="21098" applyFont="true" borderId="8" applyBorder="true" applyNumberFormat="true" numFmtId="1" fillId="22" applyFill="true">
      <alignment horizontal="center" vertical="center"/>
    </xf>
    <xf fontId="21099" applyFont="true" borderId="8" applyBorder="true" applyNumberFormat="true" numFmtId="1" fillId="22" applyFill="true">
      <alignment horizontal="center" vertical="center"/>
    </xf>
    <xf fontId="21100" applyFont="true" borderId="8" applyBorder="true" applyNumberFormat="true" numFmtId="1" fillId="22" applyFill="true">
      <alignment horizontal="center" vertical="center"/>
    </xf>
    <xf fontId="21101" applyFont="true" borderId="8" applyBorder="true" applyNumberFormat="true" numFmtId="1" fillId="22" applyFill="true">
      <alignment horizontal="center" vertical="center"/>
    </xf>
    <xf fontId="21102" applyFont="true" borderId="8" applyBorder="true" applyNumberFormat="true" numFmtId="167" fillId="22" applyFill="true">
      <alignment horizontal="center" vertical="center"/>
    </xf>
    <xf fontId="21103" applyFont="true" borderId="8" applyBorder="true" applyNumberFormat="true" numFmtId="1" fillId="22" applyFill="true">
      <alignment horizontal="center" vertical="center"/>
    </xf>
    <xf fontId="21104" applyFont="true" borderId="8" applyBorder="true" applyNumberFormat="true" numFmtId="167" fillId="22" applyFill="true">
      <alignment horizontal="center" vertical="center"/>
    </xf>
    <xf fontId="21105" applyFont="true" borderId="8" applyBorder="true" applyNumberFormat="true" numFmtId="1" fillId="22" applyFill="true">
      <alignment horizontal="center" vertical="center"/>
    </xf>
    <xf fontId="21106" applyFont="true" borderId="8" applyBorder="true" applyNumberFormat="true" numFmtId="167" fillId="22" applyFill="true">
      <alignment horizontal="center" vertical="center"/>
    </xf>
    <xf fontId="21107" applyFont="true" borderId="8" applyBorder="true" applyNumberFormat="true" numFmtId="2" fillId="22" applyFill="true">
      <alignment horizontal="center" vertical="center"/>
    </xf>
    <xf fontId="21108" applyFont="true" borderId="8" applyBorder="true" applyNumberFormat="true" numFmtId="2" fillId="22" applyFill="true">
      <alignment horizontal="center" vertical="center"/>
    </xf>
    <xf fontId="21109" applyFont="true" borderId="8" applyBorder="true" applyNumberFormat="true" numFmtId="2" fillId="22" applyFill="true">
      <alignment horizontal="center" vertical="center"/>
    </xf>
    <xf fontId="21110" applyFont="true" borderId="8" applyBorder="true" applyNumberFormat="true" numFmtId="2" fillId="22" applyFill="true">
      <alignment horizontal="center" vertical="center"/>
    </xf>
    <xf fontId="21111" applyFont="true" borderId="8" applyBorder="true" applyNumberFormat="true" numFmtId="2" fillId="22" applyFill="true">
      <alignment horizontal="center" vertical="center"/>
    </xf>
    <xf fontId="21112" applyFont="true" borderId="8" applyBorder="true" applyNumberFormat="true" numFmtId="2" fillId="22" applyFill="true">
      <alignment horizontal="center" vertical="center"/>
    </xf>
    <xf fontId="21113" applyFont="true" borderId="8" applyBorder="true" applyNumberFormat="true" numFmtId="2" fillId="22" applyFill="true">
      <alignment horizontal="center" vertical="center"/>
    </xf>
    <xf fontId="21114" applyFont="true" borderId="8" applyBorder="true" applyNumberFormat="true" numFmtId="2" fillId="22" applyFill="true">
      <alignment horizontal="center" vertical="center"/>
    </xf>
    <xf fontId="21115" applyFont="true" borderId="8" applyBorder="true" applyNumberFormat="true" numFmtId="2" fillId="22" applyFill="true">
      <alignment horizontal="center" vertical="center"/>
    </xf>
    <xf fontId="21116" applyFont="true" borderId="8" applyBorder="true" applyNumberFormat="true" numFmtId="2" fillId="22" applyFill="true">
      <alignment horizontal="center" vertical="center"/>
    </xf>
    <xf fontId="21117" applyFont="true" borderId="8" applyBorder="true" applyNumberFormat="true" numFmtId="2" fillId="22" applyFill="true">
      <alignment horizontal="center" vertical="center"/>
    </xf>
    <xf fontId="21118" applyFont="true" borderId="8" applyBorder="true" applyNumberFormat="true" numFmtId="2" fillId="22" applyFill="true">
      <alignment horizontal="center" vertical="center"/>
    </xf>
    <xf fontId="21119" applyFont="true" borderId="8" applyBorder="true" applyNumberFormat="true" numFmtId="2" fillId="22" applyFill="true">
      <alignment horizontal="center" vertical="center"/>
    </xf>
    <xf fontId="21120" applyFont="true" borderId="8" applyBorder="true" applyNumberFormat="true" numFmtId="2" fillId="22" applyFill="true">
      <alignment horizontal="center" vertical="center"/>
    </xf>
    <xf fontId="21121" applyFont="true" borderId="8" applyBorder="true" applyNumberFormat="true" numFmtId="2" fillId="22" applyFill="true">
      <alignment horizontal="center" vertical="center"/>
    </xf>
    <xf fontId="21122" applyFont="true" borderId="8" applyBorder="true" applyNumberFormat="true" numFmtId="2" fillId="22" applyFill="true">
      <alignment horizontal="center" vertical="center"/>
    </xf>
    <xf fontId="21123" applyFont="true" borderId="8" applyBorder="true" applyNumberFormat="true" numFmtId="2" fillId="22" applyFill="true">
      <alignment horizontal="center" vertical="center"/>
    </xf>
    <xf fontId="21124" applyFont="true" borderId="8" applyBorder="true" applyNumberFormat="true" numFmtId="2" fillId="22" applyFill="true">
      <alignment horizontal="center" vertical="center"/>
    </xf>
    <xf fontId="21125" applyFont="true" borderId="8" applyBorder="true" applyNumberFormat="true" numFmtId="2" fillId="22" applyFill="true">
      <alignment horizontal="center" vertical="center"/>
    </xf>
    <xf fontId="21126" applyFont="true" borderId="8" applyBorder="true" applyNumberFormat="true" numFmtId="2" fillId="22" applyFill="true">
      <alignment horizontal="center" vertical="center"/>
    </xf>
    <xf fontId="21127" applyFont="true" borderId="8" applyBorder="true" applyNumberFormat="true" numFmtId="2" fillId="22" applyFill="true">
      <alignment horizontal="center" vertical="center"/>
    </xf>
    <xf fontId="21128" applyFont="true" borderId="8" applyBorder="true" applyNumberFormat="true" numFmtId="2" fillId="22" applyFill="true">
      <alignment horizontal="center" vertical="center"/>
    </xf>
    <xf fontId="21129" applyFont="true" borderId="8" applyBorder="true" applyNumberFormat="true" numFmtId="2" fillId="22" applyFill="true">
      <alignment horizontal="center" vertical="center"/>
    </xf>
    <xf fontId="21130" applyFont="true" borderId="8" applyBorder="true" applyNumberFormat="true" numFmtId="2" fillId="22" applyFill="true">
      <alignment horizontal="center" vertical="center"/>
    </xf>
    <xf fontId="21131" applyFont="true" borderId="8" applyBorder="true" applyNumberFormat="true" numFmtId="2" fillId="22" applyFill="true">
      <alignment horizontal="center" vertical="center"/>
    </xf>
    <xf fontId="21132" applyFont="true" borderId="8" applyBorder="true" applyNumberFormat="true" numFmtId="2" fillId="22" applyFill="true">
      <alignment horizontal="center" vertical="center"/>
    </xf>
    <xf fontId="21133" applyFont="true" borderId="8" applyBorder="true" applyNumberFormat="true" numFmtId="2" fillId="22" applyFill="true">
      <alignment horizontal="center" vertical="center"/>
    </xf>
    <xf fontId="21134" applyFont="true" borderId="8" applyBorder="true" applyNumberFormat="true" numFmtId="2" fillId="22" applyFill="true">
      <alignment horizontal="center" vertical="center"/>
    </xf>
    <xf fontId="21135" applyFont="true" borderId="8" applyBorder="true" applyNumberFormat="true" numFmtId="2" fillId="22" applyFill="true">
      <alignment horizontal="center" vertical="center"/>
    </xf>
    <xf fontId="21136" applyFont="true" borderId="8" applyBorder="true" applyNumberFormat="true" numFmtId="2" fillId="22" applyFill="true">
      <alignment horizontal="center" vertical="center"/>
    </xf>
    <xf fontId="21137" applyFont="true" borderId="8" applyBorder="true" applyNumberFormat="true" numFmtId="2" fillId="22" applyFill="true">
      <alignment horizontal="center" vertical="center"/>
    </xf>
    <xf fontId="21138" applyFont="true" borderId="8" applyBorder="true" applyNumberFormat="true" numFmtId="2" fillId="22" applyFill="true">
      <alignment horizontal="center" vertical="center"/>
    </xf>
    <xf fontId="21139" applyFont="true" borderId="8" applyBorder="true" applyNumberFormat="true" numFmtId="2" fillId="22" applyFill="true">
      <alignment horizontal="center" vertical="center"/>
    </xf>
    <xf fontId="21140" applyFont="true" borderId="8" applyBorder="true" applyNumberFormat="true" numFmtId="2" fillId="22" applyFill="true">
      <alignment horizontal="center" vertical="center"/>
    </xf>
    <xf fontId="21141" applyFont="true" borderId="8" applyBorder="true" applyNumberFormat="true" numFmtId="165" fillId="19" applyFill="true">
      <alignment horizontal="left" vertical="center"/>
    </xf>
    <xf fontId="21142" applyFont="true" borderId="8" applyBorder="true" applyNumberFormat="true" numFmtId="165" fillId="22" applyFill="true">
      <alignment horizontal="center" vertical="center"/>
    </xf>
    <xf fontId="21143" applyFont="true" borderId="8" applyBorder="true" applyNumberFormat="true" numFmtId="166" fillId="22" applyFill="true">
      <alignment horizontal="center" vertical="center"/>
    </xf>
    <xf fontId="21144" applyFont="true" borderId="8" applyBorder="true" applyNumberFormat="true" numFmtId="1" fillId="22" applyFill="true">
      <alignment horizontal="center" vertical="center"/>
    </xf>
    <xf fontId="21145" applyFont="true" borderId="8" applyBorder="true" applyNumberFormat="true" numFmtId="1" fillId="22" applyFill="true">
      <alignment horizontal="center" vertical="center"/>
    </xf>
    <xf fontId="21146" applyFont="true" borderId="8" applyBorder="true" applyNumberFormat="true" numFmtId="1" fillId="22" applyFill="true">
      <alignment horizontal="center" vertical="center"/>
    </xf>
    <xf fontId="21147" applyFont="true" borderId="8" applyBorder="true" applyNumberFormat="true" numFmtId="1" fillId="22" applyFill="true">
      <alignment horizontal="center" vertical="center"/>
    </xf>
    <xf fontId="21148" applyFont="true" borderId="8" applyBorder="true" applyNumberFormat="true" numFmtId="1" fillId="22" applyFill="true">
      <alignment horizontal="center" vertical="center"/>
    </xf>
    <xf fontId="21149" applyFont="true" borderId="8" applyBorder="true" applyNumberFormat="true" numFmtId="1" fillId="22" applyFill="true">
      <alignment horizontal="center" vertical="center"/>
    </xf>
    <xf fontId="21150" applyFont="true" borderId="8" applyBorder="true" applyNumberFormat="true" numFmtId="1" fillId="22" applyFill="true">
      <alignment horizontal="center" vertical="center"/>
    </xf>
    <xf fontId="21151" applyFont="true" borderId="8" applyBorder="true" applyNumberFormat="true" numFmtId="165" fillId="22" applyFill="true">
      <alignment horizontal="center" vertical="center"/>
    </xf>
    <xf fontId="21152" applyFont="true" borderId="8" applyBorder="true" applyNumberFormat="true" numFmtId="165" fillId="22" applyFill="true">
      <alignment horizontal="center" vertical="center"/>
    </xf>
    <xf fontId="21153" applyFont="true" borderId="8" applyBorder="true" applyNumberFormat="true" numFmtId="1" fillId="22" applyFill="true">
      <alignment horizontal="center" vertical="center"/>
    </xf>
    <xf fontId="21154" applyFont="true" borderId="8" applyBorder="true" applyNumberFormat="true" numFmtId="1" fillId="22" applyFill="true">
      <alignment horizontal="center" vertical="center"/>
    </xf>
    <xf fontId="21155" applyFont="true" borderId="8" applyBorder="true" applyNumberFormat="true" numFmtId="1" fillId="22" applyFill="true">
      <alignment horizontal="center" vertical="center"/>
    </xf>
    <xf fontId="21156" applyFont="true" borderId="8" applyBorder="true" applyNumberFormat="true" numFmtId="167" fillId="22" applyFill="true">
      <alignment horizontal="center" vertical="center"/>
    </xf>
    <xf fontId="21157" applyFont="true" borderId="8" applyBorder="true" applyNumberFormat="true" numFmtId="1" fillId="22" applyFill="true">
      <alignment horizontal="center" vertical="center"/>
    </xf>
    <xf fontId="21158" applyFont="true" borderId="8" applyBorder="true" applyNumberFormat="true" numFmtId="167" fillId="22" applyFill="true">
      <alignment horizontal="center" vertical="center"/>
    </xf>
    <xf fontId="21159" applyFont="true" borderId="8" applyBorder="true" applyNumberFormat="true" numFmtId="1" fillId="22" applyFill="true">
      <alignment horizontal="center" vertical="center"/>
    </xf>
    <xf fontId="21160" applyFont="true" borderId="8" applyBorder="true" applyNumberFormat="true" numFmtId="167" fillId="22" applyFill="true">
      <alignment horizontal="center" vertical="center"/>
    </xf>
    <xf fontId="21161" applyFont="true" borderId="8" applyBorder="true" applyNumberFormat="true" numFmtId="1" fillId="22" applyFill="true">
      <alignment horizontal="center" vertical="center"/>
    </xf>
    <xf fontId="21162" applyFont="true" borderId="8" applyBorder="true" applyNumberFormat="true" numFmtId="167" fillId="22" applyFill="true">
      <alignment horizontal="center" vertical="center"/>
    </xf>
    <xf fontId="21163" applyFont="true" borderId="8" applyBorder="true" applyNumberFormat="true" numFmtId="167" fillId="22" applyFill="true">
      <alignment horizontal="center" vertical="center"/>
    </xf>
    <xf fontId="21164" applyFont="true" borderId="8" applyBorder="true" applyNumberFormat="true" numFmtId="1" fillId="22" applyFill="true">
      <alignment horizontal="center" vertical="center"/>
    </xf>
    <xf fontId="21165" applyFont="true" borderId="8" applyBorder="true" applyNumberFormat="true" numFmtId="1" fillId="22" applyFill="true">
      <alignment horizontal="center" vertical="center"/>
    </xf>
    <xf fontId="21166" applyFont="true" borderId="8" applyBorder="true" applyNumberFormat="true" numFmtId="1" fillId="22" applyFill="true">
      <alignment horizontal="center" vertical="center"/>
    </xf>
    <xf fontId="21167" applyFont="true" borderId="8" applyBorder="true" applyNumberFormat="true" numFmtId="167" fillId="22" applyFill="true">
      <alignment horizontal="center" vertical="center"/>
    </xf>
    <xf fontId="21168" applyFont="true" borderId="8" applyBorder="true" applyNumberFormat="true" numFmtId="166" fillId="22" applyFill="true">
      <alignment horizontal="center" vertical="center"/>
    </xf>
    <xf fontId="21169" applyFont="true" borderId="8" applyBorder="true" applyNumberFormat="true" numFmtId="166" fillId="22" applyFill="true">
      <alignment horizontal="center" vertical="center"/>
    </xf>
    <xf fontId="21170" applyFont="true" borderId="8" applyBorder="true" applyNumberFormat="true" numFmtId="1" fillId="22" applyFill="true">
      <alignment horizontal="center" vertical="center"/>
    </xf>
    <xf fontId="21171" applyFont="true" borderId="8" applyBorder="true" applyNumberFormat="true" numFmtId="1" fillId="22" applyFill="true">
      <alignment horizontal="center" vertical="center"/>
    </xf>
    <xf fontId="21172" applyFont="true" borderId="8" applyBorder="true" applyNumberFormat="true" numFmtId="1" fillId="22" applyFill="true">
      <alignment horizontal="center" vertical="center"/>
    </xf>
    <xf fontId="21173" applyFont="true" borderId="8" applyBorder="true" applyNumberFormat="true" numFmtId="167" fillId="22" applyFill="true">
      <alignment horizontal="center" vertical="center"/>
    </xf>
    <xf fontId="21174" applyFont="true" borderId="8" applyBorder="true" applyNumberFormat="true" numFmtId="1" fillId="22" applyFill="true">
      <alignment horizontal="center" vertical="center"/>
    </xf>
    <xf fontId="21175" applyFont="true" borderId="8" applyBorder="true" applyNumberFormat="true" numFmtId="167" fillId="22" applyFill="true">
      <alignment horizontal="center" vertical="center"/>
    </xf>
    <xf fontId="21176" applyFont="true" borderId="8" applyBorder="true" applyNumberFormat="true" numFmtId="1" fillId="22" applyFill="true">
      <alignment horizontal="center" vertical="center"/>
    </xf>
    <xf fontId="21177" applyFont="true" borderId="8" applyBorder="true" applyNumberFormat="true" numFmtId="1" fillId="22" applyFill="true">
      <alignment horizontal="center" vertical="center"/>
    </xf>
    <xf fontId="21178" applyFont="true" borderId="8" applyBorder="true" applyNumberFormat="true" numFmtId="1" fillId="22" applyFill="true">
      <alignment horizontal="center" vertical="center"/>
    </xf>
    <xf fontId="21179" applyFont="true" borderId="8" applyBorder="true" applyNumberFormat="true" numFmtId="1" fillId="22" applyFill="true">
      <alignment horizontal="center" vertical="center"/>
    </xf>
    <xf fontId="21180" applyFont="true" borderId="8" applyBorder="true" applyNumberFormat="true" numFmtId="167" fillId="22" applyFill="true">
      <alignment horizontal="center" vertical="center"/>
    </xf>
    <xf fontId="21181" applyFont="true" borderId="8" applyBorder="true" applyNumberFormat="true" numFmtId="1" fillId="22" applyFill="true">
      <alignment horizontal="center" vertical="center"/>
    </xf>
    <xf fontId="21182" applyFont="true" borderId="8" applyBorder="true" applyNumberFormat="true" numFmtId="167" fillId="22" applyFill="true">
      <alignment horizontal="center" vertical="center"/>
    </xf>
    <xf fontId="21183" applyFont="true" borderId="8" applyBorder="true" applyNumberFormat="true" numFmtId="1" fillId="22" applyFill="true">
      <alignment horizontal="center" vertical="center"/>
    </xf>
    <xf fontId="21184" applyFont="true" borderId="8" applyBorder="true" applyNumberFormat="true" numFmtId="167" fillId="22" applyFill="true">
      <alignment horizontal="center" vertical="center"/>
    </xf>
    <xf fontId="21185" applyFont="true" borderId="8" applyBorder="true" applyNumberFormat="true" numFmtId="2" fillId="22" applyFill="true">
      <alignment horizontal="center" vertical="center"/>
    </xf>
    <xf fontId="21186" applyFont="true" borderId="8" applyBorder="true" applyNumberFormat="true" numFmtId="2" fillId="22" applyFill="true">
      <alignment horizontal="center" vertical="center"/>
    </xf>
    <xf fontId="21187" applyFont="true" borderId="8" applyBorder="true" applyNumberFormat="true" numFmtId="2" fillId="22" applyFill="true">
      <alignment horizontal="center" vertical="center"/>
    </xf>
    <xf fontId="21188" applyFont="true" borderId="8" applyBorder="true" applyNumberFormat="true" numFmtId="2" fillId="22" applyFill="true">
      <alignment horizontal="center" vertical="center"/>
    </xf>
    <xf fontId="21189" applyFont="true" borderId="8" applyBorder="true" applyNumberFormat="true" numFmtId="2" fillId="22" applyFill="true">
      <alignment horizontal="center" vertical="center"/>
    </xf>
    <xf fontId="21190" applyFont="true" borderId="8" applyBorder="true" applyNumberFormat="true" numFmtId="2" fillId="22" applyFill="true">
      <alignment horizontal="center" vertical="center"/>
    </xf>
    <xf fontId="21191" applyFont="true" borderId="8" applyBorder="true" applyNumberFormat="true" numFmtId="2" fillId="22" applyFill="true">
      <alignment horizontal="center" vertical="center"/>
    </xf>
    <xf fontId="21192" applyFont="true" borderId="8" applyBorder="true" applyNumberFormat="true" numFmtId="2" fillId="22" applyFill="true">
      <alignment horizontal="center" vertical="center"/>
    </xf>
    <xf fontId="21193" applyFont="true" borderId="8" applyBorder="true" applyNumberFormat="true" numFmtId="2" fillId="22" applyFill="true">
      <alignment horizontal="center" vertical="center"/>
    </xf>
    <xf fontId="21194" applyFont="true" borderId="8" applyBorder="true" applyNumberFormat="true" numFmtId="2" fillId="22" applyFill="true">
      <alignment horizontal="center" vertical="center"/>
    </xf>
    <xf fontId="21195" applyFont="true" borderId="8" applyBorder="true" applyNumberFormat="true" numFmtId="2" fillId="22" applyFill="true">
      <alignment horizontal="center" vertical="center"/>
    </xf>
    <xf fontId="21196" applyFont="true" borderId="8" applyBorder="true" applyNumberFormat="true" numFmtId="2" fillId="22" applyFill="true">
      <alignment horizontal="center" vertical="center"/>
    </xf>
    <xf fontId="21197" applyFont="true" borderId="8" applyBorder="true" applyNumberFormat="true" numFmtId="2" fillId="22" applyFill="true">
      <alignment horizontal="center" vertical="center"/>
    </xf>
    <xf fontId="21198" applyFont="true" borderId="8" applyBorder="true" applyNumberFormat="true" numFmtId="2" fillId="22" applyFill="true">
      <alignment horizontal="center" vertical="center"/>
    </xf>
    <xf fontId="21199" applyFont="true" borderId="8" applyBorder="true" applyNumberFormat="true" numFmtId="2" fillId="22" applyFill="true">
      <alignment horizontal="center" vertical="center"/>
    </xf>
    <xf fontId="21200" applyFont="true" borderId="8" applyBorder="true" applyNumberFormat="true" numFmtId="2" fillId="22" applyFill="true">
      <alignment horizontal="center" vertical="center"/>
    </xf>
    <xf fontId="21201" applyFont="true" borderId="8" applyBorder="true" applyNumberFormat="true" numFmtId="2" fillId="22" applyFill="true">
      <alignment horizontal="center" vertical="center"/>
    </xf>
    <xf fontId="21202" applyFont="true" borderId="8" applyBorder="true" applyNumberFormat="true" numFmtId="2" fillId="22" applyFill="true">
      <alignment horizontal="center" vertical="center"/>
    </xf>
    <xf fontId="21203" applyFont="true" borderId="8" applyBorder="true" applyNumberFormat="true" numFmtId="2" fillId="22" applyFill="true">
      <alignment horizontal="center" vertical="center"/>
    </xf>
    <xf fontId="21204" applyFont="true" borderId="8" applyBorder="true" applyNumberFormat="true" numFmtId="2" fillId="22" applyFill="true">
      <alignment horizontal="center" vertical="center"/>
    </xf>
    <xf fontId="21205" applyFont="true" borderId="8" applyBorder="true" applyNumberFormat="true" numFmtId="2" fillId="22" applyFill="true">
      <alignment horizontal="center" vertical="center"/>
    </xf>
    <xf fontId="21206" applyFont="true" borderId="8" applyBorder="true" applyNumberFormat="true" numFmtId="2" fillId="22" applyFill="true">
      <alignment horizontal="center" vertical="center"/>
    </xf>
    <xf fontId="21207" applyFont="true" borderId="8" applyBorder="true" applyNumberFormat="true" numFmtId="2" fillId="22" applyFill="true">
      <alignment horizontal="center" vertical="center"/>
    </xf>
    <xf fontId="21208" applyFont="true" borderId="8" applyBorder="true" applyNumberFormat="true" numFmtId="2" fillId="22" applyFill="true">
      <alignment horizontal="center" vertical="center"/>
    </xf>
    <xf fontId="21209" applyFont="true" borderId="8" applyBorder="true" applyNumberFormat="true" numFmtId="2" fillId="22" applyFill="true">
      <alignment horizontal="center" vertical="center"/>
    </xf>
    <xf fontId="21210" applyFont="true" borderId="8" applyBorder="true" applyNumberFormat="true" numFmtId="2" fillId="22" applyFill="true">
      <alignment horizontal="center" vertical="center"/>
    </xf>
    <xf fontId="21211" applyFont="true" borderId="8" applyBorder="true" applyNumberFormat="true" numFmtId="2" fillId="22" applyFill="true">
      <alignment horizontal="center" vertical="center"/>
    </xf>
    <xf fontId="21212" applyFont="true" borderId="8" applyBorder="true" applyNumberFormat="true" numFmtId="2" fillId="22" applyFill="true">
      <alignment horizontal="center" vertical="center"/>
    </xf>
    <xf fontId="21213" applyFont="true" borderId="8" applyBorder="true" applyNumberFormat="true" numFmtId="2" fillId="22" applyFill="true">
      <alignment horizontal="center" vertical="center"/>
    </xf>
    <xf fontId="21214" applyFont="true" borderId="8" applyBorder="true" applyNumberFormat="true" numFmtId="2" fillId="22" applyFill="true">
      <alignment horizontal="center" vertical="center"/>
    </xf>
    <xf fontId="21215" applyFont="true" borderId="8" applyBorder="true" applyNumberFormat="true" numFmtId="2" fillId="22" applyFill="true">
      <alignment horizontal="center" vertical="center"/>
    </xf>
    <xf fontId="21216" applyFont="true" borderId="8" applyBorder="true" applyNumberFormat="true" numFmtId="2" fillId="22" applyFill="true">
      <alignment horizontal="center" vertical="center"/>
    </xf>
    <xf fontId="21217" applyFont="true" borderId="8" applyBorder="true" applyNumberFormat="true" numFmtId="2" fillId="22" applyFill="true">
      <alignment horizontal="center" vertical="center"/>
    </xf>
    <xf fontId="21218" applyFont="true" borderId="8" applyBorder="true" applyNumberFormat="true" numFmtId="2" fillId="22" applyFill="true">
      <alignment horizontal="center" vertical="center"/>
    </xf>
    <xf fontId="21219" applyFont="true" borderId="8" applyBorder="true" applyNumberFormat="true" numFmtId="165" fillId="19" applyFill="true">
      <alignment horizontal="left" vertical="center"/>
    </xf>
    <xf fontId="21220" applyFont="true" borderId="8" applyBorder="true" applyNumberFormat="true" numFmtId="165" fillId="22" applyFill="true">
      <alignment horizontal="center" vertical="center"/>
    </xf>
    <xf fontId="21221" applyFont="true" borderId="8" applyBorder="true" applyNumberFormat="true" numFmtId="166" fillId="22" applyFill="true">
      <alignment horizontal="center" vertical="center"/>
    </xf>
    <xf fontId="21222" applyFont="true" borderId="8" applyBorder="true" applyNumberFormat="true" numFmtId="1" fillId="22" applyFill="true">
      <alignment horizontal="center" vertical="center"/>
    </xf>
    <xf fontId="21223" applyFont="true" borderId="8" applyBorder="true" applyNumberFormat="true" numFmtId="1" fillId="22" applyFill="true">
      <alignment horizontal="center" vertical="center"/>
    </xf>
    <xf fontId="21224" applyFont="true" borderId="8" applyBorder="true" applyNumberFormat="true" numFmtId="1" fillId="22" applyFill="true">
      <alignment horizontal="center" vertical="center"/>
    </xf>
    <xf fontId="21225" applyFont="true" borderId="8" applyBorder="true" applyNumberFormat="true" numFmtId="1" fillId="22" applyFill="true">
      <alignment horizontal="center" vertical="center"/>
    </xf>
    <xf fontId="21226" applyFont="true" borderId="8" applyBorder="true" applyNumberFormat="true" numFmtId="1" fillId="22" applyFill="true">
      <alignment horizontal="center" vertical="center"/>
    </xf>
    <xf fontId="21227" applyFont="true" borderId="8" applyBorder="true" applyNumberFormat="true" numFmtId="1" fillId="22" applyFill="true">
      <alignment horizontal="center" vertical="center"/>
    </xf>
    <xf fontId="21228" applyFont="true" borderId="8" applyBorder="true" applyNumberFormat="true" numFmtId="1" fillId="22" applyFill="true">
      <alignment horizontal="center" vertical="center"/>
    </xf>
    <xf fontId="21229" applyFont="true" borderId="8" applyBorder="true" applyNumberFormat="true" numFmtId="165" fillId="22" applyFill="true">
      <alignment horizontal="center" vertical="center"/>
    </xf>
    <xf fontId="21230" applyFont="true" borderId="8" applyBorder="true" applyNumberFormat="true" numFmtId="165" fillId="22" applyFill="true">
      <alignment horizontal="center" vertical="center"/>
    </xf>
    <xf fontId="21231" applyFont="true" borderId="8" applyBorder="true" applyNumberFormat="true" numFmtId="1" fillId="22" applyFill="true">
      <alignment horizontal="center" vertical="center"/>
    </xf>
    <xf fontId="21232" applyFont="true" borderId="8" applyBorder="true" applyNumberFormat="true" numFmtId="1" fillId="22" applyFill="true">
      <alignment horizontal="center" vertical="center"/>
    </xf>
    <xf fontId="21233" applyFont="true" borderId="8" applyBorder="true" applyNumberFormat="true" numFmtId="1" fillId="22" applyFill="true">
      <alignment horizontal="center" vertical="center"/>
    </xf>
    <xf fontId="21234" applyFont="true" borderId="8" applyBorder="true" applyNumberFormat="true" numFmtId="167" fillId="22" applyFill="true">
      <alignment horizontal="center" vertical="center"/>
    </xf>
    <xf fontId="21235" applyFont="true" borderId="8" applyBorder="true" applyNumberFormat="true" numFmtId="1" fillId="22" applyFill="true">
      <alignment horizontal="center" vertical="center"/>
    </xf>
    <xf fontId="21236" applyFont="true" borderId="8" applyBorder="true" applyNumberFormat="true" numFmtId="167" fillId="22" applyFill="true">
      <alignment horizontal="center" vertical="center"/>
    </xf>
    <xf fontId="21237" applyFont="true" borderId="8" applyBorder="true" applyNumberFormat="true" numFmtId="1" fillId="22" applyFill="true">
      <alignment horizontal="center" vertical="center"/>
    </xf>
    <xf fontId="21238" applyFont="true" borderId="8" applyBorder="true" applyNumberFormat="true" numFmtId="167" fillId="22" applyFill="true">
      <alignment horizontal="center" vertical="center"/>
    </xf>
    <xf fontId="21239" applyFont="true" borderId="8" applyBorder="true" applyNumberFormat="true" numFmtId="1" fillId="22" applyFill="true">
      <alignment horizontal="center" vertical="center"/>
    </xf>
    <xf fontId="21240" applyFont="true" borderId="8" applyBorder="true" applyNumberFormat="true" numFmtId="167" fillId="22" applyFill="true">
      <alignment horizontal="center" vertical="center"/>
    </xf>
    <xf fontId="21241" applyFont="true" borderId="8" applyBorder="true" applyNumberFormat="true" numFmtId="167" fillId="22" applyFill="true">
      <alignment horizontal="center" vertical="center"/>
    </xf>
    <xf fontId="21242" applyFont="true" borderId="8" applyBorder="true" applyNumberFormat="true" numFmtId="1" fillId="22" applyFill="true">
      <alignment horizontal="center" vertical="center"/>
    </xf>
    <xf fontId="21243" applyFont="true" borderId="8" applyBorder="true" applyNumberFormat="true" numFmtId="1" fillId="22" applyFill="true">
      <alignment horizontal="center" vertical="center"/>
    </xf>
    <xf fontId="21244" applyFont="true" borderId="8" applyBorder="true" applyNumberFormat="true" numFmtId="1" fillId="22" applyFill="true">
      <alignment horizontal="center" vertical="center"/>
    </xf>
    <xf fontId="21245" applyFont="true" borderId="8" applyBorder="true" applyNumberFormat="true" numFmtId="167" fillId="22" applyFill="true">
      <alignment horizontal="center" vertical="center"/>
    </xf>
    <xf fontId="21246" applyFont="true" borderId="8" applyBorder="true" applyNumberFormat="true" numFmtId="166" fillId="22" applyFill="true">
      <alignment horizontal="center" vertical="center"/>
    </xf>
    <xf fontId="21247" applyFont="true" borderId="8" applyBorder="true" applyNumberFormat="true" numFmtId="166" fillId="22" applyFill="true">
      <alignment horizontal="center" vertical="center"/>
    </xf>
    <xf fontId="21248" applyFont="true" borderId="8" applyBorder="true" applyNumberFormat="true" numFmtId="1" fillId="22" applyFill="true">
      <alignment horizontal="center" vertical="center"/>
    </xf>
    <xf fontId="21249" applyFont="true" borderId="8" applyBorder="true" applyNumberFormat="true" numFmtId="1" fillId="22" applyFill="true">
      <alignment horizontal="center" vertical="center"/>
    </xf>
    <xf fontId="21250" applyFont="true" borderId="8" applyBorder="true" applyNumberFormat="true" numFmtId="1" fillId="22" applyFill="true">
      <alignment horizontal="center" vertical="center"/>
    </xf>
    <xf fontId="21251" applyFont="true" borderId="8" applyBorder="true" applyNumberFormat="true" numFmtId="167" fillId="22" applyFill="true">
      <alignment horizontal="center" vertical="center"/>
    </xf>
    <xf fontId="21252" applyFont="true" borderId="8" applyBorder="true" applyNumberFormat="true" numFmtId="1" fillId="22" applyFill="true">
      <alignment horizontal="center" vertical="center"/>
    </xf>
    <xf fontId="21253" applyFont="true" borderId="8" applyBorder="true" applyNumberFormat="true" numFmtId="167" fillId="22" applyFill="true">
      <alignment horizontal="center" vertical="center"/>
    </xf>
    <xf fontId="21254" applyFont="true" borderId="8" applyBorder="true" applyNumberFormat="true" numFmtId="1" fillId="22" applyFill="true">
      <alignment horizontal="center" vertical="center"/>
    </xf>
    <xf fontId="21255" applyFont="true" borderId="8" applyBorder="true" applyNumberFormat="true" numFmtId="1" fillId="22" applyFill="true">
      <alignment horizontal="center" vertical="center"/>
    </xf>
    <xf fontId="21256" applyFont="true" borderId="8" applyBorder="true" applyNumberFormat="true" numFmtId="1" fillId="22" applyFill="true">
      <alignment horizontal="center" vertical="center"/>
    </xf>
    <xf fontId="21257" applyFont="true" borderId="8" applyBorder="true" applyNumberFormat="true" numFmtId="1" fillId="22" applyFill="true">
      <alignment horizontal="center" vertical="center"/>
    </xf>
    <xf fontId="21258" applyFont="true" borderId="8" applyBorder="true" applyNumberFormat="true" numFmtId="167" fillId="22" applyFill="true">
      <alignment horizontal="center" vertical="center"/>
    </xf>
    <xf fontId="21259" applyFont="true" borderId="8" applyBorder="true" applyNumberFormat="true" numFmtId="1" fillId="22" applyFill="true">
      <alignment horizontal="center" vertical="center"/>
    </xf>
    <xf fontId="21260" applyFont="true" borderId="8" applyBorder="true" applyNumberFormat="true" numFmtId="167" fillId="22" applyFill="true">
      <alignment horizontal="center" vertical="center"/>
    </xf>
    <xf fontId="21261" applyFont="true" borderId="8" applyBorder="true" applyNumberFormat="true" numFmtId="1" fillId="22" applyFill="true">
      <alignment horizontal="center" vertical="center"/>
    </xf>
    <xf fontId="21262" applyFont="true" borderId="8" applyBorder="true" applyNumberFormat="true" numFmtId="167" fillId="22" applyFill="true">
      <alignment horizontal="center" vertical="center"/>
    </xf>
    <xf fontId="21263" applyFont="true" borderId="8" applyBorder="true" applyNumberFormat="true" numFmtId="2" fillId="22" applyFill="true">
      <alignment horizontal="center" vertical="center"/>
    </xf>
    <xf fontId="21264" applyFont="true" borderId="8" applyBorder="true" applyNumberFormat="true" numFmtId="2" fillId="22" applyFill="true">
      <alignment horizontal="center" vertical="center"/>
    </xf>
    <xf fontId="21265" applyFont="true" borderId="8" applyBorder="true" applyNumberFormat="true" numFmtId="2" fillId="22" applyFill="true">
      <alignment horizontal="center" vertical="center"/>
    </xf>
    <xf fontId="21266" applyFont="true" borderId="8" applyBorder="true" applyNumberFormat="true" numFmtId="2" fillId="22" applyFill="true">
      <alignment horizontal="center" vertical="center"/>
    </xf>
    <xf fontId="21267" applyFont="true" borderId="8" applyBorder="true" applyNumberFormat="true" numFmtId="2" fillId="22" applyFill="true">
      <alignment horizontal="center" vertical="center"/>
    </xf>
    <xf fontId="21268" applyFont="true" borderId="8" applyBorder="true" applyNumberFormat="true" numFmtId="2" fillId="22" applyFill="true">
      <alignment horizontal="center" vertical="center"/>
    </xf>
    <xf fontId="21269" applyFont="true" borderId="8" applyBorder="true" applyNumberFormat="true" numFmtId="2" fillId="22" applyFill="true">
      <alignment horizontal="center" vertical="center"/>
    </xf>
    <xf fontId="21270" applyFont="true" borderId="8" applyBorder="true" applyNumberFormat="true" numFmtId="2" fillId="22" applyFill="true">
      <alignment horizontal="center" vertical="center"/>
    </xf>
    <xf fontId="21271" applyFont="true" borderId="8" applyBorder="true" applyNumberFormat="true" numFmtId="2" fillId="22" applyFill="true">
      <alignment horizontal="center" vertical="center"/>
    </xf>
    <xf fontId="21272" applyFont="true" borderId="8" applyBorder="true" applyNumberFormat="true" numFmtId="2" fillId="22" applyFill="true">
      <alignment horizontal="center" vertical="center"/>
    </xf>
    <xf fontId="21273" applyFont="true" borderId="8" applyBorder="true" applyNumberFormat="true" numFmtId="2" fillId="22" applyFill="true">
      <alignment horizontal="center" vertical="center"/>
    </xf>
    <xf fontId="21274" applyFont="true" borderId="8" applyBorder="true" applyNumberFormat="true" numFmtId="2" fillId="22" applyFill="true">
      <alignment horizontal="center" vertical="center"/>
    </xf>
    <xf fontId="21275" applyFont="true" borderId="8" applyBorder="true" applyNumberFormat="true" numFmtId="2" fillId="22" applyFill="true">
      <alignment horizontal="center" vertical="center"/>
    </xf>
    <xf fontId="21276" applyFont="true" borderId="8" applyBorder="true" applyNumberFormat="true" numFmtId="2" fillId="22" applyFill="true">
      <alignment horizontal="center" vertical="center"/>
    </xf>
    <xf fontId="21277" applyFont="true" borderId="8" applyBorder="true" applyNumberFormat="true" numFmtId="2" fillId="22" applyFill="true">
      <alignment horizontal="center" vertical="center"/>
    </xf>
    <xf fontId="21278" applyFont="true" borderId="8" applyBorder="true" applyNumberFormat="true" numFmtId="2" fillId="22" applyFill="true">
      <alignment horizontal="center" vertical="center"/>
    </xf>
    <xf fontId="21279" applyFont="true" borderId="8" applyBorder="true" applyNumberFormat="true" numFmtId="2" fillId="22" applyFill="true">
      <alignment horizontal="center" vertical="center"/>
    </xf>
    <xf fontId="21280" applyFont="true" borderId="8" applyBorder="true" applyNumberFormat="true" numFmtId="2" fillId="22" applyFill="true">
      <alignment horizontal="center" vertical="center"/>
    </xf>
    <xf fontId="21281" applyFont="true" borderId="8" applyBorder="true" applyNumberFormat="true" numFmtId="2" fillId="22" applyFill="true">
      <alignment horizontal="center" vertical="center"/>
    </xf>
    <xf fontId="21282" applyFont="true" borderId="8" applyBorder="true" applyNumberFormat="true" numFmtId="2" fillId="22" applyFill="true">
      <alignment horizontal="center" vertical="center"/>
    </xf>
    <xf fontId="21283" applyFont="true" borderId="8" applyBorder="true" applyNumberFormat="true" numFmtId="2" fillId="22" applyFill="true">
      <alignment horizontal="center" vertical="center"/>
    </xf>
    <xf fontId="21284" applyFont="true" borderId="8" applyBorder="true" applyNumberFormat="true" numFmtId="2" fillId="22" applyFill="true">
      <alignment horizontal="center" vertical="center"/>
    </xf>
    <xf fontId="21285" applyFont="true" borderId="8" applyBorder="true" applyNumberFormat="true" numFmtId="2" fillId="22" applyFill="true">
      <alignment horizontal="center" vertical="center"/>
    </xf>
    <xf fontId="21286" applyFont="true" borderId="8" applyBorder="true" applyNumberFormat="true" numFmtId="2" fillId="22" applyFill="true">
      <alignment horizontal="center" vertical="center"/>
    </xf>
    <xf fontId="21287" applyFont="true" borderId="8" applyBorder="true" applyNumberFormat="true" numFmtId="2" fillId="22" applyFill="true">
      <alignment horizontal="center" vertical="center"/>
    </xf>
    <xf fontId="21288" applyFont="true" borderId="8" applyBorder="true" applyNumberFormat="true" numFmtId="2" fillId="22" applyFill="true">
      <alignment horizontal="center" vertical="center"/>
    </xf>
    <xf fontId="21289" applyFont="true" borderId="8" applyBorder="true" applyNumberFormat="true" numFmtId="2" fillId="22" applyFill="true">
      <alignment horizontal="center" vertical="center"/>
    </xf>
    <xf fontId="21290" applyFont="true" borderId="8" applyBorder="true" applyNumberFormat="true" numFmtId="2" fillId="22" applyFill="true">
      <alignment horizontal="center" vertical="center"/>
    </xf>
    <xf fontId="21291" applyFont="true" borderId="8" applyBorder="true" applyNumberFormat="true" numFmtId="2" fillId="22" applyFill="true">
      <alignment horizontal="center" vertical="center"/>
    </xf>
    <xf fontId="21292" applyFont="true" borderId="8" applyBorder="true" applyNumberFormat="true" numFmtId="2" fillId="22" applyFill="true">
      <alignment horizontal="center" vertical="center"/>
    </xf>
    <xf fontId="21293" applyFont="true" borderId="8" applyBorder="true" applyNumberFormat="true" numFmtId="2" fillId="22" applyFill="true">
      <alignment horizontal="center" vertical="center"/>
    </xf>
    <xf fontId="21294" applyFont="true" borderId="8" applyBorder="true" applyNumberFormat="true" numFmtId="2" fillId="22" applyFill="true">
      <alignment horizontal="center" vertical="center"/>
    </xf>
    <xf fontId="21295" applyFont="true" borderId="8" applyBorder="true" applyNumberFormat="true" numFmtId="2" fillId="22" applyFill="true">
      <alignment horizontal="center" vertical="center"/>
    </xf>
    <xf fontId="21296" applyFont="true" borderId="8" applyBorder="true" applyNumberFormat="true" numFmtId="2" fillId="22" applyFill="true">
      <alignment horizontal="center" vertical="center"/>
    </xf>
    <xf fontId="21297" applyFont="true" borderId="8" applyBorder="true" applyNumberFormat="true" numFmtId="165" fillId="19" applyFill="true">
      <alignment horizontal="left" vertical="center"/>
    </xf>
    <xf fontId="21298" applyFont="true" borderId="8" applyBorder="true" applyNumberFormat="true" numFmtId="165" fillId="22" applyFill="true">
      <alignment horizontal="center" vertical="center"/>
    </xf>
    <xf fontId="21299" applyFont="true" borderId="8" applyBorder="true" applyNumberFormat="true" numFmtId="166" fillId="22" applyFill="true">
      <alignment horizontal="center" vertical="center"/>
    </xf>
    <xf fontId="21300" applyFont="true" borderId="8" applyBorder="true" applyNumberFormat="true" numFmtId="1" fillId="22" applyFill="true">
      <alignment horizontal="center" vertical="center"/>
    </xf>
    <xf fontId="21301" applyFont="true" borderId="8" applyBorder="true" applyNumberFormat="true" numFmtId="1" fillId="22" applyFill="true">
      <alignment horizontal="center" vertical="center"/>
    </xf>
    <xf fontId="21302" applyFont="true" borderId="8" applyBorder="true" applyNumberFormat="true" numFmtId="1" fillId="22" applyFill="true">
      <alignment horizontal="center" vertical="center"/>
    </xf>
    <xf fontId="21303" applyFont="true" borderId="8" applyBorder="true" applyNumberFormat="true" numFmtId="1" fillId="22" applyFill="true">
      <alignment horizontal="center" vertical="center"/>
    </xf>
    <xf fontId="21304" applyFont="true" borderId="8" applyBorder="true" applyNumberFormat="true" numFmtId="1" fillId="22" applyFill="true">
      <alignment horizontal="center" vertical="center"/>
    </xf>
    <xf fontId="21305" applyFont="true" borderId="8" applyBorder="true" applyNumberFormat="true" numFmtId="1" fillId="22" applyFill="true">
      <alignment horizontal="center" vertical="center"/>
    </xf>
    <xf fontId="21306" applyFont="true" borderId="8" applyBorder="true" applyNumberFormat="true" numFmtId="1" fillId="22" applyFill="true">
      <alignment horizontal="center" vertical="center"/>
    </xf>
    <xf fontId="21307" applyFont="true" borderId="8" applyBorder="true" applyNumberFormat="true" numFmtId="165" fillId="22" applyFill="true">
      <alignment horizontal="center" vertical="center"/>
    </xf>
    <xf fontId="21308" applyFont="true" borderId="8" applyBorder="true" applyNumberFormat="true" numFmtId="165" fillId="22" applyFill="true">
      <alignment horizontal="center" vertical="center"/>
    </xf>
    <xf fontId="21309" applyFont="true" borderId="8" applyBorder="true" applyNumberFormat="true" numFmtId="1" fillId="22" applyFill="true">
      <alignment horizontal="center" vertical="center"/>
    </xf>
    <xf fontId="21310" applyFont="true" borderId="8" applyBorder="true" applyNumberFormat="true" numFmtId="1" fillId="22" applyFill="true">
      <alignment horizontal="center" vertical="center"/>
    </xf>
    <xf fontId="21311" applyFont="true" borderId="8" applyBorder="true" applyNumberFormat="true" numFmtId="1" fillId="22" applyFill="true">
      <alignment horizontal="center" vertical="center"/>
    </xf>
    <xf fontId="21312" applyFont="true" borderId="8" applyBorder="true" applyNumberFormat="true" numFmtId="167" fillId="22" applyFill="true">
      <alignment horizontal="center" vertical="center"/>
    </xf>
    <xf fontId="21313" applyFont="true" borderId="8" applyBorder="true" applyNumberFormat="true" numFmtId="1" fillId="22" applyFill="true">
      <alignment horizontal="center" vertical="center"/>
    </xf>
    <xf fontId="21314" applyFont="true" borderId="8" applyBorder="true" applyNumberFormat="true" numFmtId="167" fillId="22" applyFill="true">
      <alignment horizontal="center" vertical="center"/>
    </xf>
    <xf fontId="21315" applyFont="true" borderId="8" applyBorder="true" applyNumberFormat="true" numFmtId="1" fillId="22" applyFill="true">
      <alignment horizontal="center" vertical="center"/>
    </xf>
    <xf fontId="21316" applyFont="true" borderId="8" applyBorder="true" applyNumberFormat="true" numFmtId="167" fillId="22" applyFill="true">
      <alignment horizontal="center" vertical="center"/>
    </xf>
    <xf fontId="21317" applyFont="true" borderId="8" applyBorder="true" applyNumberFormat="true" numFmtId="1" fillId="22" applyFill="true">
      <alignment horizontal="center" vertical="center"/>
    </xf>
    <xf fontId="21318" applyFont="true" borderId="8" applyBorder="true" applyNumberFormat="true" numFmtId="167" fillId="22" applyFill="true">
      <alignment horizontal="center" vertical="center"/>
    </xf>
    <xf fontId="21319" applyFont="true" borderId="8" applyBorder="true" applyNumberFormat="true" numFmtId="167" fillId="22" applyFill="true">
      <alignment horizontal="center" vertical="center"/>
    </xf>
    <xf fontId="21320" applyFont="true" borderId="8" applyBorder="true" applyNumberFormat="true" numFmtId="1" fillId="22" applyFill="true">
      <alignment horizontal="center" vertical="center"/>
    </xf>
    <xf fontId="21321" applyFont="true" borderId="8" applyBorder="true" applyNumberFormat="true" numFmtId="1" fillId="22" applyFill="true">
      <alignment horizontal="center" vertical="center"/>
    </xf>
    <xf fontId="21322" applyFont="true" borderId="8" applyBorder="true" applyNumberFormat="true" numFmtId="1" fillId="22" applyFill="true">
      <alignment horizontal="center" vertical="center"/>
    </xf>
    <xf fontId="21323" applyFont="true" borderId="8" applyBorder="true" applyNumberFormat="true" numFmtId="167" fillId="22" applyFill="true">
      <alignment horizontal="center" vertical="center"/>
    </xf>
    <xf fontId="21324" applyFont="true" borderId="8" applyBorder="true" applyNumberFormat="true" numFmtId="166" fillId="22" applyFill="true">
      <alignment horizontal="center" vertical="center"/>
    </xf>
    <xf fontId="21325" applyFont="true" borderId="8" applyBorder="true" applyNumberFormat="true" numFmtId="166" fillId="22" applyFill="true">
      <alignment horizontal="center" vertical="center"/>
    </xf>
    <xf fontId="21326" applyFont="true" borderId="8" applyBorder="true" applyNumberFormat="true" numFmtId="1" fillId="22" applyFill="true">
      <alignment horizontal="center" vertical="center"/>
    </xf>
    <xf fontId="21327" applyFont="true" borderId="8" applyBorder="true" applyNumberFormat="true" numFmtId="1" fillId="22" applyFill="true">
      <alignment horizontal="center" vertical="center"/>
    </xf>
    <xf fontId="21328" applyFont="true" borderId="8" applyBorder="true" applyNumberFormat="true" numFmtId="1" fillId="22" applyFill="true">
      <alignment horizontal="center" vertical="center"/>
    </xf>
    <xf fontId="21329" applyFont="true" borderId="8" applyBorder="true" applyNumberFormat="true" numFmtId="167" fillId="22" applyFill="true">
      <alignment horizontal="center" vertical="center"/>
    </xf>
    <xf fontId="21330" applyFont="true" borderId="8" applyBorder="true" applyNumberFormat="true" numFmtId="1" fillId="22" applyFill="true">
      <alignment horizontal="center" vertical="center"/>
    </xf>
    <xf fontId="21331" applyFont="true" borderId="8" applyBorder="true" applyNumberFormat="true" numFmtId="167" fillId="22" applyFill="true">
      <alignment horizontal="center" vertical="center"/>
    </xf>
    <xf fontId="21332" applyFont="true" borderId="8" applyBorder="true" applyNumberFormat="true" numFmtId="1" fillId="22" applyFill="true">
      <alignment horizontal="center" vertical="center"/>
    </xf>
    <xf fontId="21333" applyFont="true" borderId="8" applyBorder="true" applyNumberFormat="true" numFmtId="1" fillId="22" applyFill="true">
      <alignment horizontal="center" vertical="center"/>
    </xf>
    <xf fontId="21334" applyFont="true" borderId="8" applyBorder="true" applyNumberFormat="true" numFmtId="1" fillId="22" applyFill="true">
      <alignment horizontal="center" vertical="center"/>
    </xf>
    <xf fontId="21335" applyFont="true" borderId="8" applyBorder="true" applyNumberFormat="true" numFmtId="1" fillId="22" applyFill="true">
      <alignment horizontal="center" vertical="center"/>
    </xf>
    <xf fontId="21336" applyFont="true" borderId="8" applyBorder="true" applyNumberFormat="true" numFmtId="167" fillId="22" applyFill="true">
      <alignment horizontal="center" vertical="center"/>
    </xf>
    <xf fontId="21337" applyFont="true" borderId="8" applyBorder="true" applyNumberFormat="true" numFmtId="1" fillId="22" applyFill="true">
      <alignment horizontal="center" vertical="center"/>
    </xf>
    <xf fontId="21338" applyFont="true" borderId="8" applyBorder="true" applyNumberFormat="true" numFmtId="167" fillId="22" applyFill="true">
      <alignment horizontal="center" vertical="center"/>
    </xf>
    <xf fontId="21339" applyFont="true" borderId="8" applyBorder="true" applyNumberFormat="true" numFmtId="1" fillId="22" applyFill="true">
      <alignment horizontal="center" vertical="center"/>
    </xf>
    <xf fontId="21340" applyFont="true" borderId="8" applyBorder="true" applyNumberFormat="true" numFmtId="167" fillId="22" applyFill="true">
      <alignment horizontal="center" vertical="center"/>
    </xf>
    <xf fontId="21341" applyFont="true" borderId="8" applyBorder="true" applyNumberFormat="true" numFmtId="2" fillId="22" applyFill="true">
      <alignment horizontal="center" vertical="center"/>
    </xf>
    <xf fontId="21342" applyFont="true" borderId="8" applyBorder="true" applyNumberFormat="true" numFmtId="2" fillId="22" applyFill="true">
      <alignment horizontal="center" vertical="center"/>
    </xf>
    <xf fontId="21343" applyFont="true" borderId="8" applyBorder="true" applyNumberFormat="true" numFmtId="2" fillId="22" applyFill="true">
      <alignment horizontal="center" vertical="center"/>
    </xf>
    <xf fontId="21344" applyFont="true" borderId="8" applyBorder="true" applyNumberFormat="true" numFmtId="2" fillId="22" applyFill="true">
      <alignment horizontal="center" vertical="center"/>
    </xf>
    <xf fontId="21345" applyFont="true" borderId="8" applyBorder="true" applyNumberFormat="true" numFmtId="2" fillId="22" applyFill="true">
      <alignment horizontal="center" vertical="center"/>
    </xf>
    <xf fontId="21346" applyFont="true" borderId="8" applyBorder="true" applyNumberFormat="true" numFmtId="2" fillId="22" applyFill="true">
      <alignment horizontal="center" vertical="center"/>
    </xf>
    <xf fontId="21347" applyFont="true" borderId="8" applyBorder="true" applyNumberFormat="true" numFmtId="2" fillId="22" applyFill="true">
      <alignment horizontal="center" vertical="center"/>
    </xf>
    <xf fontId="21348" applyFont="true" borderId="8" applyBorder="true" applyNumberFormat="true" numFmtId="2" fillId="22" applyFill="true">
      <alignment horizontal="center" vertical="center"/>
    </xf>
    <xf fontId="21349" applyFont="true" borderId="8" applyBorder="true" applyNumberFormat="true" numFmtId="2" fillId="22" applyFill="true">
      <alignment horizontal="center" vertical="center"/>
    </xf>
    <xf fontId="21350" applyFont="true" borderId="8" applyBorder="true" applyNumberFormat="true" numFmtId="2" fillId="22" applyFill="true">
      <alignment horizontal="center" vertical="center"/>
    </xf>
    <xf fontId="21351" applyFont="true" borderId="8" applyBorder="true" applyNumberFormat="true" numFmtId="2" fillId="22" applyFill="true">
      <alignment horizontal="center" vertical="center"/>
    </xf>
    <xf fontId="21352" applyFont="true" borderId="8" applyBorder="true" applyNumberFormat="true" numFmtId="2" fillId="22" applyFill="true">
      <alignment horizontal="center" vertical="center"/>
    </xf>
    <xf fontId="21353" applyFont="true" borderId="8" applyBorder="true" applyNumberFormat="true" numFmtId="2" fillId="22" applyFill="true">
      <alignment horizontal="center" vertical="center"/>
    </xf>
    <xf fontId="21354" applyFont="true" borderId="8" applyBorder="true" applyNumberFormat="true" numFmtId="2" fillId="22" applyFill="true">
      <alignment horizontal="center" vertical="center"/>
    </xf>
    <xf fontId="21355" applyFont="true" borderId="8" applyBorder="true" applyNumberFormat="true" numFmtId="2" fillId="22" applyFill="true">
      <alignment horizontal="center" vertical="center"/>
    </xf>
    <xf fontId="21356" applyFont="true" borderId="8" applyBorder="true" applyNumberFormat="true" numFmtId="2" fillId="22" applyFill="true">
      <alignment horizontal="center" vertical="center"/>
    </xf>
    <xf fontId="21357" applyFont="true" borderId="8" applyBorder="true" applyNumberFormat="true" numFmtId="2" fillId="22" applyFill="true">
      <alignment horizontal="center" vertical="center"/>
    </xf>
    <xf fontId="21358" applyFont="true" borderId="8" applyBorder="true" applyNumberFormat="true" numFmtId="2" fillId="22" applyFill="true">
      <alignment horizontal="center" vertical="center"/>
    </xf>
    <xf fontId="21359" applyFont="true" borderId="8" applyBorder="true" applyNumberFormat="true" numFmtId="2" fillId="22" applyFill="true">
      <alignment horizontal="center" vertical="center"/>
    </xf>
    <xf fontId="21360" applyFont="true" borderId="8" applyBorder="true" applyNumberFormat="true" numFmtId="2" fillId="22" applyFill="true">
      <alignment horizontal="center" vertical="center"/>
    </xf>
    <xf fontId="21361" applyFont="true" borderId="8" applyBorder="true" applyNumberFormat="true" numFmtId="2" fillId="22" applyFill="true">
      <alignment horizontal="center" vertical="center"/>
    </xf>
    <xf fontId="21362" applyFont="true" borderId="8" applyBorder="true" applyNumberFormat="true" numFmtId="2" fillId="22" applyFill="true">
      <alignment horizontal="center" vertical="center"/>
    </xf>
    <xf fontId="21363" applyFont="true" borderId="8" applyBorder="true" applyNumberFormat="true" numFmtId="2" fillId="22" applyFill="true">
      <alignment horizontal="center" vertical="center"/>
    </xf>
    <xf fontId="21364" applyFont="true" borderId="8" applyBorder="true" applyNumberFormat="true" numFmtId="2" fillId="22" applyFill="true">
      <alignment horizontal="center" vertical="center"/>
    </xf>
    <xf fontId="21365" applyFont="true" borderId="8" applyBorder="true" applyNumberFormat="true" numFmtId="2" fillId="22" applyFill="true">
      <alignment horizontal="center" vertical="center"/>
    </xf>
    <xf fontId="21366" applyFont="true" borderId="8" applyBorder="true" applyNumberFormat="true" numFmtId="2" fillId="22" applyFill="true">
      <alignment horizontal="center" vertical="center"/>
    </xf>
    <xf fontId="21367" applyFont="true" borderId="8" applyBorder="true" applyNumberFormat="true" numFmtId="2" fillId="22" applyFill="true">
      <alignment horizontal="center" vertical="center"/>
    </xf>
    <xf fontId="21368" applyFont="true" borderId="8" applyBorder="true" applyNumberFormat="true" numFmtId="2" fillId="22" applyFill="true">
      <alignment horizontal="center" vertical="center"/>
    </xf>
    <xf fontId="21369" applyFont="true" borderId="8" applyBorder="true" applyNumberFormat="true" numFmtId="2" fillId="22" applyFill="true">
      <alignment horizontal="center" vertical="center"/>
    </xf>
    <xf fontId="21370" applyFont="true" borderId="8" applyBorder="true" applyNumberFormat="true" numFmtId="2" fillId="22" applyFill="true">
      <alignment horizontal="center" vertical="center"/>
    </xf>
    <xf fontId="21371" applyFont="true" borderId="8" applyBorder="true" applyNumberFormat="true" numFmtId="2" fillId="22" applyFill="true">
      <alignment horizontal="center" vertical="center"/>
    </xf>
    <xf fontId="21372" applyFont="true" borderId="8" applyBorder="true" applyNumberFormat="true" numFmtId="2" fillId="22" applyFill="true">
      <alignment horizontal="center" vertical="center"/>
    </xf>
    <xf fontId="21373" applyFont="true" borderId="8" applyBorder="true" applyNumberFormat="true" numFmtId="2" fillId="22" applyFill="true">
      <alignment horizontal="center" vertical="center"/>
    </xf>
    <xf fontId="21374" applyFont="true" borderId="8" applyBorder="true" applyNumberFormat="true" numFmtId="2" fillId="22" applyFill="true">
      <alignment horizontal="center" vertical="center"/>
    </xf>
    <xf fontId="21375" applyFont="true" borderId="8" applyBorder="true" applyNumberFormat="true" numFmtId="165" fillId="19" applyFill="true">
      <alignment horizontal="left" vertical="center"/>
    </xf>
    <xf fontId="21376" applyFont="true" borderId="8" applyBorder="true" applyNumberFormat="true" numFmtId="165" fillId="22" applyFill="true">
      <alignment horizontal="center" vertical="center"/>
    </xf>
    <xf fontId="21377" applyFont="true" borderId="8" applyBorder="true" applyNumberFormat="true" numFmtId="166" fillId="22" applyFill="true">
      <alignment horizontal="center" vertical="center"/>
    </xf>
    <xf fontId="21378" applyFont="true" borderId="8" applyBorder="true" applyNumberFormat="true" numFmtId="1" fillId="22" applyFill="true">
      <alignment horizontal="center" vertical="center"/>
    </xf>
    <xf fontId="21379" applyFont="true" borderId="8" applyBorder="true" applyNumberFormat="true" numFmtId="1" fillId="22" applyFill="true">
      <alignment horizontal="center" vertical="center"/>
    </xf>
    <xf fontId="21380" applyFont="true" borderId="8" applyBorder="true" applyNumberFormat="true" numFmtId="1" fillId="22" applyFill="true">
      <alignment horizontal="center" vertical="center"/>
    </xf>
    <xf fontId="21381" applyFont="true" borderId="8" applyBorder="true" applyNumberFormat="true" numFmtId="1" fillId="22" applyFill="true">
      <alignment horizontal="center" vertical="center"/>
    </xf>
    <xf fontId="21382" applyFont="true" borderId="8" applyBorder="true" applyNumberFormat="true" numFmtId="1" fillId="22" applyFill="true">
      <alignment horizontal="center" vertical="center"/>
    </xf>
    <xf fontId="21383" applyFont="true" borderId="8" applyBorder="true" applyNumberFormat="true" numFmtId="1" fillId="22" applyFill="true">
      <alignment horizontal="center" vertical="center"/>
    </xf>
    <xf fontId="21384" applyFont="true" borderId="8" applyBorder="true" applyNumberFormat="true" numFmtId="1" fillId="22" applyFill="true">
      <alignment horizontal="center" vertical="center"/>
    </xf>
    <xf fontId="21385" applyFont="true" borderId="8" applyBorder="true" applyNumberFormat="true" numFmtId="165" fillId="22" applyFill="true">
      <alignment horizontal="center" vertical="center"/>
    </xf>
    <xf fontId="21386" applyFont="true" borderId="8" applyBorder="true" applyNumberFormat="true" numFmtId="165" fillId="22" applyFill="true">
      <alignment horizontal="center" vertical="center"/>
    </xf>
    <xf fontId="21387" applyFont="true" borderId="8" applyBorder="true" applyNumberFormat="true" numFmtId="1" fillId="22" applyFill="true">
      <alignment horizontal="center" vertical="center"/>
    </xf>
    <xf fontId="21388" applyFont="true" borderId="8" applyBorder="true" applyNumberFormat="true" numFmtId="1" fillId="22" applyFill="true">
      <alignment horizontal="center" vertical="center"/>
    </xf>
    <xf fontId="21389" applyFont="true" borderId="8" applyBorder="true" applyNumberFormat="true" numFmtId="1" fillId="22" applyFill="true">
      <alignment horizontal="center" vertical="center"/>
    </xf>
    <xf fontId="21390" applyFont="true" borderId="8" applyBorder="true" applyNumberFormat="true" numFmtId="167" fillId="22" applyFill="true">
      <alignment horizontal="center" vertical="center"/>
    </xf>
    <xf fontId="21391" applyFont="true" borderId="8" applyBorder="true" applyNumberFormat="true" numFmtId="1" fillId="22" applyFill="true">
      <alignment horizontal="center" vertical="center"/>
    </xf>
    <xf fontId="21392" applyFont="true" borderId="8" applyBorder="true" applyNumberFormat="true" numFmtId="167" fillId="22" applyFill="true">
      <alignment horizontal="center" vertical="center"/>
    </xf>
    <xf fontId="21393" applyFont="true" borderId="8" applyBorder="true" applyNumberFormat="true" numFmtId="1" fillId="22" applyFill="true">
      <alignment horizontal="center" vertical="center"/>
    </xf>
    <xf fontId="21394" applyFont="true" borderId="8" applyBorder="true" applyNumberFormat="true" numFmtId="167" fillId="22" applyFill="true">
      <alignment horizontal="center" vertical="center"/>
    </xf>
    <xf fontId="21395" applyFont="true" borderId="8" applyBorder="true" applyNumberFormat="true" numFmtId="1" fillId="22" applyFill="true">
      <alignment horizontal="center" vertical="center"/>
    </xf>
    <xf fontId="21396" applyFont="true" borderId="8" applyBorder="true" applyNumberFormat="true" numFmtId="167" fillId="22" applyFill="true">
      <alignment horizontal="center" vertical="center"/>
    </xf>
    <xf fontId="21397" applyFont="true" borderId="8" applyBorder="true" applyNumberFormat="true" numFmtId="167" fillId="22" applyFill="true">
      <alignment horizontal="center" vertical="center"/>
    </xf>
    <xf fontId="21398" applyFont="true" borderId="8" applyBorder="true" applyNumberFormat="true" numFmtId="1" fillId="22" applyFill="true">
      <alignment horizontal="center" vertical="center"/>
    </xf>
    <xf fontId="21399" applyFont="true" borderId="8" applyBorder="true" applyNumberFormat="true" numFmtId="1" fillId="22" applyFill="true">
      <alignment horizontal="center" vertical="center"/>
    </xf>
    <xf fontId="21400" applyFont="true" borderId="8" applyBorder="true" applyNumberFormat="true" numFmtId="1" fillId="22" applyFill="true">
      <alignment horizontal="center" vertical="center"/>
    </xf>
    <xf fontId="21401" applyFont="true" borderId="8" applyBorder="true" applyNumberFormat="true" numFmtId="167" fillId="22" applyFill="true">
      <alignment horizontal="center" vertical="center"/>
    </xf>
    <xf fontId="21402" applyFont="true" borderId="8" applyBorder="true" applyNumberFormat="true" numFmtId="166" fillId="22" applyFill="true">
      <alignment horizontal="center" vertical="center"/>
    </xf>
    <xf fontId="21403" applyFont="true" borderId="8" applyBorder="true" applyNumberFormat="true" numFmtId="166" fillId="22" applyFill="true">
      <alignment horizontal="center" vertical="center"/>
    </xf>
    <xf fontId="21404" applyFont="true" borderId="8" applyBorder="true" applyNumberFormat="true" numFmtId="1" fillId="22" applyFill="true">
      <alignment horizontal="center" vertical="center"/>
    </xf>
    <xf fontId="21405" applyFont="true" borderId="8" applyBorder="true" applyNumberFormat="true" numFmtId="1" fillId="22" applyFill="true">
      <alignment horizontal="center" vertical="center"/>
    </xf>
    <xf fontId="21406" applyFont="true" borderId="8" applyBorder="true" applyNumberFormat="true" numFmtId="1" fillId="22" applyFill="true">
      <alignment horizontal="center" vertical="center"/>
    </xf>
    <xf fontId="21407" applyFont="true" borderId="8" applyBorder="true" applyNumberFormat="true" numFmtId="167" fillId="22" applyFill="true">
      <alignment horizontal="center" vertical="center"/>
    </xf>
    <xf fontId="21408" applyFont="true" borderId="8" applyBorder="true" applyNumberFormat="true" numFmtId="1" fillId="22" applyFill="true">
      <alignment horizontal="center" vertical="center"/>
    </xf>
    <xf fontId="21409" applyFont="true" borderId="8" applyBorder="true" applyNumberFormat="true" numFmtId="167" fillId="22" applyFill="true">
      <alignment horizontal="center" vertical="center"/>
    </xf>
    <xf fontId="21410" applyFont="true" borderId="8" applyBorder="true" applyNumberFormat="true" numFmtId="1" fillId="22" applyFill="true">
      <alignment horizontal="center" vertical="center"/>
    </xf>
    <xf fontId="21411" applyFont="true" borderId="8" applyBorder="true" applyNumberFormat="true" numFmtId="1" fillId="22" applyFill="true">
      <alignment horizontal="center" vertical="center"/>
    </xf>
    <xf fontId="21412" applyFont="true" borderId="8" applyBorder="true" applyNumberFormat="true" numFmtId="1" fillId="22" applyFill="true">
      <alignment horizontal="center" vertical="center"/>
    </xf>
    <xf fontId="21413" applyFont="true" borderId="8" applyBorder="true" applyNumberFormat="true" numFmtId="1" fillId="22" applyFill="true">
      <alignment horizontal="center" vertical="center"/>
    </xf>
    <xf fontId="21414" applyFont="true" borderId="8" applyBorder="true" applyNumberFormat="true" numFmtId="167" fillId="22" applyFill="true">
      <alignment horizontal="center" vertical="center"/>
    </xf>
    <xf fontId="21415" applyFont="true" borderId="8" applyBorder="true" applyNumberFormat="true" numFmtId="1" fillId="22" applyFill="true">
      <alignment horizontal="center" vertical="center"/>
    </xf>
    <xf fontId="21416" applyFont="true" borderId="8" applyBorder="true" applyNumberFormat="true" numFmtId="167" fillId="22" applyFill="true">
      <alignment horizontal="center" vertical="center"/>
    </xf>
    <xf fontId="21417" applyFont="true" borderId="8" applyBorder="true" applyNumberFormat="true" numFmtId="1" fillId="22" applyFill="true">
      <alignment horizontal="center" vertical="center"/>
    </xf>
    <xf fontId="21418" applyFont="true" borderId="8" applyBorder="true" applyNumberFormat="true" numFmtId="167" fillId="22" applyFill="true">
      <alignment horizontal="center" vertical="center"/>
    </xf>
    <xf fontId="21419" applyFont="true" borderId="8" applyBorder="true" applyNumberFormat="true" numFmtId="2" fillId="22" applyFill="true">
      <alignment horizontal="center" vertical="center"/>
    </xf>
    <xf fontId="21420" applyFont="true" borderId="8" applyBorder="true" applyNumberFormat="true" numFmtId="2" fillId="22" applyFill="true">
      <alignment horizontal="center" vertical="center"/>
    </xf>
    <xf fontId="21421" applyFont="true" borderId="8" applyBorder="true" applyNumberFormat="true" numFmtId="2" fillId="22" applyFill="true">
      <alignment horizontal="center" vertical="center"/>
    </xf>
    <xf fontId="21422" applyFont="true" borderId="8" applyBorder="true" applyNumberFormat="true" numFmtId="2" fillId="22" applyFill="true">
      <alignment horizontal="center" vertical="center"/>
    </xf>
    <xf fontId="21423" applyFont="true" borderId="8" applyBorder="true" applyNumberFormat="true" numFmtId="2" fillId="22" applyFill="true">
      <alignment horizontal="center" vertical="center"/>
    </xf>
    <xf fontId="21424" applyFont="true" borderId="8" applyBorder="true" applyNumberFormat="true" numFmtId="2" fillId="22" applyFill="true">
      <alignment horizontal="center" vertical="center"/>
    </xf>
    <xf fontId="21425" applyFont="true" borderId="8" applyBorder="true" applyNumberFormat="true" numFmtId="2" fillId="22" applyFill="true">
      <alignment horizontal="center" vertical="center"/>
    </xf>
    <xf fontId="21426" applyFont="true" borderId="8" applyBorder="true" applyNumberFormat="true" numFmtId="2" fillId="22" applyFill="true">
      <alignment horizontal="center" vertical="center"/>
    </xf>
    <xf fontId="21427" applyFont="true" borderId="8" applyBorder="true" applyNumberFormat="true" numFmtId="2" fillId="22" applyFill="true">
      <alignment horizontal="center" vertical="center"/>
    </xf>
    <xf fontId="21428" applyFont="true" borderId="8" applyBorder="true" applyNumberFormat="true" numFmtId="2" fillId="22" applyFill="true">
      <alignment horizontal="center" vertical="center"/>
    </xf>
    <xf fontId="21429" applyFont="true" borderId="8" applyBorder="true" applyNumberFormat="true" numFmtId="2" fillId="22" applyFill="true">
      <alignment horizontal="center" vertical="center"/>
    </xf>
    <xf fontId="21430" applyFont="true" borderId="8" applyBorder="true" applyNumberFormat="true" numFmtId="2" fillId="22" applyFill="true">
      <alignment horizontal="center" vertical="center"/>
    </xf>
    <xf fontId="21431" applyFont="true" borderId="8" applyBorder="true" applyNumberFormat="true" numFmtId="2" fillId="22" applyFill="true">
      <alignment horizontal="center" vertical="center"/>
    </xf>
    <xf fontId="21432" applyFont="true" borderId="8" applyBorder="true" applyNumberFormat="true" numFmtId="2" fillId="22" applyFill="true">
      <alignment horizontal="center" vertical="center"/>
    </xf>
    <xf fontId="21433" applyFont="true" borderId="8" applyBorder="true" applyNumberFormat="true" numFmtId="2" fillId="22" applyFill="true">
      <alignment horizontal="center" vertical="center"/>
    </xf>
    <xf fontId="21434" applyFont="true" borderId="8" applyBorder="true" applyNumberFormat="true" numFmtId="2" fillId="22" applyFill="true">
      <alignment horizontal="center" vertical="center"/>
    </xf>
    <xf fontId="21435" applyFont="true" borderId="8" applyBorder="true" applyNumberFormat="true" numFmtId="2" fillId="22" applyFill="true">
      <alignment horizontal="center" vertical="center"/>
    </xf>
    <xf fontId="21436" applyFont="true" borderId="8" applyBorder="true" applyNumberFormat="true" numFmtId="2" fillId="22" applyFill="true">
      <alignment horizontal="center" vertical="center"/>
    </xf>
    <xf fontId="21437" applyFont="true" borderId="8" applyBorder="true" applyNumberFormat="true" numFmtId="2" fillId="22" applyFill="true">
      <alignment horizontal="center" vertical="center"/>
    </xf>
    <xf fontId="21438" applyFont="true" borderId="8" applyBorder="true" applyNumberFormat="true" numFmtId="2" fillId="22" applyFill="true">
      <alignment horizontal="center" vertical="center"/>
    </xf>
    <xf fontId="21439" applyFont="true" borderId="8" applyBorder="true" applyNumberFormat="true" numFmtId="2" fillId="22" applyFill="true">
      <alignment horizontal="center" vertical="center"/>
    </xf>
    <xf fontId="21440" applyFont="true" borderId="8" applyBorder="true" applyNumberFormat="true" numFmtId="2" fillId="22" applyFill="true">
      <alignment horizontal="center" vertical="center"/>
    </xf>
    <xf fontId="21441" applyFont="true" borderId="8" applyBorder="true" applyNumberFormat="true" numFmtId="2" fillId="22" applyFill="true">
      <alignment horizontal="center" vertical="center"/>
    </xf>
    <xf fontId="21442" applyFont="true" borderId="8" applyBorder="true" applyNumberFormat="true" numFmtId="2" fillId="22" applyFill="true">
      <alignment horizontal="center" vertical="center"/>
    </xf>
    <xf fontId="21443" applyFont="true" borderId="8" applyBorder="true" applyNumberFormat="true" numFmtId="2" fillId="22" applyFill="true">
      <alignment horizontal="center" vertical="center"/>
    </xf>
    <xf fontId="21444" applyFont="true" borderId="8" applyBorder="true" applyNumberFormat="true" numFmtId="2" fillId="22" applyFill="true">
      <alignment horizontal="center" vertical="center"/>
    </xf>
    <xf fontId="21445" applyFont="true" borderId="8" applyBorder="true" applyNumberFormat="true" numFmtId="2" fillId="22" applyFill="true">
      <alignment horizontal="center" vertical="center"/>
    </xf>
    <xf fontId="21446" applyFont="true" borderId="8" applyBorder="true" applyNumberFormat="true" numFmtId="2" fillId="22" applyFill="true">
      <alignment horizontal="center" vertical="center"/>
    </xf>
    <xf fontId="21447" applyFont="true" borderId="8" applyBorder="true" applyNumberFormat="true" numFmtId="2" fillId="22" applyFill="true">
      <alignment horizontal="center" vertical="center"/>
    </xf>
    <xf fontId="21448" applyFont="true" borderId="8" applyBorder="true" applyNumberFormat="true" numFmtId="2" fillId="22" applyFill="true">
      <alignment horizontal="center" vertical="center"/>
    </xf>
    <xf fontId="21449" applyFont="true" borderId="8" applyBorder="true" applyNumberFormat="true" numFmtId="2" fillId="22" applyFill="true">
      <alignment horizontal="center" vertical="center"/>
    </xf>
    <xf fontId="21450" applyFont="true" borderId="8" applyBorder="true" applyNumberFormat="true" numFmtId="2" fillId="22" applyFill="true">
      <alignment horizontal="center" vertical="center"/>
    </xf>
    <xf fontId="21451" applyFont="true" borderId="8" applyBorder="true" applyNumberFormat="true" numFmtId="2" fillId="22" applyFill="true">
      <alignment horizontal="center" vertical="center"/>
    </xf>
    <xf fontId="21452" applyFont="true" borderId="8" applyBorder="true" applyNumberFormat="true" numFmtId="2" fillId="22" applyFill="true">
      <alignment horizontal="center" vertical="center"/>
    </xf>
    <xf fontId="21453" applyFont="true" borderId="8" applyBorder="true" applyNumberFormat="true" numFmtId="165" fillId="19" applyFill="true">
      <alignment horizontal="left" vertical="center"/>
    </xf>
    <xf fontId="21454" applyFont="true" borderId="8" applyBorder="true" applyNumberFormat="true" numFmtId="165" fillId="22" applyFill="true">
      <alignment horizontal="center" vertical="center"/>
    </xf>
    <xf fontId="21455" applyFont="true" borderId="8" applyBorder="true" applyNumberFormat="true" numFmtId="166" fillId="22" applyFill="true">
      <alignment horizontal="center" vertical="center"/>
    </xf>
    <xf fontId="21456" applyFont="true" borderId="8" applyBorder="true" applyNumberFormat="true" numFmtId="1" fillId="22" applyFill="true">
      <alignment horizontal="center" vertical="center"/>
    </xf>
    <xf fontId="21457" applyFont="true" borderId="8" applyBorder="true" applyNumberFormat="true" numFmtId="1" fillId="22" applyFill="true">
      <alignment horizontal="center" vertical="center"/>
    </xf>
    <xf fontId="21458" applyFont="true" borderId="8" applyBorder="true" applyNumberFormat="true" numFmtId="1" fillId="22" applyFill="true">
      <alignment horizontal="center" vertical="center"/>
    </xf>
    <xf fontId="21459" applyFont="true" borderId="8" applyBorder="true" applyNumberFormat="true" numFmtId="1" fillId="22" applyFill="true">
      <alignment horizontal="center" vertical="center"/>
    </xf>
    <xf fontId="21460" applyFont="true" borderId="8" applyBorder="true" applyNumberFormat="true" numFmtId="1" fillId="22" applyFill="true">
      <alignment horizontal="center" vertical="center"/>
    </xf>
    <xf fontId="21461" applyFont="true" borderId="8" applyBorder="true" applyNumberFormat="true" numFmtId="1" fillId="22" applyFill="true">
      <alignment horizontal="center" vertical="center"/>
    </xf>
    <xf fontId="21462" applyFont="true" borderId="8" applyBorder="true" applyNumberFormat="true" numFmtId="1" fillId="22" applyFill="true">
      <alignment horizontal="center" vertical="center"/>
    </xf>
    <xf fontId="21463" applyFont="true" borderId="8" applyBorder="true" applyNumberFormat="true" numFmtId="165" fillId="22" applyFill="true">
      <alignment horizontal="center" vertical="center"/>
    </xf>
    <xf fontId="21464" applyFont="true" borderId="8" applyBorder="true" applyNumberFormat="true" numFmtId="165" fillId="22" applyFill="true">
      <alignment horizontal="center" vertical="center"/>
    </xf>
    <xf fontId="21465" applyFont="true" borderId="8" applyBorder="true" applyNumberFormat="true" numFmtId="1" fillId="22" applyFill="true">
      <alignment horizontal="center" vertical="center"/>
    </xf>
    <xf fontId="21466" applyFont="true" borderId="8" applyBorder="true" applyNumberFormat="true" numFmtId="1" fillId="22" applyFill="true">
      <alignment horizontal="center" vertical="center"/>
    </xf>
    <xf fontId="21467" applyFont="true" borderId="8" applyBorder="true" applyNumberFormat="true" numFmtId="1" fillId="22" applyFill="true">
      <alignment horizontal="center" vertical="center"/>
    </xf>
    <xf fontId="21468" applyFont="true" borderId="8" applyBorder="true" applyNumberFormat="true" numFmtId="167" fillId="22" applyFill="true">
      <alignment horizontal="center" vertical="center"/>
    </xf>
    <xf fontId="21469" applyFont="true" borderId="8" applyBorder="true" applyNumberFormat="true" numFmtId="1" fillId="22" applyFill="true">
      <alignment horizontal="center" vertical="center"/>
    </xf>
    <xf fontId="21470" applyFont="true" borderId="8" applyBorder="true" applyNumberFormat="true" numFmtId="167" fillId="22" applyFill="true">
      <alignment horizontal="center" vertical="center"/>
    </xf>
    <xf fontId="21471" applyFont="true" borderId="8" applyBorder="true" applyNumberFormat="true" numFmtId="1" fillId="22" applyFill="true">
      <alignment horizontal="center" vertical="center"/>
    </xf>
    <xf fontId="21472" applyFont="true" borderId="8" applyBorder="true" applyNumberFormat="true" numFmtId="167" fillId="22" applyFill="true">
      <alignment horizontal="center" vertical="center"/>
    </xf>
    <xf fontId="21473" applyFont="true" borderId="8" applyBorder="true" applyNumberFormat="true" numFmtId="1" fillId="22" applyFill="true">
      <alignment horizontal="center" vertical="center"/>
    </xf>
    <xf fontId="21474" applyFont="true" borderId="8" applyBorder="true" applyNumberFormat="true" numFmtId="167" fillId="22" applyFill="true">
      <alignment horizontal="center" vertical="center"/>
    </xf>
    <xf fontId="21475" applyFont="true" borderId="8" applyBorder="true" applyNumberFormat="true" numFmtId="167" fillId="22" applyFill="true">
      <alignment horizontal="center" vertical="center"/>
    </xf>
    <xf fontId="21476" applyFont="true" borderId="8" applyBorder="true" applyNumberFormat="true" numFmtId="1" fillId="22" applyFill="true">
      <alignment horizontal="center" vertical="center"/>
    </xf>
    <xf fontId="21477" applyFont="true" borderId="8" applyBorder="true" applyNumberFormat="true" numFmtId="1" fillId="22" applyFill="true">
      <alignment horizontal="center" vertical="center"/>
    </xf>
    <xf fontId="21478" applyFont="true" borderId="8" applyBorder="true" applyNumberFormat="true" numFmtId="1" fillId="22" applyFill="true">
      <alignment horizontal="center" vertical="center"/>
    </xf>
    <xf fontId="21479" applyFont="true" borderId="8" applyBorder="true" applyNumberFormat="true" numFmtId="167" fillId="22" applyFill="true">
      <alignment horizontal="center" vertical="center"/>
    </xf>
    <xf fontId="21480" applyFont="true" borderId="8" applyBorder="true" applyNumberFormat="true" numFmtId="166" fillId="22" applyFill="true">
      <alignment horizontal="center" vertical="center"/>
    </xf>
    <xf fontId="21481" applyFont="true" borderId="8" applyBorder="true" applyNumberFormat="true" numFmtId="166" fillId="22" applyFill="true">
      <alignment horizontal="center" vertical="center"/>
    </xf>
    <xf fontId="21482" applyFont="true" borderId="8" applyBorder="true" applyNumberFormat="true" numFmtId="1" fillId="22" applyFill="true">
      <alignment horizontal="center" vertical="center"/>
    </xf>
    <xf fontId="21483" applyFont="true" borderId="8" applyBorder="true" applyNumberFormat="true" numFmtId="1" fillId="22" applyFill="true">
      <alignment horizontal="center" vertical="center"/>
    </xf>
    <xf fontId="21484" applyFont="true" borderId="8" applyBorder="true" applyNumberFormat="true" numFmtId="1" fillId="22" applyFill="true">
      <alignment horizontal="center" vertical="center"/>
    </xf>
    <xf fontId="21485" applyFont="true" borderId="8" applyBorder="true" applyNumberFormat="true" numFmtId="167" fillId="22" applyFill="true">
      <alignment horizontal="center" vertical="center"/>
    </xf>
    <xf fontId="21486" applyFont="true" borderId="8" applyBorder="true" applyNumberFormat="true" numFmtId="1" fillId="22" applyFill="true">
      <alignment horizontal="center" vertical="center"/>
    </xf>
    <xf fontId="21487" applyFont="true" borderId="8" applyBorder="true" applyNumberFormat="true" numFmtId="167" fillId="22" applyFill="true">
      <alignment horizontal="center" vertical="center"/>
    </xf>
    <xf fontId="21488" applyFont="true" borderId="8" applyBorder="true" applyNumberFormat="true" numFmtId="1" fillId="22" applyFill="true">
      <alignment horizontal="center" vertical="center"/>
    </xf>
    <xf fontId="21489" applyFont="true" borderId="8" applyBorder="true" applyNumberFormat="true" numFmtId="1" fillId="22" applyFill="true">
      <alignment horizontal="center" vertical="center"/>
    </xf>
    <xf fontId="21490" applyFont="true" borderId="8" applyBorder="true" applyNumberFormat="true" numFmtId="1" fillId="22" applyFill="true">
      <alignment horizontal="center" vertical="center"/>
    </xf>
    <xf fontId="21491" applyFont="true" borderId="8" applyBorder="true" applyNumberFormat="true" numFmtId="1" fillId="22" applyFill="true">
      <alignment horizontal="center" vertical="center"/>
    </xf>
    <xf fontId="21492" applyFont="true" borderId="8" applyBorder="true" applyNumberFormat="true" numFmtId="167" fillId="22" applyFill="true">
      <alignment horizontal="center" vertical="center"/>
    </xf>
    <xf fontId="21493" applyFont="true" borderId="8" applyBorder="true" applyNumberFormat="true" numFmtId="1" fillId="22" applyFill="true">
      <alignment horizontal="center" vertical="center"/>
    </xf>
    <xf fontId="21494" applyFont="true" borderId="8" applyBorder="true" applyNumberFormat="true" numFmtId="167" fillId="22" applyFill="true">
      <alignment horizontal="center" vertical="center"/>
    </xf>
    <xf fontId="21495" applyFont="true" borderId="8" applyBorder="true" applyNumberFormat="true" numFmtId="1" fillId="22" applyFill="true">
      <alignment horizontal="center" vertical="center"/>
    </xf>
    <xf fontId="21496" applyFont="true" borderId="8" applyBorder="true" applyNumberFormat="true" numFmtId="167" fillId="22" applyFill="true">
      <alignment horizontal="center" vertical="center"/>
    </xf>
    <xf fontId="21497" applyFont="true" borderId="8" applyBorder="true" applyNumberFormat="true" numFmtId="2" fillId="22" applyFill="true">
      <alignment horizontal="center" vertical="center"/>
    </xf>
    <xf fontId="21498" applyFont="true" borderId="8" applyBorder="true" applyNumberFormat="true" numFmtId="2" fillId="22" applyFill="true">
      <alignment horizontal="center" vertical="center"/>
    </xf>
    <xf fontId="21499" applyFont="true" borderId="8" applyBorder="true" applyNumberFormat="true" numFmtId="2" fillId="22" applyFill="true">
      <alignment horizontal="center" vertical="center"/>
    </xf>
    <xf fontId="21500" applyFont="true" borderId="8" applyBorder="true" applyNumberFormat="true" numFmtId="2" fillId="22" applyFill="true">
      <alignment horizontal="center" vertical="center"/>
    </xf>
    <xf fontId="21501" applyFont="true" borderId="8" applyBorder="true" applyNumberFormat="true" numFmtId="2" fillId="22" applyFill="true">
      <alignment horizontal="center" vertical="center"/>
    </xf>
    <xf fontId="21502" applyFont="true" borderId="8" applyBorder="true" applyNumberFormat="true" numFmtId="2" fillId="22" applyFill="true">
      <alignment horizontal="center" vertical="center"/>
    </xf>
    <xf fontId="21503" applyFont="true" borderId="8" applyBorder="true" applyNumberFormat="true" numFmtId="2" fillId="22" applyFill="true">
      <alignment horizontal="center" vertical="center"/>
    </xf>
    <xf fontId="21504" applyFont="true" borderId="8" applyBorder="true" applyNumberFormat="true" numFmtId="2" fillId="22" applyFill="true">
      <alignment horizontal="center" vertical="center"/>
    </xf>
    <xf fontId="21505" applyFont="true" borderId="8" applyBorder="true" applyNumberFormat="true" numFmtId="2" fillId="22" applyFill="true">
      <alignment horizontal="center" vertical="center"/>
    </xf>
    <xf fontId="21506" applyFont="true" borderId="8" applyBorder="true" applyNumberFormat="true" numFmtId="2" fillId="22" applyFill="true">
      <alignment horizontal="center" vertical="center"/>
    </xf>
    <xf fontId="21507" applyFont="true" borderId="8" applyBorder="true" applyNumberFormat="true" numFmtId="2" fillId="22" applyFill="true">
      <alignment horizontal="center" vertical="center"/>
    </xf>
    <xf fontId="21508" applyFont="true" borderId="8" applyBorder="true" applyNumberFormat="true" numFmtId="2" fillId="22" applyFill="true">
      <alignment horizontal="center" vertical="center"/>
    </xf>
    <xf fontId="21509" applyFont="true" borderId="8" applyBorder="true" applyNumberFormat="true" numFmtId="2" fillId="22" applyFill="true">
      <alignment horizontal="center" vertical="center"/>
    </xf>
    <xf fontId="21510" applyFont="true" borderId="8" applyBorder="true" applyNumberFormat="true" numFmtId="2" fillId="22" applyFill="true">
      <alignment horizontal="center" vertical="center"/>
    </xf>
    <xf fontId="21511" applyFont="true" borderId="8" applyBorder="true" applyNumberFormat="true" numFmtId="2" fillId="22" applyFill="true">
      <alignment horizontal="center" vertical="center"/>
    </xf>
    <xf fontId="21512" applyFont="true" borderId="8" applyBorder="true" applyNumberFormat="true" numFmtId="2" fillId="22" applyFill="true">
      <alignment horizontal="center" vertical="center"/>
    </xf>
    <xf fontId="21513" applyFont="true" borderId="8" applyBorder="true" applyNumberFormat="true" numFmtId="2" fillId="22" applyFill="true">
      <alignment horizontal="center" vertical="center"/>
    </xf>
    <xf fontId="21514" applyFont="true" borderId="8" applyBorder="true" applyNumberFormat="true" numFmtId="2" fillId="22" applyFill="true">
      <alignment horizontal="center" vertical="center"/>
    </xf>
    <xf fontId="21515" applyFont="true" borderId="8" applyBorder="true" applyNumberFormat="true" numFmtId="2" fillId="22" applyFill="true">
      <alignment horizontal="center" vertical="center"/>
    </xf>
    <xf fontId="21516" applyFont="true" borderId="8" applyBorder="true" applyNumberFormat="true" numFmtId="2" fillId="22" applyFill="true">
      <alignment horizontal="center" vertical="center"/>
    </xf>
    <xf fontId="21517" applyFont="true" borderId="8" applyBorder="true" applyNumberFormat="true" numFmtId="2" fillId="22" applyFill="true">
      <alignment horizontal="center" vertical="center"/>
    </xf>
    <xf fontId="21518" applyFont="true" borderId="8" applyBorder="true" applyNumberFormat="true" numFmtId="2" fillId="22" applyFill="true">
      <alignment horizontal="center" vertical="center"/>
    </xf>
    <xf fontId="21519" applyFont="true" borderId="8" applyBorder="true" applyNumberFormat="true" numFmtId="2" fillId="22" applyFill="true">
      <alignment horizontal="center" vertical="center"/>
    </xf>
    <xf fontId="21520" applyFont="true" borderId="8" applyBorder="true" applyNumberFormat="true" numFmtId="2" fillId="22" applyFill="true">
      <alignment horizontal="center" vertical="center"/>
    </xf>
    <xf fontId="21521" applyFont="true" borderId="8" applyBorder="true" applyNumberFormat="true" numFmtId="2" fillId="22" applyFill="true">
      <alignment horizontal="center" vertical="center"/>
    </xf>
    <xf fontId="21522" applyFont="true" borderId="8" applyBorder="true" applyNumberFormat="true" numFmtId="2" fillId="22" applyFill="true">
      <alignment horizontal="center" vertical="center"/>
    </xf>
    <xf fontId="21523" applyFont="true" borderId="8" applyBorder="true" applyNumberFormat="true" numFmtId="2" fillId="22" applyFill="true">
      <alignment horizontal="center" vertical="center"/>
    </xf>
    <xf fontId="21524" applyFont="true" borderId="8" applyBorder="true" applyNumberFormat="true" numFmtId="2" fillId="22" applyFill="true">
      <alignment horizontal="center" vertical="center"/>
    </xf>
    <xf fontId="21525" applyFont="true" borderId="8" applyBorder="true" applyNumberFormat="true" numFmtId="2" fillId="22" applyFill="true">
      <alignment horizontal="center" vertical="center"/>
    </xf>
    <xf fontId="21526" applyFont="true" borderId="8" applyBorder="true" applyNumberFormat="true" numFmtId="2" fillId="22" applyFill="true">
      <alignment horizontal="center" vertical="center"/>
    </xf>
    <xf fontId="21527" applyFont="true" borderId="8" applyBorder="true" applyNumberFormat="true" numFmtId="2" fillId="22" applyFill="true">
      <alignment horizontal="center" vertical="center"/>
    </xf>
    <xf fontId="21528" applyFont="true" borderId="8" applyBorder="true" applyNumberFormat="true" numFmtId="2" fillId="22" applyFill="true">
      <alignment horizontal="center" vertical="center"/>
    </xf>
    <xf fontId="21529" applyFont="true" borderId="8" applyBorder="true" applyNumberFormat="true" numFmtId="2" fillId="22" applyFill="true">
      <alignment horizontal="center" vertical="center"/>
    </xf>
    <xf fontId="21530" applyFont="true" borderId="8" applyBorder="true" applyNumberFormat="true" numFmtId="2" fillId="22" applyFill="true">
      <alignment horizontal="center" vertical="center"/>
    </xf>
    <xf fontId="21531" applyFont="true" borderId="8" applyBorder="true" applyNumberFormat="true" numFmtId="165" fillId="19" applyFill="true">
      <alignment horizontal="left" vertical="center"/>
    </xf>
    <xf fontId="21532" applyFont="true" borderId="8" applyBorder="true" applyNumberFormat="true" numFmtId="165" fillId="22" applyFill="true">
      <alignment horizontal="center" vertical="center"/>
    </xf>
    <xf fontId="21533" applyFont="true" borderId="8" applyBorder="true" applyNumberFormat="true" numFmtId="166" fillId="22" applyFill="true">
      <alignment horizontal="center" vertical="center"/>
    </xf>
    <xf fontId="21534" applyFont="true" borderId="8" applyBorder="true" applyNumberFormat="true" numFmtId="1" fillId="22" applyFill="true">
      <alignment horizontal="center" vertical="center"/>
    </xf>
    <xf fontId="21535" applyFont="true" borderId="8" applyBorder="true" applyNumberFormat="true" numFmtId="1" fillId="22" applyFill="true">
      <alignment horizontal="center" vertical="center"/>
    </xf>
    <xf fontId="21536" applyFont="true" borderId="8" applyBorder="true" applyNumberFormat="true" numFmtId="1" fillId="22" applyFill="true">
      <alignment horizontal="center" vertical="center"/>
    </xf>
    <xf fontId="21537" applyFont="true" borderId="8" applyBorder="true" applyNumberFormat="true" numFmtId="1" fillId="22" applyFill="true">
      <alignment horizontal="center" vertical="center"/>
    </xf>
    <xf fontId="21538" applyFont="true" borderId="8" applyBorder="true" applyNumberFormat="true" numFmtId="1" fillId="22" applyFill="true">
      <alignment horizontal="center" vertical="center"/>
    </xf>
    <xf fontId="21539" applyFont="true" borderId="8" applyBorder="true" applyNumberFormat="true" numFmtId="1" fillId="22" applyFill="true">
      <alignment horizontal="center" vertical="center"/>
    </xf>
    <xf fontId="21540" applyFont="true" borderId="8" applyBorder="true" applyNumberFormat="true" numFmtId="1" fillId="22" applyFill="true">
      <alignment horizontal="center" vertical="center"/>
    </xf>
    <xf fontId="21541" applyFont="true" borderId="8" applyBorder="true" applyNumberFormat="true" numFmtId="165" fillId="22" applyFill="true">
      <alignment horizontal="center" vertical="center"/>
    </xf>
    <xf fontId="21542" applyFont="true" borderId="8" applyBorder="true" applyNumberFormat="true" numFmtId="165" fillId="22" applyFill="true">
      <alignment horizontal="center" vertical="center"/>
    </xf>
    <xf fontId="21543" applyFont="true" borderId="8" applyBorder="true" applyNumberFormat="true" numFmtId="1" fillId="22" applyFill="true">
      <alignment horizontal="center" vertical="center"/>
    </xf>
    <xf fontId="21544" applyFont="true" borderId="8" applyBorder="true" applyNumberFormat="true" numFmtId="1" fillId="22" applyFill="true">
      <alignment horizontal="center" vertical="center"/>
    </xf>
    <xf fontId="21545" applyFont="true" borderId="8" applyBorder="true" applyNumberFormat="true" numFmtId="1" fillId="22" applyFill="true">
      <alignment horizontal="center" vertical="center"/>
    </xf>
    <xf fontId="21546" applyFont="true" borderId="8" applyBorder="true" applyNumberFormat="true" numFmtId="167" fillId="22" applyFill="true">
      <alignment horizontal="center" vertical="center"/>
    </xf>
    <xf fontId="21547" applyFont="true" borderId="8" applyBorder="true" applyNumberFormat="true" numFmtId="1" fillId="22" applyFill="true">
      <alignment horizontal="center" vertical="center"/>
    </xf>
    <xf fontId="21548" applyFont="true" borderId="8" applyBorder="true" applyNumberFormat="true" numFmtId="167" fillId="22" applyFill="true">
      <alignment horizontal="center" vertical="center"/>
    </xf>
    <xf fontId="21549" applyFont="true" borderId="8" applyBorder="true" applyNumberFormat="true" numFmtId="1" fillId="22" applyFill="true">
      <alignment horizontal="center" vertical="center"/>
    </xf>
    <xf fontId="21550" applyFont="true" borderId="8" applyBorder="true" applyNumberFormat="true" numFmtId="167" fillId="22" applyFill="true">
      <alignment horizontal="center" vertical="center"/>
    </xf>
    <xf fontId="21551" applyFont="true" borderId="8" applyBorder="true" applyNumberFormat="true" numFmtId="1" fillId="22" applyFill="true">
      <alignment horizontal="center" vertical="center"/>
    </xf>
    <xf fontId="21552" applyFont="true" borderId="8" applyBorder="true" applyNumberFormat="true" numFmtId="167" fillId="22" applyFill="true">
      <alignment horizontal="center" vertical="center"/>
    </xf>
    <xf fontId="21553" applyFont="true" borderId="8" applyBorder="true" applyNumberFormat="true" numFmtId="167" fillId="22" applyFill="true">
      <alignment horizontal="center" vertical="center"/>
    </xf>
    <xf fontId="21554" applyFont="true" borderId="8" applyBorder="true" applyNumberFormat="true" numFmtId="1" fillId="22" applyFill="true">
      <alignment horizontal="center" vertical="center"/>
    </xf>
    <xf fontId="21555" applyFont="true" borderId="8" applyBorder="true" applyNumberFormat="true" numFmtId="1" fillId="22" applyFill="true">
      <alignment horizontal="center" vertical="center"/>
    </xf>
    <xf fontId="21556" applyFont="true" borderId="8" applyBorder="true" applyNumberFormat="true" numFmtId="1" fillId="22" applyFill="true">
      <alignment horizontal="center" vertical="center"/>
    </xf>
    <xf fontId="21557" applyFont="true" borderId="8" applyBorder="true" applyNumberFormat="true" numFmtId="167" fillId="22" applyFill="true">
      <alignment horizontal="center" vertical="center"/>
    </xf>
    <xf fontId="21558" applyFont="true" borderId="8" applyBorder="true" applyNumberFormat="true" numFmtId="166" fillId="22" applyFill="true">
      <alignment horizontal="center" vertical="center"/>
    </xf>
    <xf fontId="21559" applyFont="true" borderId="8" applyBorder="true" applyNumberFormat="true" numFmtId="166" fillId="22" applyFill="true">
      <alignment horizontal="center" vertical="center"/>
    </xf>
    <xf fontId="21560" applyFont="true" borderId="8" applyBorder="true" applyNumberFormat="true" numFmtId="1" fillId="22" applyFill="true">
      <alignment horizontal="center" vertical="center"/>
    </xf>
    <xf fontId="21561" applyFont="true" borderId="8" applyBorder="true" applyNumberFormat="true" numFmtId="1" fillId="22" applyFill="true">
      <alignment horizontal="center" vertical="center"/>
    </xf>
    <xf fontId="21562" applyFont="true" borderId="8" applyBorder="true" applyNumberFormat="true" numFmtId="1" fillId="22" applyFill="true">
      <alignment horizontal="center" vertical="center"/>
    </xf>
    <xf fontId="21563" applyFont="true" borderId="8" applyBorder="true" applyNumberFormat="true" numFmtId="167" fillId="22" applyFill="true">
      <alignment horizontal="center" vertical="center"/>
    </xf>
    <xf fontId="21564" applyFont="true" borderId="8" applyBorder="true" applyNumberFormat="true" numFmtId="1" fillId="22" applyFill="true">
      <alignment horizontal="center" vertical="center"/>
    </xf>
    <xf fontId="21565" applyFont="true" borderId="8" applyBorder="true" applyNumberFormat="true" numFmtId="167" fillId="22" applyFill="true">
      <alignment horizontal="center" vertical="center"/>
    </xf>
    <xf fontId="21566" applyFont="true" borderId="8" applyBorder="true" applyNumberFormat="true" numFmtId="1" fillId="22" applyFill="true">
      <alignment horizontal="center" vertical="center"/>
    </xf>
    <xf fontId="21567" applyFont="true" borderId="8" applyBorder="true" applyNumberFormat="true" numFmtId="1" fillId="22" applyFill="true">
      <alignment horizontal="center" vertical="center"/>
    </xf>
    <xf fontId="21568" applyFont="true" borderId="8" applyBorder="true" applyNumberFormat="true" numFmtId="1" fillId="22" applyFill="true">
      <alignment horizontal="center" vertical="center"/>
    </xf>
    <xf fontId="21569" applyFont="true" borderId="8" applyBorder="true" applyNumberFormat="true" numFmtId="1" fillId="22" applyFill="true">
      <alignment horizontal="center" vertical="center"/>
    </xf>
    <xf fontId="21570" applyFont="true" borderId="8" applyBorder="true" applyNumberFormat="true" numFmtId="167" fillId="22" applyFill="true">
      <alignment horizontal="center" vertical="center"/>
    </xf>
    <xf fontId="21571" applyFont="true" borderId="8" applyBorder="true" applyNumberFormat="true" numFmtId="1" fillId="22" applyFill="true">
      <alignment horizontal="center" vertical="center"/>
    </xf>
    <xf fontId="21572" applyFont="true" borderId="8" applyBorder="true" applyNumberFormat="true" numFmtId="167" fillId="22" applyFill="true">
      <alignment horizontal="center" vertical="center"/>
    </xf>
    <xf fontId="21573" applyFont="true" borderId="8" applyBorder="true" applyNumberFormat="true" numFmtId="1" fillId="22" applyFill="true">
      <alignment horizontal="center" vertical="center"/>
    </xf>
    <xf fontId="21574" applyFont="true" borderId="8" applyBorder="true" applyNumberFormat="true" numFmtId="167" fillId="22" applyFill="true">
      <alignment horizontal="center" vertical="center"/>
    </xf>
    <xf fontId="21575" applyFont="true" borderId="8" applyBorder="true" applyNumberFormat="true" numFmtId="2" fillId="22" applyFill="true">
      <alignment horizontal="center" vertical="center"/>
    </xf>
    <xf fontId="21576" applyFont="true" borderId="8" applyBorder="true" applyNumberFormat="true" numFmtId="2" fillId="22" applyFill="true">
      <alignment horizontal="center" vertical="center"/>
    </xf>
    <xf fontId="21577" applyFont="true" borderId="8" applyBorder="true" applyNumberFormat="true" numFmtId="2" fillId="22" applyFill="true">
      <alignment horizontal="center" vertical="center"/>
    </xf>
    <xf fontId="21578" applyFont="true" borderId="8" applyBorder="true" applyNumberFormat="true" numFmtId="2" fillId="22" applyFill="true">
      <alignment horizontal="center" vertical="center"/>
    </xf>
    <xf fontId="21579" applyFont="true" borderId="8" applyBorder="true" applyNumberFormat="true" numFmtId="2" fillId="22" applyFill="true">
      <alignment horizontal="center" vertical="center"/>
    </xf>
    <xf fontId="21580" applyFont="true" borderId="8" applyBorder="true" applyNumberFormat="true" numFmtId="2" fillId="22" applyFill="true">
      <alignment horizontal="center" vertical="center"/>
    </xf>
    <xf fontId="21581" applyFont="true" borderId="8" applyBorder="true" applyNumberFormat="true" numFmtId="2" fillId="22" applyFill="true">
      <alignment horizontal="center" vertical="center"/>
    </xf>
    <xf fontId="21582" applyFont="true" borderId="8" applyBorder="true" applyNumberFormat="true" numFmtId="2" fillId="22" applyFill="true">
      <alignment horizontal="center" vertical="center"/>
    </xf>
    <xf fontId="21583" applyFont="true" borderId="8" applyBorder="true" applyNumberFormat="true" numFmtId="2" fillId="22" applyFill="true">
      <alignment horizontal="center" vertical="center"/>
    </xf>
    <xf fontId="21584" applyFont="true" borderId="8" applyBorder="true" applyNumberFormat="true" numFmtId="2" fillId="22" applyFill="true">
      <alignment horizontal="center" vertical="center"/>
    </xf>
    <xf fontId="21585" applyFont="true" borderId="8" applyBorder="true" applyNumberFormat="true" numFmtId="2" fillId="22" applyFill="true">
      <alignment horizontal="center" vertical="center"/>
    </xf>
    <xf fontId="21586" applyFont="true" borderId="8" applyBorder="true" applyNumberFormat="true" numFmtId="2" fillId="22" applyFill="true">
      <alignment horizontal="center" vertical="center"/>
    </xf>
    <xf fontId="21587" applyFont="true" borderId="8" applyBorder="true" applyNumberFormat="true" numFmtId="2" fillId="22" applyFill="true">
      <alignment horizontal="center" vertical="center"/>
    </xf>
    <xf fontId="21588" applyFont="true" borderId="8" applyBorder="true" applyNumberFormat="true" numFmtId="2" fillId="22" applyFill="true">
      <alignment horizontal="center" vertical="center"/>
    </xf>
    <xf fontId="21589" applyFont="true" borderId="8" applyBorder="true" applyNumberFormat="true" numFmtId="2" fillId="22" applyFill="true">
      <alignment horizontal="center" vertical="center"/>
    </xf>
    <xf fontId="21590" applyFont="true" borderId="8" applyBorder="true" applyNumberFormat="true" numFmtId="2" fillId="22" applyFill="true">
      <alignment horizontal="center" vertical="center"/>
    </xf>
    <xf fontId="21591" applyFont="true" borderId="8" applyBorder="true" applyNumberFormat="true" numFmtId="2" fillId="22" applyFill="true">
      <alignment horizontal="center" vertical="center"/>
    </xf>
    <xf fontId="21592" applyFont="true" borderId="8" applyBorder="true" applyNumberFormat="true" numFmtId="2" fillId="22" applyFill="true">
      <alignment horizontal="center" vertical="center"/>
    </xf>
    <xf fontId="21593" applyFont="true" borderId="8" applyBorder="true" applyNumberFormat="true" numFmtId="2" fillId="22" applyFill="true">
      <alignment horizontal="center" vertical="center"/>
    </xf>
    <xf fontId="21594" applyFont="true" borderId="8" applyBorder="true" applyNumberFormat="true" numFmtId="2" fillId="22" applyFill="true">
      <alignment horizontal="center" vertical="center"/>
    </xf>
    <xf fontId="21595" applyFont="true" borderId="8" applyBorder="true" applyNumberFormat="true" numFmtId="2" fillId="22" applyFill="true">
      <alignment horizontal="center" vertical="center"/>
    </xf>
    <xf fontId="21596" applyFont="true" borderId="8" applyBorder="true" applyNumberFormat="true" numFmtId="2" fillId="22" applyFill="true">
      <alignment horizontal="center" vertical="center"/>
    </xf>
    <xf fontId="21597" applyFont="true" borderId="8" applyBorder="true" applyNumberFormat="true" numFmtId="2" fillId="22" applyFill="true">
      <alignment horizontal="center" vertical="center"/>
    </xf>
    <xf fontId="21598" applyFont="true" borderId="8" applyBorder="true" applyNumberFormat="true" numFmtId="2" fillId="22" applyFill="true">
      <alignment horizontal="center" vertical="center"/>
    </xf>
    <xf fontId="21599" applyFont="true" borderId="8" applyBorder="true" applyNumberFormat="true" numFmtId="2" fillId="22" applyFill="true">
      <alignment horizontal="center" vertical="center"/>
    </xf>
    <xf fontId="21600" applyFont="true" borderId="8" applyBorder="true" applyNumberFormat="true" numFmtId="2" fillId="22" applyFill="true">
      <alignment horizontal="center" vertical="center"/>
    </xf>
    <xf fontId="21601" applyFont="true" borderId="8" applyBorder="true" applyNumberFormat="true" numFmtId="2" fillId="22" applyFill="true">
      <alignment horizontal="center" vertical="center"/>
    </xf>
    <xf fontId="21602" applyFont="true" borderId="8" applyBorder="true" applyNumberFormat="true" numFmtId="2" fillId="22" applyFill="true">
      <alignment horizontal="center" vertical="center"/>
    </xf>
    <xf fontId="21603" applyFont="true" borderId="8" applyBorder="true" applyNumberFormat="true" numFmtId="2" fillId="22" applyFill="true">
      <alignment horizontal="center" vertical="center"/>
    </xf>
    <xf fontId="21604" applyFont="true" borderId="8" applyBorder="true" applyNumberFormat="true" numFmtId="2" fillId="22" applyFill="true">
      <alignment horizontal="center" vertical="center"/>
    </xf>
    <xf fontId="21605" applyFont="true" borderId="8" applyBorder="true" applyNumberFormat="true" numFmtId="2" fillId="22" applyFill="true">
      <alignment horizontal="center" vertical="center"/>
    </xf>
    <xf fontId="21606" applyFont="true" borderId="8" applyBorder="true" applyNumberFormat="true" numFmtId="2" fillId="22" applyFill="true">
      <alignment horizontal="center" vertical="center"/>
    </xf>
    <xf fontId="21607" applyFont="true" borderId="8" applyBorder="true" applyNumberFormat="true" numFmtId="2" fillId="22" applyFill="true">
      <alignment horizontal="center" vertical="center"/>
    </xf>
    <xf fontId="21608" applyFont="true" borderId="8" applyBorder="true" applyNumberFormat="true" numFmtId="2" fillId="22" applyFill="true">
      <alignment horizontal="center" vertical="center"/>
    </xf>
    <xf fontId="21609" applyFont="true" borderId="8" applyBorder="true" applyNumberFormat="true" numFmtId="165" fillId="19" applyFill="true">
      <alignment horizontal="left" vertical="center"/>
    </xf>
    <xf fontId="21610" applyFont="true" borderId="8" applyBorder="true" applyNumberFormat="true" numFmtId="165" fillId="22" applyFill="true">
      <alignment horizontal="center" vertical="center"/>
    </xf>
    <xf fontId="21611" applyFont="true" borderId="8" applyBorder="true" applyNumberFormat="true" numFmtId="166" fillId="22" applyFill="true">
      <alignment horizontal="center" vertical="center"/>
    </xf>
    <xf fontId="21612" applyFont="true" borderId="8" applyBorder="true" applyNumberFormat="true" numFmtId="1" fillId="22" applyFill="true">
      <alignment horizontal="center" vertical="center"/>
    </xf>
    <xf fontId="21613" applyFont="true" borderId="8" applyBorder="true" applyNumberFormat="true" numFmtId="1" fillId="22" applyFill="true">
      <alignment horizontal="center" vertical="center"/>
    </xf>
    <xf fontId="21614" applyFont="true" borderId="8" applyBorder="true" applyNumberFormat="true" numFmtId="1" fillId="22" applyFill="true">
      <alignment horizontal="center" vertical="center"/>
    </xf>
    <xf fontId="21615" applyFont="true" borderId="8" applyBorder="true" applyNumberFormat="true" numFmtId="1" fillId="22" applyFill="true">
      <alignment horizontal="center" vertical="center"/>
    </xf>
    <xf fontId="21616" applyFont="true" borderId="8" applyBorder="true" applyNumberFormat="true" numFmtId="1" fillId="22" applyFill="true">
      <alignment horizontal="center" vertical="center"/>
    </xf>
    <xf fontId="21617" applyFont="true" borderId="8" applyBorder="true" applyNumberFormat="true" numFmtId="1" fillId="22" applyFill="true">
      <alignment horizontal="center" vertical="center"/>
    </xf>
    <xf fontId="21618" applyFont="true" borderId="8" applyBorder="true" applyNumberFormat="true" numFmtId="1" fillId="22" applyFill="true">
      <alignment horizontal="center" vertical="center"/>
    </xf>
    <xf fontId="21619" applyFont="true" borderId="8" applyBorder="true" applyNumberFormat="true" numFmtId="165" fillId="22" applyFill="true">
      <alignment horizontal="center" vertical="center"/>
    </xf>
    <xf fontId="21620" applyFont="true" borderId="8" applyBorder="true" applyNumberFormat="true" numFmtId="165" fillId="22" applyFill="true">
      <alignment horizontal="center" vertical="center"/>
    </xf>
    <xf fontId="21621" applyFont="true" borderId="8" applyBorder="true" applyNumberFormat="true" numFmtId="1" fillId="22" applyFill="true">
      <alignment horizontal="center" vertical="center"/>
    </xf>
    <xf fontId="21622" applyFont="true" borderId="8" applyBorder="true" applyNumberFormat="true" numFmtId="1" fillId="22" applyFill="true">
      <alignment horizontal="center" vertical="center"/>
    </xf>
    <xf fontId="21623" applyFont="true" borderId="8" applyBorder="true" applyNumberFormat="true" numFmtId="1" fillId="22" applyFill="true">
      <alignment horizontal="center" vertical="center"/>
    </xf>
    <xf fontId="21624" applyFont="true" borderId="8" applyBorder="true" applyNumberFormat="true" numFmtId="167" fillId="22" applyFill="true">
      <alignment horizontal="center" vertical="center"/>
    </xf>
    <xf fontId="21625" applyFont="true" borderId="8" applyBorder="true" applyNumberFormat="true" numFmtId="1" fillId="22" applyFill="true">
      <alignment horizontal="center" vertical="center"/>
    </xf>
    <xf fontId="21626" applyFont="true" borderId="8" applyBorder="true" applyNumberFormat="true" numFmtId="167" fillId="22" applyFill="true">
      <alignment horizontal="center" vertical="center"/>
    </xf>
    <xf fontId="21627" applyFont="true" borderId="8" applyBorder="true" applyNumberFormat="true" numFmtId="1" fillId="22" applyFill="true">
      <alignment horizontal="center" vertical="center"/>
    </xf>
    <xf fontId="21628" applyFont="true" borderId="8" applyBorder="true" applyNumberFormat="true" numFmtId="167" fillId="22" applyFill="true">
      <alignment horizontal="center" vertical="center"/>
    </xf>
    <xf fontId="21629" applyFont="true" borderId="8" applyBorder="true" applyNumberFormat="true" numFmtId="1" fillId="22" applyFill="true">
      <alignment horizontal="center" vertical="center"/>
    </xf>
    <xf fontId="21630" applyFont="true" borderId="8" applyBorder="true" applyNumberFormat="true" numFmtId="167" fillId="22" applyFill="true">
      <alignment horizontal="center" vertical="center"/>
    </xf>
    <xf fontId="21631" applyFont="true" borderId="8" applyBorder="true" applyNumberFormat="true" numFmtId="167" fillId="22" applyFill="true">
      <alignment horizontal="center" vertical="center"/>
    </xf>
    <xf fontId="21632" applyFont="true" borderId="8" applyBorder="true" applyNumberFormat="true" numFmtId="1" fillId="22" applyFill="true">
      <alignment horizontal="center" vertical="center"/>
    </xf>
    <xf fontId="21633" applyFont="true" borderId="8" applyBorder="true" applyNumberFormat="true" numFmtId="1" fillId="22" applyFill="true">
      <alignment horizontal="center" vertical="center"/>
    </xf>
    <xf fontId="21634" applyFont="true" borderId="8" applyBorder="true" applyNumberFormat="true" numFmtId="1" fillId="22" applyFill="true">
      <alignment horizontal="center" vertical="center"/>
    </xf>
    <xf fontId="21635" applyFont="true" borderId="8" applyBorder="true" applyNumberFormat="true" numFmtId="167" fillId="22" applyFill="true">
      <alignment horizontal="center" vertical="center"/>
    </xf>
    <xf fontId="21636" applyFont="true" borderId="8" applyBorder="true" applyNumberFormat="true" numFmtId="166" fillId="22" applyFill="true">
      <alignment horizontal="center" vertical="center"/>
    </xf>
    <xf fontId="21637" applyFont="true" borderId="8" applyBorder="true" applyNumberFormat="true" numFmtId="166" fillId="22" applyFill="true">
      <alignment horizontal="center" vertical="center"/>
    </xf>
    <xf fontId="21638" applyFont="true" borderId="8" applyBorder="true" applyNumberFormat="true" numFmtId="1" fillId="22" applyFill="true">
      <alignment horizontal="center" vertical="center"/>
    </xf>
    <xf fontId="21639" applyFont="true" borderId="8" applyBorder="true" applyNumberFormat="true" numFmtId="1" fillId="22" applyFill="true">
      <alignment horizontal="center" vertical="center"/>
    </xf>
    <xf fontId="21640" applyFont="true" borderId="8" applyBorder="true" applyNumberFormat="true" numFmtId="1" fillId="22" applyFill="true">
      <alignment horizontal="center" vertical="center"/>
    </xf>
    <xf fontId="21641" applyFont="true" borderId="8" applyBorder="true" applyNumberFormat="true" numFmtId="167" fillId="22" applyFill="true">
      <alignment horizontal="center" vertical="center"/>
    </xf>
    <xf fontId="21642" applyFont="true" borderId="8" applyBorder="true" applyNumberFormat="true" numFmtId="1" fillId="22" applyFill="true">
      <alignment horizontal="center" vertical="center"/>
    </xf>
    <xf fontId="21643" applyFont="true" borderId="8" applyBorder="true" applyNumberFormat="true" numFmtId="167" fillId="22" applyFill="true">
      <alignment horizontal="center" vertical="center"/>
    </xf>
    <xf fontId="21644" applyFont="true" borderId="8" applyBorder="true" applyNumberFormat="true" numFmtId="1" fillId="22" applyFill="true">
      <alignment horizontal="center" vertical="center"/>
    </xf>
    <xf fontId="21645" applyFont="true" borderId="8" applyBorder="true" applyNumberFormat="true" numFmtId="1" fillId="22" applyFill="true">
      <alignment horizontal="center" vertical="center"/>
    </xf>
    <xf fontId="21646" applyFont="true" borderId="8" applyBorder="true" applyNumberFormat="true" numFmtId="1" fillId="22" applyFill="true">
      <alignment horizontal="center" vertical="center"/>
    </xf>
    <xf fontId="21647" applyFont="true" borderId="8" applyBorder="true" applyNumberFormat="true" numFmtId="1" fillId="22" applyFill="true">
      <alignment horizontal="center" vertical="center"/>
    </xf>
    <xf fontId="21648" applyFont="true" borderId="8" applyBorder="true" applyNumberFormat="true" numFmtId="167" fillId="22" applyFill="true">
      <alignment horizontal="center" vertical="center"/>
    </xf>
    <xf fontId="21649" applyFont="true" borderId="8" applyBorder="true" applyNumberFormat="true" numFmtId="1" fillId="22" applyFill="true">
      <alignment horizontal="center" vertical="center"/>
    </xf>
    <xf fontId="21650" applyFont="true" borderId="8" applyBorder="true" applyNumberFormat="true" numFmtId="167" fillId="22" applyFill="true">
      <alignment horizontal="center" vertical="center"/>
    </xf>
    <xf fontId="21651" applyFont="true" borderId="8" applyBorder="true" applyNumberFormat="true" numFmtId="1" fillId="22" applyFill="true">
      <alignment horizontal="center" vertical="center"/>
    </xf>
    <xf fontId="21652" applyFont="true" borderId="8" applyBorder="true" applyNumberFormat="true" numFmtId="167" fillId="22" applyFill="true">
      <alignment horizontal="center" vertical="center"/>
    </xf>
    <xf fontId="21653" applyFont="true" borderId="8" applyBorder="true" applyNumberFormat="true" numFmtId="2" fillId="22" applyFill="true">
      <alignment horizontal="center" vertical="center"/>
    </xf>
    <xf fontId="21654" applyFont="true" borderId="8" applyBorder="true" applyNumberFormat="true" numFmtId="2" fillId="22" applyFill="true">
      <alignment horizontal="center" vertical="center"/>
    </xf>
    <xf fontId="21655" applyFont="true" borderId="8" applyBorder="true" applyNumberFormat="true" numFmtId="2" fillId="22" applyFill="true">
      <alignment horizontal="center" vertical="center"/>
    </xf>
    <xf fontId="21656" applyFont="true" borderId="8" applyBorder="true" applyNumberFormat="true" numFmtId="2" fillId="22" applyFill="true">
      <alignment horizontal="center" vertical="center"/>
    </xf>
    <xf fontId="21657" applyFont="true" borderId="8" applyBorder="true" applyNumberFormat="true" numFmtId="2" fillId="22" applyFill="true">
      <alignment horizontal="center" vertical="center"/>
    </xf>
    <xf fontId="21658" applyFont="true" borderId="8" applyBorder="true" applyNumberFormat="true" numFmtId="2" fillId="22" applyFill="true">
      <alignment horizontal="center" vertical="center"/>
    </xf>
    <xf fontId="21659" applyFont="true" borderId="8" applyBorder="true" applyNumberFormat="true" numFmtId="2" fillId="22" applyFill="true">
      <alignment horizontal="center" vertical="center"/>
    </xf>
    <xf fontId="21660" applyFont="true" borderId="8" applyBorder="true" applyNumberFormat="true" numFmtId="2" fillId="22" applyFill="true">
      <alignment horizontal="center" vertical="center"/>
    </xf>
    <xf fontId="21661" applyFont="true" borderId="8" applyBorder="true" applyNumberFormat="true" numFmtId="2" fillId="22" applyFill="true">
      <alignment horizontal="center" vertical="center"/>
    </xf>
    <xf fontId="21662" applyFont="true" borderId="8" applyBorder="true" applyNumberFormat="true" numFmtId="2" fillId="22" applyFill="true">
      <alignment horizontal="center" vertical="center"/>
    </xf>
    <xf fontId="21663" applyFont="true" borderId="8" applyBorder="true" applyNumberFormat="true" numFmtId="2" fillId="22" applyFill="true">
      <alignment horizontal="center" vertical="center"/>
    </xf>
    <xf fontId="21664" applyFont="true" borderId="8" applyBorder="true" applyNumberFormat="true" numFmtId="2" fillId="22" applyFill="true">
      <alignment horizontal="center" vertical="center"/>
    </xf>
    <xf fontId="21665" applyFont="true" borderId="8" applyBorder="true" applyNumberFormat="true" numFmtId="2" fillId="22" applyFill="true">
      <alignment horizontal="center" vertical="center"/>
    </xf>
    <xf fontId="21666" applyFont="true" borderId="8" applyBorder="true" applyNumberFormat="true" numFmtId="2" fillId="22" applyFill="true">
      <alignment horizontal="center" vertical="center"/>
    </xf>
    <xf fontId="21667" applyFont="true" borderId="8" applyBorder="true" applyNumberFormat="true" numFmtId="2" fillId="22" applyFill="true">
      <alignment horizontal="center" vertical="center"/>
    </xf>
    <xf fontId="21668" applyFont="true" borderId="8" applyBorder="true" applyNumberFormat="true" numFmtId="2" fillId="22" applyFill="true">
      <alignment horizontal="center" vertical="center"/>
    </xf>
    <xf fontId="21669" applyFont="true" borderId="8" applyBorder="true" applyNumberFormat="true" numFmtId="2" fillId="22" applyFill="true">
      <alignment horizontal="center" vertical="center"/>
    </xf>
    <xf fontId="21670" applyFont="true" borderId="8" applyBorder="true" applyNumberFormat="true" numFmtId="2" fillId="22" applyFill="true">
      <alignment horizontal="center" vertical="center"/>
    </xf>
    <xf fontId="21671" applyFont="true" borderId="8" applyBorder="true" applyNumberFormat="true" numFmtId="2" fillId="22" applyFill="true">
      <alignment horizontal="center" vertical="center"/>
    </xf>
    <xf fontId="21672" applyFont="true" borderId="8" applyBorder="true" applyNumberFormat="true" numFmtId="2" fillId="22" applyFill="true">
      <alignment horizontal="center" vertical="center"/>
    </xf>
    <xf fontId="21673" applyFont="true" borderId="8" applyBorder="true" applyNumberFormat="true" numFmtId="2" fillId="22" applyFill="true">
      <alignment horizontal="center" vertical="center"/>
    </xf>
    <xf fontId="21674" applyFont="true" borderId="8" applyBorder="true" applyNumberFormat="true" numFmtId="2" fillId="22" applyFill="true">
      <alignment horizontal="center" vertical="center"/>
    </xf>
    <xf fontId="21675" applyFont="true" borderId="8" applyBorder="true" applyNumberFormat="true" numFmtId="2" fillId="22" applyFill="true">
      <alignment horizontal="center" vertical="center"/>
    </xf>
    <xf fontId="21676" applyFont="true" borderId="8" applyBorder="true" applyNumberFormat="true" numFmtId="2" fillId="22" applyFill="true">
      <alignment horizontal="center" vertical="center"/>
    </xf>
    <xf fontId="21677" applyFont="true" borderId="8" applyBorder="true" applyNumberFormat="true" numFmtId="2" fillId="22" applyFill="true">
      <alignment horizontal="center" vertical="center"/>
    </xf>
    <xf fontId="21678" applyFont="true" borderId="8" applyBorder="true" applyNumberFormat="true" numFmtId="2" fillId="22" applyFill="true">
      <alignment horizontal="center" vertical="center"/>
    </xf>
    <xf fontId="21679" applyFont="true" borderId="8" applyBorder="true" applyNumberFormat="true" numFmtId="2" fillId="22" applyFill="true">
      <alignment horizontal="center" vertical="center"/>
    </xf>
    <xf fontId="21680" applyFont="true" borderId="8" applyBorder="true" applyNumberFormat="true" numFmtId="2" fillId="22" applyFill="true">
      <alignment horizontal="center" vertical="center"/>
    </xf>
    <xf fontId="21681" applyFont="true" borderId="8" applyBorder="true" applyNumberFormat="true" numFmtId="2" fillId="22" applyFill="true">
      <alignment horizontal="center" vertical="center"/>
    </xf>
    <xf fontId="21682" applyFont="true" borderId="8" applyBorder="true" applyNumberFormat="true" numFmtId="2" fillId="22" applyFill="true">
      <alignment horizontal="center" vertical="center"/>
    </xf>
    <xf fontId="21683" applyFont="true" borderId="8" applyBorder="true" applyNumberFormat="true" numFmtId="2" fillId="22" applyFill="true">
      <alignment horizontal="center" vertical="center"/>
    </xf>
    <xf fontId="21684" applyFont="true" borderId="8" applyBorder="true" applyNumberFormat="true" numFmtId="2" fillId="22" applyFill="true">
      <alignment horizontal="center" vertical="center"/>
    </xf>
    <xf fontId="21685" applyFont="true" borderId="8" applyBorder="true" applyNumberFormat="true" numFmtId="2" fillId="22" applyFill="true">
      <alignment horizontal="center" vertical="center"/>
    </xf>
    <xf fontId="21686" applyFont="true" borderId="8" applyBorder="true" applyNumberFormat="true" numFmtId="2" fillId="22" applyFill="true">
      <alignment horizontal="center" vertical="center"/>
    </xf>
    <xf fontId="21687" applyFont="true" borderId="8" applyBorder="true" applyNumberFormat="true" numFmtId="165" fillId="19" applyFill="true">
      <alignment horizontal="left" vertical="center"/>
    </xf>
    <xf fontId="21688" applyFont="true" borderId="8" applyBorder="true" applyNumberFormat="true" numFmtId="165" fillId="22" applyFill="true">
      <alignment horizontal="center" vertical="center"/>
    </xf>
    <xf fontId="21689" applyFont="true" borderId="8" applyBorder="true" applyNumberFormat="true" numFmtId="166" fillId="22" applyFill="true">
      <alignment horizontal="center" vertical="center"/>
    </xf>
    <xf fontId="21690" applyFont="true" borderId="8" applyBorder="true" applyNumberFormat="true" numFmtId="1" fillId="22" applyFill="true">
      <alignment horizontal="center" vertical="center"/>
    </xf>
    <xf fontId="21691" applyFont="true" borderId="8" applyBorder="true" applyNumberFormat="true" numFmtId="1" fillId="22" applyFill="true">
      <alignment horizontal="center" vertical="center"/>
    </xf>
    <xf fontId="21692" applyFont="true" borderId="8" applyBorder="true" applyNumberFormat="true" numFmtId="1" fillId="22" applyFill="true">
      <alignment horizontal="center" vertical="center"/>
    </xf>
    <xf fontId="21693" applyFont="true" borderId="8" applyBorder="true" applyNumberFormat="true" numFmtId="1" fillId="22" applyFill="true">
      <alignment horizontal="center" vertical="center"/>
    </xf>
    <xf fontId="21694" applyFont="true" borderId="8" applyBorder="true" applyNumberFormat="true" numFmtId="1" fillId="22" applyFill="true">
      <alignment horizontal="center" vertical="center"/>
    </xf>
    <xf fontId="21695" applyFont="true" borderId="8" applyBorder="true" applyNumberFormat="true" numFmtId="1" fillId="22" applyFill="true">
      <alignment horizontal="center" vertical="center"/>
    </xf>
    <xf fontId="21696" applyFont="true" borderId="8" applyBorder="true" applyNumberFormat="true" numFmtId="1" fillId="22" applyFill="true">
      <alignment horizontal="center" vertical="center"/>
    </xf>
    <xf fontId="21697" applyFont="true" borderId="8" applyBorder="true" applyNumberFormat="true" numFmtId="165" fillId="22" applyFill="true">
      <alignment horizontal="center" vertical="center"/>
    </xf>
    <xf fontId="21698" applyFont="true" borderId="8" applyBorder="true" applyNumberFormat="true" numFmtId="165" fillId="22" applyFill="true">
      <alignment horizontal="center" vertical="center"/>
    </xf>
    <xf fontId="21699" applyFont="true" borderId="8" applyBorder="true" applyNumberFormat="true" numFmtId="1" fillId="22" applyFill="true">
      <alignment horizontal="center" vertical="center"/>
    </xf>
    <xf fontId="21700" applyFont="true" borderId="8" applyBorder="true" applyNumberFormat="true" numFmtId="1" fillId="22" applyFill="true">
      <alignment horizontal="center" vertical="center"/>
    </xf>
    <xf fontId="21701" applyFont="true" borderId="8" applyBorder="true" applyNumberFormat="true" numFmtId="1" fillId="22" applyFill="true">
      <alignment horizontal="center" vertical="center"/>
    </xf>
    <xf fontId="21702" applyFont="true" borderId="8" applyBorder="true" applyNumberFormat="true" numFmtId="167" fillId="22" applyFill="true">
      <alignment horizontal="center" vertical="center"/>
    </xf>
    <xf fontId="21703" applyFont="true" borderId="8" applyBorder="true" applyNumberFormat="true" numFmtId="1" fillId="22" applyFill="true">
      <alignment horizontal="center" vertical="center"/>
    </xf>
    <xf fontId="21704" applyFont="true" borderId="8" applyBorder="true" applyNumberFormat="true" numFmtId="167" fillId="22" applyFill="true">
      <alignment horizontal="center" vertical="center"/>
    </xf>
    <xf fontId="21705" applyFont="true" borderId="8" applyBorder="true" applyNumberFormat="true" numFmtId="1" fillId="22" applyFill="true">
      <alignment horizontal="center" vertical="center"/>
    </xf>
    <xf fontId="21706" applyFont="true" borderId="8" applyBorder="true" applyNumberFormat="true" numFmtId="167" fillId="22" applyFill="true">
      <alignment horizontal="center" vertical="center"/>
    </xf>
    <xf fontId="21707" applyFont="true" borderId="8" applyBorder="true" applyNumberFormat="true" numFmtId="1" fillId="22" applyFill="true">
      <alignment horizontal="center" vertical="center"/>
    </xf>
    <xf fontId="21708" applyFont="true" borderId="8" applyBorder="true" applyNumberFormat="true" numFmtId="167" fillId="22" applyFill="true">
      <alignment horizontal="center" vertical="center"/>
    </xf>
    <xf fontId="21709" applyFont="true" borderId="8" applyBorder="true" applyNumberFormat="true" numFmtId="167" fillId="22" applyFill="true">
      <alignment horizontal="center" vertical="center"/>
    </xf>
    <xf fontId="21710" applyFont="true" borderId="8" applyBorder="true" applyNumberFormat="true" numFmtId="1" fillId="22" applyFill="true">
      <alignment horizontal="center" vertical="center"/>
    </xf>
    <xf fontId="21711" applyFont="true" borderId="8" applyBorder="true" applyNumberFormat="true" numFmtId="1" fillId="22" applyFill="true">
      <alignment horizontal="center" vertical="center"/>
    </xf>
    <xf fontId="21712" applyFont="true" borderId="8" applyBorder="true" applyNumberFormat="true" numFmtId="1" fillId="22" applyFill="true">
      <alignment horizontal="center" vertical="center"/>
    </xf>
    <xf fontId="21713" applyFont="true" borderId="8" applyBorder="true" applyNumberFormat="true" numFmtId="167" fillId="22" applyFill="true">
      <alignment horizontal="center" vertical="center"/>
    </xf>
    <xf fontId="21714" applyFont="true" borderId="8" applyBorder="true" applyNumberFormat="true" numFmtId="166" fillId="22" applyFill="true">
      <alignment horizontal="center" vertical="center"/>
    </xf>
    <xf fontId="21715" applyFont="true" borderId="8" applyBorder="true" applyNumberFormat="true" numFmtId="166" fillId="22" applyFill="true">
      <alignment horizontal="center" vertical="center"/>
    </xf>
    <xf fontId="21716" applyFont="true" borderId="8" applyBorder="true" applyNumberFormat="true" numFmtId="1" fillId="22" applyFill="true">
      <alignment horizontal="center" vertical="center"/>
    </xf>
    <xf fontId="21717" applyFont="true" borderId="8" applyBorder="true" applyNumberFormat="true" numFmtId="1" fillId="22" applyFill="true">
      <alignment horizontal="center" vertical="center"/>
    </xf>
    <xf fontId="21718" applyFont="true" borderId="8" applyBorder="true" applyNumberFormat="true" numFmtId="1" fillId="22" applyFill="true">
      <alignment horizontal="center" vertical="center"/>
    </xf>
    <xf fontId="21719" applyFont="true" borderId="8" applyBorder="true" applyNumberFormat="true" numFmtId="167" fillId="22" applyFill="true">
      <alignment horizontal="center" vertical="center"/>
    </xf>
    <xf fontId="21720" applyFont="true" borderId="8" applyBorder="true" applyNumberFormat="true" numFmtId="1" fillId="22" applyFill="true">
      <alignment horizontal="center" vertical="center"/>
    </xf>
    <xf fontId="21721" applyFont="true" borderId="8" applyBorder="true" applyNumberFormat="true" numFmtId="167" fillId="22" applyFill="true">
      <alignment horizontal="center" vertical="center"/>
    </xf>
    <xf fontId="21722" applyFont="true" borderId="8" applyBorder="true" applyNumberFormat="true" numFmtId="1" fillId="22" applyFill="true">
      <alignment horizontal="center" vertical="center"/>
    </xf>
    <xf fontId="21723" applyFont="true" borderId="8" applyBorder="true" applyNumberFormat="true" numFmtId="1" fillId="22" applyFill="true">
      <alignment horizontal="center" vertical="center"/>
    </xf>
    <xf fontId="21724" applyFont="true" borderId="8" applyBorder="true" applyNumberFormat="true" numFmtId="1" fillId="22" applyFill="true">
      <alignment horizontal="center" vertical="center"/>
    </xf>
    <xf fontId="21725" applyFont="true" borderId="8" applyBorder="true" applyNumberFormat="true" numFmtId="1" fillId="22" applyFill="true">
      <alignment horizontal="center" vertical="center"/>
    </xf>
    <xf fontId="21726" applyFont="true" borderId="8" applyBorder="true" applyNumberFormat="true" numFmtId="167" fillId="22" applyFill="true">
      <alignment horizontal="center" vertical="center"/>
    </xf>
    <xf fontId="21727" applyFont="true" borderId="8" applyBorder="true" applyNumberFormat="true" numFmtId="1" fillId="22" applyFill="true">
      <alignment horizontal="center" vertical="center"/>
    </xf>
    <xf fontId="21728" applyFont="true" borderId="8" applyBorder="true" applyNumberFormat="true" numFmtId="167" fillId="22" applyFill="true">
      <alignment horizontal="center" vertical="center"/>
    </xf>
    <xf fontId="21729" applyFont="true" borderId="8" applyBorder="true" applyNumberFormat="true" numFmtId="1" fillId="22" applyFill="true">
      <alignment horizontal="center" vertical="center"/>
    </xf>
    <xf fontId="21730" applyFont="true" borderId="8" applyBorder="true" applyNumberFormat="true" numFmtId="167" fillId="22" applyFill="true">
      <alignment horizontal="center" vertical="center"/>
    </xf>
    <xf fontId="21731" applyFont="true" borderId="8" applyBorder="true" applyNumberFormat="true" numFmtId="2" fillId="22" applyFill="true">
      <alignment horizontal="center" vertical="center"/>
    </xf>
    <xf fontId="21732" applyFont="true" borderId="8" applyBorder="true" applyNumberFormat="true" numFmtId="2" fillId="22" applyFill="true">
      <alignment horizontal="center" vertical="center"/>
    </xf>
    <xf fontId="21733" applyFont="true" borderId="8" applyBorder="true" applyNumberFormat="true" numFmtId="2" fillId="22" applyFill="true">
      <alignment horizontal="center" vertical="center"/>
    </xf>
    <xf fontId="21734" applyFont="true" borderId="8" applyBorder="true" applyNumberFormat="true" numFmtId="2" fillId="22" applyFill="true">
      <alignment horizontal="center" vertical="center"/>
    </xf>
    <xf fontId="21735" applyFont="true" borderId="8" applyBorder="true" applyNumberFormat="true" numFmtId="2" fillId="22" applyFill="true">
      <alignment horizontal="center" vertical="center"/>
    </xf>
    <xf fontId="21736" applyFont="true" borderId="8" applyBorder="true" applyNumberFormat="true" numFmtId="2" fillId="22" applyFill="true">
      <alignment horizontal="center" vertical="center"/>
    </xf>
    <xf fontId="21737" applyFont="true" borderId="8" applyBorder="true" applyNumberFormat="true" numFmtId="2" fillId="22" applyFill="true">
      <alignment horizontal="center" vertical="center"/>
    </xf>
    <xf fontId="21738" applyFont="true" borderId="8" applyBorder="true" applyNumberFormat="true" numFmtId="2" fillId="22" applyFill="true">
      <alignment horizontal="center" vertical="center"/>
    </xf>
    <xf fontId="21739" applyFont="true" borderId="8" applyBorder="true" applyNumberFormat="true" numFmtId="2" fillId="22" applyFill="true">
      <alignment horizontal="center" vertical="center"/>
    </xf>
    <xf fontId="21740" applyFont="true" borderId="8" applyBorder="true" applyNumberFormat="true" numFmtId="2" fillId="22" applyFill="true">
      <alignment horizontal="center" vertical="center"/>
    </xf>
    <xf fontId="21741" applyFont="true" borderId="8" applyBorder="true" applyNumberFormat="true" numFmtId="2" fillId="22" applyFill="true">
      <alignment horizontal="center" vertical="center"/>
    </xf>
    <xf fontId="21742" applyFont="true" borderId="8" applyBorder="true" applyNumberFormat="true" numFmtId="2" fillId="22" applyFill="true">
      <alignment horizontal="center" vertical="center"/>
    </xf>
    <xf fontId="21743" applyFont="true" borderId="8" applyBorder="true" applyNumberFormat="true" numFmtId="2" fillId="22" applyFill="true">
      <alignment horizontal="center" vertical="center"/>
    </xf>
    <xf fontId="21744" applyFont="true" borderId="8" applyBorder="true" applyNumberFormat="true" numFmtId="2" fillId="22" applyFill="true">
      <alignment horizontal="center" vertical="center"/>
    </xf>
    <xf fontId="21745" applyFont="true" borderId="8" applyBorder="true" applyNumberFormat="true" numFmtId="2" fillId="22" applyFill="true">
      <alignment horizontal="center" vertical="center"/>
    </xf>
    <xf fontId="21746" applyFont="true" borderId="8" applyBorder="true" applyNumberFormat="true" numFmtId="2" fillId="22" applyFill="true">
      <alignment horizontal="center" vertical="center"/>
    </xf>
    <xf fontId="21747" applyFont="true" borderId="8" applyBorder="true" applyNumberFormat="true" numFmtId="2" fillId="22" applyFill="true">
      <alignment horizontal="center" vertical="center"/>
    </xf>
    <xf fontId="21748" applyFont="true" borderId="8" applyBorder="true" applyNumberFormat="true" numFmtId="2" fillId="22" applyFill="true">
      <alignment horizontal="center" vertical="center"/>
    </xf>
    <xf fontId="21749" applyFont="true" borderId="8" applyBorder="true" applyNumberFormat="true" numFmtId="2" fillId="22" applyFill="true">
      <alignment horizontal="center" vertical="center"/>
    </xf>
    <xf fontId="21750" applyFont="true" borderId="8" applyBorder="true" applyNumberFormat="true" numFmtId="2" fillId="22" applyFill="true">
      <alignment horizontal="center" vertical="center"/>
    </xf>
    <xf fontId="21751" applyFont="true" borderId="8" applyBorder="true" applyNumberFormat="true" numFmtId="2" fillId="22" applyFill="true">
      <alignment horizontal="center" vertical="center"/>
    </xf>
    <xf fontId="21752" applyFont="true" borderId="8" applyBorder="true" applyNumberFormat="true" numFmtId="2" fillId="22" applyFill="true">
      <alignment horizontal="center" vertical="center"/>
    </xf>
    <xf fontId="21753" applyFont="true" borderId="8" applyBorder="true" applyNumberFormat="true" numFmtId="2" fillId="22" applyFill="true">
      <alignment horizontal="center" vertical="center"/>
    </xf>
    <xf fontId="21754" applyFont="true" borderId="8" applyBorder="true" applyNumberFormat="true" numFmtId="2" fillId="22" applyFill="true">
      <alignment horizontal="center" vertical="center"/>
    </xf>
    <xf fontId="21755" applyFont="true" borderId="8" applyBorder="true" applyNumberFormat="true" numFmtId="2" fillId="22" applyFill="true">
      <alignment horizontal="center" vertical="center"/>
    </xf>
    <xf fontId="21756" applyFont="true" borderId="8" applyBorder="true" applyNumberFormat="true" numFmtId="2" fillId="22" applyFill="true">
      <alignment horizontal="center" vertical="center"/>
    </xf>
    <xf fontId="21757" applyFont="true" borderId="8" applyBorder="true" applyNumberFormat="true" numFmtId="2" fillId="22" applyFill="true">
      <alignment horizontal="center" vertical="center"/>
    </xf>
    <xf fontId="21758" applyFont="true" borderId="8" applyBorder="true" applyNumberFormat="true" numFmtId="2" fillId="22" applyFill="true">
      <alignment horizontal="center" vertical="center"/>
    </xf>
    <xf fontId="21759" applyFont="true" borderId="8" applyBorder="true" applyNumberFormat="true" numFmtId="2" fillId="22" applyFill="true">
      <alignment horizontal="center" vertical="center"/>
    </xf>
    <xf fontId="21760" applyFont="true" borderId="8" applyBorder="true" applyNumberFormat="true" numFmtId="2" fillId="22" applyFill="true">
      <alignment horizontal="center" vertical="center"/>
    </xf>
    <xf fontId="21761" applyFont="true" borderId="8" applyBorder="true" applyNumberFormat="true" numFmtId="2" fillId="22" applyFill="true">
      <alignment horizontal="center" vertical="center"/>
    </xf>
    <xf fontId="21762" applyFont="true" borderId="8" applyBorder="true" applyNumberFormat="true" numFmtId="2" fillId="22" applyFill="true">
      <alignment horizontal="center" vertical="center"/>
    </xf>
    <xf fontId="21763" applyFont="true" borderId="8" applyBorder="true" applyNumberFormat="true" numFmtId="2" fillId="22" applyFill="true">
      <alignment horizontal="center" vertical="center"/>
    </xf>
    <xf fontId="21764" applyFont="true" borderId="8" applyBorder="true" applyNumberFormat="true" numFmtId="2" fillId="22" applyFill="true">
      <alignment horizontal="center" vertical="center"/>
    </xf>
    <xf fontId="21765" applyFont="true" borderId="8" applyBorder="true" applyNumberFormat="true" numFmtId="165" fillId="19" applyFill="true">
      <alignment horizontal="left" vertical="center"/>
    </xf>
    <xf fontId="21766" applyFont="true" borderId="8" applyBorder="true" applyNumberFormat="true" numFmtId="165" fillId="22" applyFill="true">
      <alignment horizontal="center" vertical="center"/>
    </xf>
    <xf fontId="21767" applyFont="true" borderId="8" applyBorder="true" applyNumberFormat="true" numFmtId="166" fillId="22" applyFill="true">
      <alignment horizontal="center" vertical="center"/>
    </xf>
    <xf fontId="21768" applyFont="true" borderId="8" applyBorder="true" applyNumberFormat="true" numFmtId="1" fillId="22" applyFill="true">
      <alignment horizontal="center" vertical="center"/>
    </xf>
    <xf fontId="21769" applyFont="true" borderId="8" applyBorder="true" applyNumberFormat="true" numFmtId="1" fillId="22" applyFill="true">
      <alignment horizontal="center" vertical="center"/>
    </xf>
    <xf fontId="21770" applyFont="true" borderId="8" applyBorder="true" applyNumberFormat="true" numFmtId="1" fillId="22" applyFill="true">
      <alignment horizontal="center" vertical="center"/>
    </xf>
    <xf fontId="21771" applyFont="true" borderId="8" applyBorder="true" applyNumberFormat="true" numFmtId="1" fillId="22" applyFill="true">
      <alignment horizontal="center" vertical="center"/>
    </xf>
    <xf fontId="21772" applyFont="true" borderId="8" applyBorder="true" applyNumberFormat="true" numFmtId="1" fillId="22" applyFill="true">
      <alignment horizontal="center" vertical="center"/>
    </xf>
    <xf fontId="21773" applyFont="true" borderId="8" applyBorder="true" applyNumberFormat="true" numFmtId="1" fillId="22" applyFill="true">
      <alignment horizontal="center" vertical="center"/>
    </xf>
    <xf fontId="21774" applyFont="true" borderId="8" applyBorder="true" applyNumberFormat="true" numFmtId="1" fillId="22" applyFill="true">
      <alignment horizontal="center" vertical="center"/>
    </xf>
    <xf fontId="21775" applyFont="true" borderId="8" applyBorder="true" applyNumberFormat="true" numFmtId="165" fillId="22" applyFill="true">
      <alignment horizontal="center" vertical="center"/>
    </xf>
    <xf fontId="21776" applyFont="true" borderId="8" applyBorder="true" applyNumberFormat="true" numFmtId="165" fillId="22" applyFill="true">
      <alignment horizontal="center" vertical="center"/>
    </xf>
    <xf fontId="21777" applyFont="true" borderId="8" applyBorder="true" applyNumberFormat="true" numFmtId="1" fillId="22" applyFill="true">
      <alignment horizontal="center" vertical="center"/>
    </xf>
    <xf fontId="21778" applyFont="true" borderId="8" applyBorder="true" applyNumberFormat="true" numFmtId="1" fillId="22" applyFill="true">
      <alignment horizontal="center" vertical="center"/>
    </xf>
    <xf fontId="21779" applyFont="true" borderId="8" applyBorder="true" applyNumberFormat="true" numFmtId="1" fillId="22" applyFill="true">
      <alignment horizontal="center" vertical="center"/>
    </xf>
    <xf fontId="21780" applyFont="true" borderId="8" applyBorder="true" applyNumberFormat="true" numFmtId="167" fillId="22" applyFill="true">
      <alignment horizontal="center" vertical="center"/>
    </xf>
    <xf fontId="21781" applyFont="true" borderId="8" applyBorder="true" applyNumberFormat="true" numFmtId="1" fillId="22" applyFill="true">
      <alignment horizontal="center" vertical="center"/>
    </xf>
    <xf fontId="21782" applyFont="true" borderId="8" applyBorder="true" applyNumberFormat="true" numFmtId="167" fillId="22" applyFill="true">
      <alignment horizontal="center" vertical="center"/>
    </xf>
    <xf fontId="21783" applyFont="true" borderId="8" applyBorder="true" applyNumberFormat="true" numFmtId="1" fillId="22" applyFill="true">
      <alignment horizontal="center" vertical="center"/>
    </xf>
    <xf fontId="21784" applyFont="true" borderId="8" applyBorder="true" applyNumberFormat="true" numFmtId="167" fillId="22" applyFill="true">
      <alignment horizontal="center" vertical="center"/>
    </xf>
    <xf fontId="21785" applyFont="true" borderId="8" applyBorder="true" applyNumberFormat="true" numFmtId="1" fillId="22" applyFill="true">
      <alignment horizontal="center" vertical="center"/>
    </xf>
    <xf fontId="21786" applyFont="true" borderId="8" applyBorder="true" applyNumberFormat="true" numFmtId="167" fillId="22" applyFill="true">
      <alignment horizontal="center" vertical="center"/>
    </xf>
    <xf fontId="21787" applyFont="true" borderId="8" applyBorder="true" applyNumberFormat="true" numFmtId="167" fillId="22" applyFill="true">
      <alignment horizontal="center" vertical="center"/>
    </xf>
    <xf fontId="21788" applyFont="true" borderId="8" applyBorder="true" applyNumberFormat="true" numFmtId="1" fillId="22" applyFill="true">
      <alignment horizontal="center" vertical="center"/>
    </xf>
    <xf fontId="21789" applyFont="true" borderId="8" applyBorder="true" applyNumberFormat="true" numFmtId="1" fillId="22" applyFill="true">
      <alignment horizontal="center" vertical="center"/>
    </xf>
    <xf fontId="21790" applyFont="true" borderId="8" applyBorder="true" applyNumberFormat="true" numFmtId="1" fillId="22" applyFill="true">
      <alignment horizontal="center" vertical="center"/>
    </xf>
    <xf fontId="21791" applyFont="true" borderId="8" applyBorder="true" applyNumberFormat="true" numFmtId="167" fillId="22" applyFill="true">
      <alignment horizontal="center" vertical="center"/>
    </xf>
    <xf fontId="21792" applyFont="true" borderId="8" applyBorder="true" applyNumberFormat="true" numFmtId="166" fillId="22" applyFill="true">
      <alignment horizontal="center" vertical="center"/>
    </xf>
    <xf fontId="21793" applyFont="true" borderId="8" applyBorder="true" applyNumberFormat="true" numFmtId="166" fillId="22" applyFill="true">
      <alignment horizontal="center" vertical="center"/>
    </xf>
    <xf fontId="21794" applyFont="true" borderId="8" applyBorder="true" applyNumberFormat="true" numFmtId="1" fillId="22" applyFill="true">
      <alignment horizontal="center" vertical="center"/>
    </xf>
    <xf fontId="21795" applyFont="true" borderId="8" applyBorder="true" applyNumberFormat="true" numFmtId="1" fillId="22" applyFill="true">
      <alignment horizontal="center" vertical="center"/>
    </xf>
    <xf fontId="21796" applyFont="true" borderId="8" applyBorder="true" applyNumberFormat="true" numFmtId="1" fillId="22" applyFill="true">
      <alignment horizontal="center" vertical="center"/>
    </xf>
    <xf fontId="21797" applyFont="true" borderId="8" applyBorder="true" applyNumberFormat="true" numFmtId="167" fillId="22" applyFill="true">
      <alignment horizontal="center" vertical="center"/>
    </xf>
    <xf fontId="21798" applyFont="true" borderId="8" applyBorder="true" applyNumberFormat="true" numFmtId="1" fillId="22" applyFill="true">
      <alignment horizontal="center" vertical="center"/>
    </xf>
    <xf fontId="21799" applyFont="true" borderId="8" applyBorder="true" applyNumberFormat="true" numFmtId="167" fillId="22" applyFill="true">
      <alignment horizontal="center" vertical="center"/>
    </xf>
    <xf fontId="21800" applyFont="true" borderId="8" applyBorder="true" applyNumberFormat="true" numFmtId="1" fillId="22" applyFill="true">
      <alignment horizontal="center" vertical="center"/>
    </xf>
    <xf fontId="21801" applyFont="true" borderId="8" applyBorder="true" applyNumberFormat="true" numFmtId="1" fillId="22" applyFill="true">
      <alignment horizontal="center" vertical="center"/>
    </xf>
    <xf fontId="21802" applyFont="true" borderId="8" applyBorder="true" applyNumberFormat="true" numFmtId="1" fillId="22" applyFill="true">
      <alignment horizontal="center" vertical="center"/>
    </xf>
    <xf fontId="21803" applyFont="true" borderId="8" applyBorder="true" applyNumberFormat="true" numFmtId="1" fillId="22" applyFill="true">
      <alignment horizontal="center" vertical="center"/>
    </xf>
    <xf fontId="21804" applyFont="true" borderId="8" applyBorder="true" applyNumberFormat="true" numFmtId="167" fillId="22" applyFill="true">
      <alignment horizontal="center" vertical="center"/>
    </xf>
    <xf fontId="21805" applyFont="true" borderId="8" applyBorder="true" applyNumberFormat="true" numFmtId="1" fillId="22" applyFill="true">
      <alignment horizontal="center" vertical="center"/>
    </xf>
    <xf fontId="21806" applyFont="true" borderId="8" applyBorder="true" applyNumberFormat="true" numFmtId="167" fillId="22" applyFill="true">
      <alignment horizontal="center" vertical="center"/>
    </xf>
    <xf fontId="21807" applyFont="true" borderId="8" applyBorder="true" applyNumberFormat="true" numFmtId="1" fillId="22" applyFill="true">
      <alignment horizontal="center" vertical="center"/>
    </xf>
    <xf fontId="21808" applyFont="true" borderId="8" applyBorder="true" applyNumberFormat="true" numFmtId="167" fillId="22" applyFill="true">
      <alignment horizontal="center" vertical="center"/>
    </xf>
    <xf fontId="21809" applyFont="true" borderId="8" applyBorder="true" applyNumberFormat="true" numFmtId="2" fillId="22" applyFill="true">
      <alignment horizontal="center" vertical="center"/>
    </xf>
    <xf fontId="21810" applyFont="true" borderId="8" applyBorder="true" applyNumberFormat="true" numFmtId="2" fillId="22" applyFill="true">
      <alignment horizontal="center" vertical="center"/>
    </xf>
    <xf fontId="21811" applyFont="true" borderId="8" applyBorder="true" applyNumberFormat="true" numFmtId="2" fillId="22" applyFill="true">
      <alignment horizontal="center" vertical="center"/>
    </xf>
    <xf fontId="21812" applyFont="true" borderId="8" applyBorder="true" applyNumberFormat="true" numFmtId="2" fillId="22" applyFill="true">
      <alignment horizontal="center" vertical="center"/>
    </xf>
    <xf fontId="21813" applyFont="true" borderId="8" applyBorder="true" applyNumberFormat="true" numFmtId="2" fillId="22" applyFill="true">
      <alignment horizontal="center" vertical="center"/>
    </xf>
    <xf fontId="21814" applyFont="true" borderId="8" applyBorder="true" applyNumberFormat="true" numFmtId="2" fillId="22" applyFill="true">
      <alignment horizontal="center" vertical="center"/>
    </xf>
    <xf fontId="21815" applyFont="true" borderId="8" applyBorder="true" applyNumberFormat="true" numFmtId="2" fillId="22" applyFill="true">
      <alignment horizontal="center" vertical="center"/>
    </xf>
    <xf fontId="21816" applyFont="true" borderId="8" applyBorder="true" applyNumberFormat="true" numFmtId="2" fillId="22" applyFill="true">
      <alignment horizontal="center" vertical="center"/>
    </xf>
    <xf fontId="21817" applyFont="true" borderId="8" applyBorder="true" applyNumberFormat="true" numFmtId="2" fillId="22" applyFill="true">
      <alignment horizontal="center" vertical="center"/>
    </xf>
    <xf fontId="21818" applyFont="true" borderId="8" applyBorder="true" applyNumberFormat="true" numFmtId="2" fillId="22" applyFill="true">
      <alignment horizontal="center" vertical="center"/>
    </xf>
    <xf fontId="21819" applyFont="true" borderId="8" applyBorder="true" applyNumberFormat="true" numFmtId="2" fillId="22" applyFill="true">
      <alignment horizontal="center" vertical="center"/>
    </xf>
    <xf fontId="21820" applyFont="true" borderId="8" applyBorder="true" applyNumberFormat="true" numFmtId="2" fillId="22" applyFill="true">
      <alignment horizontal="center" vertical="center"/>
    </xf>
    <xf fontId="21821" applyFont="true" borderId="8" applyBorder="true" applyNumberFormat="true" numFmtId="2" fillId="22" applyFill="true">
      <alignment horizontal="center" vertical="center"/>
    </xf>
    <xf fontId="21822" applyFont="true" borderId="8" applyBorder="true" applyNumberFormat="true" numFmtId="2" fillId="22" applyFill="true">
      <alignment horizontal="center" vertical="center"/>
    </xf>
    <xf fontId="21823" applyFont="true" borderId="8" applyBorder="true" applyNumberFormat="true" numFmtId="2" fillId="22" applyFill="true">
      <alignment horizontal="center" vertical="center"/>
    </xf>
    <xf fontId="21824" applyFont="true" borderId="8" applyBorder="true" applyNumberFormat="true" numFmtId="2" fillId="22" applyFill="true">
      <alignment horizontal="center" vertical="center"/>
    </xf>
    <xf fontId="21825" applyFont="true" borderId="8" applyBorder="true" applyNumberFormat="true" numFmtId="2" fillId="22" applyFill="true">
      <alignment horizontal="center" vertical="center"/>
    </xf>
    <xf fontId="21826" applyFont="true" borderId="8" applyBorder="true" applyNumberFormat="true" numFmtId="2" fillId="22" applyFill="true">
      <alignment horizontal="center" vertical="center"/>
    </xf>
    <xf fontId="21827" applyFont="true" borderId="8" applyBorder="true" applyNumberFormat="true" numFmtId="2" fillId="22" applyFill="true">
      <alignment horizontal="center" vertical="center"/>
    </xf>
    <xf fontId="21828" applyFont="true" borderId="8" applyBorder="true" applyNumberFormat="true" numFmtId="2" fillId="22" applyFill="true">
      <alignment horizontal="center" vertical="center"/>
    </xf>
    <xf fontId="21829" applyFont="true" borderId="8" applyBorder="true" applyNumberFormat="true" numFmtId="2" fillId="22" applyFill="true">
      <alignment horizontal="center" vertical="center"/>
    </xf>
    <xf fontId="21830" applyFont="true" borderId="8" applyBorder="true" applyNumberFormat="true" numFmtId="2" fillId="22" applyFill="true">
      <alignment horizontal="center" vertical="center"/>
    </xf>
    <xf fontId="21831" applyFont="true" borderId="8" applyBorder="true" applyNumberFormat="true" numFmtId="2" fillId="22" applyFill="true">
      <alignment horizontal="center" vertical="center"/>
    </xf>
    <xf fontId="21832" applyFont="true" borderId="8" applyBorder="true" applyNumberFormat="true" numFmtId="2" fillId="22" applyFill="true">
      <alignment horizontal="center" vertical="center"/>
    </xf>
    <xf fontId="21833" applyFont="true" borderId="8" applyBorder="true" applyNumberFormat="true" numFmtId="2" fillId="22" applyFill="true">
      <alignment horizontal="center" vertical="center"/>
    </xf>
    <xf fontId="21834" applyFont="true" borderId="8" applyBorder="true" applyNumberFormat="true" numFmtId="2" fillId="22" applyFill="true">
      <alignment horizontal="center" vertical="center"/>
    </xf>
    <xf fontId="21835" applyFont="true" borderId="8" applyBorder="true" applyNumberFormat="true" numFmtId="2" fillId="22" applyFill="true">
      <alignment horizontal="center" vertical="center"/>
    </xf>
    <xf fontId="21836" applyFont="true" borderId="8" applyBorder="true" applyNumberFormat="true" numFmtId="2" fillId="22" applyFill="true">
      <alignment horizontal="center" vertical="center"/>
    </xf>
    <xf fontId="21837" applyFont="true" borderId="8" applyBorder="true" applyNumberFormat="true" numFmtId="2" fillId="22" applyFill="true">
      <alignment horizontal="center" vertical="center"/>
    </xf>
    <xf fontId="21838" applyFont="true" borderId="8" applyBorder="true" applyNumberFormat="true" numFmtId="2" fillId="22" applyFill="true">
      <alignment horizontal="center" vertical="center"/>
    </xf>
    <xf fontId="21839" applyFont="true" borderId="8" applyBorder="true" applyNumberFormat="true" numFmtId="2" fillId="22" applyFill="true">
      <alignment horizontal="center" vertical="center"/>
    </xf>
    <xf fontId="21840" applyFont="true" borderId="8" applyBorder="true" applyNumberFormat="true" numFmtId="2" fillId="22" applyFill="true">
      <alignment horizontal="center" vertical="center"/>
    </xf>
    <xf fontId="21841" applyFont="true" borderId="8" applyBorder="true" applyNumberFormat="true" numFmtId="2" fillId="22" applyFill="true">
      <alignment horizontal="center" vertical="center"/>
    </xf>
    <xf fontId="21842" applyFont="true" borderId="8" applyBorder="true" applyNumberFormat="true" numFmtId="2" fillId="22" applyFill="true">
      <alignment horizontal="center" vertical="center"/>
    </xf>
    <xf fontId="21843" applyFont="true" borderId="8" applyBorder="true" applyNumberFormat="true" numFmtId="165" fillId="19" applyFill="true">
      <alignment horizontal="left" vertical="center"/>
    </xf>
    <xf fontId="21844" applyFont="true" borderId="8" applyBorder="true" applyNumberFormat="true" numFmtId="165" fillId="22" applyFill="true">
      <alignment horizontal="center" vertical="center"/>
    </xf>
    <xf fontId="21845" applyFont="true" borderId="8" applyBorder="true" applyNumberFormat="true" numFmtId="166" fillId="22" applyFill="true">
      <alignment horizontal="center" vertical="center"/>
    </xf>
    <xf fontId="21846" applyFont="true" borderId="8" applyBorder="true" applyNumberFormat="true" numFmtId="1" fillId="22" applyFill="true">
      <alignment horizontal="center" vertical="center"/>
    </xf>
    <xf fontId="21847" applyFont="true" borderId="8" applyBorder="true" applyNumberFormat="true" numFmtId="1" fillId="22" applyFill="true">
      <alignment horizontal="center" vertical="center"/>
    </xf>
    <xf fontId="21848" applyFont="true" borderId="8" applyBorder="true" applyNumberFormat="true" numFmtId="1" fillId="22" applyFill="true">
      <alignment horizontal="center" vertical="center"/>
    </xf>
    <xf fontId="21849" applyFont="true" borderId="8" applyBorder="true" applyNumberFormat="true" numFmtId="1" fillId="22" applyFill="true">
      <alignment horizontal="center" vertical="center"/>
    </xf>
    <xf fontId="21850" applyFont="true" borderId="8" applyBorder="true" applyNumberFormat="true" numFmtId="1" fillId="22" applyFill="true">
      <alignment horizontal="center" vertical="center"/>
    </xf>
    <xf fontId="21851" applyFont="true" borderId="8" applyBorder="true" applyNumberFormat="true" numFmtId="1" fillId="22" applyFill="true">
      <alignment horizontal="center" vertical="center"/>
    </xf>
    <xf fontId="21852" applyFont="true" borderId="8" applyBorder="true" applyNumberFormat="true" numFmtId="1" fillId="22" applyFill="true">
      <alignment horizontal="center" vertical="center"/>
    </xf>
    <xf fontId="21853" applyFont="true" borderId="8" applyBorder="true" applyNumberFormat="true" numFmtId="165" fillId="22" applyFill="true">
      <alignment horizontal="center" vertical="center"/>
    </xf>
    <xf fontId="21854" applyFont="true" borderId="8" applyBorder="true" applyNumberFormat="true" numFmtId="165" fillId="22" applyFill="true">
      <alignment horizontal="center" vertical="center"/>
    </xf>
    <xf fontId="21855" applyFont="true" borderId="8" applyBorder="true" applyNumberFormat="true" numFmtId="1" fillId="22" applyFill="true">
      <alignment horizontal="center" vertical="center"/>
    </xf>
    <xf fontId="21856" applyFont="true" borderId="8" applyBorder="true" applyNumberFormat="true" numFmtId="1" fillId="22" applyFill="true">
      <alignment horizontal="center" vertical="center"/>
    </xf>
    <xf fontId="21857" applyFont="true" borderId="8" applyBorder="true" applyNumberFormat="true" numFmtId="1" fillId="22" applyFill="true">
      <alignment horizontal="center" vertical="center"/>
    </xf>
    <xf fontId="21858" applyFont="true" borderId="8" applyBorder="true" applyNumberFormat="true" numFmtId="167" fillId="22" applyFill="true">
      <alignment horizontal="center" vertical="center"/>
    </xf>
    <xf fontId="21859" applyFont="true" borderId="8" applyBorder="true" applyNumberFormat="true" numFmtId="1" fillId="22" applyFill="true">
      <alignment horizontal="center" vertical="center"/>
    </xf>
    <xf fontId="21860" applyFont="true" borderId="8" applyBorder="true" applyNumberFormat="true" numFmtId="167" fillId="22" applyFill="true">
      <alignment horizontal="center" vertical="center"/>
    </xf>
    <xf fontId="21861" applyFont="true" borderId="8" applyBorder="true" applyNumberFormat="true" numFmtId="1" fillId="22" applyFill="true">
      <alignment horizontal="center" vertical="center"/>
    </xf>
    <xf fontId="21862" applyFont="true" borderId="8" applyBorder="true" applyNumberFormat="true" numFmtId="167" fillId="22" applyFill="true">
      <alignment horizontal="center" vertical="center"/>
    </xf>
    <xf fontId="21863" applyFont="true" borderId="8" applyBorder="true" applyNumberFormat="true" numFmtId="1" fillId="22" applyFill="true">
      <alignment horizontal="center" vertical="center"/>
    </xf>
    <xf fontId="21864" applyFont="true" borderId="8" applyBorder="true" applyNumberFormat="true" numFmtId="167" fillId="22" applyFill="true">
      <alignment horizontal="center" vertical="center"/>
    </xf>
    <xf fontId="21865" applyFont="true" borderId="8" applyBorder="true" applyNumberFormat="true" numFmtId="167" fillId="22" applyFill="true">
      <alignment horizontal="center" vertical="center"/>
    </xf>
    <xf fontId="21866" applyFont="true" borderId="8" applyBorder="true" applyNumberFormat="true" numFmtId="1" fillId="22" applyFill="true">
      <alignment horizontal="center" vertical="center"/>
    </xf>
    <xf fontId="21867" applyFont="true" borderId="8" applyBorder="true" applyNumberFormat="true" numFmtId="1" fillId="22" applyFill="true">
      <alignment horizontal="center" vertical="center"/>
    </xf>
    <xf fontId="21868" applyFont="true" borderId="8" applyBorder="true" applyNumberFormat="true" numFmtId="1" fillId="22" applyFill="true">
      <alignment horizontal="center" vertical="center"/>
    </xf>
    <xf fontId="21869" applyFont="true" borderId="8" applyBorder="true" applyNumberFormat="true" numFmtId="167" fillId="22" applyFill="true">
      <alignment horizontal="center" vertical="center"/>
    </xf>
    <xf fontId="21870" applyFont="true" borderId="8" applyBorder="true" applyNumberFormat="true" numFmtId="166" fillId="22" applyFill="true">
      <alignment horizontal="center" vertical="center"/>
    </xf>
    <xf fontId="21871" applyFont="true" borderId="8" applyBorder="true" applyNumberFormat="true" numFmtId="166" fillId="22" applyFill="true">
      <alignment horizontal="center" vertical="center"/>
    </xf>
    <xf fontId="21872" applyFont="true" borderId="8" applyBorder="true" applyNumberFormat="true" numFmtId="1" fillId="22" applyFill="true">
      <alignment horizontal="center" vertical="center"/>
    </xf>
    <xf fontId="21873" applyFont="true" borderId="8" applyBorder="true" applyNumberFormat="true" numFmtId="1" fillId="22" applyFill="true">
      <alignment horizontal="center" vertical="center"/>
    </xf>
    <xf fontId="21874" applyFont="true" borderId="8" applyBorder="true" applyNumberFormat="true" numFmtId="1" fillId="22" applyFill="true">
      <alignment horizontal="center" vertical="center"/>
    </xf>
    <xf fontId="21875" applyFont="true" borderId="8" applyBorder="true" applyNumberFormat="true" numFmtId="167" fillId="22" applyFill="true">
      <alignment horizontal="center" vertical="center"/>
    </xf>
    <xf fontId="21876" applyFont="true" borderId="8" applyBorder="true" applyNumberFormat="true" numFmtId="1" fillId="22" applyFill="true">
      <alignment horizontal="center" vertical="center"/>
    </xf>
    <xf fontId="21877" applyFont="true" borderId="8" applyBorder="true" applyNumberFormat="true" numFmtId="167" fillId="22" applyFill="true">
      <alignment horizontal="center" vertical="center"/>
    </xf>
    <xf fontId="21878" applyFont="true" borderId="8" applyBorder="true" applyNumberFormat="true" numFmtId="1" fillId="22" applyFill="true">
      <alignment horizontal="center" vertical="center"/>
    </xf>
    <xf fontId="21879" applyFont="true" borderId="8" applyBorder="true" applyNumberFormat="true" numFmtId="1" fillId="22" applyFill="true">
      <alignment horizontal="center" vertical="center"/>
    </xf>
    <xf fontId="21880" applyFont="true" borderId="8" applyBorder="true" applyNumberFormat="true" numFmtId="1" fillId="22" applyFill="true">
      <alignment horizontal="center" vertical="center"/>
    </xf>
    <xf fontId="21881" applyFont="true" borderId="8" applyBorder="true" applyNumberFormat="true" numFmtId="1" fillId="22" applyFill="true">
      <alignment horizontal="center" vertical="center"/>
    </xf>
    <xf fontId="21882" applyFont="true" borderId="8" applyBorder="true" applyNumberFormat="true" numFmtId="167" fillId="22" applyFill="true">
      <alignment horizontal="center" vertical="center"/>
    </xf>
    <xf fontId="21883" applyFont="true" borderId="8" applyBorder="true" applyNumberFormat="true" numFmtId="1" fillId="22" applyFill="true">
      <alignment horizontal="center" vertical="center"/>
    </xf>
    <xf fontId="21884" applyFont="true" borderId="8" applyBorder="true" applyNumberFormat="true" numFmtId="167" fillId="22" applyFill="true">
      <alignment horizontal="center" vertical="center"/>
    </xf>
    <xf fontId="21885" applyFont="true" borderId="8" applyBorder="true" applyNumberFormat="true" numFmtId="1" fillId="22" applyFill="true">
      <alignment horizontal="center" vertical="center"/>
    </xf>
    <xf fontId="21886" applyFont="true" borderId="8" applyBorder="true" applyNumberFormat="true" numFmtId="167" fillId="22" applyFill="true">
      <alignment horizontal="center" vertical="center"/>
    </xf>
    <xf fontId="21887" applyFont="true" borderId="8" applyBorder="true" applyNumberFormat="true" numFmtId="2" fillId="22" applyFill="true">
      <alignment horizontal="center" vertical="center"/>
    </xf>
    <xf fontId="21888" applyFont="true" borderId="8" applyBorder="true" applyNumberFormat="true" numFmtId="2" fillId="22" applyFill="true">
      <alignment horizontal="center" vertical="center"/>
    </xf>
    <xf fontId="21889" applyFont="true" borderId="8" applyBorder="true" applyNumberFormat="true" numFmtId="2" fillId="22" applyFill="true">
      <alignment horizontal="center" vertical="center"/>
    </xf>
    <xf fontId="21890" applyFont="true" borderId="8" applyBorder="true" applyNumberFormat="true" numFmtId="2" fillId="22" applyFill="true">
      <alignment horizontal="center" vertical="center"/>
    </xf>
    <xf fontId="21891" applyFont="true" borderId="8" applyBorder="true" applyNumberFormat="true" numFmtId="2" fillId="22" applyFill="true">
      <alignment horizontal="center" vertical="center"/>
    </xf>
    <xf fontId="21892" applyFont="true" borderId="8" applyBorder="true" applyNumberFormat="true" numFmtId="2" fillId="22" applyFill="true">
      <alignment horizontal="center" vertical="center"/>
    </xf>
    <xf fontId="21893" applyFont="true" borderId="8" applyBorder="true" applyNumberFormat="true" numFmtId="2" fillId="22" applyFill="true">
      <alignment horizontal="center" vertical="center"/>
    </xf>
    <xf fontId="21894" applyFont="true" borderId="8" applyBorder="true" applyNumberFormat="true" numFmtId="2" fillId="22" applyFill="true">
      <alignment horizontal="center" vertical="center"/>
    </xf>
    <xf fontId="21895" applyFont="true" borderId="8" applyBorder="true" applyNumberFormat="true" numFmtId="2" fillId="22" applyFill="true">
      <alignment horizontal="center" vertical="center"/>
    </xf>
    <xf fontId="21896" applyFont="true" borderId="8" applyBorder="true" applyNumberFormat="true" numFmtId="2" fillId="22" applyFill="true">
      <alignment horizontal="center" vertical="center"/>
    </xf>
    <xf fontId="21897" applyFont="true" borderId="8" applyBorder="true" applyNumberFormat="true" numFmtId="2" fillId="22" applyFill="true">
      <alignment horizontal="center" vertical="center"/>
    </xf>
    <xf fontId="21898" applyFont="true" borderId="8" applyBorder="true" applyNumberFormat="true" numFmtId="2" fillId="22" applyFill="true">
      <alignment horizontal="center" vertical="center"/>
    </xf>
    <xf fontId="21899" applyFont="true" borderId="8" applyBorder="true" applyNumberFormat="true" numFmtId="2" fillId="22" applyFill="true">
      <alignment horizontal="center" vertical="center"/>
    </xf>
    <xf fontId="21900" applyFont="true" borderId="8" applyBorder="true" applyNumberFormat="true" numFmtId="2" fillId="22" applyFill="true">
      <alignment horizontal="center" vertical="center"/>
    </xf>
    <xf fontId="21901" applyFont="true" borderId="8" applyBorder="true" applyNumberFormat="true" numFmtId="2" fillId="22" applyFill="true">
      <alignment horizontal="center" vertical="center"/>
    </xf>
    <xf fontId="21902" applyFont="true" borderId="8" applyBorder="true" applyNumberFormat="true" numFmtId="2" fillId="22" applyFill="true">
      <alignment horizontal="center" vertical="center"/>
    </xf>
    <xf fontId="21903" applyFont="true" borderId="8" applyBorder="true" applyNumberFormat="true" numFmtId="2" fillId="22" applyFill="true">
      <alignment horizontal="center" vertical="center"/>
    </xf>
    <xf fontId="21904" applyFont="true" borderId="8" applyBorder="true" applyNumberFormat="true" numFmtId="2" fillId="22" applyFill="true">
      <alignment horizontal="center" vertical="center"/>
    </xf>
    <xf fontId="21905" applyFont="true" borderId="8" applyBorder="true" applyNumberFormat="true" numFmtId="2" fillId="22" applyFill="true">
      <alignment horizontal="center" vertical="center"/>
    </xf>
    <xf fontId="21906" applyFont="true" borderId="8" applyBorder="true" applyNumberFormat="true" numFmtId="2" fillId="22" applyFill="true">
      <alignment horizontal="center" vertical="center"/>
    </xf>
    <xf fontId="21907" applyFont="true" borderId="8" applyBorder="true" applyNumberFormat="true" numFmtId="2" fillId="22" applyFill="true">
      <alignment horizontal="center" vertical="center"/>
    </xf>
    <xf fontId="21908" applyFont="true" borderId="8" applyBorder="true" applyNumberFormat="true" numFmtId="2" fillId="22" applyFill="true">
      <alignment horizontal="center" vertical="center"/>
    </xf>
    <xf fontId="21909" applyFont="true" borderId="8" applyBorder="true" applyNumberFormat="true" numFmtId="2" fillId="22" applyFill="true">
      <alignment horizontal="center" vertical="center"/>
    </xf>
    <xf fontId="21910" applyFont="true" borderId="8" applyBorder="true" applyNumberFormat="true" numFmtId="2" fillId="22" applyFill="true">
      <alignment horizontal="center" vertical="center"/>
    </xf>
    <xf fontId="21911" applyFont="true" borderId="8" applyBorder="true" applyNumberFormat="true" numFmtId="2" fillId="22" applyFill="true">
      <alignment horizontal="center" vertical="center"/>
    </xf>
    <xf fontId="21912" applyFont="true" borderId="8" applyBorder="true" applyNumberFormat="true" numFmtId="2" fillId="22" applyFill="true">
      <alignment horizontal="center" vertical="center"/>
    </xf>
    <xf fontId="21913" applyFont="true" borderId="8" applyBorder="true" applyNumberFormat="true" numFmtId="2" fillId="22" applyFill="true">
      <alignment horizontal="center" vertical="center"/>
    </xf>
    <xf fontId="21914" applyFont="true" borderId="8" applyBorder="true" applyNumberFormat="true" numFmtId="2" fillId="22" applyFill="true">
      <alignment horizontal="center" vertical="center"/>
    </xf>
    <xf fontId="21915" applyFont="true" borderId="8" applyBorder="true" applyNumberFormat="true" numFmtId="2" fillId="22" applyFill="true">
      <alignment horizontal="center" vertical="center"/>
    </xf>
    <xf fontId="21916" applyFont="true" borderId="8" applyBorder="true" applyNumberFormat="true" numFmtId="2" fillId="22" applyFill="true">
      <alignment horizontal="center" vertical="center"/>
    </xf>
    <xf fontId="21917" applyFont="true" borderId="8" applyBorder="true" applyNumberFormat="true" numFmtId="2" fillId="22" applyFill="true">
      <alignment horizontal="center" vertical="center"/>
    </xf>
    <xf fontId="21918" applyFont="true" borderId="8" applyBorder="true" applyNumberFormat="true" numFmtId="2" fillId="22" applyFill="true">
      <alignment horizontal="center" vertical="center"/>
    </xf>
    <xf fontId="21919" applyFont="true" borderId="8" applyBorder="true" applyNumberFormat="true" numFmtId="2" fillId="22" applyFill="true">
      <alignment horizontal="center" vertical="center"/>
    </xf>
    <xf fontId="21920" applyFont="true" borderId="8" applyBorder="true" applyNumberFormat="true" numFmtId="2" fillId="22" applyFill="true">
      <alignment horizontal="center" vertical="center"/>
    </xf>
    <xf fontId="21921" applyFont="true" borderId="8" applyBorder="true" applyNumberFormat="true" numFmtId="165" fillId="19" applyFill="true">
      <alignment horizontal="left" vertical="center"/>
    </xf>
    <xf fontId="21922" applyFont="true" borderId="8" applyBorder="true" applyNumberFormat="true" numFmtId="165" fillId="22" applyFill="true">
      <alignment horizontal="center" vertical="center"/>
    </xf>
    <xf fontId="21923" applyFont="true" borderId="8" applyBorder="true" applyNumberFormat="true" numFmtId="166" fillId="22" applyFill="true">
      <alignment horizontal="center" vertical="center"/>
    </xf>
    <xf fontId="21924" applyFont="true" borderId="8" applyBorder="true" applyNumberFormat="true" numFmtId="1" fillId="22" applyFill="true">
      <alignment horizontal="center" vertical="center"/>
    </xf>
    <xf fontId="21925" applyFont="true" borderId="8" applyBorder="true" applyNumberFormat="true" numFmtId="1" fillId="22" applyFill="true">
      <alignment horizontal="center" vertical="center"/>
    </xf>
    <xf fontId="21926" applyFont="true" borderId="8" applyBorder="true" applyNumberFormat="true" numFmtId="1" fillId="22" applyFill="true">
      <alignment horizontal="center" vertical="center"/>
    </xf>
    <xf fontId="21927" applyFont="true" borderId="8" applyBorder="true" applyNumberFormat="true" numFmtId="1" fillId="22" applyFill="true">
      <alignment horizontal="center" vertical="center"/>
    </xf>
    <xf fontId="21928" applyFont="true" borderId="8" applyBorder="true" applyNumberFormat="true" numFmtId="1" fillId="22" applyFill="true">
      <alignment horizontal="center" vertical="center"/>
    </xf>
    <xf fontId="21929" applyFont="true" borderId="8" applyBorder="true" applyNumberFormat="true" numFmtId="1" fillId="22" applyFill="true">
      <alignment horizontal="center" vertical="center"/>
    </xf>
    <xf fontId="21930" applyFont="true" borderId="8" applyBorder="true" applyNumberFormat="true" numFmtId="1" fillId="22" applyFill="true">
      <alignment horizontal="center" vertical="center"/>
    </xf>
    <xf fontId="21931" applyFont="true" borderId="8" applyBorder="true" applyNumberFormat="true" numFmtId="165" fillId="22" applyFill="true">
      <alignment horizontal="center" vertical="center"/>
    </xf>
    <xf fontId="21932" applyFont="true" borderId="8" applyBorder="true" applyNumberFormat="true" numFmtId="165" fillId="22" applyFill="true">
      <alignment horizontal="center" vertical="center"/>
    </xf>
    <xf fontId="21933" applyFont="true" borderId="8" applyBorder="true" applyNumberFormat="true" numFmtId="1" fillId="22" applyFill="true">
      <alignment horizontal="center" vertical="center"/>
    </xf>
    <xf fontId="21934" applyFont="true" borderId="8" applyBorder="true" applyNumberFormat="true" numFmtId="1" fillId="22" applyFill="true">
      <alignment horizontal="center" vertical="center"/>
    </xf>
    <xf fontId="21935" applyFont="true" borderId="8" applyBorder="true" applyNumberFormat="true" numFmtId="1" fillId="22" applyFill="true">
      <alignment horizontal="center" vertical="center"/>
    </xf>
    <xf fontId="21936" applyFont="true" borderId="8" applyBorder="true" applyNumberFormat="true" numFmtId="167" fillId="22" applyFill="true">
      <alignment horizontal="center" vertical="center"/>
    </xf>
    <xf fontId="21937" applyFont="true" borderId="8" applyBorder="true" applyNumberFormat="true" numFmtId="1" fillId="22" applyFill="true">
      <alignment horizontal="center" vertical="center"/>
    </xf>
    <xf fontId="21938" applyFont="true" borderId="8" applyBorder="true" applyNumberFormat="true" numFmtId="167" fillId="22" applyFill="true">
      <alignment horizontal="center" vertical="center"/>
    </xf>
    <xf fontId="21939" applyFont="true" borderId="8" applyBorder="true" applyNumberFormat="true" numFmtId="1" fillId="22" applyFill="true">
      <alignment horizontal="center" vertical="center"/>
    </xf>
    <xf fontId="21940" applyFont="true" borderId="8" applyBorder="true" applyNumberFormat="true" numFmtId="167" fillId="22" applyFill="true">
      <alignment horizontal="center" vertical="center"/>
    </xf>
    <xf fontId="21941" applyFont="true" borderId="8" applyBorder="true" applyNumberFormat="true" numFmtId="1" fillId="22" applyFill="true">
      <alignment horizontal="center" vertical="center"/>
    </xf>
    <xf fontId="21942" applyFont="true" borderId="8" applyBorder="true" applyNumberFormat="true" numFmtId="167" fillId="22" applyFill="true">
      <alignment horizontal="center" vertical="center"/>
    </xf>
    <xf fontId="21943" applyFont="true" borderId="8" applyBorder="true" applyNumberFormat="true" numFmtId="167" fillId="22" applyFill="true">
      <alignment horizontal="center" vertical="center"/>
    </xf>
    <xf fontId="21944" applyFont="true" borderId="8" applyBorder="true" applyNumberFormat="true" numFmtId="1" fillId="22" applyFill="true">
      <alignment horizontal="center" vertical="center"/>
    </xf>
    <xf fontId="21945" applyFont="true" borderId="8" applyBorder="true" applyNumberFormat="true" numFmtId="1" fillId="22" applyFill="true">
      <alignment horizontal="center" vertical="center"/>
    </xf>
    <xf fontId="21946" applyFont="true" borderId="8" applyBorder="true" applyNumberFormat="true" numFmtId="1" fillId="22" applyFill="true">
      <alignment horizontal="center" vertical="center"/>
    </xf>
    <xf fontId="21947" applyFont="true" borderId="8" applyBorder="true" applyNumberFormat="true" numFmtId="167" fillId="22" applyFill="true">
      <alignment horizontal="center" vertical="center"/>
    </xf>
    <xf fontId="21948" applyFont="true" borderId="8" applyBorder="true" applyNumberFormat="true" numFmtId="166" fillId="22" applyFill="true">
      <alignment horizontal="center" vertical="center"/>
    </xf>
    <xf fontId="21949" applyFont="true" borderId="8" applyBorder="true" applyNumberFormat="true" numFmtId="166" fillId="22" applyFill="true">
      <alignment horizontal="center" vertical="center"/>
    </xf>
    <xf fontId="21950" applyFont="true" borderId="8" applyBorder="true" applyNumberFormat="true" numFmtId="1" fillId="22" applyFill="true">
      <alignment horizontal="center" vertical="center"/>
    </xf>
    <xf fontId="21951" applyFont="true" borderId="8" applyBorder="true" applyNumberFormat="true" numFmtId="1" fillId="22" applyFill="true">
      <alignment horizontal="center" vertical="center"/>
    </xf>
    <xf fontId="21952" applyFont="true" borderId="8" applyBorder="true" applyNumberFormat="true" numFmtId="1" fillId="22" applyFill="true">
      <alignment horizontal="center" vertical="center"/>
    </xf>
    <xf fontId="21953" applyFont="true" borderId="8" applyBorder="true" applyNumberFormat="true" numFmtId="167" fillId="22" applyFill="true">
      <alignment horizontal="center" vertical="center"/>
    </xf>
    <xf fontId="21954" applyFont="true" borderId="8" applyBorder="true" applyNumberFormat="true" numFmtId="1" fillId="22" applyFill="true">
      <alignment horizontal="center" vertical="center"/>
    </xf>
    <xf fontId="21955" applyFont="true" borderId="8" applyBorder="true" applyNumberFormat="true" numFmtId="167" fillId="22" applyFill="true">
      <alignment horizontal="center" vertical="center"/>
    </xf>
    <xf fontId="21956" applyFont="true" borderId="8" applyBorder="true" applyNumberFormat="true" numFmtId="1" fillId="22" applyFill="true">
      <alignment horizontal="center" vertical="center"/>
    </xf>
    <xf fontId="21957" applyFont="true" borderId="8" applyBorder="true" applyNumberFormat="true" numFmtId="1" fillId="22" applyFill="true">
      <alignment horizontal="center" vertical="center"/>
    </xf>
    <xf fontId="21958" applyFont="true" borderId="8" applyBorder="true" applyNumberFormat="true" numFmtId="1" fillId="22" applyFill="true">
      <alignment horizontal="center" vertical="center"/>
    </xf>
    <xf fontId="21959" applyFont="true" borderId="8" applyBorder="true" applyNumberFormat="true" numFmtId="1" fillId="22" applyFill="true">
      <alignment horizontal="center" vertical="center"/>
    </xf>
    <xf fontId="21960" applyFont="true" borderId="8" applyBorder="true" applyNumberFormat="true" numFmtId="167" fillId="22" applyFill="true">
      <alignment horizontal="center" vertical="center"/>
    </xf>
    <xf fontId="21961" applyFont="true" borderId="8" applyBorder="true" applyNumberFormat="true" numFmtId="1" fillId="22" applyFill="true">
      <alignment horizontal="center" vertical="center"/>
    </xf>
    <xf fontId="21962" applyFont="true" borderId="8" applyBorder="true" applyNumberFormat="true" numFmtId="167" fillId="22" applyFill="true">
      <alignment horizontal="center" vertical="center"/>
    </xf>
    <xf fontId="21963" applyFont="true" borderId="8" applyBorder="true" applyNumberFormat="true" numFmtId="1" fillId="22" applyFill="true">
      <alignment horizontal="center" vertical="center"/>
    </xf>
    <xf fontId="21964" applyFont="true" borderId="8" applyBorder="true" applyNumberFormat="true" numFmtId="167" fillId="22" applyFill="true">
      <alignment horizontal="center" vertical="center"/>
    </xf>
    <xf fontId="21965" applyFont="true" borderId="8" applyBorder="true" applyNumberFormat="true" numFmtId="2" fillId="22" applyFill="true">
      <alignment horizontal="center" vertical="center"/>
    </xf>
    <xf fontId="21966" applyFont="true" borderId="8" applyBorder="true" applyNumberFormat="true" numFmtId="2" fillId="22" applyFill="true">
      <alignment horizontal="center" vertical="center"/>
    </xf>
    <xf fontId="21967" applyFont="true" borderId="8" applyBorder="true" applyNumberFormat="true" numFmtId="2" fillId="22" applyFill="true">
      <alignment horizontal="center" vertical="center"/>
    </xf>
    <xf fontId="21968" applyFont="true" borderId="8" applyBorder="true" applyNumberFormat="true" numFmtId="2" fillId="22" applyFill="true">
      <alignment horizontal="center" vertical="center"/>
    </xf>
    <xf fontId="21969" applyFont="true" borderId="8" applyBorder="true" applyNumberFormat="true" numFmtId="2" fillId="22" applyFill="true">
      <alignment horizontal="center" vertical="center"/>
    </xf>
    <xf fontId="21970" applyFont="true" borderId="8" applyBorder="true" applyNumberFormat="true" numFmtId="2" fillId="22" applyFill="true">
      <alignment horizontal="center" vertical="center"/>
    </xf>
    <xf fontId="21971" applyFont="true" borderId="8" applyBorder="true" applyNumberFormat="true" numFmtId="2" fillId="22" applyFill="true">
      <alignment horizontal="center" vertical="center"/>
    </xf>
    <xf fontId="21972" applyFont="true" borderId="8" applyBorder="true" applyNumberFormat="true" numFmtId="2" fillId="22" applyFill="true">
      <alignment horizontal="center" vertical="center"/>
    </xf>
    <xf fontId="21973" applyFont="true" borderId="8" applyBorder="true" applyNumberFormat="true" numFmtId="2" fillId="22" applyFill="true">
      <alignment horizontal="center" vertical="center"/>
    </xf>
    <xf fontId="21974" applyFont="true" borderId="8" applyBorder="true" applyNumberFormat="true" numFmtId="2" fillId="22" applyFill="true">
      <alignment horizontal="center" vertical="center"/>
    </xf>
    <xf fontId="21975" applyFont="true" borderId="8" applyBorder="true" applyNumberFormat="true" numFmtId="2" fillId="22" applyFill="true">
      <alignment horizontal="center" vertical="center"/>
    </xf>
    <xf fontId="21976" applyFont="true" borderId="8" applyBorder="true" applyNumberFormat="true" numFmtId="2" fillId="22" applyFill="true">
      <alignment horizontal="center" vertical="center"/>
    </xf>
    <xf fontId="21977" applyFont="true" borderId="8" applyBorder="true" applyNumberFormat="true" numFmtId="2" fillId="22" applyFill="true">
      <alignment horizontal="center" vertical="center"/>
    </xf>
    <xf fontId="21978" applyFont="true" borderId="8" applyBorder="true" applyNumberFormat="true" numFmtId="2" fillId="22" applyFill="true">
      <alignment horizontal="center" vertical="center"/>
    </xf>
    <xf fontId="21979" applyFont="true" borderId="8" applyBorder="true" applyNumberFormat="true" numFmtId="2" fillId="22" applyFill="true">
      <alignment horizontal="center" vertical="center"/>
    </xf>
    <xf fontId="21980" applyFont="true" borderId="8" applyBorder="true" applyNumberFormat="true" numFmtId="2" fillId="22" applyFill="true">
      <alignment horizontal="center" vertical="center"/>
    </xf>
    <xf fontId="21981" applyFont="true" borderId="8" applyBorder="true" applyNumberFormat="true" numFmtId="2" fillId="22" applyFill="true">
      <alignment horizontal="center" vertical="center"/>
    </xf>
    <xf fontId="21982" applyFont="true" borderId="8" applyBorder="true" applyNumberFormat="true" numFmtId="2" fillId="22" applyFill="true">
      <alignment horizontal="center" vertical="center"/>
    </xf>
    <xf fontId="21983" applyFont="true" borderId="8" applyBorder="true" applyNumberFormat="true" numFmtId="2" fillId="22" applyFill="true">
      <alignment horizontal="center" vertical="center"/>
    </xf>
    <xf fontId="21984" applyFont="true" borderId="8" applyBorder="true" applyNumberFormat="true" numFmtId="2" fillId="22" applyFill="true">
      <alignment horizontal="center" vertical="center"/>
    </xf>
    <xf fontId="21985" applyFont="true" borderId="8" applyBorder="true" applyNumberFormat="true" numFmtId="2" fillId="22" applyFill="true">
      <alignment horizontal="center" vertical="center"/>
    </xf>
    <xf fontId="21986" applyFont="true" borderId="8" applyBorder="true" applyNumberFormat="true" numFmtId="2" fillId="22" applyFill="true">
      <alignment horizontal="center" vertical="center"/>
    </xf>
    <xf fontId="21987" applyFont="true" borderId="8" applyBorder="true" applyNumberFormat="true" numFmtId="2" fillId="22" applyFill="true">
      <alignment horizontal="center" vertical="center"/>
    </xf>
    <xf fontId="21988" applyFont="true" borderId="8" applyBorder="true" applyNumberFormat="true" numFmtId="2" fillId="22" applyFill="true">
      <alignment horizontal="center" vertical="center"/>
    </xf>
    <xf fontId="21989" applyFont="true" borderId="8" applyBorder="true" applyNumberFormat="true" numFmtId="2" fillId="22" applyFill="true">
      <alignment horizontal="center" vertical="center"/>
    </xf>
    <xf fontId="21990" applyFont="true" borderId="8" applyBorder="true" applyNumberFormat="true" numFmtId="2" fillId="22" applyFill="true">
      <alignment horizontal="center" vertical="center"/>
    </xf>
    <xf fontId="21991" applyFont="true" borderId="8" applyBorder="true" applyNumberFormat="true" numFmtId="2" fillId="22" applyFill="true">
      <alignment horizontal="center" vertical="center"/>
    </xf>
    <xf fontId="21992" applyFont="true" borderId="8" applyBorder="true" applyNumberFormat="true" numFmtId="2" fillId="22" applyFill="true">
      <alignment horizontal="center" vertical="center"/>
    </xf>
    <xf fontId="21993" applyFont="true" borderId="8" applyBorder="true" applyNumberFormat="true" numFmtId="2" fillId="22" applyFill="true">
      <alignment horizontal="center" vertical="center"/>
    </xf>
    <xf fontId="21994" applyFont="true" borderId="8" applyBorder="true" applyNumberFormat="true" numFmtId="2" fillId="22" applyFill="true">
      <alignment horizontal="center" vertical="center"/>
    </xf>
    <xf fontId="21995" applyFont="true" borderId="8" applyBorder="true" applyNumberFormat="true" numFmtId="2" fillId="22" applyFill="true">
      <alignment horizontal="center" vertical="center"/>
    </xf>
    <xf fontId="21996" applyFont="true" borderId="8" applyBorder="true" applyNumberFormat="true" numFmtId="2" fillId="22" applyFill="true">
      <alignment horizontal="center" vertical="center"/>
    </xf>
    <xf fontId="21997" applyFont="true" borderId="8" applyBorder="true" applyNumberFormat="true" numFmtId="2" fillId="22" applyFill="true">
      <alignment horizontal="center" vertical="center"/>
    </xf>
    <xf fontId="21998" applyFont="true" borderId="8" applyBorder="true" applyNumberFormat="true" numFmtId="2" fillId="22" applyFill="true">
      <alignment horizontal="center" vertical="center"/>
    </xf>
    <xf fontId="21999" applyFont="true" borderId="8" applyBorder="true" applyNumberFormat="true" numFmtId="165" fillId="19" applyFill="true">
      <alignment horizontal="left" vertical="center"/>
    </xf>
    <xf fontId="22000" applyFont="true" borderId="8" applyBorder="true" applyNumberFormat="true" numFmtId="165" fillId="22" applyFill="true">
      <alignment horizontal="center" vertical="center"/>
    </xf>
    <xf fontId="22001" applyFont="true" borderId="8" applyBorder="true" applyNumberFormat="true" numFmtId="166" fillId="22" applyFill="true">
      <alignment horizontal="center" vertical="center"/>
    </xf>
    <xf fontId="22002" applyFont="true" borderId="8" applyBorder="true" applyNumberFormat="true" numFmtId="1" fillId="22" applyFill="true">
      <alignment horizontal="center" vertical="center"/>
    </xf>
    <xf fontId="22003" applyFont="true" borderId="8" applyBorder="true" applyNumberFormat="true" numFmtId="1" fillId="22" applyFill="true">
      <alignment horizontal="center" vertical="center"/>
    </xf>
    <xf fontId="22004" applyFont="true" borderId="8" applyBorder="true" applyNumberFormat="true" numFmtId="1" fillId="22" applyFill="true">
      <alignment horizontal="center" vertical="center"/>
    </xf>
    <xf fontId="22005" applyFont="true" borderId="8" applyBorder="true" applyNumberFormat="true" numFmtId="1" fillId="22" applyFill="true">
      <alignment horizontal="center" vertical="center"/>
    </xf>
    <xf fontId="22006" applyFont="true" borderId="8" applyBorder="true" applyNumberFormat="true" numFmtId="1" fillId="22" applyFill="true">
      <alignment horizontal="center" vertical="center"/>
    </xf>
    <xf fontId="22007" applyFont="true" borderId="8" applyBorder="true" applyNumberFormat="true" numFmtId="1" fillId="22" applyFill="true">
      <alignment horizontal="center" vertical="center"/>
    </xf>
    <xf fontId="22008" applyFont="true" borderId="8" applyBorder="true" applyNumberFormat="true" numFmtId="1" fillId="22" applyFill="true">
      <alignment horizontal="center" vertical="center"/>
    </xf>
    <xf fontId="22009" applyFont="true" borderId="8" applyBorder="true" applyNumberFormat="true" numFmtId="165" fillId="22" applyFill="true">
      <alignment horizontal="center" vertical="center"/>
    </xf>
    <xf fontId="22010" applyFont="true" borderId="8" applyBorder="true" applyNumberFormat="true" numFmtId="165" fillId="22" applyFill="true">
      <alignment horizontal="center" vertical="center"/>
    </xf>
    <xf fontId="22011" applyFont="true" borderId="8" applyBorder="true" applyNumberFormat="true" numFmtId="1" fillId="22" applyFill="true">
      <alignment horizontal="center" vertical="center"/>
    </xf>
    <xf fontId="22012" applyFont="true" borderId="8" applyBorder="true" applyNumberFormat="true" numFmtId="1" fillId="22" applyFill="true">
      <alignment horizontal="center" vertical="center"/>
    </xf>
    <xf fontId="22013" applyFont="true" borderId="8" applyBorder="true" applyNumberFormat="true" numFmtId="1" fillId="22" applyFill="true">
      <alignment horizontal="center" vertical="center"/>
    </xf>
    <xf fontId="22014" applyFont="true" borderId="8" applyBorder="true" applyNumberFormat="true" numFmtId="167" fillId="22" applyFill="true">
      <alignment horizontal="center" vertical="center"/>
    </xf>
    <xf fontId="22015" applyFont="true" borderId="8" applyBorder="true" applyNumberFormat="true" numFmtId="1" fillId="22" applyFill="true">
      <alignment horizontal="center" vertical="center"/>
    </xf>
    <xf fontId="22016" applyFont="true" borderId="8" applyBorder="true" applyNumberFormat="true" numFmtId="167" fillId="22" applyFill="true">
      <alignment horizontal="center" vertical="center"/>
    </xf>
    <xf fontId="22017" applyFont="true" borderId="8" applyBorder="true" applyNumberFormat="true" numFmtId="1" fillId="22" applyFill="true">
      <alignment horizontal="center" vertical="center"/>
    </xf>
    <xf fontId="22018" applyFont="true" borderId="8" applyBorder="true" applyNumberFormat="true" numFmtId="167" fillId="22" applyFill="true">
      <alignment horizontal="center" vertical="center"/>
    </xf>
    <xf fontId="22019" applyFont="true" borderId="8" applyBorder="true" applyNumberFormat="true" numFmtId="1" fillId="22" applyFill="true">
      <alignment horizontal="center" vertical="center"/>
    </xf>
    <xf fontId="22020" applyFont="true" borderId="8" applyBorder="true" applyNumberFormat="true" numFmtId="167" fillId="22" applyFill="true">
      <alignment horizontal="center" vertical="center"/>
    </xf>
    <xf fontId="22021" applyFont="true" borderId="8" applyBorder="true" applyNumberFormat="true" numFmtId="167" fillId="22" applyFill="true">
      <alignment horizontal="center" vertical="center"/>
    </xf>
    <xf fontId="22022" applyFont="true" borderId="8" applyBorder="true" applyNumberFormat="true" numFmtId="1" fillId="22" applyFill="true">
      <alignment horizontal="center" vertical="center"/>
    </xf>
    <xf fontId="22023" applyFont="true" borderId="8" applyBorder="true" applyNumberFormat="true" numFmtId="1" fillId="22" applyFill="true">
      <alignment horizontal="center" vertical="center"/>
    </xf>
    <xf fontId="22024" applyFont="true" borderId="8" applyBorder="true" applyNumberFormat="true" numFmtId="1" fillId="22" applyFill="true">
      <alignment horizontal="center" vertical="center"/>
    </xf>
    <xf fontId="22025" applyFont="true" borderId="8" applyBorder="true" applyNumberFormat="true" numFmtId="167" fillId="22" applyFill="true">
      <alignment horizontal="center" vertical="center"/>
    </xf>
    <xf fontId="22026" applyFont="true" borderId="8" applyBorder="true" applyNumberFormat="true" numFmtId="166" fillId="22" applyFill="true">
      <alignment horizontal="center" vertical="center"/>
    </xf>
    <xf fontId="22027" applyFont="true" borderId="8" applyBorder="true" applyNumberFormat="true" numFmtId="166" fillId="22" applyFill="true">
      <alignment horizontal="center" vertical="center"/>
    </xf>
    <xf fontId="22028" applyFont="true" borderId="8" applyBorder="true" applyNumberFormat="true" numFmtId="1" fillId="22" applyFill="true">
      <alignment horizontal="center" vertical="center"/>
    </xf>
    <xf fontId="22029" applyFont="true" borderId="8" applyBorder="true" applyNumberFormat="true" numFmtId="1" fillId="22" applyFill="true">
      <alignment horizontal="center" vertical="center"/>
    </xf>
    <xf fontId="22030" applyFont="true" borderId="8" applyBorder="true" applyNumberFormat="true" numFmtId="1" fillId="22" applyFill="true">
      <alignment horizontal="center" vertical="center"/>
    </xf>
    <xf fontId="22031" applyFont="true" borderId="8" applyBorder="true" applyNumberFormat="true" numFmtId="167" fillId="22" applyFill="true">
      <alignment horizontal="center" vertical="center"/>
    </xf>
    <xf fontId="22032" applyFont="true" borderId="8" applyBorder="true" applyNumberFormat="true" numFmtId="1" fillId="22" applyFill="true">
      <alignment horizontal="center" vertical="center"/>
    </xf>
    <xf fontId="22033" applyFont="true" borderId="8" applyBorder="true" applyNumberFormat="true" numFmtId="167" fillId="22" applyFill="true">
      <alignment horizontal="center" vertical="center"/>
    </xf>
    <xf fontId="22034" applyFont="true" borderId="8" applyBorder="true" applyNumberFormat="true" numFmtId="1" fillId="22" applyFill="true">
      <alignment horizontal="center" vertical="center"/>
    </xf>
    <xf fontId="22035" applyFont="true" borderId="8" applyBorder="true" applyNumberFormat="true" numFmtId="1" fillId="22" applyFill="true">
      <alignment horizontal="center" vertical="center"/>
    </xf>
    <xf fontId="22036" applyFont="true" borderId="8" applyBorder="true" applyNumberFormat="true" numFmtId="1" fillId="22" applyFill="true">
      <alignment horizontal="center" vertical="center"/>
    </xf>
    <xf fontId="22037" applyFont="true" borderId="8" applyBorder="true" applyNumberFormat="true" numFmtId="1" fillId="22" applyFill="true">
      <alignment horizontal="center" vertical="center"/>
    </xf>
    <xf fontId="22038" applyFont="true" borderId="8" applyBorder="true" applyNumberFormat="true" numFmtId="167" fillId="22" applyFill="true">
      <alignment horizontal="center" vertical="center"/>
    </xf>
    <xf fontId="22039" applyFont="true" borderId="8" applyBorder="true" applyNumberFormat="true" numFmtId="1" fillId="22" applyFill="true">
      <alignment horizontal="center" vertical="center"/>
    </xf>
    <xf fontId="22040" applyFont="true" borderId="8" applyBorder="true" applyNumberFormat="true" numFmtId="167" fillId="22" applyFill="true">
      <alignment horizontal="center" vertical="center"/>
    </xf>
    <xf fontId="22041" applyFont="true" borderId="8" applyBorder="true" applyNumberFormat="true" numFmtId="1" fillId="22" applyFill="true">
      <alignment horizontal="center" vertical="center"/>
    </xf>
    <xf fontId="22042" applyFont="true" borderId="8" applyBorder="true" applyNumberFormat="true" numFmtId="167" fillId="22" applyFill="true">
      <alignment horizontal="center" vertical="center"/>
    </xf>
    <xf fontId="22043" applyFont="true" borderId="8" applyBorder="true" applyNumberFormat="true" numFmtId="2" fillId="22" applyFill="true">
      <alignment horizontal="center" vertical="center"/>
    </xf>
    <xf fontId="22044" applyFont="true" borderId="8" applyBorder="true" applyNumberFormat="true" numFmtId="2" fillId="22" applyFill="true">
      <alignment horizontal="center" vertical="center"/>
    </xf>
    <xf fontId="22045" applyFont="true" borderId="8" applyBorder="true" applyNumberFormat="true" numFmtId="2" fillId="22" applyFill="true">
      <alignment horizontal="center" vertical="center"/>
    </xf>
    <xf fontId="22046" applyFont="true" borderId="8" applyBorder="true" applyNumberFormat="true" numFmtId="2" fillId="22" applyFill="true">
      <alignment horizontal="center" vertical="center"/>
    </xf>
    <xf fontId="22047" applyFont="true" borderId="8" applyBorder="true" applyNumberFormat="true" numFmtId="2" fillId="22" applyFill="true">
      <alignment horizontal="center" vertical="center"/>
    </xf>
    <xf fontId="22048" applyFont="true" borderId="8" applyBorder="true" applyNumberFormat="true" numFmtId="2" fillId="22" applyFill="true">
      <alignment horizontal="center" vertical="center"/>
    </xf>
    <xf fontId="22049" applyFont="true" borderId="8" applyBorder="true" applyNumberFormat="true" numFmtId="2" fillId="22" applyFill="true">
      <alignment horizontal="center" vertical="center"/>
    </xf>
    <xf fontId="22050" applyFont="true" borderId="8" applyBorder="true" applyNumberFormat="true" numFmtId="2" fillId="22" applyFill="true">
      <alignment horizontal="center" vertical="center"/>
    </xf>
    <xf fontId="22051" applyFont="true" borderId="8" applyBorder="true" applyNumberFormat="true" numFmtId="2" fillId="22" applyFill="true">
      <alignment horizontal="center" vertical="center"/>
    </xf>
    <xf fontId="22052" applyFont="true" borderId="8" applyBorder="true" applyNumberFormat="true" numFmtId="2" fillId="22" applyFill="true">
      <alignment horizontal="center" vertical="center"/>
    </xf>
    <xf fontId="22053" applyFont="true" borderId="8" applyBorder="true" applyNumberFormat="true" numFmtId="2" fillId="22" applyFill="true">
      <alignment horizontal="center" vertical="center"/>
    </xf>
    <xf fontId="22054" applyFont="true" borderId="8" applyBorder="true" applyNumberFormat="true" numFmtId="2" fillId="22" applyFill="true">
      <alignment horizontal="center" vertical="center"/>
    </xf>
    <xf fontId="22055" applyFont="true" borderId="8" applyBorder="true" applyNumberFormat="true" numFmtId="2" fillId="22" applyFill="true">
      <alignment horizontal="center" vertical="center"/>
    </xf>
    <xf fontId="22056" applyFont="true" borderId="8" applyBorder="true" applyNumberFormat="true" numFmtId="2" fillId="22" applyFill="true">
      <alignment horizontal="center" vertical="center"/>
    </xf>
    <xf fontId="22057" applyFont="true" borderId="8" applyBorder="true" applyNumberFormat="true" numFmtId="2" fillId="22" applyFill="true">
      <alignment horizontal="center" vertical="center"/>
    </xf>
    <xf fontId="22058" applyFont="true" borderId="8" applyBorder="true" applyNumberFormat="true" numFmtId="2" fillId="22" applyFill="true">
      <alignment horizontal="center" vertical="center"/>
    </xf>
    <xf fontId="22059" applyFont="true" borderId="8" applyBorder="true" applyNumberFormat="true" numFmtId="2" fillId="22" applyFill="true">
      <alignment horizontal="center" vertical="center"/>
    </xf>
    <xf fontId="22060" applyFont="true" borderId="8" applyBorder="true" applyNumberFormat="true" numFmtId="2" fillId="22" applyFill="true">
      <alignment horizontal="center" vertical="center"/>
    </xf>
    <xf fontId="22061" applyFont="true" borderId="8" applyBorder="true" applyNumberFormat="true" numFmtId="2" fillId="22" applyFill="true">
      <alignment horizontal="center" vertical="center"/>
    </xf>
    <xf fontId="22062" applyFont="true" borderId="8" applyBorder="true" applyNumberFormat="true" numFmtId="2" fillId="22" applyFill="true">
      <alignment horizontal="center" vertical="center"/>
    </xf>
    <xf fontId="22063" applyFont="true" borderId="8" applyBorder="true" applyNumberFormat="true" numFmtId="2" fillId="22" applyFill="true">
      <alignment horizontal="center" vertical="center"/>
    </xf>
    <xf fontId="22064" applyFont="true" borderId="8" applyBorder="true" applyNumberFormat="true" numFmtId="2" fillId="22" applyFill="true">
      <alignment horizontal="center" vertical="center"/>
    </xf>
    <xf fontId="22065" applyFont="true" borderId="8" applyBorder="true" applyNumberFormat="true" numFmtId="2" fillId="22" applyFill="true">
      <alignment horizontal="center" vertical="center"/>
    </xf>
    <xf fontId="22066" applyFont="true" borderId="8" applyBorder="true" applyNumberFormat="true" numFmtId="2" fillId="22" applyFill="true">
      <alignment horizontal="center" vertical="center"/>
    </xf>
    <xf fontId="22067" applyFont="true" borderId="8" applyBorder="true" applyNumberFormat="true" numFmtId="2" fillId="22" applyFill="true">
      <alignment horizontal="center" vertical="center"/>
    </xf>
    <xf fontId="22068" applyFont="true" borderId="8" applyBorder="true" applyNumberFormat="true" numFmtId="2" fillId="22" applyFill="true">
      <alignment horizontal="center" vertical="center"/>
    </xf>
    <xf fontId="22069" applyFont="true" borderId="8" applyBorder="true" applyNumberFormat="true" numFmtId="2" fillId="22" applyFill="true">
      <alignment horizontal="center" vertical="center"/>
    </xf>
    <xf fontId="22070" applyFont="true" borderId="8" applyBorder="true" applyNumberFormat="true" numFmtId="2" fillId="22" applyFill="true">
      <alignment horizontal="center" vertical="center"/>
    </xf>
    <xf fontId="22071" applyFont="true" borderId="8" applyBorder="true" applyNumberFormat="true" numFmtId="2" fillId="22" applyFill="true">
      <alignment horizontal="center" vertical="center"/>
    </xf>
    <xf fontId="22072" applyFont="true" borderId="8" applyBorder="true" applyNumberFormat="true" numFmtId="2" fillId="22" applyFill="true">
      <alignment horizontal="center" vertical="center"/>
    </xf>
    <xf fontId="22073" applyFont="true" borderId="8" applyBorder="true" applyNumberFormat="true" numFmtId="2" fillId="22" applyFill="true">
      <alignment horizontal="center" vertical="center"/>
    </xf>
    <xf fontId="22074" applyFont="true" borderId="8" applyBorder="true" applyNumberFormat="true" numFmtId="2" fillId="22" applyFill="true">
      <alignment horizontal="center" vertical="center"/>
    </xf>
    <xf fontId="22075" applyFont="true" borderId="8" applyBorder="true" applyNumberFormat="true" numFmtId="2" fillId="22" applyFill="true">
      <alignment horizontal="center" vertical="center"/>
    </xf>
    <xf fontId="22076" applyFont="true" borderId="8" applyBorder="true" applyNumberFormat="true" numFmtId="2" fillId="22" applyFill="true">
      <alignment horizontal="center" vertical="center"/>
    </xf>
    <xf fontId="22077" applyFont="true" borderId="8" applyBorder="true" applyNumberFormat="true" numFmtId="165" fillId="19" applyFill="true">
      <alignment horizontal="left" vertical="center"/>
    </xf>
    <xf fontId="22078" applyFont="true" borderId="8" applyBorder="true" applyNumberFormat="true" numFmtId="165" fillId="22" applyFill="true">
      <alignment horizontal="center" vertical="center"/>
    </xf>
    <xf fontId="22079" applyFont="true" borderId="8" applyBorder="true" applyNumberFormat="true" numFmtId="166" fillId="22" applyFill="true">
      <alignment horizontal="center" vertical="center"/>
    </xf>
    <xf fontId="22080" applyFont="true" borderId="8" applyBorder="true" applyNumberFormat="true" numFmtId="1" fillId="22" applyFill="true">
      <alignment horizontal="center" vertical="center"/>
    </xf>
    <xf fontId="22081" applyFont="true" borderId="8" applyBorder="true" applyNumberFormat="true" numFmtId="1" fillId="22" applyFill="true">
      <alignment horizontal="center" vertical="center"/>
    </xf>
    <xf fontId="22082" applyFont="true" borderId="8" applyBorder="true" applyNumberFormat="true" numFmtId="1" fillId="22" applyFill="true">
      <alignment horizontal="center" vertical="center"/>
    </xf>
    <xf fontId="22083" applyFont="true" borderId="8" applyBorder="true" applyNumberFormat="true" numFmtId="1" fillId="22" applyFill="true">
      <alignment horizontal="center" vertical="center"/>
    </xf>
    <xf fontId="22084" applyFont="true" borderId="8" applyBorder="true" applyNumberFormat="true" numFmtId="1" fillId="22" applyFill="true">
      <alignment horizontal="center" vertical="center"/>
    </xf>
    <xf fontId="22085" applyFont="true" borderId="8" applyBorder="true" applyNumberFormat="true" numFmtId="1" fillId="22" applyFill="true">
      <alignment horizontal="center" vertical="center"/>
    </xf>
    <xf fontId="22086" applyFont="true" borderId="8" applyBorder="true" applyNumberFormat="true" numFmtId="1" fillId="22" applyFill="true">
      <alignment horizontal="center" vertical="center"/>
    </xf>
    <xf fontId="22087" applyFont="true" borderId="8" applyBorder="true" applyNumberFormat="true" numFmtId="165" fillId="22" applyFill="true">
      <alignment horizontal="center" vertical="center"/>
    </xf>
    <xf fontId="22088" applyFont="true" borderId="8" applyBorder="true" applyNumberFormat="true" numFmtId="165" fillId="22" applyFill="true">
      <alignment horizontal="center" vertical="center"/>
    </xf>
    <xf fontId="22089" applyFont="true" borderId="8" applyBorder="true" applyNumberFormat="true" numFmtId="1" fillId="22" applyFill="true">
      <alignment horizontal="center" vertical="center"/>
    </xf>
    <xf fontId="22090" applyFont="true" borderId="8" applyBorder="true" applyNumberFormat="true" numFmtId="1" fillId="22" applyFill="true">
      <alignment horizontal="center" vertical="center"/>
    </xf>
    <xf fontId="22091" applyFont="true" borderId="8" applyBorder="true" applyNumberFormat="true" numFmtId="1" fillId="22" applyFill="true">
      <alignment horizontal="center" vertical="center"/>
    </xf>
    <xf fontId="22092" applyFont="true" borderId="8" applyBorder="true" applyNumberFormat="true" numFmtId="167" fillId="22" applyFill="true">
      <alignment horizontal="center" vertical="center"/>
    </xf>
    <xf fontId="22093" applyFont="true" borderId="8" applyBorder="true" applyNumberFormat="true" numFmtId="1" fillId="22" applyFill="true">
      <alignment horizontal="center" vertical="center"/>
    </xf>
    <xf fontId="22094" applyFont="true" borderId="8" applyBorder="true" applyNumberFormat="true" numFmtId="167" fillId="22" applyFill="true">
      <alignment horizontal="center" vertical="center"/>
    </xf>
    <xf fontId="22095" applyFont="true" borderId="8" applyBorder="true" applyNumberFormat="true" numFmtId="1" fillId="22" applyFill="true">
      <alignment horizontal="center" vertical="center"/>
    </xf>
    <xf fontId="22096" applyFont="true" borderId="8" applyBorder="true" applyNumberFormat="true" numFmtId="167" fillId="22" applyFill="true">
      <alignment horizontal="center" vertical="center"/>
    </xf>
    <xf fontId="22097" applyFont="true" borderId="8" applyBorder="true" applyNumberFormat="true" numFmtId="1" fillId="22" applyFill="true">
      <alignment horizontal="center" vertical="center"/>
    </xf>
    <xf fontId="22098" applyFont="true" borderId="8" applyBorder="true" applyNumberFormat="true" numFmtId="167" fillId="22" applyFill="true">
      <alignment horizontal="center" vertical="center"/>
    </xf>
    <xf fontId="22099" applyFont="true" borderId="8" applyBorder="true" applyNumberFormat="true" numFmtId="167" fillId="22" applyFill="true">
      <alignment horizontal="center" vertical="center"/>
    </xf>
    <xf fontId="22100" applyFont="true" borderId="8" applyBorder="true" applyNumberFormat="true" numFmtId="1" fillId="22" applyFill="true">
      <alignment horizontal="center" vertical="center"/>
    </xf>
    <xf fontId="22101" applyFont="true" borderId="8" applyBorder="true" applyNumberFormat="true" numFmtId="1" fillId="22" applyFill="true">
      <alignment horizontal="center" vertical="center"/>
    </xf>
    <xf fontId="22102" applyFont="true" borderId="8" applyBorder="true" applyNumberFormat="true" numFmtId="1" fillId="22" applyFill="true">
      <alignment horizontal="center" vertical="center"/>
    </xf>
    <xf fontId="22103" applyFont="true" borderId="8" applyBorder="true" applyNumberFormat="true" numFmtId="167" fillId="22" applyFill="true">
      <alignment horizontal="center" vertical="center"/>
    </xf>
    <xf fontId="22104" applyFont="true" borderId="8" applyBorder="true" applyNumberFormat="true" numFmtId="166" fillId="22" applyFill="true">
      <alignment horizontal="center" vertical="center"/>
    </xf>
    <xf fontId="22105" applyFont="true" borderId="8" applyBorder="true" applyNumberFormat="true" numFmtId="166" fillId="22" applyFill="true">
      <alignment horizontal="center" vertical="center"/>
    </xf>
    <xf fontId="22106" applyFont="true" borderId="8" applyBorder="true" applyNumberFormat="true" numFmtId="1" fillId="22" applyFill="true">
      <alignment horizontal="center" vertical="center"/>
    </xf>
    <xf fontId="22107" applyFont="true" borderId="8" applyBorder="true" applyNumberFormat="true" numFmtId="1" fillId="22" applyFill="true">
      <alignment horizontal="center" vertical="center"/>
    </xf>
    <xf fontId="22108" applyFont="true" borderId="8" applyBorder="true" applyNumberFormat="true" numFmtId="1" fillId="22" applyFill="true">
      <alignment horizontal="center" vertical="center"/>
    </xf>
    <xf fontId="22109" applyFont="true" borderId="8" applyBorder="true" applyNumberFormat="true" numFmtId="167" fillId="22" applyFill="true">
      <alignment horizontal="center" vertical="center"/>
    </xf>
    <xf fontId="22110" applyFont="true" borderId="8" applyBorder="true" applyNumberFormat="true" numFmtId="1" fillId="22" applyFill="true">
      <alignment horizontal="center" vertical="center"/>
    </xf>
    <xf fontId="22111" applyFont="true" borderId="8" applyBorder="true" applyNumberFormat="true" numFmtId="167" fillId="22" applyFill="true">
      <alignment horizontal="center" vertical="center"/>
    </xf>
    <xf fontId="22112" applyFont="true" borderId="8" applyBorder="true" applyNumberFormat="true" numFmtId="1" fillId="22" applyFill="true">
      <alignment horizontal="center" vertical="center"/>
    </xf>
    <xf fontId="22113" applyFont="true" borderId="8" applyBorder="true" applyNumberFormat="true" numFmtId="1" fillId="22" applyFill="true">
      <alignment horizontal="center" vertical="center"/>
    </xf>
    <xf fontId="22114" applyFont="true" borderId="8" applyBorder="true" applyNumberFormat="true" numFmtId="1" fillId="22" applyFill="true">
      <alignment horizontal="center" vertical="center"/>
    </xf>
    <xf fontId="22115" applyFont="true" borderId="8" applyBorder="true" applyNumberFormat="true" numFmtId="1" fillId="22" applyFill="true">
      <alignment horizontal="center" vertical="center"/>
    </xf>
    <xf fontId="22116" applyFont="true" borderId="8" applyBorder="true" applyNumberFormat="true" numFmtId="167" fillId="22" applyFill="true">
      <alignment horizontal="center" vertical="center"/>
    </xf>
    <xf fontId="22117" applyFont="true" borderId="8" applyBorder="true" applyNumberFormat="true" numFmtId="1" fillId="22" applyFill="true">
      <alignment horizontal="center" vertical="center"/>
    </xf>
    <xf fontId="22118" applyFont="true" borderId="8" applyBorder="true" applyNumberFormat="true" numFmtId="167" fillId="22" applyFill="true">
      <alignment horizontal="center" vertical="center"/>
    </xf>
    <xf fontId="22119" applyFont="true" borderId="8" applyBorder="true" applyNumberFormat="true" numFmtId="1" fillId="22" applyFill="true">
      <alignment horizontal="center" vertical="center"/>
    </xf>
    <xf fontId="22120" applyFont="true" borderId="8" applyBorder="true" applyNumberFormat="true" numFmtId="167" fillId="22" applyFill="true">
      <alignment horizontal="center" vertical="center"/>
    </xf>
    <xf fontId="22121" applyFont="true" borderId="8" applyBorder="true" applyNumberFormat="true" numFmtId="2" fillId="22" applyFill="true">
      <alignment horizontal="center" vertical="center"/>
    </xf>
    <xf fontId="22122" applyFont="true" borderId="8" applyBorder="true" applyNumberFormat="true" numFmtId="2" fillId="22" applyFill="true">
      <alignment horizontal="center" vertical="center"/>
    </xf>
    <xf fontId="22123" applyFont="true" borderId="8" applyBorder="true" applyNumberFormat="true" numFmtId="2" fillId="22" applyFill="true">
      <alignment horizontal="center" vertical="center"/>
    </xf>
    <xf fontId="22124" applyFont="true" borderId="8" applyBorder="true" applyNumberFormat="true" numFmtId="2" fillId="22" applyFill="true">
      <alignment horizontal="center" vertical="center"/>
    </xf>
    <xf fontId="22125" applyFont="true" borderId="8" applyBorder="true" applyNumberFormat="true" numFmtId="2" fillId="22" applyFill="true">
      <alignment horizontal="center" vertical="center"/>
    </xf>
    <xf fontId="22126" applyFont="true" borderId="8" applyBorder="true" applyNumberFormat="true" numFmtId="2" fillId="22" applyFill="true">
      <alignment horizontal="center" vertical="center"/>
    </xf>
    <xf fontId="22127" applyFont="true" borderId="8" applyBorder="true" applyNumberFormat="true" numFmtId="2" fillId="22" applyFill="true">
      <alignment horizontal="center" vertical="center"/>
    </xf>
    <xf fontId="22128" applyFont="true" borderId="8" applyBorder="true" applyNumberFormat="true" numFmtId="2" fillId="22" applyFill="true">
      <alignment horizontal="center" vertical="center"/>
    </xf>
    <xf fontId="22129" applyFont="true" borderId="8" applyBorder="true" applyNumberFormat="true" numFmtId="2" fillId="22" applyFill="true">
      <alignment horizontal="center" vertical="center"/>
    </xf>
    <xf fontId="22130" applyFont="true" borderId="8" applyBorder="true" applyNumberFormat="true" numFmtId="2" fillId="22" applyFill="true">
      <alignment horizontal="center" vertical="center"/>
    </xf>
    <xf fontId="22131" applyFont="true" borderId="8" applyBorder="true" applyNumberFormat="true" numFmtId="2" fillId="22" applyFill="true">
      <alignment horizontal="center" vertical="center"/>
    </xf>
    <xf fontId="22132" applyFont="true" borderId="8" applyBorder="true" applyNumberFormat="true" numFmtId="2" fillId="22" applyFill="true">
      <alignment horizontal="center" vertical="center"/>
    </xf>
    <xf fontId="22133" applyFont="true" borderId="8" applyBorder="true" applyNumberFormat="true" numFmtId="2" fillId="22" applyFill="true">
      <alignment horizontal="center" vertical="center"/>
    </xf>
    <xf fontId="22134" applyFont="true" borderId="8" applyBorder="true" applyNumberFormat="true" numFmtId="2" fillId="22" applyFill="true">
      <alignment horizontal="center" vertical="center"/>
    </xf>
    <xf fontId="22135" applyFont="true" borderId="8" applyBorder="true" applyNumberFormat="true" numFmtId="2" fillId="22" applyFill="true">
      <alignment horizontal="center" vertical="center"/>
    </xf>
    <xf fontId="22136" applyFont="true" borderId="8" applyBorder="true" applyNumberFormat="true" numFmtId="2" fillId="22" applyFill="true">
      <alignment horizontal="center" vertical="center"/>
    </xf>
    <xf fontId="22137" applyFont="true" borderId="8" applyBorder="true" applyNumberFormat="true" numFmtId="2" fillId="22" applyFill="true">
      <alignment horizontal="center" vertical="center"/>
    </xf>
    <xf fontId="22138" applyFont="true" borderId="8" applyBorder="true" applyNumberFormat="true" numFmtId="2" fillId="22" applyFill="true">
      <alignment horizontal="center" vertical="center"/>
    </xf>
    <xf fontId="22139" applyFont="true" borderId="8" applyBorder="true" applyNumberFormat="true" numFmtId="2" fillId="22" applyFill="true">
      <alignment horizontal="center" vertical="center"/>
    </xf>
    <xf fontId="22140" applyFont="true" borderId="8" applyBorder="true" applyNumberFormat="true" numFmtId="2" fillId="22" applyFill="true">
      <alignment horizontal="center" vertical="center"/>
    </xf>
    <xf fontId="22141" applyFont="true" borderId="8" applyBorder="true" applyNumberFormat="true" numFmtId="2" fillId="22" applyFill="true">
      <alignment horizontal="center" vertical="center"/>
    </xf>
    <xf fontId="22142" applyFont="true" borderId="8" applyBorder="true" applyNumberFormat="true" numFmtId="2" fillId="22" applyFill="true">
      <alignment horizontal="center" vertical="center"/>
    </xf>
    <xf fontId="22143" applyFont="true" borderId="8" applyBorder="true" applyNumberFormat="true" numFmtId="2" fillId="22" applyFill="true">
      <alignment horizontal="center" vertical="center"/>
    </xf>
    <xf fontId="22144" applyFont="true" borderId="8" applyBorder="true" applyNumberFormat="true" numFmtId="2" fillId="22" applyFill="true">
      <alignment horizontal="center" vertical="center"/>
    </xf>
    <xf fontId="22145" applyFont="true" borderId="8" applyBorder="true" applyNumberFormat="true" numFmtId="2" fillId="22" applyFill="true">
      <alignment horizontal="center" vertical="center"/>
    </xf>
    <xf fontId="22146" applyFont="true" borderId="8" applyBorder="true" applyNumberFormat="true" numFmtId="2" fillId="22" applyFill="true">
      <alignment horizontal="center" vertical="center"/>
    </xf>
    <xf fontId="22147" applyFont="true" borderId="8" applyBorder="true" applyNumberFormat="true" numFmtId="2" fillId="22" applyFill="true">
      <alignment horizontal="center" vertical="center"/>
    </xf>
    <xf fontId="22148" applyFont="true" borderId="8" applyBorder="true" applyNumberFormat="true" numFmtId="2" fillId="22" applyFill="true">
      <alignment horizontal="center" vertical="center"/>
    </xf>
    <xf fontId="22149" applyFont="true" borderId="8" applyBorder="true" applyNumberFormat="true" numFmtId="2" fillId="22" applyFill="true">
      <alignment horizontal="center" vertical="center"/>
    </xf>
    <xf fontId="22150" applyFont="true" borderId="8" applyBorder="true" applyNumberFormat="true" numFmtId="2" fillId="22" applyFill="true">
      <alignment horizontal="center" vertical="center"/>
    </xf>
    <xf fontId="22151" applyFont="true" borderId="8" applyBorder="true" applyNumberFormat="true" numFmtId="2" fillId="22" applyFill="true">
      <alignment horizontal="center" vertical="center"/>
    </xf>
    <xf fontId="22152" applyFont="true" borderId="8" applyBorder="true" applyNumberFormat="true" numFmtId="2" fillId="22" applyFill="true">
      <alignment horizontal="center" vertical="center"/>
    </xf>
    <xf fontId="22153" applyFont="true" borderId="8" applyBorder="true" applyNumberFormat="true" numFmtId="2" fillId="22" applyFill="true">
      <alignment horizontal="center" vertical="center"/>
    </xf>
    <xf fontId="22154" applyFont="true" borderId="8" applyBorder="true" applyNumberFormat="true" numFmtId="2" fillId="22" applyFill="true">
      <alignment horizontal="center" vertical="center"/>
    </xf>
    <xf fontId="22155" applyFont="true" borderId="8" applyBorder="true" applyNumberFormat="true" numFmtId="165" fillId="19" applyFill="true">
      <alignment horizontal="left" vertical="center"/>
    </xf>
    <xf fontId="22156" applyFont="true" borderId="8" applyBorder="true" applyNumberFormat="true" numFmtId="165" fillId="22" applyFill="true">
      <alignment horizontal="center" vertical="center"/>
    </xf>
    <xf fontId="22157" applyFont="true" borderId="8" applyBorder="true" applyNumberFormat="true" numFmtId="166" fillId="22" applyFill="true">
      <alignment horizontal="center" vertical="center"/>
    </xf>
    <xf fontId="22158" applyFont="true" borderId="8" applyBorder="true" applyNumberFormat="true" numFmtId="1" fillId="22" applyFill="true">
      <alignment horizontal="center" vertical="center"/>
    </xf>
    <xf fontId="22159" applyFont="true" borderId="8" applyBorder="true" applyNumberFormat="true" numFmtId="1" fillId="22" applyFill="true">
      <alignment horizontal="center" vertical="center"/>
    </xf>
    <xf fontId="22160" applyFont="true" borderId="8" applyBorder="true" applyNumberFormat="true" numFmtId="1" fillId="22" applyFill="true">
      <alignment horizontal="center" vertical="center"/>
    </xf>
    <xf fontId="22161" applyFont="true" borderId="8" applyBorder="true" applyNumberFormat="true" numFmtId="1" fillId="22" applyFill="true">
      <alignment horizontal="center" vertical="center"/>
    </xf>
    <xf fontId="22162" applyFont="true" borderId="8" applyBorder="true" applyNumberFormat="true" numFmtId="1" fillId="22" applyFill="true">
      <alignment horizontal="center" vertical="center"/>
    </xf>
    <xf fontId="22163" applyFont="true" borderId="8" applyBorder="true" applyNumberFormat="true" numFmtId="1" fillId="22" applyFill="true">
      <alignment horizontal="center" vertical="center"/>
    </xf>
    <xf fontId="22164" applyFont="true" borderId="8" applyBorder="true" applyNumberFormat="true" numFmtId="1" fillId="22" applyFill="true">
      <alignment horizontal="center" vertical="center"/>
    </xf>
    <xf fontId="22165" applyFont="true" borderId="8" applyBorder="true" applyNumberFormat="true" numFmtId="165" fillId="22" applyFill="true">
      <alignment horizontal="center" vertical="center"/>
    </xf>
    <xf fontId="22166" applyFont="true" borderId="8" applyBorder="true" applyNumberFormat="true" numFmtId="165" fillId="22" applyFill="true">
      <alignment horizontal="center" vertical="center"/>
    </xf>
    <xf fontId="22167" applyFont="true" borderId="8" applyBorder="true" applyNumberFormat="true" numFmtId="1" fillId="22" applyFill="true">
      <alignment horizontal="center" vertical="center"/>
    </xf>
    <xf fontId="22168" applyFont="true" borderId="8" applyBorder="true" applyNumberFormat="true" numFmtId="1" fillId="22" applyFill="true">
      <alignment horizontal="center" vertical="center"/>
    </xf>
    <xf fontId="22169" applyFont="true" borderId="8" applyBorder="true" applyNumberFormat="true" numFmtId="1" fillId="22" applyFill="true">
      <alignment horizontal="center" vertical="center"/>
    </xf>
    <xf fontId="22170" applyFont="true" borderId="8" applyBorder="true" applyNumberFormat="true" numFmtId="167" fillId="22" applyFill="true">
      <alignment horizontal="center" vertical="center"/>
    </xf>
    <xf fontId="22171" applyFont="true" borderId="8" applyBorder="true" applyNumberFormat="true" numFmtId="1" fillId="22" applyFill="true">
      <alignment horizontal="center" vertical="center"/>
    </xf>
    <xf fontId="22172" applyFont="true" borderId="8" applyBorder="true" applyNumberFormat="true" numFmtId="167" fillId="22" applyFill="true">
      <alignment horizontal="center" vertical="center"/>
    </xf>
    <xf fontId="22173" applyFont="true" borderId="8" applyBorder="true" applyNumberFormat="true" numFmtId="1" fillId="22" applyFill="true">
      <alignment horizontal="center" vertical="center"/>
    </xf>
    <xf fontId="22174" applyFont="true" borderId="8" applyBorder="true" applyNumberFormat="true" numFmtId="167" fillId="22" applyFill="true">
      <alignment horizontal="center" vertical="center"/>
    </xf>
    <xf fontId="22175" applyFont="true" borderId="8" applyBorder="true" applyNumberFormat="true" numFmtId="1" fillId="22" applyFill="true">
      <alignment horizontal="center" vertical="center"/>
    </xf>
    <xf fontId="22176" applyFont="true" borderId="8" applyBorder="true" applyNumberFormat="true" numFmtId="167" fillId="22" applyFill="true">
      <alignment horizontal="center" vertical="center"/>
    </xf>
    <xf fontId="22177" applyFont="true" borderId="8" applyBorder="true" applyNumberFormat="true" numFmtId="167" fillId="22" applyFill="true">
      <alignment horizontal="center" vertical="center"/>
    </xf>
    <xf fontId="22178" applyFont="true" borderId="8" applyBorder="true" applyNumberFormat="true" numFmtId="1" fillId="22" applyFill="true">
      <alignment horizontal="center" vertical="center"/>
    </xf>
    <xf fontId="22179" applyFont="true" borderId="8" applyBorder="true" applyNumberFormat="true" numFmtId="1" fillId="22" applyFill="true">
      <alignment horizontal="center" vertical="center"/>
    </xf>
    <xf fontId="22180" applyFont="true" borderId="8" applyBorder="true" applyNumberFormat="true" numFmtId="1" fillId="22" applyFill="true">
      <alignment horizontal="center" vertical="center"/>
    </xf>
    <xf fontId="22181" applyFont="true" borderId="8" applyBorder="true" applyNumberFormat="true" numFmtId="167" fillId="22" applyFill="true">
      <alignment horizontal="center" vertical="center"/>
    </xf>
    <xf fontId="22182" applyFont="true" borderId="8" applyBorder="true" applyNumberFormat="true" numFmtId="166" fillId="22" applyFill="true">
      <alignment horizontal="center" vertical="center"/>
    </xf>
    <xf fontId="22183" applyFont="true" borderId="8" applyBorder="true" applyNumberFormat="true" numFmtId="166" fillId="22" applyFill="true">
      <alignment horizontal="center" vertical="center"/>
    </xf>
    <xf fontId="22184" applyFont="true" borderId="8" applyBorder="true" applyNumberFormat="true" numFmtId="1" fillId="22" applyFill="true">
      <alignment horizontal="center" vertical="center"/>
    </xf>
    <xf fontId="22185" applyFont="true" borderId="8" applyBorder="true" applyNumberFormat="true" numFmtId="1" fillId="22" applyFill="true">
      <alignment horizontal="center" vertical="center"/>
    </xf>
    <xf fontId="22186" applyFont="true" borderId="8" applyBorder="true" applyNumberFormat="true" numFmtId="1" fillId="22" applyFill="true">
      <alignment horizontal="center" vertical="center"/>
    </xf>
    <xf fontId="22187" applyFont="true" borderId="8" applyBorder="true" applyNumberFormat="true" numFmtId="167" fillId="22" applyFill="true">
      <alignment horizontal="center" vertical="center"/>
    </xf>
    <xf fontId="22188" applyFont="true" borderId="8" applyBorder="true" applyNumberFormat="true" numFmtId="1" fillId="22" applyFill="true">
      <alignment horizontal="center" vertical="center"/>
    </xf>
    <xf fontId="22189" applyFont="true" borderId="8" applyBorder="true" applyNumberFormat="true" numFmtId="167" fillId="22" applyFill="true">
      <alignment horizontal="center" vertical="center"/>
    </xf>
    <xf fontId="22190" applyFont="true" borderId="8" applyBorder="true" applyNumberFormat="true" numFmtId="1" fillId="22" applyFill="true">
      <alignment horizontal="center" vertical="center"/>
    </xf>
    <xf fontId="22191" applyFont="true" borderId="8" applyBorder="true" applyNumberFormat="true" numFmtId="1" fillId="22" applyFill="true">
      <alignment horizontal="center" vertical="center"/>
    </xf>
    <xf fontId="22192" applyFont="true" borderId="8" applyBorder="true" applyNumberFormat="true" numFmtId="1" fillId="22" applyFill="true">
      <alignment horizontal="center" vertical="center"/>
    </xf>
    <xf fontId="22193" applyFont="true" borderId="8" applyBorder="true" applyNumberFormat="true" numFmtId="1" fillId="22" applyFill="true">
      <alignment horizontal="center" vertical="center"/>
    </xf>
    <xf fontId="22194" applyFont="true" borderId="8" applyBorder="true" applyNumberFormat="true" numFmtId="167" fillId="22" applyFill="true">
      <alignment horizontal="center" vertical="center"/>
    </xf>
    <xf fontId="22195" applyFont="true" borderId="8" applyBorder="true" applyNumberFormat="true" numFmtId="1" fillId="22" applyFill="true">
      <alignment horizontal="center" vertical="center"/>
    </xf>
    <xf fontId="22196" applyFont="true" borderId="8" applyBorder="true" applyNumberFormat="true" numFmtId="167" fillId="22" applyFill="true">
      <alignment horizontal="center" vertical="center"/>
    </xf>
    <xf fontId="22197" applyFont="true" borderId="8" applyBorder="true" applyNumberFormat="true" numFmtId="1" fillId="22" applyFill="true">
      <alignment horizontal="center" vertical="center"/>
    </xf>
    <xf fontId="22198" applyFont="true" borderId="8" applyBorder="true" applyNumberFormat="true" numFmtId="167" fillId="22" applyFill="true">
      <alignment horizontal="center" vertical="center"/>
    </xf>
    <xf fontId="22199" applyFont="true" borderId="8" applyBorder="true" applyNumberFormat="true" numFmtId="2" fillId="22" applyFill="true">
      <alignment horizontal="center" vertical="center"/>
    </xf>
    <xf fontId="22200" applyFont="true" borderId="8" applyBorder="true" applyNumberFormat="true" numFmtId="2" fillId="22" applyFill="true">
      <alignment horizontal="center" vertical="center"/>
    </xf>
    <xf fontId="22201" applyFont="true" borderId="8" applyBorder="true" applyNumberFormat="true" numFmtId="2" fillId="22" applyFill="true">
      <alignment horizontal="center" vertical="center"/>
    </xf>
    <xf fontId="22202" applyFont="true" borderId="8" applyBorder="true" applyNumberFormat="true" numFmtId="2" fillId="22" applyFill="true">
      <alignment horizontal="center" vertical="center"/>
    </xf>
    <xf fontId="22203" applyFont="true" borderId="8" applyBorder="true" applyNumberFormat="true" numFmtId="2" fillId="22" applyFill="true">
      <alignment horizontal="center" vertical="center"/>
    </xf>
    <xf fontId="22204" applyFont="true" borderId="8" applyBorder="true" applyNumberFormat="true" numFmtId="2" fillId="22" applyFill="true">
      <alignment horizontal="center" vertical="center"/>
    </xf>
    <xf fontId="22205" applyFont="true" borderId="8" applyBorder="true" applyNumberFormat="true" numFmtId="2" fillId="22" applyFill="true">
      <alignment horizontal="center" vertical="center"/>
    </xf>
    <xf fontId="22206" applyFont="true" borderId="8" applyBorder="true" applyNumberFormat="true" numFmtId="2" fillId="22" applyFill="true">
      <alignment horizontal="center" vertical="center"/>
    </xf>
    <xf fontId="22207" applyFont="true" borderId="8" applyBorder="true" applyNumberFormat="true" numFmtId="2" fillId="22" applyFill="true">
      <alignment horizontal="center" vertical="center"/>
    </xf>
    <xf fontId="22208" applyFont="true" borderId="8" applyBorder="true" applyNumberFormat="true" numFmtId="2" fillId="22" applyFill="true">
      <alignment horizontal="center" vertical="center"/>
    </xf>
    <xf fontId="22209" applyFont="true" borderId="8" applyBorder="true" applyNumberFormat="true" numFmtId="2" fillId="22" applyFill="true">
      <alignment horizontal="center" vertical="center"/>
    </xf>
    <xf fontId="22210" applyFont="true" borderId="8" applyBorder="true" applyNumberFormat="true" numFmtId="2" fillId="22" applyFill="true">
      <alignment horizontal="center" vertical="center"/>
    </xf>
    <xf fontId="22211" applyFont="true" borderId="8" applyBorder="true" applyNumberFormat="true" numFmtId="2" fillId="22" applyFill="true">
      <alignment horizontal="center" vertical="center"/>
    </xf>
    <xf fontId="22212" applyFont="true" borderId="8" applyBorder="true" applyNumberFormat="true" numFmtId="2" fillId="22" applyFill="true">
      <alignment horizontal="center" vertical="center"/>
    </xf>
    <xf fontId="22213" applyFont="true" borderId="8" applyBorder="true" applyNumberFormat="true" numFmtId="2" fillId="22" applyFill="true">
      <alignment horizontal="center" vertical="center"/>
    </xf>
    <xf fontId="22214" applyFont="true" borderId="8" applyBorder="true" applyNumberFormat="true" numFmtId="2" fillId="22" applyFill="true">
      <alignment horizontal="center" vertical="center"/>
    </xf>
    <xf fontId="22215" applyFont="true" borderId="8" applyBorder="true" applyNumberFormat="true" numFmtId="2" fillId="22" applyFill="true">
      <alignment horizontal="center" vertical="center"/>
    </xf>
    <xf fontId="22216" applyFont="true" borderId="8" applyBorder="true" applyNumberFormat="true" numFmtId="2" fillId="22" applyFill="true">
      <alignment horizontal="center" vertical="center"/>
    </xf>
    <xf fontId="22217" applyFont="true" borderId="8" applyBorder="true" applyNumberFormat="true" numFmtId="2" fillId="22" applyFill="true">
      <alignment horizontal="center" vertical="center"/>
    </xf>
    <xf fontId="22218" applyFont="true" borderId="8" applyBorder="true" applyNumberFormat="true" numFmtId="2" fillId="22" applyFill="true">
      <alignment horizontal="center" vertical="center"/>
    </xf>
    <xf fontId="22219" applyFont="true" borderId="8" applyBorder="true" applyNumberFormat="true" numFmtId="2" fillId="22" applyFill="true">
      <alignment horizontal="center" vertical="center"/>
    </xf>
    <xf fontId="22220" applyFont="true" borderId="8" applyBorder="true" applyNumberFormat="true" numFmtId="2" fillId="22" applyFill="true">
      <alignment horizontal="center" vertical="center"/>
    </xf>
    <xf fontId="22221" applyFont="true" borderId="8" applyBorder="true" applyNumberFormat="true" numFmtId="2" fillId="22" applyFill="true">
      <alignment horizontal="center" vertical="center"/>
    </xf>
    <xf fontId="22222" applyFont="true" borderId="8" applyBorder="true" applyNumberFormat="true" numFmtId="2" fillId="22" applyFill="true">
      <alignment horizontal="center" vertical="center"/>
    </xf>
    <xf fontId="22223" applyFont="true" borderId="8" applyBorder="true" applyNumberFormat="true" numFmtId="2" fillId="22" applyFill="true">
      <alignment horizontal="center" vertical="center"/>
    </xf>
    <xf fontId="22224" applyFont="true" borderId="8" applyBorder="true" applyNumberFormat="true" numFmtId="2" fillId="22" applyFill="true">
      <alignment horizontal="center" vertical="center"/>
    </xf>
    <xf fontId="22225" applyFont="true" borderId="8" applyBorder="true" applyNumberFormat="true" numFmtId="2" fillId="22" applyFill="true">
      <alignment horizontal="center" vertical="center"/>
    </xf>
    <xf fontId="22226" applyFont="true" borderId="8" applyBorder="true" applyNumberFormat="true" numFmtId="2" fillId="22" applyFill="true">
      <alignment horizontal="center" vertical="center"/>
    </xf>
    <xf fontId="22227" applyFont="true" borderId="8" applyBorder="true" applyNumberFormat="true" numFmtId="2" fillId="22" applyFill="true">
      <alignment horizontal="center" vertical="center"/>
    </xf>
    <xf fontId="22228" applyFont="true" borderId="8" applyBorder="true" applyNumberFormat="true" numFmtId="2" fillId="22" applyFill="true">
      <alignment horizontal="center" vertical="center"/>
    </xf>
    <xf fontId="22229" applyFont="true" borderId="8" applyBorder="true" applyNumberFormat="true" numFmtId="2" fillId="22" applyFill="true">
      <alignment horizontal="center" vertical="center"/>
    </xf>
    <xf fontId="22230" applyFont="true" borderId="8" applyBorder="true" applyNumberFormat="true" numFmtId="2" fillId="22" applyFill="true">
      <alignment horizontal="center" vertical="center"/>
    </xf>
    <xf fontId="22231" applyFont="true" borderId="8" applyBorder="true" applyNumberFormat="true" numFmtId="2" fillId="22" applyFill="true">
      <alignment horizontal="center" vertical="center"/>
    </xf>
    <xf fontId="22232" applyFont="true" borderId="8" applyBorder="true" applyNumberFormat="true" numFmtId="2" fillId="22" applyFill="true">
      <alignment horizontal="center" vertical="center"/>
    </xf>
    <xf fontId="22233" applyFont="true" borderId="8" applyBorder="true" applyNumberFormat="true" numFmtId="165" fillId="19" applyFill="true">
      <alignment horizontal="left" vertical="center"/>
    </xf>
    <xf fontId="22234" applyFont="true" borderId="8" applyBorder="true" applyNumberFormat="true" numFmtId="165" fillId="22" applyFill="true">
      <alignment horizontal="center" vertical="center"/>
    </xf>
    <xf fontId="22235" applyFont="true" borderId="8" applyBorder="true" applyNumberFormat="true" numFmtId="166" fillId="22" applyFill="true">
      <alignment horizontal="center" vertical="center"/>
    </xf>
    <xf fontId="22236" applyFont="true" borderId="8" applyBorder="true" applyNumberFormat="true" numFmtId="1" fillId="22" applyFill="true">
      <alignment horizontal="center" vertical="center"/>
    </xf>
    <xf fontId="22237" applyFont="true" borderId="8" applyBorder="true" applyNumberFormat="true" numFmtId="1" fillId="22" applyFill="true">
      <alignment horizontal="center" vertical="center"/>
    </xf>
    <xf fontId="22238" applyFont="true" borderId="8" applyBorder="true" applyNumberFormat="true" numFmtId="1" fillId="22" applyFill="true">
      <alignment horizontal="center" vertical="center"/>
    </xf>
    <xf fontId="22239" applyFont="true" borderId="8" applyBorder="true" applyNumberFormat="true" numFmtId="1" fillId="22" applyFill="true">
      <alignment horizontal="center" vertical="center"/>
    </xf>
    <xf fontId="22240" applyFont="true" borderId="8" applyBorder="true" applyNumberFormat="true" numFmtId="1" fillId="22" applyFill="true">
      <alignment horizontal="center" vertical="center"/>
    </xf>
    <xf fontId="22241" applyFont="true" borderId="8" applyBorder="true" applyNumberFormat="true" numFmtId="1" fillId="22" applyFill="true">
      <alignment horizontal="center" vertical="center"/>
    </xf>
    <xf fontId="22242" applyFont="true" borderId="8" applyBorder="true" applyNumberFormat="true" numFmtId="1" fillId="22" applyFill="true">
      <alignment horizontal="center" vertical="center"/>
    </xf>
    <xf fontId="22243" applyFont="true" borderId="8" applyBorder="true" applyNumberFormat="true" numFmtId="165" fillId="22" applyFill="true">
      <alignment horizontal="center" vertical="center"/>
    </xf>
    <xf fontId="22244" applyFont="true" borderId="8" applyBorder="true" applyNumberFormat="true" numFmtId="165" fillId="22" applyFill="true">
      <alignment horizontal="center" vertical="center"/>
    </xf>
    <xf fontId="22245" applyFont="true" borderId="8" applyBorder="true" applyNumberFormat="true" numFmtId="1" fillId="22" applyFill="true">
      <alignment horizontal="center" vertical="center"/>
    </xf>
    <xf fontId="22246" applyFont="true" borderId="8" applyBorder="true" applyNumberFormat="true" numFmtId="1" fillId="22" applyFill="true">
      <alignment horizontal="center" vertical="center"/>
    </xf>
    <xf fontId="22247" applyFont="true" borderId="8" applyBorder="true" applyNumberFormat="true" numFmtId="1" fillId="22" applyFill="true">
      <alignment horizontal="center" vertical="center"/>
    </xf>
    <xf fontId="22248" applyFont="true" borderId="8" applyBorder="true" applyNumberFormat="true" numFmtId="167" fillId="22" applyFill="true">
      <alignment horizontal="center" vertical="center"/>
    </xf>
    <xf fontId="22249" applyFont="true" borderId="8" applyBorder="true" applyNumberFormat="true" numFmtId="1" fillId="22" applyFill="true">
      <alignment horizontal="center" vertical="center"/>
    </xf>
    <xf fontId="22250" applyFont="true" borderId="8" applyBorder="true" applyNumberFormat="true" numFmtId="167" fillId="22" applyFill="true">
      <alignment horizontal="center" vertical="center"/>
    </xf>
    <xf fontId="22251" applyFont="true" borderId="8" applyBorder="true" applyNumberFormat="true" numFmtId="1" fillId="22" applyFill="true">
      <alignment horizontal="center" vertical="center"/>
    </xf>
    <xf fontId="22252" applyFont="true" borderId="8" applyBorder="true" applyNumberFormat="true" numFmtId="167" fillId="22" applyFill="true">
      <alignment horizontal="center" vertical="center"/>
    </xf>
    <xf fontId="22253" applyFont="true" borderId="8" applyBorder="true" applyNumberFormat="true" numFmtId="1" fillId="22" applyFill="true">
      <alignment horizontal="center" vertical="center"/>
    </xf>
    <xf fontId="22254" applyFont="true" borderId="8" applyBorder="true" applyNumberFormat="true" numFmtId="167" fillId="22" applyFill="true">
      <alignment horizontal="center" vertical="center"/>
    </xf>
    <xf fontId="22255" applyFont="true" borderId="8" applyBorder="true" applyNumberFormat="true" numFmtId="167" fillId="22" applyFill="true">
      <alignment horizontal="center" vertical="center"/>
    </xf>
    <xf fontId="22256" applyFont="true" borderId="8" applyBorder="true" applyNumberFormat="true" numFmtId="1" fillId="22" applyFill="true">
      <alignment horizontal="center" vertical="center"/>
    </xf>
    <xf fontId="22257" applyFont="true" borderId="8" applyBorder="true" applyNumberFormat="true" numFmtId="1" fillId="22" applyFill="true">
      <alignment horizontal="center" vertical="center"/>
    </xf>
    <xf fontId="22258" applyFont="true" borderId="8" applyBorder="true" applyNumberFormat="true" numFmtId="1" fillId="22" applyFill="true">
      <alignment horizontal="center" vertical="center"/>
    </xf>
    <xf fontId="22259" applyFont="true" borderId="8" applyBorder="true" applyNumberFormat="true" numFmtId="167" fillId="22" applyFill="true">
      <alignment horizontal="center" vertical="center"/>
    </xf>
    <xf fontId="22260" applyFont="true" borderId="8" applyBorder="true" applyNumberFormat="true" numFmtId="166" fillId="22" applyFill="true">
      <alignment horizontal="center" vertical="center"/>
    </xf>
    <xf fontId="22261" applyFont="true" borderId="8" applyBorder="true" applyNumberFormat="true" numFmtId="166" fillId="22" applyFill="true">
      <alignment horizontal="center" vertical="center"/>
    </xf>
    <xf fontId="22262" applyFont="true" borderId="8" applyBorder="true" applyNumberFormat="true" numFmtId="1" fillId="22" applyFill="true">
      <alignment horizontal="center" vertical="center"/>
    </xf>
    <xf fontId="22263" applyFont="true" borderId="8" applyBorder="true" applyNumberFormat="true" numFmtId="1" fillId="22" applyFill="true">
      <alignment horizontal="center" vertical="center"/>
    </xf>
    <xf fontId="22264" applyFont="true" borderId="8" applyBorder="true" applyNumberFormat="true" numFmtId="1" fillId="22" applyFill="true">
      <alignment horizontal="center" vertical="center"/>
    </xf>
    <xf fontId="22265" applyFont="true" borderId="8" applyBorder="true" applyNumberFormat="true" numFmtId="167" fillId="22" applyFill="true">
      <alignment horizontal="center" vertical="center"/>
    </xf>
    <xf fontId="22266" applyFont="true" borderId="8" applyBorder="true" applyNumberFormat="true" numFmtId="1" fillId="22" applyFill="true">
      <alignment horizontal="center" vertical="center"/>
    </xf>
    <xf fontId="22267" applyFont="true" borderId="8" applyBorder="true" applyNumberFormat="true" numFmtId="167" fillId="22" applyFill="true">
      <alignment horizontal="center" vertical="center"/>
    </xf>
    <xf fontId="22268" applyFont="true" borderId="8" applyBorder="true" applyNumberFormat="true" numFmtId="1" fillId="22" applyFill="true">
      <alignment horizontal="center" vertical="center"/>
    </xf>
    <xf fontId="22269" applyFont="true" borderId="8" applyBorder="true" applyNumberFormat="true" numFmtId="1" fillId="22" applyFill="true">
      <alignment horizontal="center" vertical="center"/>
    </xf>
    <xf fontId="22270" applyFont="true" borderId="8" applyBorder="true" applyNumberFormat="true" numFmtId="1" fillId="22" applyFill="true">
      <alignment horizontal="center" vertical="center"/>
    </xf>
    <xf fontId="22271" applyFont="true" borderId="8" applyBorder="true" applyNumberFormat="true" numFmtId="1" fillId="22" applyFill="true">
      <alignment horizontal="center" vertical="center"/>
    </xf>
    <xf fontId="22272" applyFont="true" borderId="8" applyBorder="true" applyNumberFormat="true" numFmtId="167" fillId="22" applyFill="true">
      <alignment horizontal="center" vertical="center"/>
    </xf>
    <xf fontId="22273" applyFont="true" borderId="8" applyBorder="true" applyNumberFormat="true" numFmtId="1" fillId="22" applyFill="true">
      <alignment horizontal="center" vertical="center"/>
    </xf>
    <xf fontId="22274" applyFont="true" borderId="8" applyBorder="true" applyNumberFormat="true" numFmtId="167" fillId="22" applyFill="true">
      <alignment horizontal="center" vertical="center"/>
    </xf>
    <xf fontId="22275" applyFont="true" borderId="8" applyBorder="true" applyNumberFormat="true" numFmtId="1" fillId="22" applyFill="true">
      <alignment horizontal="center" vertical="center"/>
    </xf>
    <xf fontId="22276" applyFont="true" borderId="8" applyBorder="true" applyNumberFormat="true" numFmtId="167" fillId="22" applyFill="true">
      <alignment horizontal="center" vertical="center"/>
    </xf>
    <xf fontId="22277" applyFont="true" borderId="8" applyBorder="true" applyNumberFormat="true" numFmtId="2" fillId="22" applyFill="true">
      <alignment horizontal="center" vertical="center"/>
    </xf>
    <xf fontId="22278" applyFont="true" borderId="8" applyBorder="true" applyNumberFormat="true" numFmtId="2" fillId="22" applyFill="true">
      <alignment horizontal="center" vertical="center"/>
    </xf>
    <xf fontId="22279" applyFont="true" borderId="8" applyBorder="true" applyNumberFormat="true" numFmtId="2" fillId="22" applyFill="true">
      <alignment horizontal="center" vertical="center"/>
    </xf>
    <xf fontId="22280" applyFont="true" borderId="8" applyBorder="true" applyNumberFormat="true" numFmtId="2" fillId="22" applyFill="true">
      <alignment horizontal="center" vertical="center"/>
    </xf>
    <xf fontId="22281" applyFont="true" borderId="8" applyBorder="true" applyNumberFormat="true" numFmtId="2" fillId="22" applyFill="true">
      <alignment horizontal="center" vertical="center"/>
    </xf>
    <xf fontId="22282" applyFont="true" borderId="8" applyBorder="true" applyNumberFormat="true" numFmtId="2" fillId="22" applyFill="true">
      <alignment horizontal="center" vertical="center"/>
    </xf>
    <xf fontId="22283" applyFont="true" borderId="8" applyBorder="true" applyNumberFormat="true" numFmtId="2" fillId="22" applyFill="true">
      <alignment horizontal="center" vertical="center"/>
    </xf>
    <xf fontId="22284" applyFont="true" borderId="8" applyBorder="true" applyNumberFormat="true" numFmtId="2" fillId="22" applyFill="true">
      <alignment horizontal="center" vertical="center"/>
    </xf>
    <xf fontId="22285" applyFont="true" borderId="8" applyBorder="true" applyNumberFormat="true" numFmtId="2" fillId="22" applyFill="true">
      <alignment horizontal="center" vertical="center"/>
    </xf>
    <xf fontId="22286" applyFont="true" borderId="8" applyBorder="true" applyNumberFormat="true" numFmtId="2" fillId="22" applyFill="true">
      <alignment horizontal="center" vertical="center"/>
    </xf>
    <xf fontId="22287" applyFont="true" borderId="8" applyBorder="true" applyNumberFormat="true" numFmtId="2" fillId="22" applyFill="true">
      <alignment horizontal="center" vertical="center"/>
    </xf>
    <xf fontId="22288" applyFont="true" borderId="8" applyBorder="true" applyNumberFormat="true" numFmtId="2" fillId="22" applyFill="true">
      <alignment horizontal="center" vertical="center"/>
    </xf>
    <xf fontId="22289" applyFont="true" borderId="8" applyBorder="true" applyNumberFormat="true" numFmtId="2" fillId="22" applyFill="true">
      <alignment horizontal="center" vertical="center"/>
    </xf>
    <xf fontId="22290" applyFont="true" borderId="8" applyBorder="true" applyNumberFormat="true" numFmtId="2" fillId="22" applyFill="true">
      <alignment horizontal="center" vertical="center"/>
    </xf>
    <xf fontId="22291" applyFont="true" borderId="8" applyBorder="true" applyNumberFormat="true" numFmtId="2" fillId="22" applyFill="true">
      <alignment horizontal="center" vertical="center"/>
    </xf>
    <xf fontId="22292" applyFont="true" borderId="8" applyBorder="true" applyNumberFormat="true" numFmtId="2" fillId="22" applyFill="true">
      <alignment horizontal="center" vertical="center"/>
    </xf>
    <xf fontId="22293" applyFont="true" borderId="8" applyBorder="true" applyNumberFormat="true" numFmtId="2" fillId="22" applyFill="true">
      <alignment horizontal="center" vertical="center"/>
    </xf>
    <xf fontId="22294" applyFont="true" borderId="8" applyBorder="true" applyNumberFormat="true" numFmtId="2" fillId="22" applyFill="true">
      <alignment horizontal="center" vertical="center"/>
    </xf>
    <xf fontId="22295" applyFont="true" borderId="8" applyBorder="true" applyNumberFormat="true" numFmtId="2" fillId="22" applyFill="true">
      <alignment horizontal="center" vertical="center"/>
    </xf>
    <xf fontId="22296" applyFont="true" borderId="8" applyBorder="true" applyNumberFormat="true" numFmtId="2" fillId="22" applyFill="true">
      <alignment horizontal="center" vertical="center"/>
    </xf>
    <xf fontId="22297" applyFont="true" borderId="8" applyBorder="true" applyNumberFormat="true" numFmtId="2" fillId="22" applyFill="true">
      <alignment horizontal="center" vertical="center"/>
    </xf>
    <xf fontId="22298" applyFont="true" borderId="8" applyBorder="true" applyNumberFormat="true" numFmtId="2" fillId="22" applyFill="true">
      <alignment horizontal="center" vertical="center"/>
    </xf>
    <xf fontId="22299" applyFont="true" borderId="8" applyBorder="true" applyNumberFormat="true" numFmtId="2" fillId="22" applyFill="true">
      <alignment horizontal="center" vertical="center"/>
    </xf>
    <xf fontId="22300" applyFont="true" borderId="8" applyBorder="true" applyNumberFormat="true" numFmtId="2" fillId="22" applyFill="true">
      <alignment horizontal="center" vertical="center"/>
    </xf>
    <xf fontId="22301" applyFont="true" borderId="8" applyBorder="true" applyNumberFormat="true" numFmtId="2" fillId="22" applyFill="true">
      <alignment horizontal="center" vertical="center"/>
    </xf>
    <xf fontId="22302" applyFont="true" borderId="8" applyBorder="true" applyNumberFormat="true" numFmtId="2" fillId="22" applyFill="true">
      <alignment horizontal="center" vertical="center"/>
    </xf>
    <xf fontId="22303" applyFont="true" borderId="8" applyBorder="true" applyNumberFormat="true" numFmtId="2" fillId="22" applyFill="true">
      <alignment horizontal="center" vertical="center"/>
    </xf>
    <xf fontId="22304" applyFont="true" borderId="8" applyBorder="true" applyNumberFormat="true" numFmtId="2" fillId="22" applyFill="true">
      <alignment horizontal="center" vertical="center"/>
    </xf>
    <xf fontId="22305" applyFont="true" borderId="8" applyBorder="true" applyNumberFormat="true" numFmtId="2" fillId="22" applyFill="true">
      <alignment horizontal="center" vertical="center"/>
    </xf>
    <xf fontId="22306" applyFont="true" borderId="8" applyBorder="true" applyNumberFormat="true" numFmtId="2" fillId="22" applyFill="true">
      <alignment horizontal="center" vertical="center"/>
    </xf>
    <xf fontId="22307" applyFont="true" borderId="8" applyBorder="true" applyNumberFormat="true" numFmtId="2" fillId="22" applyFill="true">
      <alignment horizontal="center" vertical="center"/>
    </xf>
    <xf fontId="22308" applyFont="true" borderId="8" applyBorder="true" applyNumberFormat="true" numFmtId="2" fillId="22" applyFill="true">
      <alignment horizontal="center" vertical="center"/>
    </xf>
    <xf fontId="22309" applyFont="true" borderId="8" applyBorder="true" applyNumberFormat="true" numFmtId="2" fillId="22" applyFill="true">
      <alignment horizontal="center" vertical="center"/>
    </xf>
    <xf fontId="22310" applyFont="true" borderId="8" applyBorder="true" applyNumberFormat="true" numFmtId="2" fillId="22" applyFill="true">
      <alignment horizontal="center" vertical="center"/>
    </xf>
    <xf fontId="22311" applyFont="true" borderId="8" applyBorder="true" applyNumberFormat="true" numFmtId="165" fillId="19" applyFill="true">
      <alignment horizontal="left" vertical="center"/>
    </xf>
    <xf fontId="22312" applyFont="true" borderId="8" applyBorder="true" applyNumberFormat="true" numFmtId="165" fillId="22" applyFill="true">
      <alignment horizontal="center" vertical="center"/>
    </xf>
    <xf fontId="22313" applyFont="true" borderId="8" applyBorder="true" applyNumberFormat="true" numFmtId="166" fillId="22" applyFill="true">
      <alignment horizontal="center" vertical="center"/>
    </xf>
    <xf fontId="22314" applyFont="true" borderId="8" applyBorder="true" applyNumberFormat="true" numFmtId="1" fillId="22" applyFill="true">
      <alignment horizontal="center" vertical="center"/>
    </xf>
    <xf fontId="22315" applyFont="true" borderId="8" applyBorder="true" applyNumberFormat="true" numFmtId="1" fillId="22" applyFill="true">
      <alignment horizontal="center" vertical="center"/>
    </xf>
    <xf fontId="22316" applyFont="true" borderId="8" applyBorder="true" applyNumberFormat="true" numFmtId="1" fillId="22" applyFill="true">
      <alignment horizontal="center" vertical="center"/>
    </xf>
    <xf fontId="22317" applyFont="true" borderId="8" applyBorder="true" applyNumberFormat="true" numFmtId="1" fillId="22" applyFill="true">
      <alignment horizontal="center" vertical="center"/>
    </xf>
    <xf fontId="22318" applyFont="true" borderId="8" applyBorder="true" applyNumberFormat="true" numFmtId="1" fillId="22" applyFill="true">
      <alignment horizontal="center" vertical="center"/>
    </xf>
    <xf fontId="22319" applyFont="true" borderId="8" applyBorder="true" applyNumberFormat="true" numFmtId="1" fillId="22" applyFill="true">
      <alignment horizontal="center" vertical="center"/>
    </xf>
    <xf fontId="22320" applyFont="true" borderId="8" applyBorder="true" applyNumberFormat="true" numFmtId="1" fillId="22" applyFill="true">
      <alignment horizontal="center" vertical="center"/>
    </xf>
    <xf fontId="22321" applyFont="true" borderId="8" applyBorder="true" applyNumberFormat="true" numFmtId="165" fillId="22" applyFill="true">
      <alignment horizontal="center" vertical="center"/>
    </xf>
    <xf fontId="22322" applyFont="true" borderId="8" applyBorder="true" applyNumberFormat="true" numFmtId="165" fillId="22" applyFill="true">
      <alignment horizontal="center" vertical="center"/>
    </xf>
    <xf fontId="22323" applyFont="true" borderId="8" applyBorder="true" applyNumberFormat="true" numFmtId="1" fillId="22" applyFill="true">
      <alignment horizontal="center" vertical="center"/>
    </xf>
    <xf fontId="22324" applyFont="true" borderId="8" applyBorder="true" applyNumberFormat="true" numFmtId="1" fillId="22" applyFill="true">
      <alignment horizontal="center" vertical="center"/>
    </xf>
    <xf fontId="22325" applyFont="true" borderId="8" applyBorder="true" applyNumberFormat="true" numFmtId="1" fillId="22" applyFill="true">
      <alignment horizontal="center" vertical="center"/>
    </xf>
    <xf fontId="22326" applyFont="true" borderId="8" applyBorder="true" applyNumberFormat="true" numFmtId="167" fillId="22" applyFill="true">
      <alignment horizontal="center" vertical="center"/>
    </xf>
    <xf fontId="22327" applyFont="true" borderId="8" applyBorder="true" applyNumberFormat="true" numFmtId="1" fillId="22" applyFill="true">
      <alignment horizontal="center" vertical="center"/>
    </xf>
    <xf fontId="22328" applyFont="true" borderId="8" applyBorder="true" applyNumberFormat="true" numFmtId="167" fillId="22" applyFill="true">
      <alignment horizontal="center" vertical="center"/>
    </xf>
    <xf fontId="22329" applyFont="true" borderId="8" applyBorder="true" applyNumberFormat="true" numFmtId="1" fillId="22" applyFill="true">
      <alignment horizontal="center" vertical="center"/>
    </xf>
    <xf fontId="22330" applyFont="true" borderId="8" applyBorder="true" applyNumberFormat="true" numFmtId="167" fillId="22" applyFill="true">
      <alignment horizontal="center" vertical="center"/>
    </xf>
    <xf fontId="22331" applyFont="true" borderId="8" applyBorder="true" applyNumberFormat="true" numFmtId="1" fillId="22" applyFill="true">
      <alignment horizontal="center" vertical="center"/>
    </xf>
    <xf fontId="22332" applyFont="true" borderId="8" applyBorder="true" applyNumberFormat="true" numFmtId="167" fillId="22" applyFill="true">
      <alignment horizontal="center" vertical="center"/>
    </xf>
    <xf fontId="22333" applyFont="true" borderId="8" applyBorder="true" applyNumberFormat="true" numFmtId="167" fillId="22" applyFill="true">
      <alignment horizontal="center" vertical="center"/>
    </xf>
    <xf fontId="22334" applyFont="true" borderId="8" applyBorder="true" applyNumberFormat="true" numFmtId="1" fillId="22" applyFill="true">
      <alignment horizontal="center" vertical="center"/>
    </xf>
    <xf fontId="22335" applyFont="true" borderId="8" applyBorder="true" applyNumberFormat="true" numFmtId="1" fillId="22" applyFill="true">
      <alignment horizontal="center" vertical="center"/>
    </xf>
    <xf fontId="22336" applyFont="true" borderId="8" applyBorder="true" applyNumberFormat="true" numFmtId="1" fillId="22" applyFill="true">
      <alignment horizontal="center" vertical="center"/>
    </xf>
    <xf fontId="22337" applyFont="true" borderId="8" applyBorder="true" applyNumberFormat="true" numFmtId="167" fillId="22" applyFill="true">
      <alignment horizontal="center" vertical="center"/>
    </xf>
    <xf fontId="22338" applyFont="true" borderId="8" applyBorder="true" applyNumberFormat="true" numFmtId="166" fillId="22" applyFill="true">
      <alignment horizontal="center" vertical="center"/>
    </xf>
    <xf fontId="22339" applyFont="true" borderId="8" applyBorder="true" applyNumberFormat="true" numFmtId="166" fillId="22" applyFill="true">
      <alignment horizontal="center" vertical="center"/>
    </xf>
    <xf fontId="22340" applyFont="true" borderId="8" applyBorder="true" applyNumberFormat="true" numFmtId="1" fillId="22" applyFill="true">
      <alignment horizontal="center" vertical="center"/>
    </xf>
    <xf fontId="22341" applyFont="true" borderId="8" applyBorder="true" applyNumberFormat="true" numFmtId="1" fillId="22" applyFill="true">
      <alignment horizontal="center" vertical="center"/>
    </xf>
    <xf fontId="22342" applyFont="true" borderId="8" applyBorder="true" applyNumberFormat="true" numFmtId="1" fillId="22" applyFill="true">
      <alignment horizontal="center" vertical="center"/>
    </xf>
    <xf fontId="22343" applyFont="true" borderId="8" applyBorder="true" applyNumberFormat="true" numFmtId="167" fillId="22" applyFill="true">
      <alignment horizontal="center" vertical="center"/>
    </xf>
    <xf fontId="22344" applyFont="true" borderId="8" applyBorder="true" applyNumberFormat="true" numFmtId="1" fillId="22" applyFill="true">
      <alignment horizontal="center" vertical="center"/>
    </xf>
    <xf fontId="22345" applyFont="true" borderId="8" applyBorder="true" applyNumberFormat="true" numFmtId="167" fillId="22" applyFill="true">
      <alignment horizontal="center" vertical="center"/>
    </xf>
    <xf fontId="22346" applyFont="true" borderId="8" applyBorder="true" applyNumberFormat="true" numFmtId="1" fillId="22" applyFill="true">
      <alignment horizontal="center" vertical="center"/>
    </xf>
    <xf fontId="22347" applyFont="true" borderId="8" applyBorder="true" applyNumberFormat="true" numFmtId="1" fillId="22" applyFill="true">
      <alignment horizontal="center" vertical="center"/>
    </xf>
    <xf fontId="22348" applyFont="true" borderId="8" applyBorder="true" applyNumberFormat="true" numFmtId="1" fillId="22" applyFill="true">
      <alignment horizontal="center" vertical="center"/>
    </xf>
    <xf fontId="22349" applyFont="true" borderId="8" applyBorder="true" applyNumberFormat="true" numFmtId="1" fillId="22" applyFill="true">
      <alignment horizontal="center" vertical="center"/>
    </xf>
    <xf fontId="22350" applyFont="true" borderId="8" applyBorder="true" applyNumberFormat="true" numFmtId="167" fillId="22" applyFill="true">
      <alignment horizontal="center" vertical="center"/>
    </xf>
    <xf fontId="22351" applyFont="true" borderId="8" applyBorder="true" applyNumberFormat="true" numFmtId="1" fillId="22" applyFill="true">
      <alignment horizontal="center" vertical="center"/>
    </xf>
    <xf fontId="22352" applyFont="true" borderId="8" applyBorder="true" applyNumberFormat="true" numFmtId="167" fillId="22" applyFill="true">
      <alignment horizontal="center" vertical="center"/>
    </xf>
    <xf fontId="22353" applyFont="true" borderId="8" applyBorder="true" applyNumberFormat="true" numFmtId="1" fillId="22" applyFill="true">
      <alignment horizontal="center" vertical="center"/>
    </xf>
    <xf fontId="22354" applyFont="true" borderId="8" applyBorder="true" applyNumberFormat="true" numFmtId="167" fillId="22" applyFill="true">
      <alignment horizontal="center" vertical="center"/>
    </xf>
    <xf fontId="22355" applyFont="true" borderId="8" applyBorder="true" applyNumberFormat="true" numFmtId="2" fillId="22" applyFill="true">
      <alignment horizontal="center" vertical="center"/>
    </xf>
    <xf fontId="22356" applyFont="true" borderId="8" applyBorder="true" applyNumberFormat="true" numFmtId="2" fillId="22" applyFill="true">
      <alignment horizontal="center" vertical="center"/>
    </xf>
    <xf fontId="22357" applyFont="true" borderId="8" applyBorder="true" applyNumberFormat="true" numFmtId="2" fillId="22" applyFill="true">
      <alignment horizontal="center" vertical="center"/>
    </xf>
    <xf fontId="22358" applyFont="true" borderId="8" applyBorder="true" applyNumberFormat="true" numFmtId="2" fillId="22" applyFill="true">
      <alignment horizontal="center" vertical="center"/>
    </xf>
    <xf fontId="22359" applyFont="true" borderId="8" applyBorder="true" applyNumberFormat="true" numFmtId="2" fillId="22" applyFill="true">
      <alignment horizontal="center" vertical="center"/>
    </xf>
    <xf fontId="22360" applyFont="true" borderId="8" applyBorder="true" applyNumberFormat="true" numFmtId="2" fillId="22" applyFill="true">
      <alignment horizontal="center" vertical="center"/>
    </xf>
    <xf fontId="22361" applyFont="true" borderId="8" applyBorder="true" applyNumberFormat="true" numFmtId="2" fillId="22" applyFill="true">
      <alignment horizontal="center" vertical="center"/>
    </xf>
    <xf fontId="22362" applyFont="true" borderId="8" applyBorder="true" applyNumberFormat="true" numFmtId="2" fillId="22" applyFill="true">
      <alignment horizontal="center" vertical="center"/>
    </xf>
    <xf fontId="22363" applyFont="true" borderId="8" applyBorder="true" applyNumberFormat="true" numFmtId="2" fillId="22" applyFill="true">
      <alignment horizontal="center" vertical="center"/>
    </xf>
    <xf fontId="22364" applyFont="true" borderId="8" applyBorder="true" applyNumberFormat="true" numFmtId="2" fillId="22" applyFill="true">
      <alignment horizontal="center" vertical="center"/>
    </xf>
    <xf fontId="22365" applyFont="true" borderId="8" applyBorder="true" applyNumberFormat="true" numFmtId="2" fillId="22" applyFill="true">
      <alignment horizontal="center" vertical="center"/>
    </xf>
    <xf fontId="22366" applyFont="true" borderId="8" applyBorder="true" applyNumberFormat="true" numFmtId="2" fillId="22" applyFill="true">
      <alignment horizontal="center" vertical="center"/>
    </xf>
    <xf fontId="22367" applyFont="true" borderId="8" applyBorder="true" applyNumberFormat="true" numFmtId="2" fillId="22" applyFill="true">
      <alignment horizontal="center" vertical="center"/>
    </xf>
    <xf fontId="22368" applyFont="true" borderId="8" applyBorder="true" applyNumberFormat="true" numFmtId="2" fillId="22" applyFill="true">
      <alignment horizontal="center" vertical="center"/>
    </xf>
    <xf fontId="22369" applyFont="true" borderId="8" applyBorder="true" applyNumberFormat="true" numFmtId="2" fillId="22" applyFill="true">
      <alignment horizontal="center" vertical="center"/>
    </xf>
    <xf fontId="22370" applyFont="true" borderId="8" applyBorder="true" applyNumberFormat="true" numFmtId="2" fillId="22" applyFill="true">
      <alignment horizontal="center" vertical="center"/>
    </xf>
    <xf fontId="22371" applyFont="true" borderId="8" applyBorder="true" applyNumberFormat="true" numFmtId="2" fillId="22" applyFill="true">
      <alignment horizontal="center" vertical="center"/>
    </xf>
    <xf fontId="22372" applyFont="true" borderId="8" applyBorder="true" applyNumberFormat="true" numFmtId="2" fillId="22" applyFill="true">
      <alignment horizontal="center" vertical="center"/>
    </xf>
    <xf fontId="22373" applyFont="true" borderId="8" applyBorder="true" applyNumberFormat="true" numFmtId="2" fillId="22" applyFill="true">
      <alignment horizontal="center" vertical="center"/>
    </xf>
    <xf fontId="22374" applyFont="true" borderId="8" applyBorder="true" applyNumberFormat="true" numFmtId="2" fillId="22" applyFill="true">
      <alignment horizontal="center" vertical="center"/>
    </xf>
    <xf fontId="22375" applyFont="true" borderId="8" applyBorder="true" applyNumberFormat="true" numFmtId="2" fillId="22" applyFill="true">
      <alignment horizontal="center" vertical="center"/>
    </xf>
    <xf fontId="22376" applyFont="true" borderId="8" applyBorder="true" applyNumberFormat="true" numFmtId="2" fillId="22" applyFill="true">
      <alignment horizontal="center" vertical="center"/>
    </xf>
    <xf fontId="22377" applyFont="true" borderId="8" applyBorder="true" applyNumberFormat="true" numFmtId="2" fillId="22" applyFill="true">
      <alignment horizontal="center" vertical="center"/>
    </xf>
    <xf fontId="22378" applyFont="true" borderId="8" applyBorder="true" applyNumberFormat="true" numFmtId="2" fillId="22" applyFill="true">
      <alignment horizontal="center" vertical="center"/>
    </xf>
    <xf fontId="22379" applyFont="true" borderId="8" applyBorder="true" applyNumberFormat="true" numFmtId="2" fillId="22" applyFill="true">
      <alignment horizontal="center" vertical="center"/>
    </xf>
    <xf fontId="22380" applyFont="true" borderId="8" applyBorder="true" applyNumberFormat="true" numFmtId="2" fillId="22" applyFill="true">
      <alignment horizontal="center" vertical="center"/>
    </xf>
    <xf fontId="22381" applyFont="true" borderId="8" applyBorder="true" applyNumberFormat="true" numFmtId="2" fillId="22" applyFill="true">
      <alignment horizontal="center" vertical="center"/>
    </xf>
    <xf fontId="22382" applyFont="true" borderId="8" applyBorder="true" applyNumberFormat="true" numFmtId="2" fillId="22" applyFill="true">
      <alignment horizontal="center" vertical="center"/>
    </xf>
    <xf fontId="22383" applyFont="true" borderId="8" applyBorder="true" applyNumberFormat="true" numFmtId="2" fillId="22" applyFill="true">
      <alignment horizontal="center" vertical="center"/>
    </xf>
    <xf fontId="22384" applyFont="true" borderId="8" applyBorder="true" applyNumberFormat="true" numFmtId="2" fillId="22" applyFill="true">
      <alignment horizontal="center" vertical="center"/>
    </xf>
    <xf fontId="22385" applyFont="true" borderId="8" applyBorder="true" applyNumberFormat="true" numFmtId="2" fillId="22" applyFill="true">
      <alignment horizontal="center" vertical="center"/>
    </xf>
    <xf fontId="22386" applyFont="true" borderId="8" applyBorder="true" applyNumberFormat="true" numFmtId="2" fillId="22" applyFill="true">
      <alignment horizontal="center" vertical="center"/>
    </xf>
    <xf fontId="22387" applyFont="true" borderId="8" applyBorder="true" applyNumberFormat="true" numFmtId="2" fillId="22" applyFill="true">
      <alignment horizontal="center" vertical="center"/>
    </xf>
    <xf fontId="22388" applyFont="true" borderId="8" applyBorder="true" applyNumberFormat="true" numFmtId="2" fillId="22" applyFill="true">
      <alignment horizontal="center" vertical="center"/>
    </xf>
    <xf fontId="22389" applyFont="true" borderId="8" applyBorder="true" applyNumberFormat="true" numFmtId="165" fillId="19" applyFill="true">
      <alignment horizontal="left" vertical="center"/>
    </xf>
    <xf fontId="22390" applyFont="true" borderId="8" applyBorder="true" applyNumberFormat="true" numFmtId="165" fillId="22" applyFill="true">
      <alignment horizontal="center" vertical="center"/>
    </xf>
    <xf fontId="22391" applyFont="true" borderId="8" applyBorder="true" applyNumberFormat="true" numFmtId="166" fillId="22" applyFill="true">
      <alignment horizontal="center" vertical="center"/>
    </xf>
    <xf fontId="22392" applyFont="true" borderId="8" applyBorder="true" applyNumberFormat="true" numFmtId="1" fillId="22" applyFill="true">
      <alignment horizontal="center" vertical="center"/>
    </xf>
    <xf fontId="22393" applyFont="true" borderId="8" applyBorder="true" applyNumberFormat="true" numFmtId="1" fillId="22" applyFill="true">
      <alignment horizontal="center" vertical="center"/>
    </xf>
    <xf fontId="22394" applyFont="true" borderId="8" applyBorder="true" applyNumberFormat="true" numFmtId="1" fillId="22" applyFill="true">
      <alignment horizontal="center" vertical="center"/>
    </xf>
    <xf fontId="22395" applyFont="true" borderId="8" applyBorder="true" applyNumberFormat="true" numFmtId="1" fillId="22" applyFill="true">
      <alignment horizontal="center" vertical="center"/>
    </xf>
    <xf fontId="22396" applyFont="true" borderId="8" applyBorder="true" applyNumberFormat="true" numFmtId="1" fillId="22" applyFill="true">
      <alignment horizontal="center" vertical="center"/>
    </xf>
    <xf fontId="22397" applyFont="true" borderId="8" applyBorder="true" applyNumberFormat="true" numFmtId="1" fillId="22" applyFill="true">
      <alignment horizontal="center" vertical="center"/>
    </xf>
    <xf fontId="22398" applyFont="true" borderId="8" applyBorder="true" applyNumberFormat="true" numFmtId="1" fillId="22" applyFill="true">
      <alignment horizontal="center" vertical="center"/>
    </xf>
    <xf fontId="22399" applyFont="true" borderId="8" applyBorder="true" applyNumberFormat="true" numFmtId="165" fillId="22" applyFill="true">
      <alignment horizontal="center" vertical="center"/>
    </xf>
    <xf fontId="22400" applyFont="true" borderId="8" applyBorder="true" applyNumberFormat="true" numFmtId="165" fillId="22" applyFill="true">
      <alignment horizontal="center" vertical="center"/>
    </xf>
    <xf fontId="22401" applyFont="true" borderId="8" applyBorder="true" applyNumberFormat="true" numFmtId="1" fillId="22" applyFill="true">
      <alignment horizontal="center" vertical="center"/>
    </xf>
    <xf fontId="22402" applyFont="true" borderId="8" applyBorder="true" applyNumberFormat="true" numFmtId="1" fillId="22" applyFill="true">
      <alignment horizontal="center" vertical="center"/>
    </xf>
    <xf fontId="22403" applyFont="true" borderId="8" applyBorder="true" applyNumberFormat="true" numFmtId="1" fillId="22" applyFill="true">
      <alignment horizontal="center" vertical="center"/>
    </xf>
    <xf fontId="22404" applyFont="true" borderId="8" applyBorder="true" applyNumberFormat="true" numFmtId="167" fillId="22" applyFill="true">
      <alignment horizontal="center" vertical="center"/>
    </xf>
    <xf fontId="22405" applyFont="true" borderId="8" applyBorder="true" applyNumberFormat="true" numFmtId="1" fillId="22" applyFill="true">
      <alignment horizontal="center" vertical="center"/>
    </xf>
    <xf fontId="22406" applyFont="true" borderId="8" applyBorder="true" applyNumberFormat="true" numFmtId="167" fillId="22" applyFill="true">
      <alignment horizontal="center" vertical="center"/>
    </xf>
    <xf fontId="22407" applyFont="true" borderId="8" applyBorder="true" applyNumberFormat="true" numFmtId="1" fillId="22" applyFill="true">
      <alignment horizontal="center" vertical="center"/>
    </xf>
    <xf fontId="22408" applyFont="true" borderId="8" applyBorder="true" applyNumberFormat="true" numFmtId="167" fillId="22" applyFill="true">
      <alignment horizontal="center" vertical="center"/>
    </xf>
    <xf fontId="22409" applyFont="true" borderId="8" applyBorder="true" applyNumberFormat="true" numFmtId="1" fillId="22" applyFill="true">
      <alignment horizontal="center" vertical="center"/>
    </xf>
    <xf fontId="22410" applyFont="true" borderId="8" applyBorder="true" applyNumberFormat="true" numFmtId="167" fillId="22" applyFill="true">
      <alignment horizontal="center" vertical="center"/>
    </xf>
    <xf fontId="22411" applyFont="true" borderId="8" applyBorder="true" applyNumberFormat="true" numFmtId="167" fillId="22" applyFill="true">
      <alignment horizontal="center" vertical="center"/>
    </xf>
    <xf fontId="22412" applyFont="true" borderId="8" applyBorder="true" applyNumberFormat="true" numFmtId="1" fillId="22" applyFill="true">
      <alignment horizontal="center" vertical="center"/>
    </xf>
    <xf fontId="22413" applyFont="true" borderId="8" applyBorder="true" applyNumberFormat="true" numFmtId="1" fillId="22" applyFill="true">
      <alignment horizontal="center" vertical="center"/>
    </xf>
    <xf fontId="22414" applyFont="true" borderId="8" applyBorder="true" applyNumberFormat="true" numFmtId="1" fillId="22" applyFill="true">
      <alignment horizontal="center" vertical="center"/>
    </xf>
    <xf fontId="22415" applyFont="true" borderId="8" applyBorder="true" applyNumberFormat="true" numFmtId="167" fillId="22" applyFill="true">
      <alignment horizontal="center" vertical="center"/>
    </xf>
    <xf fontId="22416" applyFont="true" borderId="8" applyBorder="true" applyNumberFormat="true" numFmtId="166" fillId="22" applyFill="true">
      <alignment horizontal="center" vertical="center"/>
    </xf>
    <xf fontId="22417" applyFont="true" borderId="8" applyBorder="true" applyNumberFormat="true" numFmtId="166" fillId="22" applyFill="true">
      <alignment horizontal="center" vertical="center"/>
    </xf>
    <xf fontId="22418" applyFont="true" borderId="8" applyBorder="true" applyNumberFormat="true" numFmtId="1" fillId="22" applyFill="true">
      <alignment horizontal="center" vertical="center"/>
    </xf>
    <xf fontId="22419" applyFont="true" borderId="8" applyBorder="true" applyNumberFormat="true" numFmtId="1" fillId="22" applyFill="true">
      <alignment horizontal="center" vertical="center"/>
    </xf>
    <xf fontId="22420" applyFont="true" borderId="8" applyBorder="true" applyNumberFormat="true" numFmtId="1" fillId="22" applyFill="true">
      <alignment horizontal="center" vertical="center"/>
    </xf>
    <xf fontId="22421" applyFont="true" borderId="8" applyBorder="true" applyNumberFormat="true" numFmtId="167" fillId="22" applyFill="true">
      <alignment horizontal="center" vertical="center"/>
    </xf>
    <xf fontId="22422" applyFont="true" borderId="8" applyBorder="true" applyNumberFormat="true" numFmtId="1" fillId="22" applyFill="true">
      <alignment horizontal="center" vertical="center"/>
    </xf>
    <xf fontId="22423" applyFont="true" borderId="8" applyBorder="true" applyNumberFormat="true" numFmtId="167" fillId="22" applyFill="true">
      <alignment horizontal="center" vertical="center"/>
    </xf>
    <xf fontId="22424" applyFont="true" borderId="8" applyBorder="true" applyNumberFormat="true" numFmtId="1" fillId="22" applyFill="true">
      <alignment horizontal="center" vertical="center"/>
    </xf>
    <xf fontId="22425" applyFont="true" borderId="8" applyBorder="true" applyNumberFormat="true" numFmtId="1" fillId="22" applyFill="true">
      <alignment horizontal="center" vertical="center"/>
    </xf>
    <xf fontId="22426" applyFont="true" borderId="8" applyBorder="true" applyNumberFormat="true" numFmtId="1" fillId="22" applyFill="true">
      <alignment horizontal="center" vertical="center"/>
    </xf>
    <xf fontId="22427" applyFont="true" borderId="8" applyBorder="true" applyNumberFormat="true" numFmtId="1" fillId="22" applyFill="true">
      <alignment horizontal="center" vertical="center"/>
    </xf>
    <xf fontId="22428" applyFont="true" borderId="8" applyBorder="true" applyNumberFormat="true" numFmtId="167" fillId="22" applyFill="true">
      <alignment horizontal="center" vertical="center"/>
    </xf>
    <xf fontId="22429" applyFont="true" borderId="8" applyBorder="true" applyNumberFormat="true" numFmtId="1" fillId="22" applyFill="true">
      <alignment horizontal="center" vertical="center"/>
    </xf>
    <xf fontId="22430" applyFont="true" borderId="8" applyBorder="true" applyNumberFormat="true" numFmtId="167" fillId="22" applyFill="true">
      <alignment horizontal="center" vertical="center"/>
    </xf>
    <xf fontId="22431" applyFont="true" borderId="8" applyBorder="true" applyNumberFormat="true" numFmtId="1" fillId="22" applyFill="true">
      <alignment horizontal="center" vertical="center"/>
    </xf>
    <xf fontId="22432" applyFont="true" borderId="8" applyBorder="true" applyNumberFormat="true" numFmtId="167" fillId="22" applyFill="true">
      <alignment horizontal="center" vertical="center"/>
    </xf>
    <xf fontId="22433" applyFont="true" borderId="8" applyBorder="true" applyNumberFormat="true" numFmtId="2" fillId="22" applyFill="true">
      <alignment horizontal="center" vertical="center"/>
    </xf>
    <xf fontId="22434" applyFont="true" borderId="8" applyBorder="true" applyNumberFormat="true" numFmtId="2" fillId="22" applyFill="true">
      <alignment horizontal="center" vertical="center"/>
    </xf>
    <xf fontId="22435" applyFont="true" borderId="8" applyBorder="true" applyNumberFormat="true" numFmtId="2" fillId="22" applyFill="true">
      <alignment horizontal="center" vertical="center"/>
    </xf>
    <xf fontId="22436" applyFont="true" borderId="8" applyBorder="true" applyNumberFormat="true" numFmtId="2" fillId="22" applyFill="true">
      <alignment horizontal="center" vertical="center"/>
    </xf>
    <xf fontId="22437" applyFont="true" borderId="8" applyBorder="true" applyNumberFormat="true" numFmtId="2" fillId="22" applyFill="true">
      <alignment horizontal="center" vertical="center"/>
    </xf>
    <xf fontId="22438" applyFont="true" borderId="8" applyBorder="true" applyNumberFormat="true" numFmtId="2" fillId="22" applyFill="true">
      <alignment horizontal="center" vertical="center"/>
    </xf>
    <xf fontId="22439" applyFont="true" borderId="8" applyBorder="true" applyNumberFormat="true" numFmtId="2" fillId="22" applyFill="true">
      <alignment horizontal="center" vertical="center"/>
    </xf>
    <xf fontId="22440" applyFont="true" borderId="8" applyBorder="true" applyNumberFormat="true" numFmtId="2" fillId="22" applyFill="true">
      <alignment horizontal="center" vertical="center"/>
    </xf>
    <xf fontId="22441" applyFont="true" borderId="8" applyBorder="true" applyNumberFormat="true" numFmtId="2" fillId="22" applyFill="true">
      <alignment horizontal="center" vertical="center"/>
    </xf>
    <xf fontId="22442" applyFont="true" borderId="8" applyBorder="true" applyNumberFormat="true" numFmtId="2" fillId="22" applyFill="true">
      <alignment horizontal="center" vertical="center"/>
    </xf>
    <xf fontId="22443" applyFont="true" borderId="8" applyBorder="true" applyNumberFormat="true" numFmtId="2" fillId="22" applyFill="true">
      <alignment horizontal="center" vertical="center"/>
    </xf>
    <xf fontId="22444" applyFont="true" borderId="8" applyBorder="true" applyNumberFormat="true" numFmtId="2" fillId="22" applyFill="true">
      <alignment horizontal="center" vertical="center"/>
    </xf>
    <xf fontId="22445" applyFont="true" borderId="8" applyBorder="true" applyNumberFormat="true" numFmtId="2" fillId="22" applyFill="true">
      <alignment horizontal="center" vertical="center"/>
    </xf>
    <xf fontId="22446" applyFont="true" borderId="8" applyBorder="true" applyNumberFormat="true" numFmtId="2" fillId="22" applyFill="true">
      <alignment horizontal="center" vertical="center"/>
    </xf>
    <xf fontId="22447" applyFont="true" borderId="8" applyBorder="true" applyNumberFormat="true" numFmtId="2" fillId="22" applyFill="true">
      <alignment horizontal="center" vertical="center"/>
    </xf>
    <xf fontId="22448" applyFont="true" borderId="8" applyBorder="true" applyNumberFormat="true" numFmtId="2" fillId="22" applyFill="true">
      <alignment horizontal="center" vertical="center"/>
    </xf>
    <xf fontId="22449" applyFont="true" borderId="8" applyBorder="true" applyNumberFormat="true" numFmtId="2" fillId="22" applyFill="true">
      <alignment horizontal="center" vertical="center"/>
    </xf>
    <xf fontId="22450" applyFont="true" borderId="8" applyBorder="true" applyNumberFormat="true" numFmtId="2" fillId="22" applyFill="true">
      <alignment horizontal="center" vertical="center"/>
    </xf>
    <xf fontId="22451" applyFont="true" borderId="8" applyBorder="true" applyNumberFormat="true" numFmtId="2" fillId="22" applyFill="true">
      <alignment horizontal="center" vertical="center"/>
    </xf>
    <xf fontId="22452" applyFont="true" borderId="8" applyBorder="true" applyNumberFormat="true" numFmtId="2" fillId="22" applyFill="true">
      <alignment horizontal="center" vertical="center"/>
    </xf>
    <xf fontId="22453" applyFont="true" borderId="8" applyBorder="true" applyNumberFormat="true" numFmtId="2" fillId="22" applyFill="true">
      <alignment horizontal="center" vertical="center"/>
    </xf>
    <xf fontId="22454" applyFont="true" borderId="8" applyBorder="true" applyNumberFormat="true" numFmtId="2" fillId="22" applyFill="true">
      <alignment horizontal="center" vertical="center"/>
    </xf>
    <xf fontId="22455" applyFont="true" borderId="8" applyBorder="true" applyNumberFormat="true" numFmtId="2" fillId="22" applyFill="true">
      <alignment horizontal="center" vertical="center"/>
    </xf>
    <xf fontId="22456" applyFont="true" borderId="8" applyBorder="true" applyNumberFormat="true" numFmtId="2" fillId="22" applyFill="true">
      <alignment horizontal="center" vertical="center"/>
    </xf>
    <xf fontId="22457" applyFont="true" borderId="8" applyBorder="true" applyNumberFormat="true" numFmtId="2" fillId="22" applyFill="true">
      <alignment horizontal="center" vertical="center"/>
    </xf>
    <xf fontId="22458" applyFont="true" borderId="8" applyBorder="true" applyNumberFormat="true" numFmtId="2" fillId="22" applyFill="true">
      <alignment horizontal="center" vertical="center"/>
    </xf>
    <xf fontId="22459" applyFont="true" borderId="8" applyBorder="true" applyNumberFormat="true" numFmtId="2" fillId="22" applyFill="true">
      <alignment horizontal="center" vertical="center"/>
    </xf>
    <xf fontId="22460" applyFont="true" borderId="8" applyBorder="true" applyNumberFormat="true" numFmtId="2" fillId="22" applyFill="true">
      <alignment horizontal="center" vertical="center"/>
    </xf>
    <xf fontId="22461" applyFont="true" borderId="8" applyBorder="true" applyNumberFormat="true" numFmtId="2" fillId="22" applyFill="true">
      <alignment horizontal="center" vertical="center"/>
    </xf>
    <xf fontId="22462" applyFont="true" borderId="8" applyBorder="true" applyNumberFormat="true" numFmtId="2" fillId="22" applyFill="true">
      <alignment horizontal="center" vertical="center"/>
    </xf>
    <xf fontId="22463" applyFont="true" borderId="8" applyBorder="true" applyNumberFormat="true" numFmtId="2" fillId="22" applyFill="true">
      <alignment horizontal="center" vertical="center"/>
    </xf>
    <xf fontId="22464" applyFont="true" borderId="8" applyBorder="true" applyNumberFormat="true" numFmtId="2" fillId="22" applyFill="true">
      <alignment horizontal="center" vertical="center"/>
    </xf>
    <xf fontId="22465" applyFont="true" borderId="8" applyBorder="true" applyNumberFormat="true" numFmtId="2" fillId="22" applyFill="true">
      <alignment horizontal="center" vertical="center"/>
    </xf>
    <xf fontId="22466" applyFont="true" borderId="8" applyBorder="true" applyNumberFormat="true" numFmtId="2" fillId="22" applyFill="true">
      <alignment horizontal="center" vertical="center"/>
    </xf>
    <xf fontId="22467" applyFont="true" borderId="8" applyBorder="true" applyNumberFormat="true" numFmtId="165" fillId="19" applyFill="true">
      <alignment horizontal="left" vertical="center"/>
    </xf>
    <xf fontId="22468" applyFont="true" borderId="8" applyBorder="true" applyNumberFormat="true" numFmtId="165" fillId="22" applyFill="true">
      <alignment horizontal="center" vertical="center"/>
    </xf>
    <xf fontId="22469" applyFont="true" borderId="8" applyBorder="true" applyNumberFormat="true" numFmtId="166" fillId="22" applyFill="true">
      <alignment horizontal="center" vertical="center"/>
    </xf>
    <xf fontId="22470" applyFont="true" borderId="8" applyBorder="true" applyNumberFormat="true" numFmtId="1" fillId="22" applyFill="true">
      <alignment horizontal="center" vertical="center"/>
    </xf>
    <xf fontId="22471" applyFont="true" borderId="8" applyBorder="true" applyNumberFormat="true" numFmtId="1" fillId="22" applyFill="true">
      <alignment horizontal="center" vertical="center"/>
    </xf>
    <xf fontId="22472" applyFont="true" borderId="8" applyBorder="true" applyNumberFormat="true" numFmtId="1" fillId="22" applyFill="true">
      <alignment horizontal="center" vertical="center"/>
    </xf>
    <xf fontId="22473" applyFont="true" borderId="8" applyBorder="true" applyNumberFormat="true" numFmtId="1" fillId="22" applyFill="true">
      <alignment horizontal="center" vertical="center"/>
    </xf>
    <xf fontId="22474" applyFont="true" borderId="8" applyBorder="true" applyNumberFormat="true" numFmtId="1" fillId="22" applyFill="true">
      <alignment horizontal="center" vertical="center"/>
    </xf>
    <xf fontId="22475" applyFont="true" borderId="8" applyBorder="true" applyNumberFormat="true" numFmtId="1" fillId="22" applyFill="true">
      <alignment horizontal="center" vertical="center"/>
    </xf>
    <xf fontId="22476" applyFont="true" borderId="8" applyBorder="true" applyNumberFormat="true" numFmtId="1" fillId="22" applyFill="true">
      <alignment horizontal="center" vertical="center"/>
    </xf>
    <xf fontId="22477" applyFont="true" borderId="8" applyBorder="true" applyNumberFormat="true" numFmtId="165" fillId="22" applyFill="true">
      <alignment horizontal="center" vertical="center"/>
    </xf>
    <xf fontId="22478" applyFont="true" borderId="8" applyBorder="true" applyNumberFormat="true" numFmtId="165" fillId="22" applyFill="true">
      <alignment horizontal="center" vertical="center"/>
    </xf>
    <xf fontId="22479" applyFont="true" borderId="8" applyBorder="true" applyNumberFormat="true" numFmtId="1" fillId="22" applyFill="true">
      <alignment horizontal="center" vertical="center"/>
    </xf>
    <xf fontId="22480" applyFont="true" borderId="8" applyBorder="true" applyNumberFormat="true" numFmtId="1" fillId="22" applyFill="true">
      <alignment horizontal="center" vertical="center"/>
    </xf>
    <xf fontId="22481" applyFont="true" borderId="8" applyBorder="true" applyNumberFormat="true" numFmtId="1" fillId="22" applyFill="true">
      <alignment horizontal="center" vertical="center"/>
    </xf>
    <xf fontId="22482" applyFont="true" borderId="8" applyBorder="true" applyNumberFormat="true" numFmtId="167" fillId="22" applyFill="true">
      <alignment horizontal="center" vertical="center"/>
    </xf>
    <xf fontId="22483" applyFont="true" borderId="8" applyBorder="true" applyNumberFormat="true" numFmtId="1" fillId="22" applyFill="true">
      <alignment horizontal="center" vertical="center"/>
    </xf>
    <xf fontId="22484" applyFont="true" borderId="8" applyBorder="true" applyNumberFormat="true" numFmtId="167" fillId="22" applyFill="true">
      <alignment horizontal="center" vertical="center"/>
    </xf>
    <xf fontId="22485" applyFont="true" borderId="8" applyBorder="true" applyNumberFormat="true" numFmtId="1" fillId="22" applyFill="true">
      <alignment horizontal="center" vertical="center"/>
    </xf>
    <xf fontId="22486" applyFont="true" borderId="8" applyBorder="true" applyNumberFormat="true" numFmtId="167" fillId="22" applyFill="true">
      <alignment horizontal="center" vertical="center"/>
    </xf>
    <xf fontId="22487" applyFont="true" borderId="8" applyBorder="true" applyNumberFormat="true" numFmtId="1" fillId="22" applyFill="true">
      <alignment horizontal="center" vertical="center"/>
    </xf>
    <xf fontId="22488" applyFont="true" borderId="8" applyBorder="true" applyNumberFormat="true" numFmtId="167" fillId="22" applyFill="true">
      <alignment horizontal="center" vertical="center"/>
    </xf>
    <xf fontId="22489" applyFont="true" borderId="8" applyBorder="true" applyNumberFormat="true" numFmtId="167" fillId="22" applyFill="true">
      <alignment horizontal="center" vertical="center"/>
    </xf>
    <xf fontId="22490" applyFont="true" borderId="8" applyBorder="true" applyNumberFormat="true" numFmtId="1" fillId="22" applyFill="true">
      <alignment horizontal="center" vertical="center"/>
    </xf>
    <xf fontId="22491" applyFont="true" borderId="8" applyBorder="true" applyNumberFormat="true" numFmtId="1" fillId="22" applyFill="true">
      <alignment horizontal="center" vertical="center"/>
    </xf>
    <xf fontId="22492" applyFont="true" borderId="8" applyBorder="true" applyNumberFormat="true" numFmtId="1" fillId="22" applyFill="true">
      <alignment horizontal="center" vertical="center"/>
    </xf>
    <xf fontId="22493" applyFont="true" borderId="8" applyBorder="true" applyNumberFormat="true" numFmtId="167" fillId="22" applyFill="true">
      <alignment horizontal="center" vertical="center"/>
    </xf>
    <xf fontId="22494" applyFont="true" borderId="8" applyBorder="true" applyNumberFormat="true" numFmtId="166" fillId="22" applyFill="true">
      <alignment horizontal="center" vertical="center"/>
    </xf>
    <xf fontId="22495" applyFont="true" borderId="8" applyBorder="true" applyNumberFormat="true" numFmtId="166" fillId="22" applyFill="true">
      <alignment horizontal="center" vertical="center"/>
    </xf>
    <xf fontId="22496" applyFont="true" borderId="8" applyBorder="true" applyNumberFormat="true" numFmtId="1" fillId="22" applyFill="true">
      <alignment horizontal="center" vertical="center"/>
    </xf>
    <xf fontId="22497" applyFont="true" borderId="8" applyBorder="true" applyNumberFormat="true" numFmtId="1" fillId="22" applyFill="true">
      <alignment horizontal="center" vertical="center"/>
    </xf>
    <xf fontId="22498" applyFont="true" borderId="8" applyBorder="true" applyNumberFormat="true" numFmtId="1" fillId="22" applyFill="true">
      <alignment horizontal="center" vertical="center"/>
    </xf>
    <xf fontId="22499" applyFont="true" borderId="8" applyBorder="true" applyNumberFormat="true" numFmtId="167" fillId="22" applyFill="true">
      <alignment horizontal="center" vertical="center"/>
    </xf>
    <xf fontId="22500" applyFont="true" borderId="8" applyBorder="true" applyNumberFormat="true" numFmtId="1" fillId="22" applyFill="true">
      <alignment horizontal="center" vertical="center"/>
    </xf>
    <xf fontId="22501" applyFont="true" borderId="8" applyBorder="true" applyNumberFormat="true" numFmtId="167" fillId="22" applyFill="true">
      <alignment horizontal="center" vertical="center"/>
    </xf>
    <xf fontId="22502" applyFont="true" borderId="8" applyBorder="true" applyNumberFormat="true" numFmtId="1" fillId="22" applyFill="true">
      <alignment horizontal="center" vertical="center"/>
    </xf>
    <xf fontId="22503" applyFont="true" borderId="8" applyBorder="true" applyNumberFormat="true" numFmtId="1" fillId="22" applyFill="true">
      <alignment horizontal="center" vertical="center"/>
    </xf>
    <xf fontId="22504" applyFont="true" borderId="8" applyBorder="true" applyNumberFormat="true" numFmtId="1" fillId="22" applyFill="true">
      <alignment horizontal="center" vertical="center"/>
    </xf>
    <xf fontId="22505" applyFont="true" borderId="8" applyBorder="true" applyNumberFormat="true" numFmtId="1" fillId="22" applyFill="true">
      <alignment horizontal="center" vertical="center"/>
    </xf>
    <xf fontId="22506" applyFont="true" borderId="8" applyBorder="true" applyNumberFormat="true" numFmtId="167" fillId="22" applyFill="true">
      <alignment horizontal="center" vertical="center"/>
    </xf>
    <xf fontId="22507" applyFont="true" borderId="8" applyBorder="true" applyNumberFormat="true" numFmtId="1" fillId="22" applyFill="true">
      <alignment horizontal="center" vertical="center"/>
    </xf>
    <xf fontId="22508" applyFont="true" borderId="8" applyBorder="true" applyNumberFormat="true" numFmtId="167" fillId="22" applyFill="true">
      <alignment horizontal="center" vertical="center"/>
    </xf>
    <xf fontId="22509" applyFont="true" borderId="8" applyBorder="true" applyNumberFormat="true" numFmtId="1" fillId="22" applyFill="true">
      <alignment horizontal="center" vertical="center"/>
    </xf>
    <xf fontId="22510" applyFont="true" borderId="8" applyBorder="true" applyNumberFormat="true" numFmtId="167" fillId="22" applyFill="true">
      <alignment horizontal="center" vertical="center"/>
    </xf>
    <xf fontId="22511" applyFont="true" borderId="8" applyBorder="true" applyNumberFormat="true" numFmtId="2" fillId="22" applyFill="true">
      <alignment horizontal="center" vertical="center"/>
    </xf>
    <xf fontId="22512" applyFont="true" borderId="8" applyBorder="true" applyNumberFormat="true" numFmtId="2" fillId="22" applyFill="true">
      <alignment horizontal="center" vertical="center"/>
    </xf>
    <xf fontId="22513" applyFont="true" borderId="8" applyBorder="true" applyNumberFormat="true" numFmtId="2" fillId="22" applyFill="true">
      <alignment horizontal="center" vertical="center"/>
    </xf>
    <xf fontId="22514" applyFont="true" borderId="8" applyBorder="true" applyNumberFormat="true" numFmtId="2" fillId="22" applyFill="true">
      <alignment horizontal="center" vertical="center"/>
    </xf>
    <xf fontId="22515" applyFont="true" borderId="8" applyBorder="true" applyNumberFormat="true" numFmtId="2" fillId="22" applyFill="true">
      <alignment horizontal="center" vertical="center"/>
    </xf>
    <xf fontId="22516" applyFont="true" borderId="8" applyBorder="true" applyNumberFormat="true" numFmtId="2" fillId="22" applyFill="true">
      <alignment horizontal="center" vertical="center"/>
    </xf>
    <xf fontId="22517" applyFont="true" borderId="8" applyBorder="true" applyNumberFormat="true" numFmtId="2" fillId="22" applyFill="true">
      <alignment horizontal="center" vertical="center"/>
    </xf>
    <xf fontId="22518" applyFont="true" borderId="8" applyBorder="true" applyNumberFormat="true" numFmtId="2" fillId="22" applyFill="true">
      <alignment horizontal="center" vertical="center"/>
    </xf>
    <xf fontId="22519" applyFont="true" borderId="8" applyBorder="true" applyNumberFormat="true" numFmtId="2" fillId="22" applyFill="true">
      <alignment horizontal="center" vertical="center"/>
    </xf>
    <xf fontId="22520" applyFont="true" borderId="8" applyBorder="true" applyNumberFormat="true" numFmtId="2" fillId="22" applyFill="true">
      <alignment horizontal="center" vertical="center"/>
    </xf>
    <xf fontId="22521" applyFont="true" borderId="8" applyBorder="true" applyNumberFormat="true" numFmtId="2" fillId="22" applyFill="true">
      <alignment horizontal="center" vertical="center"/>
    </xf>
    <xf fontId="22522" applyFont="true" borderId="8" applyBorder="true" applyNumberFormat="true" numFmtId="2" fillId="22" applyFill="true">
      <alignment horizontal="center" vertical="center"/>
    </xf>
    <xf fontId="22523" applyFont="true" borderId="8" applyBorder="true" applyNumberFormat="true" numFmtId="2" fillId="22" applyFill="true">
      <alignment horizontal="center" vertical="center"/>
    </xf>
    <xf fontId="22524" applyFont="true" borderId="8" applyBorder="true" applyNumberFormat="true" numFmtId="2" fillId="22" applyFill="true">
      <alignment horizontal="center" vertical="center"/>
    </xf>
    <xf fontId="22525" applyFont="true" borderId="8" applyBorder="true" applyNumberFormat="true" numFmtId="2" fillId="22" applyFill="true">
      <alignment horizontal="center" vertical="center"/>
    </xf>
    <xf fontId="22526" applyFont="true" borderId="8" applyBorder="true" applyNumberFormat="true" numFmtId="2" fillId="22" applyFill="true">
      <alignment horizontal="center" vertical="center"/>
    </xf>
    <xf fontId="22527" applyFont="true" borderId="8" applyBorder="true" applyNumberFormat="true" numFmtId="2" fillId="22" applyFill="true">
      <alignment horizontal="center" vertical="center"/>
    </xf>
    <xf fontId="22528" applyFont="true" borderId="8" applyBorder="true" applyNumberFormat="true" numFmtId="2" fillId="22" applyFill="true">
      <alignment horizontal="center" vertical="center"/>
    </xf>
    <xf fontId="22529" applyFont="true" borderId="8" applyBorder="true" applyNumberFormat="true" numFmtId="2" fillId="22" applyFill="true">
      <alignment horizontal="center" vertical="center"/>
    </xf>
    <xf fontId="22530" applyFont="true" borderId="8" applyBorder="true" applyNumberFormat="true" numFmtId="2" fillId="22" applyFill="true">
      <alignment horizontal="center" vertical="center"/>
    </xf>
    <xf fontId="22531" applyFont="true" borderId="8" applyBorder="true" applyNumberFormat="true" numFmtId="2" fillId="22" applyFill="true">
      <alignment horizontal="center" vertical="center"/>
    </xf>
    <xf fontId="22532" applyFont="true" borderId="8" applyBorder="true" applyNumberFormat="true" numFmtId="2" fillId="22" applyFill="true">
      <alignment horizontal="center" vertical="center"/>
    </xf>
    <xf fontId="22533" applyFont="true" borderId="8" applyBorder="true" applyNumberFormat="true" numFmtId="2" fillId="22" applyFill="true">
      <alignment horizontal="center" vertical="center"/>
    </xf>
    <xf fontId="22534" applyFont="true" borderId="8" applyBorder="true" applyNumberFormat="true" numFmtId="2" fillId="22" applyFill="true">
      <alignment horizontal="center" vertical="center"/>
    </xf>
    <xf fontId="22535" applyFont="true" borderId="8" applyBorder="true" applyNumberFormat="true" numFmtId="2" fillId="22" applyFill="true">
      <alignment horizontal="center" vertical="center"/>
    </xf>
    <xf fontId="22536" applyFont="true" borderId="8" applyBorder="true" applyNumberFormat="true" numFmtId="2" fillId="22" applyFill="true">
      <alignment horizontal="center" vertical="center"/>
    </xf>
    <xf fontId="22537" applyFont="true" borderId="8" applyBorder="true" applyNumberFormat="true" numFmtId="2" fillId="22" applyFill="true">
      <alignment horizontal="center" vertical="center"/>
    </xf>
    <xf fontId="22538" applyFont="true" borderId="8" applyBorder="true" applyNumberFormat="true" numFmtId="2" fillId="22" applyFill="true">
      <alignment horizontal="center" vertical="center"/>
    </xf>
    <xf fontId="22539" applyFont="true" borderId="8" applyBorder="true" applyNumberFormat="true" numFmtId="2" fillId="22" applyFill="true">
      <alignment horizontal="center" vertical="center"/>
    </xf>
    <xf fontId="22540" applyFont="true" borderId="8" applyBorder="true" applyNumberFormat="true" numFmtId="2" fillId="22" applyFill="true">
      <alignment horizontal="center" vertical="center"/>
    </xf>
    <xf fontId="22541" applyFont="true" borderId="8" applyBorder="true" applyNumberFormat="true" numFmtId="2" fillId="22" applyFill="true">
      <alignment horizontal="center" vertical="center"/>
    </xf>
    <xf fontId="22542" applyFont="true" borderId="8" applyBorder="true" applyNumberFormat="true" numFmtId="2" fillId="22" applyFill="true">
      <alignment horizontal="center" vertical="center"/>
    </xf>
    <xf fontId="22543" applyFont="true" borderId="8" applyBorder="true" applyNumberFormat="true" numFmtId="2" fillId="22" applyFill="true">
      <alignment horizontal="center" vertical="center"/>
    </xf>
    <xf fontId="22544" applyFont="true" borderId="8" applyBorder="true" applyNumberFormat="true" numFmtId="2" fillId="22" applyFill="true">
      <alignment horizontal="center" vertical="center"/>
    </xf>
    <xf fontId="22545" applyFont="true" borderId="8" applyBorder="true" applyNumberFormat="true" numFmtId="165" fillId="19" applyFill="true">
      <alignment horizontal="left" vertical="center"/>
    </xf>
    <xf fontId="22546" applyFont="true" borderId="8" applyBorder="true" applyNumberFormat="true" numFmtId="165" fillId="22" applyFill="true">
      <alignment horizontal="center" vertical="center"/>
    </xf>
    <xf fontId="22547" applyFont="true" borderId="8" applyBorder="true" applyNumberFormat="true" numFmtId="166" fillId="22" applyFill="true">
      <alignment horizontal="center" vertical="center"/>
    </xf>
    <xf fontId="22548" applyFont="true" borderId="8" applyBorder="true" applyNumberFormat="true" numFmtId="1" fillId="22" applyFill="true">
      <alignment horizontal="center" vertical="center"/>
    </xf>
    <xf fontId="22549" applyFont="true" borderId="8" applyBorder="true" applyNumberFormat="true" numFmtId="1" fillId="22" applyFill="true">
      <alignment horizontal="center" vertical="center"/>
    </xf>
    <xf fontId="22550" applyFont="true" borderId="8" applyBorder="true" applyNumberFormat="true" numFmtId="1" fillId="22" applyFill="true">
      <alignment horizontal="center" vertical="center"/>
    </xf>
    <xf fontId="22551" applyFont="true" borderId="8" applyBorder="true" applyNumberFormat="true" numFmtId="1" fillId="22" applyFill="true">
      <alignment horizontal="center" vertical="center"/>
    </xf>
    <xf fontId="22552" applyFont="true" borderId="8" applyBorder="true" applyNumberFormat="true" numFmtId="1" fillId="22" applyFill="true">
      <alignment horizontal="center" vertical="center"/>
    </xf>
    <xf fontId="22553" applyFont="true" borderId="8" applyBorder="true" applyNumberFormat="true" numFmtId="1" fillId="22" applyFill="true">
      <alignment horizontal="center" vertical="center"/>
    </xf>
    <xf fontId="22554" applyFont="true" borderId="8" applyBorder="true" applyNumberFormat="true" numFmtId="1" fillId="22" applyFill="true">
      <alignment horizontal="center" vertical="center"/>
    </xf>
    <xf fontId="22555" applyFont="true" borderId="8" applyBorder="true" applyNumberFormat="true" numFmtId="165" fillId="22" applyFill="true">
      <alignment horizontal="center" vertical="center"/>
    </xf>
    <xf fontId="22556" applyFont="true" borderId="8" applyBorder="true" applyNumberFormat="true" numFmtId="165" fillId="22" applyFill="true">
      <alignment horizontal="center" vertical="center"/>
    </xf>
    <xf fontId="22557" applyFont="true" borderId="8" applyBorder="true" applyNumberFormat="true" numFmtId="1" fillId="22" applyFill="true">
      <alignment horizontal="center" vertical="center"/>
    </xf>
    <xf fontId="22558" applyFont="true" borderId="8" applyBorder="true" applyNumberFormat="true" numFmtId="1" fillId="22" applyFill="true">
      <alignment horizontal="center" vertical="center"/>
    </xf>
    <xf fontId="22559" applyFont="true" borderId="8" applyBorder="true" applyNumberFormat="true" numFmtId="1" fillId="22" applyFill="true">
      <alignment horizontal="center" vertical="center"/>
    </xf>
    <xf fontId="22560" applyFont="true" borderId="8" applyBorder="true" applyNumberFormat="true" numFmtId="167" fillId="22" applyFill="true">
      <alignment horizontal="center" vertical="center"/>
    </xf>
    <xf fontId="22561" applyFont="true" borderId="8" applyBorder="true" applyNumberFormat="true" numFmtId="1" fillId="22" applyFill="true">
      <alignment horizontal="center" vertical="center"/>
    </xf>
    <xf fontId="22562" applyFont="true" borderId="8" applyBorder="true" applyNumberFormat="true" numFmtId="167" fillId="22" applyFill="true">
      <alignment horizontal="center" vertical="center"/>
    </xf>
    <xf fontId="22563" applyFont="true" borderId="8" applyBorder="true" applyNumberFormat="true" numFmtId="1" fillId="22" applyFill="true">
      <alignment horizontal="center" vertical="center"/>
    </xf>
    <xf fontId="22564" applyFont="true" borderId="8" applyBorder="true" applyNumberFormat="true" numFmtId="167" fillId="22" applyFill="true">
      <alignment horizontal="center" vertical="center"/>
    </xf>
    <xf fontId="22565" applyFont="true" borderId="8" applyBorder="true" applyNumberFormat="true" numFmtId="1" fillId="22" applyFill="true">
      <alignment horizontal="center" vertical="center"/>
    </xf>
    <xf fontId="22566" applyFont="true" borderId="8" applyBorder="true" applyNumberFormat="true" numFmtId="167" fillId="22" applyFill="true">
      <alignment horizontal="center" vertical="center"/>
    </xf>
    <xf fontId="22567" applyFont="true" borderId="8" applyBorder="true" applyNumberFormat="true" numFmtId="167" fillId="22" applyFill="true">
      <alignment horizontal="center" vertical="center"/>
    </xf>
    <xf fontId="22568" applyFont="true" borderId="8" applyBorder="true" applyNumberFormat="true" numFmtId="1" fillId="22" applyFill="true">
      <alignment horizontal="center" vertical="center"/>
    </xf>
    <xf fontId="22569" applyFont="true" borderId="8" applyBorder="true" applyNumberFormat="true" numFmtId="1" fillId="22" applyFill="true">
      <alignment horizontal="center" vertical="center"/>
    </xf>
    <xf fontId="22570" applyFont="true" borderId="8" applyBorder="true" applyNumberFormat="true" numFmtId="1" fillId="22" applyFill="true">
      <alignment horizontal="center" vertical="center"/>
    </xf>
    <xf fontId="22571" applyFont="true" borderId="8" applyBorder="true" applyNumberFormat="true" numFmtId="167" fillId="22" applyFill="true">
      <alignment horizontal="center" vertical="center"/>
    </xf>
    <xf fontId="22572" applyFont="true" borderId="8" applyBorder="true" applyNumberFormat="true" numFmtId="166" fillId="22" applyFill="true">
      <alignment horizontal="center" vertical="center"/>
    </xf>
    <xf fontId="22573" applyFont="true" borderId="8" applyBorder="true" applyNumberFormat="true" numFmtId="166" fillId="22" applyFill="true">
      <alignment horizontal="center" vertical="center"/>
    </xf>
    <xf fontId="22574" applyFont="true" borderId="8" applyBorder="true" applyNumberFormat="true" numFmtId="1" fillId="22" applyFill="true">
      <alignment horizontal="center" vertical="center"/>
    </xf>
    <xf fontId="22575" applyFont="true" borderId="8" applyBorder="true" applyNumberFormat="true" numFmtId="1" fillId="22" applyFill="true">
      <alignment horizontal="center" vertical="center"/>
    </xf>
    <xf fontId="22576" applyFont="true" borderId="8" applyBorder="true" applyNumberFormat="true" numFmtId="1" fillId="22" applyFill="true">
      <alignment horizontal="center" vertical="center"/>
    </xf>
    <xf fontId="22577" applyFont="true" borderId="8" applyBorder="true" applyNumberFormat="true" numFmtId="167" fillId="22" applyFill="true">
      <alignment horizontal="center" vertical="center"/>
    </xf>
    <xf fontId="22578" applyFont="true" borderId="8" applyBorder="true" applyNumberFormat="true" numFmtId="1" fillId="22" applyFill="true">
      <alignment horizontal="center" vertical="center"/>
    </xf>
    <xf fontId="22579" applyFont="true" borderId="8" applyBorder="true" applyNumberFormat="true" numFmtId="167" fillId="22" applyFill="true">
      <alignment horizontal="center" vertical="center"/>
    </xf>
    <xf fontId="22580" applyFont="true" borderId="8" applyBorder="true" applyNumberFormat="true" numFmtId="1" fillId="22" applyFill="true">
      <alignment horizontal="center" vertical="center"/>
    </xf>
    <xf fontId="22581" applyFont="true" borderId="8" applyBorder="true" applyNumberFormat="true" numFmtId="1" fillId="22" applyFill="true">
      <alignment horizontal="center" vertical="center"/>
    </xf>
    <xf fontId="22582" applyFont="true" borderId="8" applyBorder="true" applyNumberFormat="true" numFmtId="1" fillId="22" applyFill="true">
      <alignment horizontal="center" vertical="center"/>
    </xf>
    <xf fontId="22583" applyFont="true" borderId="8" applyBorder="true" applyNumberFormat="true" numFmtId="1" fillId="22" applyFill="true">
      <alignment horizontal="center" vertical="center"/>
    </xf>
    <xf fontId="22584" applyFont="true" borderId="8" applyBorder="true" applyNumberFormat="true" numFmtId="167" fillId="22" applyFill="true">
      <alignment horizontal="center" vertical="center"/>
    </xf>
    <xf fontId="22585" applyFont="true" borderId="8" applyBorder="true" applyNumberFormat="true" numFmtId="1" fillId="22" applyFill="true">
      <alignment horizontal="center" vertical="center"/>
    </xf>
    <xf fontId="22586" applyFont="true" borderId="8" applyBorder="true" applyNumberFormat="true" numFmtId="167" fillId="22" applyFill="true">
      <alignment horizontal="center" vertical="center"/>
    </xf>
    <xf fontId="22587" applyFont="true" borderId="8" applyBorder="true" applyNumberFormat="true" numFmtId="1" fillId="22" applyFill="true">
      <alignment horizontal="center" vertical="center"/>
    </xf>
    <xf fontId="22588" applyFont="true" borderId="8" applyBorder="true" applyNumberFormat="true" numFmtId="167" fillId="22" applyFill="true">
      <alignment horizontal="center" vertical="center"/>
    </xf>
    <xf fontId="22589" applyFont="true" borderId="8" applyBorder="true" applyNumberFormat="true" numFmtId="2" fillId="22" applyFill="true">
      <alignment horizontal="center" vertical="center"/>
    </xf>
    <xf fontId="22590" applyFont="true" borderId="8" applyBorder="true" applyNumberFormat="true" numFmtId="2" fillId="22" applyFill="true">
      <alignment horizontal="center" vertical="center"/>
    </xf>
    <xf fontId="22591" applyFont="true" borderId="8" applyBorder="true" applyNumberFormat="true" numFmtId="2" fillId="22" applyFill="true">
      <alignment horizontal="center" vertical="center"/>
    </xf>
    <xf fontId="22592" applyFont="true" borderId="8" applyBorder="true" applyNumberFormat="true" numFmtId="2" fillId="22" applyFill="true">
      <alignment horizontal="center" vertical="center"/>
    </xf>
    <xf fontId="22593" applyFont="true" borderId="8" applyBorder="true" applyNumberFormat="true" numFmtId="2" fillId="22" applyFill="true">
      <alignment horizontal="center" vertical="center"/>
    </xf>
    <xf fontId="22594" applyFont="true" borderId="8" applyBorder="true" applyNumberFormat="true" numFmtId="2" fillId="22" applyFill="true">
      <alignment horizontal="center" vertical="center"/>
    </xf>
    <xf fontId="22595" applyFont="true" borderId="8" applyBorder="true" applyNumberFormat="true" numFmtId="2" fillId="22" applyFill="true">
      <alignment horizontal="center" vertical="center"/>
    </xf>
    <xf fontId="22596" applyFont="true" borderId="8" applyBorder="true" applyNumberFormat="true" numFmtId="2" fillId="22" applyFill="true">
      <alignment horizontal="center" vertical="center"/>
    </xf>
    <xf fontId="22597" applyFont="true" borderId="8" applyBorder="true" applyNumberFormat="true" numFmtId="2" fillId="22" applyFill="true">
      <alignment horizontal="center" vertical="center"/>
    </xf>
    <xf fontId="22598" applyFont="true" borderId="8" applyBorder="true" applyNumberFormat="true" numFmtId="2" fillId="22" applyFill="true">
      <alignment horizontal="center" vertical="center"/>
    </xf>
    <xf fontId="22599" applyFont="true" borderId="8" applyBorder="true" applyNumberFormat="true" numFmtId="2" fillId="22" applyFill="true">
      <alignment horizontal="center" vertical="center"/>
    </xf>
    <xf fontId="22600" applyFont="true" borderId="8" applyBorder="true" applyNumberFormat="true" numFmtId="2" fillId="22" applyFill="true">
      <alignment horizontal="center" vertical="center"/>
    </xf>
    <xf fontId="22601" applyFont="true" borderId="8" applyBorder="true" applyNumberFormat="true" numFmtId="2" fillId="22" applyFill="true">
      <alignment horizontal="center" vertical="center"/>
    </xf>
    <xf fontId="22602" applyFont="true" borderId="8" applyBorder="true" applyNumberFormat="true" numFmtId="2" fillId="22" applyFill="true">
      <alignment horizontal="center" vertical="center"/>
    </xf>
    <xf fontId="22603" applyFont="true" borderId="8" applyBorder="true" applyNumberFormat="true" numFmtId="2" fillId="22" applyFill="true">
      <alignment horizontal="center" vertical="center"/>
    </xf>
    <xf fontId="22604" applyFont="true" borderId="8" applyBorder="true" applyNumberFormat="true" numFmtId="2" fillId="22" applyFill="true">
      <alignment horizontal="center" vertical="center"/>
    </xf>
    <xf fontId="22605" applyFont="true" borderId="8" applyBorder="true" applyNumberFormat="true" numFmtId="2" fillId="22" applyFill="true">
      <alignment horizontal="center" vertical="center"/>
    </xf>
    <xf fontId="22606" applyFont="true" borderId="8" applyBorder="true" applyNumberFormat="true" numFmtId="2" fillId="22" applyFill="true">
      <alignment horizontal="center" vertical="center"/>
    </xf>
    <xf fontId="22607" applyFont="true" borderId="8" applyBorder="true" applyNumberFormat="true" numFmtId="2" fillId="22" applyFill="true">
      <alignment horizontal="center" vertical="center"/>
    </xf>
    <xf fontId="22608" applyFont="true" borderId="8" applyBorder="true" applyNumberFormat="true" numFmtId="2" fillId="22" applyFill="true">
      <alignment horizontal="center" vertical="center"/>
    </xf>
    <xf fontId="22609" applyFont="true" borderId="8" applyBorder="true" applyNumberFormat="true" numFmtId="2" fillId="22" applyFill="true">
      <alignment horizontal="center" vertical="center"/>
    </xf>
    <xf fontId="22610" applyFont="true" borderId="8" applyBorder="true" applyNumberFormat="true" numFmtId="2" fillId="22" applyFill="true">
      <alignment horizontal="center" vertical="center"/>
    </xf>
    <xf fontId="22611" applyFont="true" borderId="8" applyBorder="true" applyNumberFormat="true" numFmtId="2" fillId="22" applyFill="true">
      <alignment horizontal="center" vertical="center"/>
    </xf>
    <xf fontId="22612" applyFont="true" borderId="8" applyBorder="true" applyNumberFormat="true" numFmtId="2" fillId="22" applyFill="true">
      <alignment horizontal="center" vertical="center"/>
    </xf>
    <xf fontId="22613" applyFont="true" borderId="8" applyBorder="true" applyNumberFormat="true" numFmtId="2" fillId="22" applyFill="true">
      <alignment horizontal="center" vertical="center"/>
    </xf>
    <xf fontId="22614" applyFont="true" borderId="8" applyBorder="true" applyNumberFormat="true" numFmtId="2" fillId="22" applyFill="true">
      <alignment horizontal="center" vertical="center"/>
    </xf>
    <xf fontId="22615" applyFont="true" borderId="8" applyBorder="true" applyNumberFormat="true" numFmtId="2" fillId="22" applyFill="true">
      <alignment horizontal="center" vertical="center"/>
    </xf>
    <xf fontId="22616" applyFont="true" borderId="8" applyBorder="true" applyNumberFormat="true" numFmtId="2" fillId="22" applyFill="true">
      <alignment horizontal="center" vertical="center"/>
    </xf>
    <xf fontId="22617" applyFont="true" borderId="8" applyBorder="true" applyNumberFormat="true" numFmtId="2" fillId="22" applyFill="true">
      <alignment horizontal="center" vertical="center"/>
    </xf>
    <xf fontId="22618" applyFont="true" borderId="8" applyBorder="true" applyNumberFormat="true" numFmtId="2" fillId="22" applyFill="true">
      <alignment horizontal="center" vertical="center"/>
    </xf>
    <xf fontId="22619" applyFont="true" borderId="8" applyBorder="true" applyNumberFormat="true" numFmtId="2" fillId="22" applyFill="true">
      <alignment horizontal="center" vertical="center"/>
    </xf>
    <xf fontId="22620" applyFont="true" borderId="8" applyBorder="true" applyNumberFormat="true" numFmtId="2" fillId="22" applyFill="true">
      <alignment horizontal="center" vertical="center"/>
    </xf>
    <xf fontId="22621" applyFont="true" borderId="8" applyBorder="true" applyNumberFormat="true" numFmtId="2" fillId="22" applyFill="true">
      <alignment horizontal="center" vertical="center"/>
    </xf>
    <xf fontId="22622" applyFont="true" borderId="8" applyBorder="true" applyNumberFormat="true" numFmtId="2" fillId="22" applyFill="true">
      <alignment horizontal="center" vertical="center"/>
    </xf>
    <xf fontId="22623" applyFont="true" borderId="8" applyBorder="true" applyNumberFormat="true" numFmtId="165" fillId="19" applyFill="true">
      <alignment horizontal="left" vertical="center"/>
    </xf>
    <xf fontId="22624" applyFont="true" borderId="8" applyBorder="true" applyNumberFormat="true" numFmtId="165" fillId="22" applyFill="true">
      <alignment horizontal="center" vertical="center"/>
    </xf>
    <xf fontId="22625" applyFont="true" borderId="8" applyBorder="true" applyNumberFormat="true" numFmtId="166" fillId="22" applyFill="true">
      <alignment horizontal="center" vertical="center"/>
    </xf>
    <xf fontId="22626" applyFont="true" borderId="8" applyBorder="true" applyNumberFormat="true" numFmtId="1" fillId="22" applyFill="true">
      <alignment horizontal="center" vertical="center"/>
    </xf>
    <xf fontId="22627" applyFont="true" borderId="8" applyBorder="true" applyNumberFormat="true" numFmtId="1" fillId="22" applyFill="true">
      <alignment horizontal="center" vertical="center"/>
    </xf>
    <xf fontId="22628" applyFont="true" borderId="8" applyBorder="true" applyNumberFormat="true" numFmtId="1" fillId="22" applyFill="true">
      <alignment horizontal="center" vertical="center"/>
    </xf>
    <xf fontId="22629" applyFont="true" borderId="8" applyBorder="true" applyNumberFormat="true" numFmtId="1" fillId="22" applyFill="true">
      <alignment horizontal="center" vertical="center"/>
    </xf>
    <xf fontId="22630" applyFont="true" borderId="8" applyBorder="true" applyNumberFormat="true" numFmtId="1" fillId="22" applyFill="true">
      <alignment horizontal="center" vertical="center"/>
    </xf>
    <xf fontId="22631" applyFont="true" borderId="8" applyBorder="true" applyNumberFormat="true" numFmtId="1" fillId="22" applyFill="true">
      <alignment horizontal="center" vertical="center"/>
    </xf>
    <xf fontId="22632" applyFont="true" borderId="8" applyBorder="true" applyNumberFormat="true" numFmtId="1" fillId="22" applyFill="true">
      <alignment horizontal="center" vertical="center"/>
    </xf>
    <xf fontId="22633" applyFont="true" borderId="8" applyBorder="true" applyNumberFormat="true" numFmtId="165" fillId="22" applyFill="true">
      <alignment horizontal="center" vertical="center"/>
    </xf>
    <xf fontId="22634" applyFont="true" borderId="8" applyBorder="true" applyNumberFormat="true" numFmtId="165" fillId="22" applyFill="true">
      <alignment horizontal="center" vertical="center"/>
    </xf>
    <xf fontId="22635" applyFont="true" borderId="8" applyBorder="true" applyNumberFormat="true" numFmtId="1" fillId="22" applyFill="true">
      <alignment horizontal="center" vertical="center"/>
    </xf>
    <xf fontId="22636" applyFont="true" borderId="8" applyBorder="true" applyNumberFormat="true" numFmtId="1" fillId="22" applyFill="true">
      <alignment horizontal="center" vertical="center"/>
    </xf>
    <xf fontId="22637" applyFont="true" borderId="8" applyBorder="true" applyNumberFormat="true" numFmtId="1" fillId="22" applyFill="true">
      <alignment horizontal="center" vertical="center"/>
    </xf>
    <xf fontId="22638" applyFont="true" borderId="8" applyBorder="true" applyNumberFormat="true" numFmtId="167" fillId="22" applyFill="true">
      <alignment horizontal="center" vertical="center"/>
    </xf>
    <xf fontId="22639" applyFont="true" borderId="8" applyBorder="true" applyNumberFormat="true" numFmtId="1" fillId="22" applyFill="true">
      <alignment horizontal="center" vertical="center"/>
    </xf>
    <xf fontId="22640" applyFont="true" borderId="8" applyBorder="true" applyNumberFormat="true" numFmtId="167" fillId="22" applyFill="true">
      <alignment horizontal="center" vertical="center"/>
    </xf>
    <xf fontId="22641" applyFont="true" borderId="8" applyBorder="true" applyNumberFormat="true" numFmtId="1" fillId="22" applyFill="true">
      <alignment horizontal="center" vertical="center"/>
    </xf>
    <xf fontId="22642" applyFont="true" borderId="8" applyBorder="true" applyNumberFormat="true" numFmtId="167" fillId="22" applyFill="true">
      <alignment horizontal="center" vertical="center"/>
    </xf>
    <xf fontId="22643" applyFont="true" borderId="8" applyBorder="true" applyNumberFormat="true" numFmtId="1" fillId="22" applyFill="true">
      <alignment horizontal="center" vertical="center"/>
    </xf>
    <xf fontId="22644" applyFont="true" borderId="8" applyBorder="true" applyNumberFormat="true" numFmtId="167" fillId="22" applyFill="true">
      <alignment horizontal="center" vertical="center"/>
    </xf>
    <xf fontId="22645" applyFont="true" borderId="8" applyBorder="true" applyNumberFormat="true" numFmtId="167" fillId="22" applyFill="true">
      <alignment horizontal="center" vertical="center"/>
    </xf>
    <xf fontId="22646" applyFont="true" borderId="8" applyBorder="true" applyNumberFormat="true" numFmtId="1" fillId="22" applyFill="true">
      <alignment horizontal="center" vertical="center"/>
    </xf>
    <xf fontId="22647" applyFont="true" borderId="8" applyBorder="true" applyNumberFormat="true" numFmtId="1" fillId="22" applyFill="true">
      <alignment horizontal="center" vertical="center"/>
    </xf>
    <xf fontId="22648" applyFont="true" borderId="8" applyBorder="true" applyNumberFormat="true" numFmtId="1" fillId="22" applyFill="true">
      <alignment horizontal="center" vertical="center"/>
    </xf>
    <xf fontId="22649" applyFont="true" borderId="8" applyBorder="true" applyNumberFormat="true" numFmtId="167" fillId="22" applyFill="true">
      <alignment horizontal="center" vertical="center"/>
    </xf>
    <xf fontId="22650" applyFont="true" borderId="8" applyBorder="true" applyNumberFormat="true" numFmtId="166" fillId="22" applyFill="true">
      <alignment horizontal="center" vertical="center"/>
    </xf>
    <xf fontId="22651" applyFont="true" borderId="8" applyBorder="true" applyNumberFormat="true" numFmtId="166" fillId="22" applyFill="true">
      <alignment horizontal="center" vertical="center"/>
    </xf>
    <xf fontId="22652" applyFont="true" borderId="8" applyBorder="true" applyNumberFormat="true" numFmtId="1" fillId="22" applyFill="true">
      <alignment horizontal="center" vertical="center"/>
    </xf>
    <xf fontId="22653" applyFont="true" borderId="8" applyBorder="true" applyNumberFormat="true" numFmtId="1" fillId="22" applyFill="true">
      <alignment horizontal="center" vertical="center"/>
    </xf>
    <xf fontId="22654" applyFont="true" borderId="8" applyBorder="true" applyNumberFormat="true" numFmtId="1" fillId="22" applyFill="true">
      <alignment horizontal="center" vertical="center"/>
    </xf>
    <xf fontId="22655" applyFont="true" borderId="8" applyBorder="true" applyNumberFormat="true" numFmtId="167" fillId="22" applyFill="true">
      <alignment horizontal="center" vertical="center"/>
    </xf>
    <xf fontId="22656" applyFont="true" borderId="8" applyBorder="true" applyNumberFormat="true" numFmtId="1" fillId="22" applyFill="true">
      <alignment horizontal="center" vertical="center"/>
    </xf>
    <xf fontId="22657" applyFont="true" borderId="8" applyBorder="true" applyNumberFormat="true" numFmtId="167" fillId="22" applyFill="true">
      <alignment horizontal="center" vertical="center"/>
    </xf>
    <xf fontId="22658" applyFont="true" borderId="8" applyBorder="true" applyNumberFormat="true" numFmtId="1" fillId="22" applyFill="true">
      <alignment horizontal="center" vertical="center"/>
    </xf>
    <xf fontId="22659" applyFont="true" borderId="8" applyBorder="true" applyNumberFormat="true" numFmtId="1" fillId="22" applyFill="true">
      <alignment horizontal="center" vertical="center"/>
    </xf>
    <xf fontId="22660" applyFont="true" borderId="8" applyBorder="true" applyNumberFormat="true" numFmtId="1" fillId="22" applyFill="true">
      <alignment horizontal="center" vertical="center"/>
    </xf>
    <xf fontId="22661" applyFont="true" borderId="8" applyBorder="true" applyNumberFormat="true" numFmtId="1" fillId="22" applyFill="true">
      <alignment horizontal="center" vertical="center"/>
    </xf>
    <xf fontId="22662" applyFont="true" borderId="8" applyBorder="true" applyNumberFormat="true" numFmtId="167" fillId="22" applyFill="true">
      <alignment horizontal="center" vertical="center"/>
    </xf>
    <xf fontId="22663" applyFont="true" borderId="8" applyBorder="true" applyNumberFormat="true" numFmtId="1" fillId="22" applyFill="true">
      <alignment horizontal="center" vertical="center"/>
    </xf>
    <xf fontId="22664" applyFont="true" borderId="8" applyBorder="true" applyNumberFormat="true" numFmtId="167" fillId="22" applyFill="true">
      <alignment horizontal="center" vertical="center"/>
    </xf>
    <xf fontId="22665" applyFont="true" borderId="8" applyBorder="true" applyNumberFormat="true" numFmtId="1" fillId="22" applyFill="true">
      <alignment horizontal="center" vertical="center"/>
    </xf>
    <xf fontId="22666" applyFont="true" borderId="8" applyBorder="true" applyNumberFormat="true" numFmtId="167" fillId="22" applyFill="true">
      <alignment horizontal="center" vertical="center"/>
    </xf>
    <xf fontId="22667" applyFont="true" borderId="8" applyBorder="true" applyNumberFormat="true" numFmtId="2" fillId="22" applyFill="true">
      <alignment horizontal="center" vertical="center"/>
    </xf>
    <xf fontId="22668" applyFont="true" borderId="8" applyBorder="true" applyNumberFormat="true" numFmtId="2" fillId="22" applyFill="true">
      <alignment horizontal="center" vertical="center"/>
    </xf>
    <xf fontId="22669" applyFont="true" borderId="8" applyBorder="true" applyNumberFormat="true" numFmtId="2" fillId="22" applyFill="true">
      <alignment horizontal="center" vertical="center"/>
    </xf>
    <xf fontId="22670" applyFont="true" borderId="8" applyBorder="true" applyNumberFormat="true" numFmtId="2" fillId="22" applyFill="true">
      <alignment horizontal="center" vertical="center"/>
    </xf>
    <xf fontId="22671" applyFont="true" borderId="8" applyBorder="true" applyNumberFormat="true" numFmtId="2" fillId="22" applyFill="true">
      <alignment horizontal="center" vertical="center"/>
    </xf>
    <xf fontId="22672" applyFont="true" borderId="8" applyBorder="true" applyNumberFormat="true" numFmtId="2" fillId="22" applyFill="true">
      <alignment horizontal="center" vertical="center"/>
    </xf>
    <xf fontId="22673" applyFont="true" borderId="8" applyBorder="true" applyNumberFormat="true" numFmtId="2" fillId="22" applyFill="true">
      <alignment horizontal="center" vertical="center"/>
    </xf>
    <xf fontId="22674" applyFont="true" borderId="8" applyBorder="true" applyNumberFormat="true" numFmtId="2" fillId="22" applyFill="true">
      <alignment horizontal="center" vertical="center"/>
    </xf>
    <xf fontId="22675" applyFont="true" borderId="8" applyBorder="true" applyNumberFormat="true" numFmtId="2" fillId="22" applyFill="true">
      <alignment horizontal="center" vertical="center"/>
    </xf>
    <xf fontId="22676" applyFont="true" borderId="8" applyBorder="true" applyNumberFormat="true" numFmtId="2" fillId="22" applyFill="true">
      <alignment horizontal="center" vertical="center"/>
    </xf>
    <xf fontId="22677" applyFont="true" borderId="8" applyBorder="true" applyNumberFormat="true" numFmtId="2" fillId="22" applyFill="true">
      <alignment horizontal="center" vertical="center"/>
    </xf>
    <xf fontId="22678" applyFont="true" borderId="8" applyBorder="true" applyNumberFormat="true" numFmtId="2" fillId="22" applyFill="true">
      <alignment horizontal="center" vertical="center"/>
    </xf>
    <xf fontId="22679" applyFont="true" borderId="8" applyBorder="true" applyNumberFormat="true" numFmtId="2" fillId="22" applyFill="true">
      <alignment horizontal="center" vertical="center"/>
    </xf>
    <xf fontId="22680" applyFont="true" borderId="8" applyBorder="true" applyNumberFormat="true" numFmtId="2" fillId="22" applyFill="true">
      <alignment horizontal="center" vertical="center"/>
    </xf>
    <xf fontId="22681" applyFont="true" borderId="8" applyBorder="true" applyNumberFormat="true" numFmtId="2" fillId="22" applyFill="true">
      <alignment horizontal="center" vertical="center"/>
    </xf>
    <xf fontId="22682" applyFont="true" borderId="8" applyBorder="true" applyNumberFormat="true" numFmtId="2" fillId="22" applyFill="true">
      <alignment horizontal="center" vertical="center"/>
    </xf>
    <xf fontId="22683" applyFont="true" borderId="8" applyBorder="true" applyNumberFormat="true" numFmtId="2" fillId="22" applyFill="true">
      <alignment horizontal="center" vertical="center"/>
    </xf>
    <xf fontId="22684" applyFont="true" borderId="8" applyBorder="true" applyNumberFormat="true" numFmtId="2" fillId="22" applyFill="true">
      <alignment horizontal="center" vertical="center"/>
    </xf>
    <xf fontId="22685" applyFont="true" borderId="8" applyBorder="true" applyNumberFormat="true" numFmtId="2" fillId="22" applyFill="true">
      <alignment horizontal="center" vertical="center"/>
    </xf>
    <xf fontId="22686" applyFont="true" borderId="8" applyBorder="true" applyNumberFormat="true" numFmtId="2" fillId="22" applyFill="true">
      <alignment horizontal="center" vertical="center"/>
    </xf>
    <xf fontId="22687" applyFont="true" borderId="8" applyBorder="true" applyNumberFormat="true" numFmtId="2" fillId="22" applyFill="true">
      <alignment horizontal="center" vertical="center"/>
    </xf>
    <xf fontId="22688" applyFont="true" borderId="8" applyBorder="true" applyNumberFormat="true" numFmtId="2" fillId="22" applyFill="true">
      <alignment horizontal="center" vertical="center"/>
    </xf>
    <xf fontId="22689" applyFont="true" borderId="8" applyBorder="true" applyNumberFormat="true" numFmtId="2" fillId="22" applyFill="true">
      <alignment horizontal="center" vertical="center"/>
    </xf>
    <xf fontId="22690" applyFont="true" borderId="8" applyBorder="true" applyNumberFormat="true" numFmtId="2" fillId="22" applyFill="true">
      <alignment horizontal="center" vertical="center"/>
    </xf>
    <xf fontId="22691" applyFont="true" borderId="8" applyBorder="true" applyNumberFormat="true" numFmtId="2" fillId="22" applyFill="true">
      <alignment horizontal="center" vertical="center"/>
    </xf>
    <xf fontId="22692" applyFont="true" borderId="8" applyBorder="true" applyNumberFormat="true" numFmtId="2" fillId="22" applyFill="true">
      <alignment horizontal="center" vertical="center"/>
    </xf>
    <xf fontId="22693" applyFont="true" borderId="8" applyBorder="true" applyNumberFormat="true" numFmtId="2" fillId="22" applyFill="true">
      <alignment horizontal="center" vertical="center"/>
    </xf>
    <xf fontId="22694" applyFont="true" borderId="8" applyBorder="true" applyNumberFormat="true" numFmtId="2" fillId="22" applyFill="true">
      <alignment horizontal="center" vertical="center"/>
    </xf>
    <xf fontId="22695" applyFont="true" borderId="8" applyBorder="true" applyNumberFormat="true" numFmtId="2" fillId="22" applyFill="true">
      <alignment horizontal="center" vertical="center"/>
    </xf>
    <xf fontId="22696" applyFont="true" borderId="8" applyBorder="true" applyNumberFormat="true" numFmtId="2" fillId="22" applyFill="true">
      <alignment horizontal="center" vertical="center"/>
    </xf>
    <xf fontId="22697" applyFont="true" borderId="8" applyBorder="true" applyNumberFormat="true" numFmtId="2" fillId="22" applyFill="true">
      <alignment horizontal="center" vertical="center"/>
    </xf>
    <xf fontId="22698" applyFont="true" borderId="8" applyBorder="true" applyNumberFormat="true" numFmtId="2" fillId="22" applyFill="true">
      <alignment horizontal="center" vertical="center"/>
    </xf>
    <xf fontId="22699" applyFont="true" borderId="8" applyBorder="true" applyNumberFormat="true" numFmtId="2" fillId="22" applyFill="true">
      <alignment horizontal="center" vertical="center"/>
    </xf>
    <xf fontId="22700" applyFont="true" borderId="8" applyBorder="true" applyNumberFormat="true" numFmtId="2" fillId="22" applyFill="true">
      <alignment horizontal="center" vertical="center"/>
    </xf>
    <xf fontId="22701" applyFont="true" borderId="8" applyBorder="true" applyNumberFormat="true" numFmtId="165" fillId="19" applyFill="true">
      <alignment horizontal="left" vertical="center"/>
    </xf>
    <xf fontId="22702" applyFont="true" borderId="8" applyBorder="true" applyNumberFormat="true" numFmtId="165" fillId="22" applyFill="true">
      <alignment horizontal="center" vertical="center"/>
    </xf>
    <xf fontId="22703" applyFont="true" borderId="8" applyBorder="true" applyNumberFormat="true" numFmtId="166" fillId="22" applyFill="true">
      <alignment horizontal="center" vertical="center"/>
    </xf>
    <xf fontId="22704" applyFont="true" borderId="8" applyBorder="true" applyNumberFormat="true" numFmtId="1" fillId="22" applyFill="true">
      <alignment horizontal="center" vertical="center"/>
    </xf>
    <xf fontId="22705" applyFont="true" borderId="8" applyBorder="true" applyNumberFormat="true" numFmtId="1" fillId="22" applyFill="true">
      <alignment horizontal="center" vertical="center"/>
    </xf>
    <xf fontId="22706" applyFont="true" borderId="8" applyBorder="true" applyNumberFormat="true" numFmtId="1" fillId="22" applyFill="true">
      <alignment horizontal="center" vertical="center"/>
    </xf>
    <xf fontId="22707" applyFont="true" borderId="8" applyBorder="true" applyNumberFormat="true" numFmtId="1" fillId="22" applyFill="true">
      <alignment horizontal="center" vertical="center"/>
    </xf>
    <xf fontId="22708" applyFont="true" borderId="8" applyBorder="true" applyNumberFormat="true" numFmtId="1" fillId="22" applyFill="true">
      <alignment horizontal="center" vertical="center"/>
    </xf>
    <xf fontId="22709" applyFont="true" borderId="8" applyBorder="true" applyNumberFormat="true" numFmtId="1" fillId="22" applyFill="true">
      <alignment horizontal="center" vertical="center"/>
    </xf>
    <xf fontId="22710" applyFont="true" borderId="8" applyBorder="true" applyNumberFormat="true" numFmtId="1" fillId="22" applyFill="true">
      <alignment horizontal="center" vertical="center"/>
    </xf>
    <xf fontId="22711" applyFont="true" borderId="8" applyBorder="true" applyNumberFormat="true" numFmtId="165" fillId="22" applyFill="true">
      <alignment horizontal="center" vertical="center"/>
    </xf>
    <xf fontId="22712" applyFont="true" borderId="8" applyBorder="true" applyNumberFormat="true" numFmtId="165" fillId="22" applyFill="true">
      <alignment horizontal="center" vertical="center"/>
    </xf>
    <xf fontId="22713" applyFont="true" borderId="8" applyBorder="true" applyNumberFormat="true" numFmtId="1" fillId="22" applyFill="true">
      <alignment horizontal="center" vertical="center"/>
    </xf>
    <xf fontId="22714" applyFont="true" borderId="8" applyBorder="true" applyNumberFormat="true" numFmtId="1" fillId="22" applyFill="true">
      <alignment horizontal="center" vertical="center"/>
    </xf>
    <xf fontId="22715" applyFont="true" borderId="8" applyBorder="true" applyNumberFormat="true" numFmtId="1" fillId="22" applyFill="true">
      <alignment horizontal="center" vertical="center"/>
    </xf>
    <xf fontId="22716" applyFont="true" borderId="8" applyBorder="true" applyNumberFormat="true" numFmtId="167" fillId="22" applyFill="true">
      <alignment horizontal="center" vertical="center"/>
    </xf>
    <xf fontId="22717" applyFont="true" borderId="8" applyBorder="true" applyNumberFormat="true" numFmtId="1" fillId="22" applyFill="true">
      <alignment horizontal="center" vertical="center"/>
    </xf>
    <xf fontId="22718" applyFont="true" borderId="8" applyBorder="true" applyNumberFormat="true" numFmtId="167" fillId="22" applyFill="true">
      <alignment horizontal="center" vertical="center"/>
    </xf>
    <xf fontId="22719" applyFont="true" borderId="8" applyBorder="true" applyNumberFormat="true" numFmtId="1" fillId="22" applyFill="true">
      <alignment horizontal="center" vertical="center"/>
    </xf>
    <xf fontId="22720" applyFont="true" borderId="8" applyBorder="true" applyNumberFormat="true" numFmtId="167" fillId="22" applyFill="true">
      <alignment horizontal="center" vertical="center"/>
    </xf>
    <xf fontId="22721" applyFont="true" borderId="8" applyBorder="true" applyNumberFormat="true" numFmtId="1" fillId="22" applyFill="true">
      <alignment horizontal="center" vertical="center"/>
    </xf>
    <xf fontId="22722" applyFont="true" borderId="8" applyBorder="true" applyNumberFormat="true" numFmtId="167" fillId="22" applyFill="true">
      <alignment horizontal="center" vertical="center"/>
    </xf>
    <xf fontId="22723" applyFont="true" borderId="8" applyBorder="true" applyNumberFormat="true" numFmtId="167" fillId="22" applyFill="true">
      <alignment horizontal="center" vertical="center"/>
    </xf>
    <xf fontId="22724" applyFont="true" borderId="8" applyBorder="true" applyNumberFormat="true" numFmtId="1" fillId="22" applyFill="true">
      <alignment horizontal="center" vertical="center"/>
    </xf>
    <xf fontId="22725" applyFont="true" borderId="8" applyBorder="true" applyNumberFormat="true" numFmtId="1" fillId="22" applyFill="true">
      <alignment horizontal="center" vertical="center"/>
    </xf>
    <xf fontId="22726" applyFont="true" borderId="8" applyBorder="true" applyNumberFormat="true" numFmtId="1" fillId="22" applyFill="true">
      <alignment horizontal="center" vertical="center"/>
    </xf>
    <xf fontId="22727" applyFont="true" borderId="8" applyBorder="true" applyNumberFormat="true" numFmtId="167" fillId="22" applyFill="true">
      <alignment horizontal="center" vertical="center"/>
    </xf>
    <xf fontId="22728" applyFont="true" borderId="8" applyBorder="true" applyNumberFormat="true" numFmtId="166" fillId="22" applyFill="true">
      <alignment horizontal="center" vertical="center"/>
    </xf>
    <xf fontId="22729" applyFont="true" borderId="8" applyBorder="true" applyNumberFormat="true" numFmtId="166" fillId="22" applyFill="true">
      <alignment horizontal="center" vertical="center"/>
    </xf>
    <xf fontId="22730" applyFont="true" borderId="8" applyBorder="true" applyNumberFormat="true" numFmtId="1" fillId="22" applyFill="true">
      <alignment horizontal="center" vertical="center"/>
    </xf>
    <xf fontId="22731" applyFont="true" borderId="8" applyBorder="true" applyNumberFormat="true" numFmtId="1" fillId="22" applyFill="true">
      <alignment horizontal="center" vertical="center"/>
    </xf>
    <xf fontId="22732" applyFont="true" borderId="8" applyBorder="true" applyNumberFormat="true" numFmtId="1" fillId="22" applyFill="true">
      <alignment horizontal="center" vertical="center"/>
    </xf>
    <xf fontId="22733" applyFont="true" borderId="8" applyBorder="true" applyNumberFormat="true" numFmtId="167" fillId="22" applyFill="true">
      <alignment horizontal="center" vertical="center"/>
    </xf>
    <xf fontId="22734" applyFont="true" borderId="8" applyBorder="true" applyNumberFormat="true" numFmtId="1" fillId="22" applyFill="true">
      <alignment horizontal="center" vertical="center"/>
    </xf>
    <xf fontId="22735" applyFont="true" borderId="8" applyBorder="true" applyNumberFormat="true" numFmtId="167" fillId="22" applyFill="true">
      <alignment horizontal="center" vertical="center"/>
    </xf>
    <xf fontId="22736" applyFont="true" borderId="8" applyBorder="true" applyNumberFormat="true" numFmtId="1" fillId="22" applyFill="true">
      <alignment horizontal="center" vertical="center"/>
    </xf>
    <xf fontId="22737" applyFont="true" borderId="8" applyBorder="true" applyNumberFormat="true" numFmtId="1" fillId="22" applyFill="true">
      <alignment horizontal="center" vertical="center"/>
    </xf>
    <xf fontId="22738" applyFont="true" borderId="8" applyBorder="true" applyNumberFormat="true" numFmtId="1" fillId="22" applyFill="true">
      <alignment horizontal="center" vertical="center"/>
    </xf>
    <xf fontId="22739" applyFont="true" borderId="8" applyBorder="true" applyNumberFormat="true" numFmtId="1" fillId="22" applyFill="true">
      <alignment horizontal="center" vertical="center"/>
    </xf>
    <xf fontId="22740" applyFont="true" borderId="8" applyBorder="true" applyNumberFormat="true" numFmtId="167" fillId="22" applyFill="true">
      <alignment horizontal="center" vertical="center"/>
    </xf>
    <xf fontId="22741" applyFont="true" borderId="8" applyBorder="true" applyNumberFormat="true" numFmtId="1" fillId="22" applyFill="true">
      <alignment horizontal="center" vertical="center"/>
    </xf>
    <xf fontId="22742" applyFont="true" borderId="8" applyBorder="true" applyNumberFormat="true" numFmtId="167" fillId="22" applyFill="true">
      <alignment horizontal="center" vertical="center"/>
    </xf>
    <xf fontId="22743" applyFont="true" borderId="8" applyBorder="true" applyNumberFormat="true" numFmtId="1" fillId="22" applyFill="true">
      <alignment horizontal="center" vertical="center"/>
    </xf>
    <xf fontId="22744" applyFont="true" borderId="8" applyBorder="true" applyNumberFormat="true" numFmtId="167" fillId="22" applyFill="true">
      <alignment horizontal="center" vertical="center"/>
    </xf>
    <xf fontId="22745" applyFont="true" borderId="8" applyBorder="true" applyNumberFormat="true" numFmtId="2" fillId="22" applyFill="true">
      <alignment horizontal="center" vertical="center"/>
    </xf>
    <xf fontId="22746" applyFont="true" borderId="8" applyBorder="true" applyNumberFormat="true" numFmtId="2" fillId="22" applyFill="true">
      <alignment horizontal="center" vertical="center"/>
    </xf>
    <xf fontId="22747" applyFont="true" borderId="8" applyBorder="true" applyNumberFormat="true" numFmtId="2" fillId="22" applyFill="true">
      <alignment horizontal="center" vertical="center"/>
    </xf>
    <xf fontId="22748" applyFont="true" borderId="8" applyBorder="true" applyNumberFormat="true" numFmtId="2" fillId="22" applyFill="true">
      <alignment horizontal="center" vertical="center"/>
    </xf>
    <xf fontId="22749" applyFont="true" borderId="8" applyBorder="true" applyNumberFormat="true" numFmtId="2" fillId="22" applyFill="true">
      <alignment horizontal="center" vertical="center"/>
    </xf>
    <xf fontId="22750" applyFont="true" borderId="8" applyBorder="true" applyNumberFormat="true" numFmtId="2" fillId="22" applyFill="true">
      <alignment horizontal="center" vertical="center"/>
    </xf>
    <xf fontId="22751" applyFont="true" borderId="8" applyBorder="true" applyNumberFormat="true" numFmtId="2" fillId="22" applyFill="true">
      <alignment horizontal="center" vertical="center"/>
    </xf>
    <xf fontId="22752" applyFont="true" borderId="8" applyBorder="true" applyNumberFormat="true" numFmtId="2" fillId="22" applyFill="true">
      <alignment horizontal="center" vertical="center"/>
    </xf>
    <xf fontId="22753" applyFont="true" borderId="8" applyBorder="true" applyNumberFormat="true" numFmtId="2" fillId="22" applyFill="true">
      <alignment horizontal="center" vertical="center"/>
    </xf>
    <xf fontId="22754" applyFont="true" borderId="8" applyBorder="true" applyNumberFormat="true" numFmtId="2" fillId="22" applyFill="true">
      <alignment horizontal="center" vertical="center"/>
    </xf>
    <xf fontId="22755" applyFont="true" borderId="8" applyBorder="true" applyNumberFormat="true" numFmtId="2" fillId="22" applyFill="true">
      <alignment horizontal="center" vertical="center"/>
    </xf>
    <xf fontId="22756" applyFont="true" borderId="8" applyBorder="true" applyNumberFormat="true" numFmtId="2" fillId="22" applyFill="true">
      <alignment horizontal="center" vertical="center"/>
    </xf>
    <xf fontId="22757" applyFont="true" borderId="8" applyBorder="true" applyNumberFormat="true" numFmtId="2" fillId="22" applyFill="true">
      <alignment horizontal="center" vertical="center"/>
    </xf>
    <xf fontId="22758" applyFont="true" borderId="8" applyBorder="true" applyNumberFormat="true" numFmtId="2" fillId="22" applyFill="true">
      <alignment horizontal="center" vertical="center"/>
    </xf>
    <xf fontId="22759" applyFont="true" borderId="8" applyBorder="true" applyNumberFormat="true" numFmtId="2" fillId="22" applyFill="true">
      <alignment horizontal="center" vertical="center"/>
    </xf>
    <xf fontId="22760" applyFont="true" borderId="8" applyBorder="true" applyNumberFormat="true" numFmtId="2" fillId="22" applyFill="true">
      <alignment horizontal="center" vertical="center"/>
    </xf>
    <xf fontId="22761" applyFont="true" borderId="8" applyBorder="true" applyNumberFormat="true" numFmtId="2" fillId="22" applyFill="true">
      <alignment horizontal="center" vertical="center"/>
    </xf>
    <xf fontId="22762" applyFont="true" borderId="8" applyBorder="true" applyNumberFormat="true" numFmtId="2" fillId="22" applyFill="true">
      <alignment horizontal="center" vertical="center"/>
    </xf>
    <xf fontId="22763" applyFont="true" borderId="8" applyBorder="true" applyNumberFormat="true" numFmtId="2" fillId="22" applyFill="true">
      <alignment horizontal="center" vertical="center"/>
    </xf>
    <xf fontId="22764" applyFont="true" borderId="8" applyBorder="true" applyNumberFormat="true" numFmtId="2" fillId="22" applyFill="true">
      <alignment horizontal="center" vertical="center"/>
    </xf>
    <xf fontId="22765" applyFont="true" borderId="8" applyBorder="true" applyNumberFormat="true" numFmtId="2" fillId="22" applyFill="true">
      <alignment horizontal="center" vertical="center"/>
    </xf>
    <xf fontId="22766" applyFont="true" borderId="8" applyBorder="true" applyNumberFormat="true" numFmtId="2" fillId="22" applyFill="true">
      <alignment horizontal="center" vertical="center"/>
    </xf>
    <xf fontId="22767" applyFont="true" borderId="8" applyBorder="true" applyNumberFormat="true" numFmtId="2" fillId="22" applyFill="true">
      <alignment horizontal="center" vertical="center"/>
    </xf>
    <xf fontId="22768" applyFont="true" borderId="8" applyBorder="true" applyNumberFormat="true" numFmtId="2" fillId="22" applyFill="true">
      <alignment horizontal="center" vertical="center"/>
    </xf>
    <xf fontId="22769" applyFont="true" borderId="8" applyBorder="true" applyNumberFormat="true" numFmtId="2" fillId="22" applyFill="true">
      <alignment horizontal="center" vertical="center"/>
    </xf>
    <xf fontId="22770" applyFont="true" borderId="8" applyBorder="true" applyNumberFormat="true" numFmtId="2" fillId="22" applyFill="true">
      <alignment horizontal="center" vertical="center"/>
    </xf>
    <xf fontId="22771" applyFont="true" borderId="8" applyBorder="true" applyNumberFormat="true" numFmtId="2" fillId="22" applyFill="true">
      <alignment horizontal="center" vertical="center"/>
    </xf>
    <xf fontId="22772" applyFont="true" borderId="8" applyBorder="true" applyNumberFormat="true" numFmtId="2" fillId="22" applyFill="true">
      <alignment horizontal="center" vertical="center"/>
    </xf>
    <xf fontId="22773" applyFont="true" borderId="8" applyBorder="true" applyNumberFormat="true" numFmtId="2" fillId="22" applyFill="true">
      <alignment horizontal="center" vertical="center"/>
    </xf>
    <xf fontId="22774" applyFont="true" borderId="8" applyBorder="true" applyNumberFormat="true" numFmtId="2" fillId="22" applyFill="true">
      <alignment horizontal="center" vertical="center"/>
    </xf>
    <xf fontId="22775" applyFont="true" borderId="8" applyBorder="true" applyNumberFormat="true" numFmtId="2" fillId="22" applyFill="true">
      <alignment horizontal="center" vertical="center"/>
    </xf>
    <xf fontId="22776" applyFont="true" borderId="8" applyBorder="true" applyNumberFormat="true" numFmtId="2" fillId="22" applyFill="true">
      <alignment horizontal="center" vertical="center"/>
    </xf>
    <xf fontId="22777" applyFont="true" borderId="8" applyBorder="true" applyNumberFormat="true" numFmtId="2" fillId="22" applyFill="true">
      <alignment horizontal="center" vertical="center"/>
    </xf>
    <xf fontId="22778" applyFont="true" borderId="8" applyBorder="true" applyNumberFormat="true" numFmtId="2" fillId="22" applyFill="true">
      <alignment horizontal="center" vertical="center"/>
    </xf>
    <xf fontId="22779" applyFont="true" borderId="8" applyBorder="true" applyNumberFormat="true" numFmtId="165" fillId="19" applyFill="true">
      <alignment horizontal="left" vertical="center"/>
    </xf>
    <xf fontId="22780" applyFont="true" borderId="8" applyBorder="true" applyNumberFormat="true" numFmtId="165" fillId="22" applyFill="true">
      <alignment horizontal="center" vertical="center"/>
    </xf>
    <xf fontId="22781" applyFont="true" borderId="8" applyBorder="true" applyNumberFormat="true" numFmtId="166" fillId="22" applyFill="true">
      <alignment horizontal="center" vertical="center"/>
    </xf>
    <xf fontId="22782" applyFont="true" borderId="8" applyBorder="true" applyNumberFormat="true" numFmtId="1" fillId="22" applyFill="true">
      <alignment horizontal="center" vertical="center"/>
    </xf>
    <xf fontId="22783" applyFont="true" borderId="8" applyBorder="true" applyNumberFormat="true" numFmtId="1" fillId="22" applyFill="true">
      <alignment horizontal="center" vertical="center"/>
    </xf>
    <xf fontId="22784" applyFont="true" borderId="8" applyBorder="true" applyNumberFormat="true" numFmtId="1" fillId="22" applyFill="true">
      <alignment horizontal="center" vertical="center"/>
    </xf>
    <xf fontId="22785" applyFont="true" borderId="8" applyBorder="true" applyNumberFormat="true" numFmtId="1" fillId="22" applyFill="true">
      <alignment horizontal="center" vertical="center"/>
    </xf>
    <xf fontId="22786" applyFont="true" borderId="8" applyBorder="true" applyNumberFormat="true" numFmtId="1" fillId="22" applyFill="true">
      <alignment horizontal="center" vertical="center"/>
    </xf>
    <xf fontId="22787" applyFont="true" borderId="8" applyBorder="true" applyNumberFormat="true" numFmtId="1" fillId="22" applyFill="true">
      <alignment horizontal="center" vertical="center"/>
    </xf>
    <xf fontId="22788" applyFont="true" borderId="8" applyBorder="true" applyNumberFormat="true" numFmtId="1" fillId="22" applyFill="true">
      <alignment horizontal="center" vertical="center"/>
    </xf>
    <xf fontId="22789" applyFont="true" borderId="8" applyBorder="true" applyNumberFormat="true" numFmtId="165" fillId="22" applyFill="true">
      <alignment horizontal="center" vertical="center"/>
    </xf>
    <xf fontId="22790" applyFont="true" borderId="8" applyBorder="true" applyNumberFormat="true" numFmtId="165" fillId="22" applyFill="true">
      <alignment horizontal="center" vertical="center"/>
    </xf>
    <xf fontId="22791" applyFont="true" borderId="8" applyBorder="true" applyNumberFormat="true" numFmtId="1" fillId="22" applyFill="true">
      <alignment horizontal="center" vertical="center"/>
    </xf>
    <xf fontId="22792" applyFont="true" borderId="8" applyBorder="true" applyNumberFormat="true" numFmtId="1" fillId="22" applyFill="true">
      <alignment horizontal="center" vertical="center"/>
    </xf>
    <xf fontId="22793" applyFont="true" borderId="8" applyBorder="true" applyNumberFormat="true" numFmtId="1" fillId="22" applyFill="true">
      <alignment horizontal="center" vertical="center"/>
    </xf>
    <xf fontId="22794" applyFont="true" borderId="8" applyBorder="true" applyNumberFormat="true" numFmtId="167" fillId="22" applyFill="true">
      <alignment horizontal="center" vertical="center"/>
    </xf>
    <xf fontId="22795" applyFont="true" borderId="8" applyBorder="true" applyNumberFormat="true" numFmtId="1" fillId="22" applyFill="true">
      <alignment horizontal="center" vertical="center"/>
    </xf>
    <xf fontId="22796" applyFont="true" borderId="8" applyBorder="true" applyNumberFormat="true" numFmtId="167" fillId="22" applyFill="true">
      <alignment horizontal="center" vertical="center"/>
    </xf>
    <xf fontId="22797" applyFont="true" borderId="8" applyBorder="true" applyNumberFormat="true" numFmtId="1" fillId="22" applyFill="true">
      <alignment horizontal="center" vertical="center"/>
    </xf>
    <xf fontId="22798" applyFont="true" borderId="8" applyBorder="true" applyNumberFormat="true" numFmtId="167" fillId="22" applyFill="true">
      <alignment horizontal="center" vertical="center"/>
    </xf>
    <xf fontId="22799" applyFont="true" borderId="8" applyBorder="true" applyNumberFormat="true" numFmtId="1" fillId="22" applyFill="true">
      <alignment horizontal="center" vertical="center"/>
    </xf>
    <xf fontId="22800" applyFont="true" borderId="8" applyBorder="true" applyNumberFormat="true" numFmtId="167" fillId="22" applyFill="true">
      <alignment horizontal="center" vertical="center"/>
    </xf>
    <xf fontId="22801" applyFont="true" borderId="8" applyBorder="true" applyNumberFormat="true" numFmtId="167" fillId="22" applyFill="true">
      <alignment horizontal="center" vertical="center"/>
    </xf>
    <xf fontId="22802" applyFont="true" borderId="8" applyBorder="true" applyNumberFormat="true" numFmtId="1" fillId="22" applyFill="true">
      <alignment horizontal="center" vertical="center"/>
    </xf>
    <xf fontId="22803" applyFont="true" borderId="8" applyBorder="true" applyNumberFormat="true" numFmtId="1" fillId="22" applyFill="true">
      <alignment horizontal="center" vertical="center"/>
    </xf>
    <xf fontId="22804" applyFont="true" borderId="8" applyBorder="true" applyNumberFormat="true" numFmtId="1" fillId="22" applyFill="true">
      <alignment horizontal="center" vertical="center"/>
    </xf>
    <xf fontId="22805" applyFont="true" borderId="8" applyBorder="true" applyNumberFormat="true" numFmtId="167" fillId="22" applyFill="true">
      <alignment horizontal="center" vertical="center"/>
    </xf>
    <xf fontId="22806" applyFont="true" borderId="8" applyBorder="true" applyNumberFormat="true" numFmtId="166" fillId="22" applyFill="true">
      <alignment horizontal="center" vertical="center"/>
    </xf>
    <xf fontId="22807" applyFont="true" borderId="8" applyBorder="true" applyNumberFormat="true" numFmtId="166" fillId="22" applyFill="true">
      <alignment horizontal="center" vertical="center"/>
    </xf>
    <xf fontId="22808" applyFont="true" borderId="8" applyBorder="true" applyNumberFormat="true" numFmtId="1" fillId="22" applyFill="true">
      <alignment horizontal="center" vertical="center"/>
    </xf>
    <xf fontId="22809" applyFont="true" borderId="8" applyBorder="true" applyNumberFormat="true" numFmtId="1" fillId="22" applyFill="true">
      <alignment horizontal="center" vertical="center"/>
    </xf>
    <xf fontId="22810" applyFont="true" borderId="8" applyBorder="true" applyNumberFormat="true" numFmtId="1" fillId="22" applyFill="true">
      <alignment horizontal="center" vertical="center"/>
    </xf>
    <xf fontId="22811" applyFont="true" borderId="8" applyBorder="true" applyNumberFormat="true" numFmtId="167" fillId="22" applyFill="true">
      <alignment horizontal="center" vertical="center"/>
    </xf>
    <xf fontId="22812" applyFont="true" borderId="8" applyBorder="true" applyNumberFormat="true" numFmtId="1" fillId="22" applyFill="true">
      <alignment horizontal="center" vertical="center"/>
    </xf>
    <xf fontId="22813" applyFont="true" borderId="8" applyBorder="true" applyNumberFormat="true" numFmtId="167" fillId="22" applyFill="true">
      <alignment horizontal="center" vertical="center"/>
    </xf>
    <xf fontId="22814" applyFont="true" borderId="8" applyBorder="true" applyNumberFormat="true" numFmtId="1" fillId="22" applyFill="true">
      <alignment horizontal="center" vertical="center"/>
    </xf>
    <xf fontId="22815" applyFont="true" borderId="8" applyBorder="true" applyNumberFormat="true" numFmtId="1" fillId="22" applyFill="true">
      <alignment horizontal="center" vertical="center"/>
    </xf>
    <xf fontId="22816" applyFont="true" borderId="8" applyBorder="true" applyNumberFormat="true" numFmtId="1" fillId="22" applyFill="true">
      <alignment horizontal="center" vertical="center"/>
    </xf>
    <xf fontId="22817" applyFont="true" borderId="8" applyBorder="true" applyNumberFormat="true" numFmtId="1" fillId="22" applyFill="true">
      <alignment horizontal="center" vertical="center"/>
    </xf>
    <xf fontId="22818" applyFont="true" borderId="8" applyBorder="true" applyNumberFormat="true" numFmtId="167" fillId="22" applyFill="true">
      <alignment horizontal="center" vertical="center"/>
    </xf>
    <xf fontId="22819" applyFont="true" borderId="8" applyBorder="true" applyNumberFormat="true" numFmtId="1" fillId="22" applyFill="true">
      <alignment horizontal="center" vertical="center"/>
    </xf>
    <xf fontId="22820" applyFont="true" borderId="8" applyBorder="true" applyNumberFormat="true" numFmtId="167" fillId="22" applyFill="true">
      <alignment horizontal="center" vertical="center"/>
    </xf>
    <xf fontId="22821" applyFont="true" borderId="8" applyBorder="true" applyNumberFormat="true" numFmtId="1" fillId="22" applyFill="true">
      <alignment horizontal="center" vertical="center"/>
    </xf>
    <xf fontId="22822" applyFont="true" borderId="8" applyBorder="true" applyNumberFormat="true" numFmtId="167" fillId="22" applyFill="true">
      <alignment horizontal="center" vertical="center"/>
    </xf>
    <xf fontId="22823" applyFont="true" borderId="8" applyBorder="true" applyNumberFormat="true" numFmtId="2" fillId="22" applyFill="true">
      <alignment horizontal="center" vertical="center"/>
    </xf>
    <xf fontId="22824" applyFont="true" borderId="8" applyBorder="true" applyNumberFormat="true" numFmtId="2" fillId="22" applyFill="true">
      <alignment horizontal="center" vertical="center"/>
    </xf>
    <xf fontId="22825" applyFont="true" borderId="8" applyBorder="true" applyNumberFormat="true" numFmtId="2" fillId="22" applyFill="true">
      <alignment horizontal="center" vertical="center"/>
    </xf>
    <xf fontId="22826" applyFont="true" borderId="8" applyBorder="true" applyNumberFormat="true" numFmtId="2" fillId="22" applyFill="true">
      <alignment horizontal="center" vertical="center"/>
    </xf>
    <xf fontId="22827" applyFont="true" borderId="8" applyBorder="true" applyNumberFormat="true" numFmtId="2" fillId="22" applyFill="true">
      <alignment horizontal="center" vertical="center"/>
    </xf>
    <xf fontId="22828" applyFont="true" borderId="8" applyBorder="true" applyNumberFormat="true" numFmtId="2" fillId="22" applyFill="true">
      <alignment horizontal="center" vertical="center"/>
    </xf>
    <xf fontId="22829" applyFont="true" borderId="8" applyBorder="true" applyNumberFormat="true" numFmtId="2" fillId="22" applyFill="true">
      <alignment horizontal="center" vertical="center"/>
    </xf>
    <xf fontId="22830" applyFont="true" borderId="8" applyBorder="true" applyNumberFormat="true" numFmtId="2" fillId="22" applyFill="true">
      <alignment horizontal="center" vertical="center"/>
    </xf>
    <xf fontId="22831" applyFont="true" borderId="8" applyBorder="true" applyNumberFormat="true" numFmtId="2" fillId="22" applyFill="true">
      <alignment horizontal="center" vertical="center"/>
    </xf>
    <xf fontId="22832" applyFont="true" borderId="8" applyBorder="true" applyNumberFormat="true" numFmtId="2" fillId="22" applyFill="true">
      <alignment horizontal="center" vertical="center"/>
    </xf>
    <xf fontId="22833" applyFont="true" borderId="8" applyBorder="true" applyNumberFormat="true" numFmtId="2" fillId="22" applyFill="true">
      <alignment horizontal="center" vertical="center"/>
    </xf>
    <xf fontId="22834" applyFont="true" borderId="8" applyBorder="true" applyNumberFormat="true" numFmtId="2" fillId="22" applyFill="true">
      <alignment horizontal="center" vertical="center"/>
    </xf>
    <xf fontId="22835" applyFont="true" borderId="8" applyBorder="true" applyNumberFormat="true" numFmtId="2" fillId="22" applyFill="true">
      <alignment horizontal="center" vertical="center"/>
    </xf>
    <xf fontId="22836" applyFont="true" borderId="8" applyBorder="true" applyNumberFormat="true" numFmtId="2" fillId="22" applyFill="true">
      <alignment horizontal="center" vertical="center"/>
    </xf>
    <xf fontId="22837" applyFont="true" borderId="8" applyBorder="true" applyNumberFormat="true" numFmtId="2" fillId="22" applyFill="true">
      <alignment horizontal="center" vertical="center"/>
    </xf>
    <xf fontId="22838" applyFont="true" borderId="8" applyBorder="true" applyNumberFormat="true" numFmtId="2" fillId="22" applyFill="true">
      <alignment horizontal="center" vertical="center"/>
    </xf>
    <xf fontId="22839" applyFont="true" borderId="8" applyBorder="true" applyNumberFormat="true" numFmtId="2" fillId="22" applyFill="true">
      <alignment horizontal="center" vertical="center"/>
    </xf>
    <xf fontId="22840" applyFont="true" borderId="8" applyBorder="true" applyNumberFormat="true" numFmtId="2" fillId="22" applyFill="true">
      <alignment horizontal="center" vertical="center"/>
    </xf>
    <xf fontId="22841" applyFont="true" borderId="8" applyBorder="true" applyNumberFormat="true" numFmtId="2" fillId="22" applyFill="true">
      <alignment horizontal="center" vertical="center"/>
    </xf>
    <xf fontId="22842" applyFont="true" borderId="8" applyBorder="true" applyNumberFormat="true" numFmtId="2" fillId="22" applyFill="true">
      <alignment horizontal="center" vertical="center"/>
    </xf>
    <xf fontId="22843" applyFont="true" borderId="8" applyBorder="true" applyNumberFormat="true" numFmtId="2" fillId="22" applyFill="true">
      <alignment horizontal="center" vertical="center"/>
    </xf>
    <xf fontId="22844" applyFont="true" borderId="8" applyBorder="true" applyNumberFormat="true" numFmtId="2" fillId="22" applyFill="true">
      <alignment horizontal="center" vertical="center"/>
    </xf>
    <xf fontId="22845" applyFont="true" borderId="8" applyBorder="true" applyNumberFormat="true" numFmtId="2" fillId="22" applyFill="true">
      <alignment horizontal="center" vertical="center"/>
    </xf>
    <xf fontId="22846" applyFont="true" borderId="8" applyBorder="true" applyNumberFormat="true" numFmtId="2" fillId="22" applyFill="true">
      <alignment horizontal="center" vertical="center"/>
    </xf>
    <xf fontId="22847" applyFont="true" borderId="8" applyBorder="true" applyNumberFormat="true" numFmtId="2" fillId="22" applyFill="true">
      <alignment horizontal="center" vertical="center"/>
    </xf>
    <xf fontId="22848" applyFont="true" borderId="8" applyBorder="true" applyNumberFormat="true" numFmtId="2" fillId="22" applyFill="true">
      <alignment horizontal="center" vertical="center"/>
    </xf>
    <xf fontId="22849" applyFont="true" borderId="8" applyBorder="true" applyNumberFormat="true" numFmtId="2" fillId="22" applyFill="true">
      <alignment horizontal="center" vertical="center"/>
    </xf>
    <xf fontId="22850" applyFont="true" borderId="8" applyBorder="true" applyNumberFormat="true" numFmtId="2" fillId="22" applyFill="true">
      <alignment horizontal="center" vertical="center"/>
    </xf>
    <xf fontId="22851" applyFont="true" borderId="8" applyBorder="true" applyNumberFormat="true" numFmtId="2" fillId="22" applyFill="true">
      <alignment horizontal="center" vertical="center"/>
    </xf>
    <xf fontId="22852" applyFont="true" borderId="8" applyBorder="true" applyNumberFormat="true" numFmtId="2" fillId="22" applyFill="true">
      <alignment horizontal="center" vertical="center"/>
    </xf>
    <xf fontId="22853" applyFont="true" borderId="8" applyBorder="true" applyNumberFormat="true" numFmtId="2" fillId="22" applyFill="true">
      <alignment horizontal="center" vertical="center"/>
    </xf>
    <xf fontId="22854" applyFont="true" borderId="8" applyBorder="true" applyNumberFormat="true" numFmtId="2" fillId="22" applyFill="true">
      <alignment horizontal="center" vertical="center"/>
    </xf>
    <xf fontId="22855" applyFont="true" borderId="8" applyBorder="true" applyNumberFormat="true" numFmtId="2" fillId="22" applyFill="true">
      <alignment horizontal="center" vertical="center"/>
    </xf>
    <xf fontId="22856" applyFont="true" borderId="8" applyBorder="true" applyNumberFormat="true" numFmtId="2" fillId="22" applyFill="true">
      <alignment horizontal="center" vertical="center"/>
    </xf>
    <xf fontId="22857" applyFont="true" borderId="8" applyBorder="true" applyNumberFormat="true" numFmtId="165" fillId="19" applyFill="true">
      <alignment horizontal="left" vertical="center"/>
    </xf>
    <xf fontId="22858" applyFont="true" borderId="8" applyBorder="true" applyNumberFormat="true" numFmtId="165" fillId="22" applyFill="true">
      <alignment horizontal="center" vertical="center"/>
    </xf>
    <xf fontId="22859" applyFont="true" borderId="8" applyBorder="true" applyNumberFormat="true" numFmtId="166" fillId="22" applyFill="true">
      <alignment horizontal="center" vertical="center"/>
    </xf>
    <xf fontId="22860" applyFont="true" borderId="8" applyBorder="true" applyNumberFormat="true" numFmtId="1" fillId="22" applyFill="true">
      <alignment horizontal="center" vertical="center"/>
    </xf>
    <xf fontId="22861" applyFont="true" borderId="8" applyBorder="true" applyNumberFormat="true" numFmtId="1" fillId="22" applyFill="true">
      <alignment horizontal="center" vertical="center"/>
    </xf>
    <xf fontId="22862" applyFont="true" borderId="8" applyBorder="true" applyNumberFormat="true" numFmtId="1" fillId="22" applyFill="true">
      <alignment horizontal="center" vertical="center"/>
    </xf>
    <xf fontId="22863" applyFont="true" borderId="8" applyBorder="true" applyNumberFormat="true" numFmtId="1" fillId="22" applyFill="true">
      <alignment horizontal="center" vertical="center"/>
    </xf>
    <xf fontId="22864" applyFont="true" borderId="8" applyBorder="true" applyNumberFormat="true" numFmtId="1" fillId="22" applyFill="true">
      <alignment horizontal="center" vertical="center"/>
    </xf>
    <xf fontId="22865" applyFont="true" borderId="8" applyBorder="true" applyNumberFormat="true" numFmtId="1" fillId="22" applyFill="true">
      <alignment horizontal="center" vertical="center"/>
    </xf>
    <xf fontId="22866" applyFont="true" borderId="8" applyBorder="true" applyNumberFormat="true" numFmtId="1" fillId="22" applyFill="true">
      <alignment horizontal="center" vertical="center"/>
    </xf>
    <xf fontId="22867" applyFont="true" borderId="8" applyBorder="true" applyNumberFormat="true" numFmtId="165" fillId="22" applyFill="true">
      <alignment horizontal="center" vertical="center"/>
    </xf>
    <xf fontId="22868" applyFont="true" borderId="8" applyBorder="true" applyNumberFormat="true" numFmtId="165" fillId="22" applyFill="true">
      <alignment horizontal="center" vertical="center"/>
    </xf>
    <xf fontId="22869" applyFont="true" borderId="8" applyBorder="true" applyNumberFormat="true" numFmtId="1" fillId="22" applyFill="true">
      <alignment horizontal="center" vertical="center"/>
    </xf>
    <xf fontId="22870" applyFont="true" borderId="8" applyBorder="true" applyNumberFormat="true" numFmtId="1" fillId="22" applyFill="true">
      <alignment horizontal="center" vertical="center"/>
    </xf>
    <xf fontId="22871" applyFont="true" borderId="8" applyBorder="true" applyNumberFormat="true" numFmtId="1" fillId="22" applyFill="true">
      <alignment horizontal="center" vertical="center"/>
    </xf>
    <xf fontId="22872" applyFont="true" borderId="8" applyBorder="true" applyNumberFormat="true" numFmtId="167" fillId="22" applyFill="true">
      <alignment horizontal="center" vertical="center"/>
    </xf>
    <xf fontId="22873" applyFont="true" borderId="8" applyBorder="true" applyNumberFormat="true" numFmtId="1" fillId="22" applyFill="true">
      <alignment horizontal="center" vertical="center"/>
    </xf>
    <xf fontId="22874" applyFont="true" borderId="8" applyBorder="true" applyNumberFormat="true" numFmtId="167" fillId="22" applyFill="true">
      <alignment horizontal="center" vertical="center"/>
    </xf>
    <xf fontId="22875" applyFont="true" borderId="8" applyBorder="true" applyNumberFormat="true" numFmtId="1" fillId="22" applyFill="true">
      <alignment horizontal="center" vertical="center"/>
    </xf>
    <xf fontId="22876" applyFont="true" borderId="8" applyBorder="true" applyNumberFormat="true" numFmtId="167" fillId="22" applyFill="true">
      <alignment horizontal="center" vertical="center"/>
    </xf>
    <xf fontId="22877" applyFont="true" borderId="8" applyBorder="true" applyNumberFormat="true" numFmtId="1" fillId="22" applyFill="true">
      <alignment horizontal="center" vertical="center"/>
    </xf>
    <xf fontId="22878" applyFont="true" borderId="8" applyBorder="true" applyNumberFormat="true" numFmtId="167" fillId="22" applyFill="true">
      <alignment horizontal="center" vertical="center"/>
    </xf>
    <xf fontId="22879" applyFont="true" borderId="8" applyBorder="true" applyNumberFormat="true" numFmtId="167" fillId="22" applyFill="true">
      <alignment horizontal="center" vertical="center"/>
    </xf>
    <xf fontId="22880" applyFont="true" borderId="8" applyBorder="true" applyNumberFormat="true" numFmtId="1" fillId="22" applyFill="true">
      <alignment horizontal="center" vertical="center"/>
    </xf>
    <xf fontId="22881" applyFont="true" borderId="8" applyBorder="true" applyNumberFormat="true" numFmtId="1" fillId="22" applyFill="true">
      <alignment horizontal="center" vertical="center"/>
    </xf>
    <xf fontId="22882" applyFont="true" borderId="8" applyBorder="true" applyNumberFormat="true" numFmtId="1" fillId="22" applyFill="true">
      <alignment horizontal="center" vertical="center"/>
    </xf>
    <xf fontId="22883" applyFont="true" borderId="8" applyBorder="true" applyNumberFormat="true" numFmtId="167" fillId="22" applyFill="true">
      <alignment horizontal="center" vertical="center"/>
    </xf>
    <xf fontId="22884" applyFont="true" borderId="8" applyBorder="true" applyNumberFormat="true" numFmtId="166" fillId="22" applyFill="true">
      <alignment horizontal="center" vertical="center"/>
    </xf>
    <xf fontId="22885" applyFont="true" borderId="8" applyBorder="true" applyNumberFormat="true" numFmtId="166" fillId="22" applyFill="true">
      <alignment horizontal="center" vertical="center"/>
    </xf>
    <xf fontId="22886" applyFont="true" borderId="8" applyBorder="true" applyNumberFormat="true" numFmtId="1" fillId="22" applyFill="true">
      <alignment horizontal="center" vertical="center"/>
    </xf>
    <xf fontId="22887" applyFont="true" borderId="8" applyBorder="true" applyNumberFormat="true" numFmtId="1" fillId="22" applyFill="true">
      <alignment horizontal="center" vertical="center"/>
    </xf>
    <xf fontId="22888" applyFont="true" borderId="8" applyBorder="true" applyNumberFormat="true" numFmtId="1" fillId="22" applyFill="true">
      <alignment horizontal="center" vertical="center"/>
    </xf>
    <xf fontId="22889" applyFont="true" borderId="8" applyBorder="true" applyNumberFormat="true" numFmtId="167" fillId="22" applyFill="true">
      <alignment horizontal="center" vertical="center"/>
    </xf>
    <xf fontId="22890" applyFont="true" borderId="8" applyBorder="true" applyNumberFormat="true" numFmtId="1" fillId="22" applyFill="true">
      <alignment horizontal="center" vertical="center"/>
    </xf>
    <xf fontId="22891" applyFont="true" borderId="8" applyBorder="true" applyNumberFormat="true" numFmtId="167" fillId="22" applyFill="true">
      <alignment horizontal="center" vertical="center"/>
    </xf>
    <xf fontId="22892" applyFont="true" borderId="8" applyBorder="true" applyNumberFormat="true" numFmtId="1" fillId="22" applyFill="true">
      <alignment horizontal="center" vertical="center"/>
    </xf>
    <xf fontId="22893" applyFont="true" borderId="8" applyBorder="true" applyNumberFormat="true" numFmtId="1" fillId="22" applyFill="true">
      <alignment horizontal="center" vertical="center"/>
    </xf>
    <xf fontId="22894" applyFont="true" borderId="8" applyBorder="true" applyNumberFormat="true" numFmtId="1" fillId="22" applyFill="true">
      <alignment horizontal="center" vertical="center"/>
    </xf>
    <xf fontId="22895" applyFont="true" borderId="8" applyBorder="true" applyNumberFormat="true" numFmtId="1" fillId="22" applyFill="true">
      <alignment horizontal="center" vertical="center"/>
    </xf>
    <xf fontId="22896" applyFont="true" borderId="8" applyBorder="true" applyNumberFormat="true" numFmtId="167" fillId="22" applyFill="true">
      <alignment horizontal="center" vertical="center"/>
    </xf>
    <xf fontId="22897" applyFont="true" borderId="8" applyBorder="true" applyNumberFormat="true" numFmtId="1" fillId="22" applyFill="true">
      <alignment horizontal="center" vertical="center"/>
    </xf>
    <xf fontId="22898" applyFont="true" borderId="8" applyBorder="true" applyNumberFormat="true" numFmtId="167" fillId="22" applyFill="true">
      <alignment horizontal="center" vertical="center"/>
    </xf>
    <xf fontId="22899" applyFont="true" borderId="8" applyBorder="true" applyNumberFormat="true" numFmtId="1" fillId="22" applyFill="true">
      <alignment horizontal="center" vertical="center"/>
    </xf>
    <xf fontId="22900" applyFont="true" borderId="8" applyBorder="true" applyNumberFormat="true" numFmtId="167" fillId="22" applyFill="true">
      <alignment horizontal="center" vertical="center"/>
    </xf>
    <xf fontId="22901" applyFont="true" borderId="8" applyBorder="true" applyNumberFormat="true" numFmtId="2" fillId="22" applyFill="true">
      <alignment horizontal="center" vertical="center"/>
    </xf>
    <xf fontId="22902" applyFont="true" borderId="8" applyBorder="true" applyNumberFormat="true" numFmtId="2" fillId="22" applyFill="true">
      <alignment horizontal="center" vertical="center"/>
    </xf>
    <xf fontId="22903" applyFont="true" borderId="8" applyBorder="true" applyNumberFormat="true" numFmtId="2" fillId="22" applyFill="true">
      <alignment horizontal="center" vertical="center"/>
    </xf>
    <xf fontId="22904" applyFont="true" borderId="8" applyBorder="true" applyNumberFormat="true" numFmtId="2" fillId="22" applyFill="true">
      <alignment horizontal="center" vertical="center"/>
    </xf>
    <xf fontId="22905" applyFont="true" borderId="8" applyBorder="true" applyNumberFormat="true" numFmtId="2" fillId="22" applyFill="true">
      <alignment horizontal="center" vertical="center"/>
    </xf>
    <xf fontId="22906" applyFont="true" borderId="8" applyBorder="true" applyNumberFormat="true" numFmtId="2" fillId="22" applyFill="true">
      <alignment horizontal="center" vertical="center"/>
    </xf>
    <xf fontId="22907" applyFont="true" borderId="8" applyBorder="true" applyNumberFormat="true" numFmtId="2" fillId="22" applyFill="true">
      <alignment horizontal="center" vertical="center"/>
    </xf>
    <xf fontId="22908" applyFont="true" borderId="8" applyBorder="true" applyNumberFormat="true" numFmtId="2" fillId="22" applyFill="true">
      <alignment horizontal="center" vertical="center"/>
    </xf>
    <xf fontId="22909" applyFont="true" borderId="8" applyBorder="true" applyNumberFormat="true" numFmtId="2" fillId="22" applyFill="true">
      <alignment horizontal="center" vertical="center"/>
    </xf>
    <xf fontId="22910" applyFont="true" borderId="8" applyBorder="true" applyNumberFormat="true" numFmtId="2" fillId="22" applyFill="true">
      <alignment horizontal="center" vertical="center"/>
    </xf>
    <xf fontId="22911" applyFont="true" borderId="8" applyBorder="true" applyNumberFormat="true" numFmtId="2" fillId="22" applyFill="true">
      <alignment horizontal="center" vertical="center"/>
    </xf>
    <xf fontId="22912" applyFont="true" borderId="8" applyBorder="true" applyNumberFormat="true" numFmtId="2" fillId="22" applyFill="true">
      <alignment horizontal="center" vertical="center"/>
    </xf>
    <xf fontId="22913" applyFont="true" borderId="8" applyBorder="true" applyNumberFormat="true" numFmtId="2" fillId="22" applyFill="true">
      <alignment horizontal="center" vertical="center"/>
    </xf>
    <xf fontId="22914" applyFont="true" borderId="8" applyBorder="true" applyNumberFormat="true" numFmtId="2" fillId="22" applyFill="true">
      <alignment horizontal="center" vertical="center"/>
    </xf>
    <xf fontId="22915" applyFont="true" borderId="8" applyBorder="true" applyNumberFormat="true" numFmtId="2" fillId="22" applyFill="true">
      <alignment horizontal="center" vertical="center"/>
    </xf>
    <xf fontId="22916" applyFont="true" borderId="8" applyBorder="true" applyNumberFormat="true" numFmtId="2" fillId="22" applyFill="true">
      <alignment horizontal="center" vertical="center"/>
    </xf>
    <xf fontId="22917" applyFont="true" borderId="8" applyBorder="true" applyNumberFormat="true" numFmtId="2" fillId="22" applyFill="true">
      <alignment horizontal="center" vertical="center"/>
    </xf>
    <xf fontId="22918" applyFont="true" borderId="8" applyBorder="true" applyNumberFormat="true" numFmtId="2" fillId="22" applyFill="true">
      <alignment horizontal="center" vertical="center"/>
    </xf>
    <xf fontId="22919" applyFont="true" borderId="8" applyBorder="true" applyNumberFormat="true" numFmtId="2" fillId="22" applyFill="true">
      <alignment horizontal="center" vertical="center"/>
    </xf>
    <xf fontId="22920" applyFont="true" borderId="8" applyBorder="true" applyNumberFormat="true" numFmtId="2" fillId="22" applyFill="true">
      <alignment horizontal="center" vertical="center"/>
    </xf>
    <xf fontId="22921" applyFont="true" borderId="8" applyBorder="true" applyNumberFormat="true" numFmtId="2" fillId="22" applyFill="true">
      <alignment horizontal="center" vertical="center"/>
    </xf>
    <xf fontId="22922" applyFont="true" borderId="8" applyBorder="true" applyNumberFormat="true" numFmtId="2" fillId="22" applyFill="true">
      <alignment horizontal="center" vertical="center"/>
    </xf>
    <xf fontId="22923" applyFont="true" borderId="8" applyBorder="true" applyNumberFormat="true" numFmtId="2" fillId="22" applyFill="true">
      <alignment horizontal="center" vertical="center"/>
    </xf>
    <xf fontId="22924" applyFont="true" borderId="8" applyBorder="true" applyNumberFormat="true" numFmtId="2" fillId="22" applyFill="true">
      <alignment horizontal="center" vertical="center"/>
    </xf>
    <xf fontId="22925" applyFont="true" borderId="8" applyBorder="true" applyNumberFormat="true" numFmtId="2" fillId="22" applyFill="true">
      <alignment horizontal="center" vertical="center"/>
    </xf>
    <xf fontId="22926" applyFont="true" borderId="8" applyBorder="true" applyNumberFormat="true" numFmtId="2" fillId="22" applyFill="true">
      <alignment horizontal="center" vertical="center"/>
    </xf>
    <xf fontId="22927" applyFont="true" borderId="8" applyBorder="true" applyNumberFormat="true" numFmtId="2" fillId="22" applyFill="true">
      <alignment horizontal="center" vertical="center"/>
    </xf>
    <xf fontId="22928" applyFont="true" borderId="8" applyBorder="true" applyNumberFormat="true" numFmtId="2" fillId="22" applyFill="true">
      <alignment horizontal="center" vertical="center"/>
    </xf>
    <xf fontId="22929" applyFont="true" borderId="8" applyBorder="true" applyNumberFormat="true" numFmtId="2" fillId="22" applyFill="true">
      <alignment horizontal="center" vertical="center"/>
    </xf>
    <xf fontId="22930" applyFont="true" borderId="8" applyBorder="true" applyNumberFormat="true" numFmtId="2" fillId="22" applyFill="true">
      <alignment horizontal="center" vertical="center"/>
    </xf>
    <xf fontId="22931" applyFont="true" borderId="8" applyBorder="true" applyNumberFormat="true" numFmtId="2" fillId="22" applyFill="true">
      <alignment horizontal="center" vertical="center"/>
    </xf>
    <xf fontId="22932" applyFont="true" borderId="8" applyBorder="true" applyNumberFormat="true" numFmtId="2" fillId="22" applyFill="true">
      <alignment horizontal="center" vertical="center"/>
    </xf>
    <xf fontId="22933" applyFont="true" borderId="8" applyBorder="true" applyNumberFormat="true" numFmtId="2" fillId="22" applyFill="true">
      <alignment horizontal="center" vertical="center"/>
    </xf>
    <xf fontId="22934" applyFont="true" borderId="8" applyBorder="true" applyNumberFormat="true" numFmtId="2" fillId="22" applyFill="true">
      <alignment horizontal="center" vertical="center"/>
    </xf>
    <xf fontId="22935" applyFont="true" borderId="8" applyBorder="true" applyNumberFormat="true" numFmtId="165" fillId="19" applyFill="true">
      <alignment horizontal="left" vertical="center"/>
    </xf>
    <xf fontId="22936" applyFont="true" borderId="8" applyBorder="true" applyNumberFormat="true" numFmtId="165" fillId="22" applyFill="true">
      <alignment horizontal="center" vertical="center"/>
    </xf>
    <xf fontId="22937" applyFont="true" borderId="8" applyBorder="true" applyNumberFormat="true" numFmtId="166" fillId="22" applyFill="true">
      <alignment horizontal="center" vertical="center"/>
    </xf>
    <xf fontId="22938" applyFont="true" borderId="8" applyBorder="true" applyNumberFormat="true" numFmtId="1" fillId="22" applyFill="true">
      <alignment horizontal="center" vertical="center"/>
    </xf>
    <xf fontId="22939" applyFont="true" borderId="8" applyBorder="true" applyNumberFormat="true" numFmtId="1" fillId="22" applyFill="true">
      <alignment horizontal="center" vertical="center"/>
    </xf>
    <xf fontId="22940" applyFont="true" borderId="8" applyBorder="true" applyNumberFormat="true" numFmtId="1" fillId="22" applyFill="true">
      <alignment horizontal="center" vertical="center"/>
    </xf>
    <xf fontId="22941" applyFont="true" borderId="8" applyBorder="true" applyNumberFormat="true" numFmtId="1" fillId="22" applyFill="true">
      <alignment horizontal="center" vertical="center"/>
    </xf>
    <xf fontId="22942" applyFont="true" borderId="8" applyBorder="true" applyNumberFormat="true" numFmtId="1" fillId="22" applyFill="true">
      <alignment horizontal="center" vertical="center"/>
    </xf>
    <xf fontId="22943" applyFont="true" borderId="8" applyBorder="true" applyNumberFormat="true" numFmtId="1" fillId="22" applyFill="true">
      <alignment horizontal="center" vertical="center"/>
    </xf>
    <xf fontId="22944" applyFont="true" borderId="8" applyBorder="true" applyNumberFormat="true" numFmtId="1" fillId="22" applyFill="true">
      <alignment horizontal="center" vertical="center"/>
    </xf>
    <xf fontId="22945" applyFont="true" borderId="8" applyBorder="true" applyNumberFormat="true" numFmtId="165" fillId="22" applyFill="true">
      <alignment horizontal="center" vertical="center"/>
    </xf>
    <xf fontId="22946" applyFont="true" borderId="8" applyBorder="true" applyNumberFormat="true" numFmtId="165" fillId="22" applyFill="true">
      <alignment horizontal="center" vertical="center"/>
    </xf>
    <xf fontId="22947" applyFont="true" borderId="8" applyBorder="true" applyNumberFormat="true" numFmtId="1" fillId="22" applyFill="true">
      <alignment horizontal="center" vertical="center"/>
    </xf>
    <xf fontId="22948" applyFont="true" borderId="8" applyBorder="true" applyNumberFormat="true" numFmtId="1" fillId="22" applyFill="true">
      <alignment horizontal="center" vertical="center"/>
    </xf>
    <xf fontId="22949" applyFont="true" borderId="8" applyBorder="true" applyNumberFormat="true" numFmtId="1" fillId="22" applyFill="true">
      <alignment horizontal="center" vertical="center"/>
    </xf>
    <xf fontId="22950" applyFont="true" borderId="8" applyBorder="true" applyNumberFormat="true" numFmtId="167" fillId="22" applyFill="true">
      <alignment horizontal="center" vertical="center"/>
    </xf>
    <xf fontId="22951" applyFont="true" borderId="8" applyBorder="true" applyNumberFormat="true" numFmtId="1" fillId="22" applyFill="true">
      <alignment horizontal="center" vertical="center"/>
    </xf>
    <xf fontId="22952" applyFont="true" borderId="8" applyBorder="true" applyNumberFormat="true" numFmtId="167" fillId="22" applyFill="true">
      <alignment horizontal="center" vertical="center"/>
    </xf>
    <xf fontId="22953" applyFont="true" borderId="8" applyBorder="true" applyNumberFormat="true" numFmtId="1" fillId="22" applyFill="true">
      <alignment horizontal="center" vertical="center"/>
    </xf>
    <xf fontId="22954" applyFont="true" borderId="8" applyBorder="true" applyNumberFormat="true" numFmtId="167" fillId="22" applyFill="true">
      <alignment horizontal="center" vertical="center"/>
    </xf>
    <xf fontId="22955" applyFont="true" borderId="8" applyBorder="true" applyNumberFormat="true" numFmtId="1" fillId="22" applyFill="true">
      <alignment horizontal="center" vertical="center"/>
    </xf>
    <xf fontId="22956" applyFont="true" borderId="8" applyBorder="true" applyNumberFormat="true" numFmtId="167" fillId="22" applyFill="true">
      <alignment horizontal="center" vertical="center"/>
    </xf>
    <xf fontId="22957" applyFont="true" borderId="8" applyBorder="true" applyNumberFormat="true" numFmtId="167" fillId="22" applyFill="true">
      <alignment horizontal="center" vertical="center"/>
    </xf>
    <xf fontId="22958" applyFont="true" borderId="8" applyBorder="true" applyNumberFormat="true" numFmtId="1" fillId="22" applyFill="true">
      <alignment horizontal="center" vertical="center"/>
    </xf>
    <xf fontId="22959" applyFont="true" borderId="8" applyBorder="true" applyNumberFormat="true" numFmtId="1" fillId="22" applyFill="true">
      <alignment horizontal="center" vertical="center"/>
    </xf>
    <xf fontId="22960" applyFont="true" borderId="8" applyBorder="true" applyNumberFormat="true" numFmtId="1" fillId="22" applyFill="true">
      <alignment horizontal="center" vertical="center"/>
    </xf>
    <xf fontId="22961" applyFont="true" borderId="8" applyBorder="true" applyNumberFormat="true" numFmtId="167" fillId="22" applyFill="true">
      <alignment horizontal="center" vertical="center"/>
    </xf>
    <xf fontId="22962" applyFont="true" borderId="8" applyBorder="true" applyNumberFormat="true" numFmtId="166" fillId="22" applyFill="true">
      <alignment horizontal="center" vertical="center"/>
    </xf>
    <xf fontId="22963" applyFont="true" borderId="8" applyBorder="true" applyNumberFormat="true" numFmtId="166" fillId="22" applyFill="true">
      <alignment horizontal="center" vertical="center"/>
    </xf>
    <xf fontId="22964" applyFont="true" borderId="8" applyBorder="true" applyNumberFormat="true" numFmtId="1" fillId="22" applyFill="true">
      <alignment horizontal="center" vertical="center"/>
    </xf>
    <xf fontId="22965" applyFont="true" borderId="8" applyBorder="true" applyNumberFormat="true" numFmtId="1" fillId="22" applyFill="true">
      <alignment horizontal="center" vertical="center"/>
    </xf>
    <xf fontId="22966" applyFont="true" borderId="8" applyBorder="true" applyNumberFormat="true" numFmtId="1" fillId="22" applyFill="true">
      <alignment horizontal="center" vertical="center"/>
    </xf>
    <xf fontId="22967" applyFont="true" borderId="8" applyBorder="true" applyNumberFormat="true" numFmtId="167" fillId="22" applyFill="true">
      <alignment horizontal="center" vertical="center"/>
    </xf>
    <xf fontId="22968" applyFont="true" borderId="8" applyBorder="true" applyNumberFormat="true" numFmtId="1" fillId="22" applyFill="true">
      <alignment horizontal="center" vertical="center"/>
    </xf>
    <xf fontId="22969" applyFont="true" borderId="8" applyBorder="true" applyNumberFormat="true" numFmtId="167" fillId="22" applyFill="true">
      <alignment horizontal="center" vertical="center"/>
    </xf>
    <xf fontId="22970" applyFont="true" borderId="8" applyBorder="true" applyNumberFormat="true" numFmtId="1" fillId="22" applyFill="true">
      <alignment horizontal="center" vertical="center"/>
    </xf>
    <xf fontId="22971" applyFont="true" borderId="8" applyBorder="true" applyNumberFormat="true" numFmtId="1" fillId="22" applyFill="true">
      <alignment horizontal="center" vertical="center"/>
    </xf>
    <xf fontId="22972" applyFont="true" borderId="8" applyBorder="true" applyNumberFormat="true" numFmtId="1" fillId="22" applyFill="true">
      <alignment horizontal="center" vertical="center"/>
    </xf>
    <xf fontId="22973" applyFont="true" borderId="8" applyBorder="true" applyNumberFormat="true" numFmtId="1" fillId="22" applyFill="true">
      <alignment horizontal="center" vertical="center"/>
    </xf>
    <xf fontId="22974" applyFont="true" borderId="8" applyBorder="true" applyNumberFormat="true" numFmtId="167" fillId="22" applyFill="true">
      <alignment horizontal="center" vertical="center"/>
    </xf>
    <xf fontId="22975" applyFont="true" borderId="8" applyBorder="true" applyNumberFormat="true" numFmtId="1" fillId="22" applyFill="true">
      <alignment horizontal="center" vertical="center"/>
    </xf>
    <xf fontId="22976" applyFont="true" borderId="8" applyBorder="true" applyNumberFormat="true" numFmtId="167" fillId="22" applyFill="true">
      <alignment horizontal="center" vertical="center"/>
    </xf>
    <xf fontId="22977" applyFont="true" borderId="8" applyBorder="true" applyNumberFormat="true" numFmtId="1" fillId="22" applyFill="true">
      <alignment horizontal="center" vertical="center"/>
    </xf>
    <xf fontId="22978" applyFont="true" borderId="8" applyBorder="true" applyNumberFormat="true" numFmtId="167" fillId="22" applyFill="true">
      <alignment horizontal="center" vertical="center"/>
    </xf>
    <xf fontId="22979" applyFont="true" borderId="8" applyBorder="true" applyNumberFormat="true" numFmtId="2" fillId="22" applyFill="true">
      <alignment horizontal="center" vertical="center"/>
    </xf>
    <xf fontId="22980" applyFont="true" borderId="8" applyBorder="true" applyNumberFormat="true" numFmtId="2" fillId="22" applyFill="true">
      <alignment horizontal="center" vertical="center"/>
    </xf>
    <xf fontId="22981" applyFont="true" borderId="8" applyBorder="true" applyNumberFormat="true" numFmtId="2" fillId="22" applyFill="true">
      <alignment horizontal="center" vertical="center"/>
    </xf>
    <xf fontId="22982" applyFont="true" borderId="8" applyBorder="true" applyNumberFormat="true" numFmtId="2" fillId="22" applyFill="true">
      <alignment horizontal="center" vertical="center"/>
    </xf>
    <xf fontId="22983" applyFont="true" borderId="8" applyBorder="true" applyNumberFormat="true" numFmtId="2" fillId="22" applyFill="true">
      <alignment horizontal="center" vertical="center"/>
    </xf>
    <xf fontId="22984" applyFont="true" borderId="8" applyBorder="true" applyNumberFormat="true" numFmtId="2" fillId="22" applyFill="true">
      <alignment horizontal="center" vertical="center"/>
    </xf>
    <xf fontId="22985" applyFont="true" borderId="8" applyBorder="true" applyNumberFormat="true" numFmtId="2" fillId="22" applyFill="true">
      <alignment horizontal="center" vertical="center"/>
    </xf>
    <xf fontId="22986" applyFont="true" borderId="8" applyBorder="true" applyNumberFormat="true" numFmtId="2" fillId="22" applyFill="true">
      <alignment horizontal="center" vertical="center"/>
    </xf>
    <xf fontId="22987" applyFont="true" borderId="8" applyBorder="true" applyNumberFormat="true" numFmtId="2" fillId="22" applyFill="true">
      <alignment horizontal="center" vertical="center"/>
    </xf>
    <xf fontId="22988" applyFont="true" borderId="8" applyBorder="true" applyNumberFormat="true" numFmtId="2" fillId="22" applyFill="true">
      <alignment horizontal="center" vertical="center"/>
    </xf>
    <xf fontId="22989" applyFont="true" borderId="8" applyBorder="true" applyNumberFormat="true" numFmtId="2" fillId="22" applyFill="true">
      <alignment horizontal="center" vertical="center"/>
    </xf>
    <xf fontId="22990" applyFont="true" borderId="8" applyBorder="true" applyNumberFormat="true" numFmtId="2" fillId="22" applyFill="true">
      <alignment horizontal="center" vertical="center"/>
    </xf>
    <xf fontId="22991" applyFont="true" borderId="8" applyBorder="true" applyNumberFormat="true" numFmtId="2" fillId="22" applyFill="true">
      <alignment horizontal="center" vertical="center"/>
    </xf>
    <xf fontId="22992" applyFont="true" borderId="8" applyBorder="true" applyNumberFormat="true" numFmtId="2" fillId="22" applyFill="true">
      <alignment horizontal="center" vertical="center"/>
    </xf>
    <xf fontId="22993" applyFont="true" borderId="8" applyBorder="true" applyNumberFormat="true" numFmtId="2" fillId="22" applyFill="true">
      <alignment horizontal="center" vertical="center"/>
    </xf>
    <xf fontId="22994" applyFont="true" borderId="8" applyBorder="true" applyNumberFormat="true" numFmtId="2" fillId="22" applyFill="true">
      <alignment horizontal="center" vertical="center"/>
    </xf>
    <xf fontId="22995" applyFont="true" borderId="8" applyBorder="true" applyNumberFormat="true" numFmtId="2" fillId="22" applyFill="true">
      <alignment horizontal="center" vertical="center"/>
    </xf>
    <xf fontId="22996" applyFont="true" borderId="8" applyBorder="true" applyNumberFormat="true" numFmtId="2" fillId="22" applyFill="true">
      <alignment horizontal="center" vertical="center"/>
    </xf>
    <xf fontId="22997" applyFont="true" borderId="8" applyBorder="true" applyNumberFormat="true" numFmtId="2" fillId="22" applyFill="true">
      <alignment horizontal="center" vertical="center"/>
    </xf>
    <xf fontId="22998" applyFont="true" borderId="8" applyBorder="true" applyNumberFormat="true" numFmtId="2" fillId="22" applyFill="true">
      <alignment horizontal="center" vertical="center"/>
    </xf>
    <xf fontId="22999" applyFont="true" borderId="8" applyBorder="true" applyNumberFormat="true" numFmtId="2" fillId="22" applyFill="true">
      <alignment horizontal="center" vertical="center"/>
    </xf>
    <xf fontId="23000" applyFont="true" borderId="8" applyBorder="true" applyNumberFormat="true" numFmtId="2" fillId="22" applyFill="true">
      <alignment horizontal="center" vertical="center"/>
    </xf>
    <xf fontId="23001" applyFont="true" borderId="8" applyBorder="true" applyNumberFormat="true" numFmtId="2" fillId="22" applyFill="true">
      <alignment horizontal="center" vertical="center"/>
    </xf>
    <xf fontId="23002" applyFont="true" borderId="8" applyBorder="true" applyNumberFormat="true" numFmtId="2" fillId="22" applyFill="true">
      <alignment horizontal="center" vertical="center"/>
    </xf>
    <xf fontId="23003" applyFont="true" borderId="8" applyBorder="true" applyNumberFormat="true" numFmtId="2" fillId="22" applyFill="true">
      <alignment horizontal="center" vertical="center"/>
    </xf>
    <xf fontId="23004" applyFont="true" borderId="8" applyBorder="true" applyNumberFormat="true" numFmtId="2" fillId="22" applyFill="true">
      <alignment horizontal="center" vertical="center"/>
    </xf>
    <xf fontId="23005" applyFont="true" borderId="8" applyBorder="true" applyNumberFormat="true" numFmtId="2" fillId="22" applyFill="true">
      <alignment horizontal="center" vertical="center"/>
    </xf>
    <xf fontId="23006" applyFont="true" borderId="8" applyBorder="true" applyNumberFormat="true" numFmtId="2" fillId="22" applyFill="true">
      <alignment horizontal="center" vertical="center"/>
    </xf>
    <xf fontId="23007" applyFont="true" borderId="8" applyBorder="true" applyNumberFormat="true" numFmtId="2" fillId="22" applyFill="true">
      <alignment horizontal="center" vertical="center"/>
    </xf>
    <xf fontId="23008" applyFont="true" borderId="8" applyBorder="true" applyNumberFormat="true" numFmtId="2" fillId="22" applyFill="true">
      <alignment horizontal="center" vertical="center"/>
    </xf>
    <xf fontId="23009" applyFont="true" borderId="8" applyBorder="true" applyNumberFormat="true" numFmtId="2" fillId="22" applyFill="true">
      <alignment horizontal="center" vertical="center"/>
    </xf>
    <xf fontId="23010" applyFont="true" borderId="8" applyBorder="true" applyNumberFormat="true" numFmtId="2" fillId="22" applyFill="true">
      <alignment horizontal="center" vertical="center"/>
    </xf>
    <xf fontId="23011" applyFont="true" borderId="8" applyBorder="true" applyNumberFormat="true" numFmtId="2" fillId="22" applyFill="true">
      <alignment horizontal="center" vertical="center"/>
    </xf>
    <xf fontId="23012" applyFont="true" borderId="8" applyBorder="true" applyNumberFormat="true" numFmtId="2" fillId="22" applyFill="true">
      <alignment horizontal="center" vertical="center"/>
    </xf>
    <xf fontId="23013" applyFont="true" borderId="8" applyBorder="true" applyNumberFormat="true" numFmtId="165" fillId="19" applyFill="true">
      <alignment horizontal="left" vertical="center"/>
    </xf>
    <xf fontId="23014" applyFont="true" borderId="8" applyBorder="true" applyNumberFormat="true" numFmtId="165" fillId="22" applyFill="true">
      <alignment horizontal="center" vertical="center"/>
    </xf>
    <xf fontId="23015" applyFont="true" borderId="8" applyBorder="true" applyNumberFormat="true" numFmtId="166" fillId="22" applyFill="true">
      <alignment horizontal="center" vertical="center"/>
    </xf>
    <xf fontId="23016" applyFont="true" borderId="8" applyBorder="true" applyNumberFormat="true" numFmtId="1" fillId="22" applyFill="true">
      <alignment horizontal="center" vertical="center"/>
    </xf>
    <xf fontId="23017" applyFont="true" borderId="8" applyBorder="true" applyNumberFormat="true" numFmtId="1" fillId="22" applyFill="true">
      <alignment horizontal="center" vertical="center"/>
    </xf>
    <xf fontId="23018" applyFont="true" borderId="8" applyBorder="true" applyNumberFormat="true" numFmtId="1" fillId="22" applyFill="true">
      <alignment horizontal="center" vertical="center"/>
    </xf>
    <xf fontId="23019" applyFont="true" borderId="8" applyBorder="true" applyNumberFormat="true" numFmtId="1" fillId="22" applyFill="true">
      <alignment horizontal="center" vertical="center"/>
    </xf>
    <xf fontId="23020" applyFont="true" borderId="8" applyBorder="true" applyNumberFormat="true" numFmtId="1" fillId="22" applyFill="true">
      <alignment horizontal="center" vertical="center"/>
    </xf>
    <xf fontId="23021" applyFont="true" borderId="8" applyBorder="true" applyNumberFormat="true" numFmtId="1" fillId="22" applyFill="true">
      <alignment horizontal="center" vertical="center"/>
    </xf>
    <xf fontId="23022" applyFont="true" borderId="8" applyBorder="true" applyNumberFormat="true" numFmtId="1" fillId="22" applyFill="true">
      <alignment horizontal="center" vertical="center"/>
    </xf>
    <xf fontId="23023" applyFont="true" borderId="8" applyBorder="true" applyNumberFormat="true" numFmtId="165" fillId="22" applyFill="true">
      <alignment horizontal="center" vertical="center"/>
    </xf>
    <xf fontId="23024" applyFont="true" borderId="8" applyBorder="true" applyNumberFormat="true" numFmtId="165" fillId="22" applyFill="true">
      <alignment horizontal="center" vertical="center"/>
    </xf>
    <xf fontId="23025" applyFont="true" borderId="8" applyBorder="true" applyNumberFormat="true" numFmtId="1" fillId="22" applyFill="true">
      <alignment horizontal="center" vertical="center"/>
    </xf>
    <xf fontId="23026" applyFont="true" borderId="8" applyBorder="true" applyNumberFormat="true" numFmtId="1" fillId="22" applyFill="true">
      <alignment horizontal="center" vertical="center"/>
    </xf>
    <xf fontId="23027" applyFont="true" borderId="8" applyBorder="true" applyNumberFormat="true" numFmtId="1" fillId="22" applyFill="true">
      <alignment horizontal="center" vertical="center"/>
    </xf>
    <xf fontId="23028" applyFont="true" borderId="8" applyBorder="true" applyNumberFormat="true" numFmtId="167" fillId="22" applyFill="true">
      <alignment horizontal="center" vertical="center"/>
    </xf>
    <xf fontId="23029" applyFont="true" borderId="8" applyBorder="true" applyNumberFormat="true" numFmtId="1" fillId="22" applyFill="true">
      <alignment horizontal="center" vertical="center"/>
    </xf>
    <xf fontId="23030" applyFont="true" borderId="8" applyBorder="true" applyNumberFormat="true" numFmtId="167" fillId="22" applyFill="true">
      <alignment horizontal="center" vertical="center"/>
    </xf>
    <xf fontId="23031" applyFont="true" borderId="8" applyBorder="true" applyNumberFormat="true" numFmtId="1" fillId="22" applyFill="true">
      <alignment horizontal="center" vertical="center"/>
    </xf>
    <xf fontId="23032" applyFont="true" borderId="8" applyBorder="true" applyNumberFormat="true" numFmtId="167" fillId="22" applyFill="true">
      <alignment horizontal="center" vertical="center"/>
    </xf>
    <xf fontId="23033" applyFont="true" borderId="8" applyBorder="true" applyNumberFormat="true" numFmtId="1" fillId="22" applyFill="true">
      <alignment horizontal="center" vertical="center"/>
    </xf>
    <xf fontId="23034" applyFont="true" borderId="8" applyBorder="true" applyNumberFormat="true" numFmtId="167" fillId="22" applyFill="true">
      <alignment horizontal="center" vertical="center"/>
    </xf>
    <xf fontId="23035" applyFont="true" borderId="8" applyBorder="true" applyNumberFormat="true" numFmtId="167" fillId="22" applyFill="true">
      <alignment horizontal="center" vertical="center"/>
    </xf>
    <xf fontId="23036" applyFont="true" borderId="8" applyBorder="true" applyNumberFormat="true" numFmtId="1" fillId="22" applyFill="true">
      <alignment horizontal="center" vertical="center"/>
    </xf>
    <xf fontId="23037" applyFont="true" borderId="8" applyBorder="true" applyNumberFormat="true" numFmtId="1" fillId="22" applyFill="true">
      <alignment horizontal="center" vertical="center"/>
    </xf>
    <xf fontId="23038" applyFont="true" borderId="8" applyBorder="true" applyNumberFormat="true" numFmtId="1" fillId="22" applyFill="true">
      <alignment horizontal="center" vertical="center"/>
    </xf>
    <xf fontId="23039" applyFont="true" borderId="8" applyBorder="true" applyNumberFormat="true" numFmtId="167" fillId="22" applyFill="true">
      <alignment horizontal="center" vertical="center"/>
    </xf>
    <xf fontId="23040" applyFont="true" borderId="8" applyBorder="true" applyNumberFormat="true" numFmtId="166" fillId="22" applyFill="true">
      <alignment horizontal="center" vertical="center"/>
    </xf>
    <xf fontId="23041" applyFont="true" borderId="8" applyBorder="true" applyNumberFormat="true" numFmtId="166" fillId="22" applyFill="true">
      <alignment horizontal="center" vertical="center"/>
    </xf>
    <xf fontId="23042" applyFont="true" borderId="8" applyBorder="true" applyNumberFormat="true" numFmtId="1" fillId="22" applyFill="true">
      <alignment horizontal="center" vertical="center"/>
    </xf>
    <xf fontId="23043" applyFont="true" borderId="8" applyBorder="true" applyNumberFormat="true" numFmtId="1" fillId="22" applyFill="true">
      <alignment horizontal="center" vertical="center"/>
    </xf>
    <xf fontId="23044" applyFont="true" borderId="8" applyBorder="true" applyNumberFormat="true" numFmtId="1" fillId="22" applyFill="true">
      <alignment horizontal="center" vertical="center"/>
    </xf>
    <xf fontId="23045" applyFont="true" borderId="8" applyBorder="true" applyNumberFormat="true" numFmtId="167" fillId="22" applyFill="true">
      <alignment horizontal="center" vertical="center"/>
    </xf>
    <xf fontId="23046" applyFont="true" borderId="8" applyBorder="true" applyNumberFormat="true" numFmtId="1" fillId="22" applyFill="true">
      <alignment horizontal="center" vertical="center"/>
    </xf>
    <xf fontId="23047" applyFont="true" borderId="8" applyBorder="true" applyNumberFormat="true" numFmtId="167" fillId="22" applyFill="true">
      <alignment horizontal="center" vertical="center"/>
    </xf>
    <xf fontId="23048" applyFont="true" borderId="8" applyBorder="true" applyNumberFormat="true" numFmtId="1" fillId="22" applyFill="true">
      <alignment horizontal="center" vertical="center"/>
    </xf>
    <xf fontId="23049" applyFont="true" borderId="8" applyBorder="true" applyNumberFormat="true" numFmtId="1" fillId="22" applyFill="true">
      <alignment horizontal="center" vertical="center"/>
    </xf>
    <xf fontId="23050" applyFont="true" borderId="8" applyBorder="true" applyNumberFormat="true" numFmtId="1" fillId="22" applyFill="true">
      <alignment horizontal="center" vertical="center"/>
    </xf>
    <xf fontId="23051" applyFont="true" borderId="8" applyBorder="true" applyNumberFormat="true" numFmtId="1" fillId="22" applyFill="true">
      <alignment horizontal="center" vertical="center"/>
    </xf>
    <xf fontId="23052" applyFont="true" borderId="8" applyBorder="true" applyNumberFormat="true" numFmtId="167" fillId="22" applyFill="true">
      <alignment horizontal="center" vertical="center"/>
    </xf>
    <xf fontId="23053" applyFont="true" borderId="8" applyBorder="true" applyNumberFormat="true" numFmtId="1" fillId="22" applyFill="true">
      <alignment horizontal="center" vertical="center"/>
    </xf>
    <xf fontId="23054" applyFont="true" borderId="8" applyBorder="true" applyNumberFormat="true" numFmtId="167" fillId="22" applyFill="true">
      <alignment horizontal="center" vertical="center"/>
    </xf>
    <xf fontId="23055" applyFont="true" borderId="8" applyBorder="true" applyNumberFormat="true" numFmtId="1" fillId="22" applyFill="true">
      <alignment horizontal="center" vertical="center"/>
    </xf>
    <xf fontId="23056" applyFont="true" borderId="8" applyBorder="true" applyNumberFormat="true" numFmtId="167" fillId="22" applyFill="true">
      <alignment horizontal="center" vertical="center"/>
    </xf>
    <xf fontId="23057" applyFont="true" borderId="8" applyBorder="true" applyNumberFormat="true" numFmtId="2" fillId="22" applyFill="true">
      <alignment horizontal="center" vertical="center"/>
    </xf>
    <xf fontId="23058" applyFont="true" borderId="8" applyBorder="true" applyNumberFormat="true" numFmtId="2" fillId="22" applyFill="true">
      <alignment horizontal="center" vertical="center"/>
    </xf>
    <xf fontId="23059" applyFont="true" borderId="8" applyBorder="true" applyNumberFormat="true" numFmtId="2" fillId="22" applyFill="true">
      <alignment horizontal="center" vertical="center"/>
    </xf>
    <xf fontId="23060" applyFont="true" borderId="8" applyBorder="true" applyNumberFormat="true" numFmtId="2" fillId="22" applyFill="true">
      <alignment horizontal="center" vertical="center"/>
    </xf>
    <xf fontId="23061" applyFont="true" borderId="8" applyBorder="true" applyNumberFormat="true" numFmtId="2" fillId="22" applyFill="true">
      <alignment horizontal="center" vertical="center"/>
    </xf>
    <xf fontId="23062" applyFont="true" borderId="8" applyBorder="true" applyNumberFormat="true" numFmtId="2" fillId="22" applyFill="true">
      <alignment horizontal="center" vertical="center"/>
    </xf>
    <xf fontId="23063" applyFont="true" borderId="8" applyBorder="true" applyNumberFormat="true" numFmtId="2" fillId="22" applyFill="true">
      <alignment horizontal="center" vertical="center"/>
    </xf>
    <xf fontId="23064" applyFont="true" borderId="8" applyBorder="true" applyNumberFormat="true" numFmtId="2" fillId="22" applyFill="true">
      <alignment horizontal="center" vertical="center"/>
    </xf>
    <xf fontId="23065" applyFont="true" borderId="8" applyBorder="true" applyNumberFormat="true" numFmtId="2" fillId="22" applyFill="true">
      <alignment horizontal="center" vertical="center"/>
    </xf>
    <xf fontId="23066" applyFont="true" borderId="8" applyBorder="true" applyNumberFormat="true" numFmtId="2" fillId="22" applyFill="true">
      <alignment horizontal="center" vertical="center"/>
    </xf>
    <xf fontId="23067" applyFont="true" borderId="8" applyBorder="true" applyNumberFormat="true" numFmtId="2" fillId="22" applyFill="true">
      <alignment horizontal="center" vertical="center"/>
    </xf>
    <xf fontId="23068" applyFont="true" borderId="8" applyBorder="true" applyNumberFormat="true" numFmtId="2" fillId="22" applyFill="true">
      <alignment horizontal="center" vertical="center"/>
    </xf>
    <xf fontId="23069" applyFont="true" borderId="8" applyBorder="true" applyNumberFormat="true" numFmtId="2" fillId="22" applyFill="true">
      <alignment horizontal="center" vertical="center"/>
    </xf>
    <xf fontId="23070" applyFont="true" borderId="8" applyBorder="true" applyNumberFormat="true" numFmtId="2" fillId="22" applyFill="true">
      <alignment horizontal="center" vertical="center"/>
    </xf>
    <xf fontId="23071" applyFont="true" borderId="8" applyBorder="true" applyNumberFormat="true" numFmtId="2" fillId="22" applyFill="true">
      <alignment horizontal="center" vertical="center"/>
    </xf>
    <xf fontId="23072" applyFont="true" borderId="8" applyBorder="true" applyNumberFormat="true" numFmtId="2" fillId="22" applyFill="true">
      <alignment horizontal="center" vertical="center"/>
    </xf>
    <xf fontId="23073" applyFont="true" borderId="8" applyBorder="true" applyNumberFormat="true" numFmtId="2" fillId="22" applyFill="true">
      <alignment horizontal="center" vertical="center"/>
    </xf>
    <xf fontId="23074" applyFont="true" borderId="8" applyBorder="true" applyNumberFormat="true" numFmtId="2" fillId="22" applyFill="true">
      <alignment horizontal="center" vertical="center"/>
    </xf>
    <xf fontId="23075" applyFont="true" borderId="8" applyBorder="true" applyNumberFormat="true" numFmtId="2" fillId="22" applyFill="true">
      <alignment horizontal="center" vertical="center"/>
    </xf>
    <xf fontId="23076" applyFont="true" borderId="8" applyBorder="true" applyNumberFormat="true" numFmtId="2" fillId="22" applyFill="true">
      <alignment horizontal="center" vertical="center"/>
    </xf>
    <xf fontId="23077" applyFont="true" borderId="8" applyBorder="true" applyNumberFormat="true" numFmtId="2" fillId="22" applyFill="true">
      <alignment horizontal="center" vertical="center"/>
    </xf>
    <xf fontId="23078" applyFont="true" borderId="8" applyBorder="true" applyNumberFormat="true" numFmtId="2" fillId="22" applyFill="true">
      <alignment horizontal="center" vertical="center"/>
    </xf>
    <xf fontId="23079" applyFont="true" borderId="8" applyBorder="true" applyNumberFormat="true" numFmtId="2" fillId="22" applyFill="true">
      <alignment horizontal="center" vertical="center"/>
    </xf>
    <xf fontId="23080" applyFont="true" borderId="8" applyBorder="true" applyNumberFormat="true" numFmtId="2" fillId="22" applyFill="true">
      <alignment horizontal="center" vertical="center"/>
    </xf>
    <xf fontId="23081" applyFont="true" borderId="8" applyBorder="true" applyNumberFormat="true" numFmtId="2" fillId="22" applyFill="true">
      <alignment horizontal="center" vertical="center"/>
    </xf>
    <xf fontId="23082" applyFont="true" borderId="8" applyBorder="true" applyNumberFormat="true" numFmtId="2" fillId="22" applyFill="true">
      <alignment horizontal="center" vertical="center"/>
    </xf>
    <xf fontId="23083" applyFont="true" borderId="8" applyBorder="true" applyNumberFormat="true" numFmtId="2" fillId="22" applyFill="true">
      <alignment horizontal="center" vertical="center"/>
    </xf>
    <xf fontId="23084" applyFont="true" borderId="8" applyBorder="true" applyNumberFormat="true" numFmtId="2" fillId="22" applyFill="true">
      <alignment horizontal="center" vertical="center"/>
    </xf>
    <xf fontId="23085" applyFont="true" borderId="8" applyBorder="true" applyNumberFormat="true" numFmtId="2" fillId="22" applyFill="true">
      <alignment horizontal="center" vertical="center"/>
    </xf>
    <xf fontId="23086" applyFont="true" borderId="8" applyBorder="true" applyNumberFormat="true" numFmtId="2" fillId="22" applyFill="true">
      <alignment horizontal="center" vertical="center"/>
    </xf>
    <xf fontId="23087" applyFont="true" borderId="8" applyBorder="true" applyNumberFormat="true" numFmtId="2" fillId="22" applyFill="true">
      <alignment horizontal="center" vertical="center"/>
    </xf>
    <xf fontId="23088" applyFont="true" borderId="8" applyBorder="true" applyNumberFormat="true" numFmtId="2" fillId="22" applyFill="true">
      <alignment horizontal="center" vertical="center"/>
    </xf>
    <xf fontId="23089" applyFont="true" borderId="8" applyBorder="true" applyNumberFormat="true" numFmtId="2" fillId="22" applyFill="true">
      <alignment horizontal="center" vertical="center"/>
    </xf>
    <xf fontId="23090" applyFont="true" borderId="8" applyBorder="true" applyNumberFormat="true" numFmtId="2" fillId="22" applyFill="true">
      <alignment horizontal="center" vertical="center"/>
    </xf>
    <xf fontId="23091" applyFont="true" borderId="8" applyBorder="true" applyNumberFormat="true" numFmtId="165" fillId="19" applyFill="true">
      <alignment horizontal="left" vertical="center"/>
    </xf>
    <xf fontId="23092" applyFont="true" borderId="8" applyBorder="true" applyNumberFormat="true" numFmtId="165" fillId="22" applyFill="true">
      <alignment horizontal="center" vertical="center"/>
    </xf>
    <xf fontId="23093" applyFont="true" borderId="8" applyBorder="true" applyNumberFormat="true" numFmtId="166" fillId="22" applyFill="true">
      <alignment horizontal="center" vertical="center"/>
    </xf>
    <xf fontId="23094" applyFont="true" borderId="8" applyBorder="true" applyNumberFormat="true" numFmtId="1" fillId="22" applyFill="true">
      <alignment horizontal="center" vertical="center"/>
    </xf>
    <xf fontId="23095" applyFont="true" borderId="8" applyBorder="true" applyNumberFormat="true" numFmtId="1" fillId="22" applyFill="true">
      <alignment horizontal="center" vertical="center"/>
    </xf>
    <xf fontId="23096" applyFont="true" borderId="8" applyBorder="true" applyNumberFormat="true" numFmtId="1" fillId="22" applyFill="true">
      <alignment horizontal="center" vertical="center"/>
    </xf>
    <xf fontId="23097" applyFont="true" borderId="8" applyBorder="true" applyNumberFormat="true" numFmtId="1" fillId="22" applyFill="true">
      <alignment horizontal="center" vertical="center"/>
    </xf>
    <xf fontId="23098" applyFont="true" borderId="8" applyBorder="true" applyNumberFormat="true" numFmtId="1" fillId="22" applyFill="true">
      <alignment horizontal="center" vertical="center"/>
    </xf>
    <xf fontId="23099" applyFont="true" borderId="8" applyBorder="true" applyNumberFormat="true" numFmtId="1" fillId="22" applyFill="true">
      <alignment horizontal="center" vertical="center"/>
    </xf>
    <xf fontId="23100" applyFont="true" borderId="8" applyBorder="true" applyNumberFormat="true" numFmtId="1" fillId="22" applyFill="true">
      <alignment horizontal="center" vertical="center"/>
    </xf>
    <xf fontId="23101" applyFont="true" borderId="8" applyBorder="true" applyNumberFormat="true" numFmtId="165" fillId="22" applyFill="true">
      <alignment horizontal="center" vertical="center"/>
    </xf>
    <xf fontId="23102" applyFont="true" borderId="8" applyBorder="true" applyNumberFormat="true" numFmtId="165" fillId="22" applyFill="true">
      <alignment horizontal="center" vertical="center"/>
    </xf>
    <xf fontId="23103" applyFont="true" borderId="8" applyBorder="true" applyNumberFormat="true" numFmtId="1" fillId="22" applyFill="true">
      <alignment horizontal="center" vertical="center"/>
    </xf>
    <xf fontId="23104" applyFont="true" borderId="8" applyBorder="true" applyNumberFormat="true" numFmtId="1" fillId="22" applyFill="true">
      <alignment horizontal="center" vertical="center"/>
    </xf>
    <xf fontId="23105" applyFont="true" borderId="8" applyBorder="true" applyNumberFormat="true" numFmtId="1" fillId="22" applyFill="true">
      <alignment horizontal="center" vertical="center"/>
    </xf>
    <xf fontId="23106" applyFont="true" borderId="8" applyBorder="true" applyNumberFormat="true" numFmtId="167" fillId="22" applyFill="true">
      <alignment horizontal="center" vertical="center"/>
    </xf>
    <xf fontId="23107" applyFont="true" borderId="8" applyBorder="true" applyNumberFormat="true" numFmtId="1" fillId="22" applyFill="true">
      <alignment horizontal="center" vertical="center"/>
    </xf>
    <xf fontId="23108" applyFont="true" borderId="8" applyBorder="true" applyNumberFormat="true" numFmtId="167" fillId="22" applyFill="true">
      <alignment horizontal="center" vertical="center"/>
    </xf>
    <xf fontId="23109" applyFont="true" borderId="8" applyBorder="true" applyNumberFormat="true" numFmtId="1" fillId="22" applyFill="true">
      <alignment horizontal="center" vertical="center"/>
    </xf>
    <xf fontId="23110" applyFont="true" borderId="8" applyBorder="true" applyNumberFormat="true" numFmtId="167" fillId="22" applyFill="true">
      <alignment horizontal="center" vertical="center"/>
    </xf>
    <xf fontId="23111" applyFont="true" borderId="8" applyBorder="true" applyNumberFormat="true" numFmtId="1" fillId="22" applyFill="true">
      <alignment horizontal="center" vertical="center"/>
    </xf>
    <xf fontId="23112" applyFont="true" borderId="8" applyBorder="true" applyNumberFormat="true" numFmtId="167" fillId="22" applyFill="true">
      <alignment horizontal="center" vertical="center"/>
    </xf>
    <xf fontId="23113" applyFont="true" borderId="8" applyBorder="true" applyNumberFormat="true" numFmtId="167" fillId="22" applyFill="true">
      <alignment horizontal="center" vertical="center"/>
    </xf>
    <xf fontId="23114" applyFont="true" borderId="8" applyBorder="true" applyNumberFormat="true" numFmtId="1" fillId="22" applyFill="true">
      <alignment horizontal="center" vertical="center"/>
    </xf>
    <xf fontId="23115" applyFont="true" borderId="8" applyBorder="true" applyNumberFormat="true" numFmtId="1" fillId="22" applyFill="true">
      <alignment horizontal="center" vertical="center"/>
    </xf>
    <xf fontId="23116" applyFont="true" borderId="8" applyBorder="true" applyNumberFormat="true" numFmtId="1" fillId="22" applyFill="true">
      <alignment horizontal="center" vertical="center"/>
    </xf>
    <xf fontId="23117" applyFont="true" borderId="8" applyBorder="true" applyNumberFormat="true" numFmtId="167" fillId="22" applyFill="true">
      <alignment horizontal="center" vertical="center"/>
    </xf>
    <xf fontId="23118" applyFont="true" borderId="8" applyBorder="true" applyNumberFormat="true" numFmtId="166" fillId="22" applyFill="true">
      <alignment horizontal="center" vertical="center"/>
    </xf>
    <xf fontId="23119" applyFont="true" borderId="8" applyBorder="true" applyNumberFormat="true" numFmtId="166" fillId="22" applyFill="true">
      <alignment horizontal="center" vertical="center"/>
    </xf>
    <xf fontId="23120" applyFont="true" borderId="8" applyBorder="true" applyNumberFormat="true" numFmtId="1" fillId="22" applyFill="true">
      <alignment horizontal="center" vertical="center"/>
    </xf>
    <xf fontId="23121" applyFont="true" borderId="8" applyBorder="true" applyNumberFormat="true" numFmtId="1" fillId="22" applyFill="true">
      <alignment horizontal="center" vertical="center"/>
    </xf>
    <xf fontId="23122" applyFont="true" borderId="8" applyBorder="true" applyNumberFormat="true" numFmtId="1" fillId="22" applyFill="true">
      <alignment horizontal="center" vertical="center"/>
    </xf>
    <xf fontId="23123" applyFont="true" borderId="8" applyBorder="true" applyNumberFormat="true" numFmtId="167" fillId="22" applyFill="true">
      <alignment horizontal="center" vertical="center"/>
    </xf>
    <xf fontId="23124" applyFont="true" borderId="8" applyBorder="true" applyNumberFormat="true" numFmtId="1" fillId="22" applyFill="true">
      <alignment horizontal="center" vertical="center"/>
    </xf>
    <xf fontId="23125" applyFont="true" borderId="8" applyBorder="true" applyNumberFormat="true" numFmtId="167" fillId="22" applyFill="true">
      <alignment horizontal="center" vertical="center"/>
    </xf>
    <xf fontId="23126" applyFont="true" borderId="8" applyBorder="true" applyNumberFormat="true" numFmtId="1" fillId="22" applyFill="true">
      <alignment horizontal="center" vertical="center"/>
    </xf>
    <xf fontId="23127" applyFont="true" borderId="8" applyBorder="true" applyNumberFormat="true" numFmtId="1" fillId="22" applyFill="true">
      <alignment horizontal="center" vertical="center"/>
    </xf>
    <xf fontId="23128" applyFont="true" borderId="8" applyBorder="true" applyNumberFormat="true" numFmtId="1" fillId="22" applyFill="true">
      <alignment horizontal="center" vertical="center"/>
    </xf>
    <xf fontId="23129" applyFont="true" borderId="8" applyBorder="true" applyNumberFormat="true" numFmtId="1" fillId="22" applyFill="true">
      <alignment horizontal="center" vertical="center"/>
    </xf>
    <xf fontId="23130" applyFont="true" borderId="8" applyBorder="true" applyNumberFormat="true" numFmtId="167" fillId="22" applyFill="true">
      <alignment horizontal="center" vertical="center"/>
    </xf>
    <xf fontId="23131" applyFont="true" borderId="8" applyBorder="true" applyNumberFormat="true" numFmtId="1" fillId="22" applyFill="true">
      <alignment horizontal="center" vertical="center"/>
    </xf>
    <xf fontId="23132" applyFont="true" borderId="8" applyBorder="true" applyNumberFormat="true" numFmtId="167" fillId="22" applyFill="true">
      <alignment horizontal="center" vertical="center"/>
    </xf>
    <xf fontId="23133" applyFont="true" borderId="8" applyBorder="true" applyNumberFormat="true" numFmtId="1" fillId="22" applyFill="true">
      <alignment horizontal="center" vertical="center"/>
    </xf>
    <xf fontId="23134" applyFont="true" borderId="8" applyBorder="true" applyNumberFormat="true" numFmtId="167" fillId="22" applyFill="true">
      <alignment horizontal="center" vertical="center"/>
    </xf>
    <xf fontId="23135" applyFont="true" borderId="8" applyBorder="true" applyNumberFormat="true" numFmtId="2" fillId="22" applyFill="true">
      <alignment horizontal="center" vertical="center"/>
    </xf>
    <xf fontId="23136" applyFont="true" borderId="8" applyBorder="true" applyNumberFormat="true" numFmtId="2" fillId="22" applyFill="true">
      <alignment horizontal="center" vertical="center"/>
    </xf>
    <xf fontId="23137" applyFont="true" borderId="8" applyBorder="true" applyNumberFormat="true" numFmtId="2" fillId="22" applyFill="true">
      <alignment horizontal="center" vertical="center"/>
    </xf>
    <xf fontId="23138" applyFont="true" borderId="8" applyBorder="true" applyNumberFormat="true" numFmtId="2" fillId="22" applyFill="true">
      <alignment horizontal="center" vertical="center"/>
    </xf>
    <xf fontId="23139" applyFont="true" borderId="8" applyBorder="true" applyNumberFormat="true" numFmtId="2" fillId="22" applyFill="true">
      <alignment horizontal="center" vertical="center"/>
    </xf>
    <xf fontId="23140" applyFont="true" borderId="8" applyBorder="true" applyNumberFormat="true" numFmtId="2" fillId="22" applyFill="true">
      <alignment horizontal="center" vertical="center"/>
    </xf>
    <xf fontId="23141" applyFont="true" borderId="8" applyBorder="true" applyNumberFormat="true" numFmtId="2" fillId="22" applyFill="true">
      <alignment horizontal="center" vertical="center"/>
    </xf>
    <xf fontId="23142" applyFont="true" borderId="8" applyBorder="true" applyNumberFormat="true" numFmtId="2" fillId="22" applyFill="true">
      <alignment horizontal="center" vertical="center"/>
    </xf>
    <xf fontId="23143" applyFont="true" borderId="8" applyBorder="true" applyNumberFormat="true" numFmtId="2" fillId="22" applyFill="true">
      <alignment horizontal="center" vertical="center"/>
    </xf>
    <xf fontId="23144" applyFont="true" borderId="8" applyBorder="true" applyNumberFormat="true" numFmtId="2" fillId="22" applyFill="true">
      <alignment horizontal="center" vertical="center"/>
    </xf>
    <xf fontId="23145" applyFont="true" borderId="8" applyBorder="true" applyNumberFormat="true" numFmtId="2" fillId="22" applyFill="true">
      <alignment horizontal="center" vertical="center"/>
    </xf>
    <xf fontId="23146" applyFont="true" borderId="8" applyBorder="true" applyNumberFormat="true" numFmtId="2" fillId="22" applyFill="true">
      <alignment horizontal="center" vertical="center"/>
    </xf>
    <xf fontId="23147" applyFont="true" borderId="8" applyBorder="true" applyNumberFormat="true" numFmtId="2" fillId="22" applyFill="true">
      <alignment horizontal="center" vertical="center"/>
    </xf>
    <xf fontId="23148" applyFont="true" borderId="8" applyBorder="true" applyNumberFormat="true" numFmtId="2" fillId="22" applyFill="true">
      <alignment horizontal="center" vertical="center"/>
    </xf>
    <xf fontId="23149" applyFont="true" borderId="8" applyBorder="true" applyNumberFormat="true" numFmtId="2" fillId="22" applyFill="true">
      <alignment horizontal="center" vertical="center"/>
    </xf>
    <xf fontId="23150" applyFont="true" borderId="8" applyBorder="true" applyNumberFormat="true" numFmtId="2" fillId="22" applyFill="true">
      <alignment horizontal="center" vertical="center"/>
    </xf>
    <xf fontId="23151" applyFont="true" borderId="8" applyBorder="true" applyNumberFormat="true" numFmtId="2" fillId="22" applyFill="true">
      <alignment horizontal="center" vertical="center"/>
    </xf>
    <xf fontId="23152" applyFont="true" borderId="8" applyBorder="true" applyNumberFormat="true" numFmtId="2" fillId="22" applyFill="true">
      <alignment horizontal="center" vertical="center"/>
    </xf>
    <xf fontId="23153" applyFont="true" borderId="8" applyBorder="true" applyNumberFormat="true" numFmtId="2" fillId="22" applyFill="true">
      <alignment horizontal="center" vertical="center"/>
    </xf>
    <xf fontId="23154" applyFont="true" borderId="8" applyBorder="true" applyNumberFormat="true" numFmtId="2" fillId="22" applyFill="true">
      <alignment horizontal="center" vertical="center"/>
    </xf>
    <xf fontId="23155" applyFont="true" borderId="8" applyBorder="true" applyNumberFormat="true" numFmtId="2" fillId="22" applyFill="true">
      <alignment horizontal="center" vertical="center"/>
    </xf>
    <xf fontId="23156" applyFont="true" borderId="8" applyBorder="true" applyNumberFormat="true" numFmtId="2" fillId="22" applyFill="true">
      <alignment horizontal="center" vertical="center"/>
    </xf>
    <xf fontId="23157" applyFont="true" borderId="8" applyBorder="true" applyNumberFormat="true" numFmtId="2" fillId="22" applyFill="true">
      <alignment horizontal="center" vertical="center"/>
    </xf>
    <xf fontId="23158" applyFont="true" borderId="8" applyBorder="true" applyNumberFormat="true" numFmtId="2" fillId="22" applyFill="true">
      <alignment horizontal="center" vertical="center"/>
    </xf>
    <xf fontId="23159" applyFont="true" borderId="8" applyBorder="true" applyNumberFormat="true" numFmtId="2" fillId="22" applyFill="true">
      <alignment horizontal="center" vertical="center"/>
    </xf>
    <xf fontId="23160" applyFont="true" borderId="8" applyBorder="true" applyNumberFormat="true" numFmtId="2" fillId="22" applyFill="true">
      <alignment horizontal="center" vertical="center"/>
    </xf>
    <xf fontId="23161" applyFont="true" borderId="8" applyBorder="true" applyNumberFormat="true" numFmtId="2" fillId="22" applyFill="true">
      <alignment horizontal="center" vertical="center"/>
    </xf>
    <xf fontId="23162" applyFont="true" borderId="8" applyBorder="true" applyNumberFormat="true" numFmtId="2" fillId="22" applyFill="true">
      <alignment horizontal="center" vertical="center"/>
    </xf>
    <xf fontId="23163" applyFont="true" borderId="8" applyBorder="true" applyNumberFormat="true" numFmtId="2" fillId="22" applyFill="true">
      <alignment horizontal="center" vertical="center"/>
    </xf>
    <xf fontId="23164" applyFont="true" borderId="8" applyBorder="true" applyNumberFormat="true" numFmtId="2" fillId="22" applyFill="true">
      <alignment horizontal="center" vertical="center"/>
    </xf>
    <xf fontId="23165" applyFont="true" borderId="8" applyBorder="true" applyNumberFormat="true" numFmtId="2" fillId="22" applyFill="true">
      <alignment horizontal="center" vertical="center"/>
    </xf>
    <xf fontId="23166" applyFont="true" borderId="8" applyBorder="true" applyNumberFormat="true" numFmtId="2" fillId="22" applyFill="true">
      <alignment horizontal="center" vertical="center"/>
    </xf>
    <xf fontId="23167" applyFont="true" borderId="8" applyBorder="true" applyNumberFormat="true" numFmtId="2" fillId="22" applyFill="true">
      <alignment horizontal="center" vertical="center"/>
    </xf>
    <xf fontId="23168" applyFont="true" borderId="8" applyBorder="true" applyNumberFormat="true" numFmtId="2" fillId="22" applyFill="true">
      <alignment horizontal="center" vertical="center"/>
    </xf>
    <xf fontId="23169" applyFont="true" borderId="8" applyBorder="true" applyNumberFormat="true" numFmtId="165" fillId="19" applyFill="true">
      <alignment horizontal="left" vertical="center"/>
    </xf>
    <xf fontId="23170" applyFont="true" borderId="8" applyBorder="true" applyNumberFormat="true" numFmtId="165" fillId="22" applyFill="true">
      <alignment horizontal="center" vertical="center"/>
    </xf>
    <xf fontId="23171" applyFont="true" borderId="8" applyBorder="true" applyNumberFormat="true" numFmtId="166" fillId="22" applyFill="true">
      <alignment horizontal="center" vertical="center"/>
    </xf>
    <xf fontId="23172" applyFont="true" borderId="8" applyBorder="true" applyNumberFormat="true" numFmtId="1" fillId="22" applyFill="true">
      <alignment horizontal="center" vertical="center"/>
    </xf>
    <xf fontId="23173" applyFont="true" borderId="8" applyBorder="true" applyNumberFormat="true" numFmtId="1" fillId="22" applyFill="true">
      <alignment horizontal="center" vertical="center"/>
    </xf>
    <xf fontId="23174" applyFont="true" borderId="8" applyBorder="true" applyNumberFormat="true" numFmtId="1" fillId="22" applyFill="true">
      <alignment horizontal="center" vertical="center"/>
    </xf>
    <xf fontId="23175" applyFont="true" borderId="8" applyBorder="true" applyNumberFormat="true" numFmtId="1" fillId="22" applyFill="true">
      <alignment horizontal="center" vertical="center"/>
    </xf>
    <xf fontId="23176" applyFont="true" borderId="8" applyBorder="true" applyNumberFormat="true" numFmtId="1" fillId="22" applyFill="true">
      <alignment horizontal="center" vertical="center"/>
    </xf>
    <xf fontId="23177" applyFont="true" borderId="8" applyBorder="true" applyNumberFormat="true" numFmtId="1" fillId="22" applyFill="true">
      <alignment horizontal="center" vertical="center"/>
    </xf>
    <xf fontId="23178" applyFont="true" borderId="8" applyBorder="true" applyNumberFormat="true" numFmtId="1" fillId="22" applyFill="true">
      <alignment horizontal="center" vertical="center"/>
    </xf>
    <xf fontId="23179" applyFont="true" borderId="8" applyBorder="true" applyNumberFormat="true" numFmtId="165" fillId="22" applyFill="true">
      <alignment horizontal="center" vertical="center"/>
    </xf>
    <xf fontId="23180" applyFont="true" borderId="8" applyBorder="true" applyNumberFormat="true" numFmtId="165" fillId="22" applyFill="true">
      <alignment horizontal="center" vertical="center"/>
    </xf>
    <xf fontId="23181" applyFont="true" borderId="8" applyBorder="true" applyNumberFormat="true" numFmtId="1" fillId="22" applyFill="true">
      <alignment horizontal="center" vertical="center"/>
    </xf>
    <xf fontId="23182" applyFont="true" borderId="8" applyBorder="true" applyNumberFormat="true" numFmtId="1" fillId="22" applyFill="true">
      <alignment horizontal="center" vertical="center"/>
    </xf>
    <xf fontId="23183" applyFont="true" borderId="8" applyBorder="true" applyNumberFormat="true" numFmtId="1" fillId="22" applyFill="true">
      <alignment horizontal="center" vertical="center"/>
    </xf>
    <xf fontId="23184" applyFont="true" borderId="8" applyBorder="true" applyNumberFormat="true" numFmtId="167" fillId="22" applyFill="true">
      <alignment horizontal="center" vertical="center"/>
    </xf>
    <xf fontId="23185" applyFont="true" borderId="8" applyBorder="true" applyNumberFormat="true" numFmtId="1" fillId="22" applyFill="true">
      <alignment horizontal="center" vertical="center"/>
    </xf>
    <xf fontId="23186" applyFont="true" borderId="8" applyBorder="true" applyNumberFormat="true" numFmtId="167" fillId="22" applyFill="true">
      <alignment horizontal="center" vertical="center"/>
    </xf>
    <xf fontId="23187" applyFont="true" borderId="8" applyBorder="true" applyNumberFormat="true" numFmtId="1" fillId="22" applyFill="true">
      <alignment horizontal="center" vertical="center"/>
    </xf>
    <xf fontId="23188" applyFont="true" borderId="8" applyBorder="true" applyNumberFormat="true" numFmtId="167" fillId="22" applyFill="true">
      <alignment horizontal="center" vertical="center"/>
    </xf>
    <xf fontId="23189" applyFont="true" borderId="8" applyBorder="true" applyNumberFormat="true" numFmtId="1" fillId="22" applyFill="true">
      <alignment horizontal="center" vertical="center"/>
    </xf>
    <xf fontId="23190" applyFont="true" borderId="8" applyBorder="true" applyNumberFormat="true" numFmtId="167" fillId="22" applyFill="true">
      <alignment horizontal="center" vertical="center"/>
    </xf>
    <xf fontId="23191" applyFont="true" borderId="8" applyBorder="true" applyNumberFormat="true" numFmtId="167" fillId="22" applyFill="true">
      <alignment horizontal="center" vertical="center"/>
    </xf>
    <xf fontId="23192" applyFont="true" borderId="8" applyBorder="true" applyNumberFormat="true" numFmtId="1" fillId="22" applyFill="true">
      <alignment horizontal="center" vertical="center"/>
    </xf>
    <xf fontId="23193" applyFont="true" borderId="8" applyBorder="true" applyNumberFormat="true" numFmtId="1" fillId="22" applyFill="true">
      <alignment horizontal="center" vertical="center"/>
    </xf>
    <xf fontId="23194" applyFont="true" borderId="8" applyBorder="true" applyNumberFormat="true" numFmtId="1" fillId="22" applyFill="true">
      <alignment horizontal="center" vertical="center"/>
    </xf>
    <xf fontId="23195" applyFont="true" borderId="8" applyBorder="true" applyNumberFormat="true" numFmtId="167" fillId="22" applyFill="true">
      <alignment horizontal="center" vertical="center"/>
    </xf>
    <xf fontId="23196" applyFont="true" borderId="8" applyBorder="true" applyNumberFormat="true" numFmtId="166" fillId="22" applyFill="true">
      <alignment horizontal="center" vertical="center"/>
    </xf>
    <xf fontId="23197" applyFont="true" borderId="8" applyBorder="true" applyNumberFormat="true" numFmtId="166" fillId="22" applyFill="true">
      <alignment horizontal="center" vertical="center"/>
    </xf>
    <xf fontId="23198" applyFont="true" borderId="8" applyBorder="true" applyNumberFormat="true" numFmtId="1" fillId="22" applyFill="true">
      <alignment horizontal="center" vertical="center"/>
    </xf>
    <xf fontId="23199" applyFont="true" borderId="8" applyBorder="true" applyNumberFormat="true" numFmtId="1" fillId="22" applyFill="true">
      <alignment horizontal="center" vertical="center"/>
    </xf>
    <xf fontId="23200" applyFont="true" borderId="8" applyBorder="true" applyNumberFormat="true" numFmtId="1" fillId="22" applyFill="true">
      <alignment horizontal="center" vertical="center"/>
    </xf>
    <xf fontId="23201" applyFont="true" borderId="8" applyBorder="true" applyNumberFormat="true" numFmtId="167" fillId="22" applyFill="true">
      <alignment horizontal="center" vertical="center"/>
    </xf>
    <xf fontId="23202" applyFont="true" borderId="8" applyBorder="true" applyNumberFormat="true" numFmtId="1" fillId="22" applyFill="true">
      <alignment horizontal="center" vertical="center"/>
    </xf>
    <xf fontId="23203" applyFont="true" borderId="8" applyBorder="true" applyNumberFormat="true" numFmtId="167" fillId="22" applyFill="true">
      <alignment horizontal="center" vertical="center"/>
    </xf>
    <xf fontId="23204" applyFont="true" borderId="8" applyBorder="true" applyNumberFormat="true" numFmtId="1" fillId="22" applyFill="true">
      <alignment horizontal="center" vertical="center"/>
    </xf>
    <xf fontId="23205" applyFont="true" borderId="8" applyBorder="true" applyNumberFormat="true" numFmtId="1" fillId="22" applyFill="true">
      <alignment horizontal="center" vertical="center"/>
    </xf>
    <xf fontId="23206" applyFont="true" borderId="8" applyBorder="true" applyNumberFormat="true" numFmtId="1" fillId="22" applyFill="true">
      <alignment horizontal="center" vertical="center"/>
    </xf>
    <xf fontId="23207" applyFont="true" borderId="8" applyBorder="true" applyNumberFormat="true" numFmtId="1" fillId="22" applyFill="true">
      <alignment horizontal="center" vertical="center"/>
    </xf>
    <xf fontId="23208" applyFont="true" borderId="8" applyBorder="true" applyNumberFormat="true" numFmtId="167" fillId="22" applyFill="true">
      <alignment horizontal="center" vertical="center"/>
    </xf>
    <xf fontId="23209" applyFont="true" borderId="8" applyBorder="true" applyNumberFormat="true" numFmtId="1" fillId="22" applyFill="true">
      <alignment horizontal="center" vertical="center"/>
    </xf>
    <xf fontId="23210" applyFont="true" borderId="8" applyBorder="true" applyNumberFormat="true" numFmtId="167" fillId="22" applyFill="true">
      <alignment horizontal="center" vertical="center"/>
    </xf>
    <xf fontId="23211" applyFont="true" borderId="8" applyBorder="true" applyNumberFormat="true" numFmtId="1" fillId="22" applyFill="true">
      <alignment horizontal="center" vertical="center"/>
    </xf>
    <xf fontId="23212" applyFont="true" borderId="8" applyBorder="true" applyNumberFormat="true" numFmtId="167" fillId="22" applyFill="true">
      <alignment horizontal="center" vertical="center"/>
    </xf>
    <xf fontId="23213" applyFont="true" borderId="8" applyBorder="true" applyNumberFormat="true" numFmtId="2" fillId="22" applyFill="true">
      <alignment horizontal="center" vertical="center"/>
    </xf>
    <xf fontId="23214" applyFont="true" borderId="8" applyBorder="true" applyNumberFormat="true" numFmtId="2" fillId="22" applyFill="true">
      <alignment horizontal="center" vertical="center"/>
    </xf>
    <xf fontId="23215" applyFont="true" borderId="8" applyBorder="true" applyNumberFormat="true" numFmtId="2" fillId="22" applyFill="true">
      <alignment horizontal="center" vertical="center"/>
    </xf>
    <xf fontId="23216" applyFont="true" borderId="8" applyBorder="true" applyNumberFormat="true" numFmtId="2" fillId="22" applyFill="true">
      <alignment horizontal="center" vertical="center"/>
    </xf>
    <xf fontId="23217" applyFont="true" borderId="8" applyBorder="true" applyNumberFormat="true" numFmtId="2" fillId="22" applyFill="true">
      <alignment horizontal="center" vertical="center"/>
    </xf>
    <xf fontId="23218" applyFont="true" borderId="8" applyBorder="true" applyNumberFormat="true" numFmtId="2" fillId="22" applyFill="true">
      <alignment horizontal="center" vertical="center"/>
    </xf>
    <xf fontId="23219" applyFont="true" borderId="8" applyBorder="true" applyNumberFormat="true" numFmtId="2" fillId="22" applyFill="true">
      <alignment horizontal="center" vertical="center"/>
    </xf>
    <xf fontId="23220" applyFont="true" borderId="8" applyBorder="true" applyNumberFormat="true" numFmtId="2" fillId="22" applyFill="true">
      <alignment horizontal="center" vertical="center"/>
    </xf>
    <xf fontId="23221" applyFont="true" borderId="8" applyBorder="true" applyNumberFormat="true" numFmtId="2" fillId="22" applyFill="true">
      <alignment horizontal="center" vertical="center"/>
    </xf>
    <xf fontId="23222" applyFont="true" borderId="8" applyBorder="true" applyNumberFormat="true" numFmtId="2" fillId="22" applyFill="true">
      <alignment horizontal="center" vertical="center"/>
    </xf>
    <xf fontId="23223" applyFont="true" borderId="8" applyBorder="true" applyNumberFormat="true" numFmtId="2" fillId="22" applyFill="true">
      <alignment horizontal="center" vertical="center"/>
    </xf>
    <xf fontId="23224" applyFont="true" borderId="8" applyBorder="true" applyNumberFormat="true" numFmtId="2" fillId="22" applyFill="true">
      <alignment horizontal="center" vertical="center"/>
    </xf>
    <xf fontId="23225" applyFont="true" borderId="8" applyBorder="true" applyNumberFormat="true" numFmtId="2" fillId="22" applyFill="true">
      <alignment horizontal="center" vertical="center"/>
    </xf>
    <xf fontId="23226" applyFont="true" borderId="8" applyBorder="true" applyNumberFormat="true" numFmtId="2" fillId="22" applyFill="true">
      <alignment horizontal="center" vertical="center"/>
    </xf>
    <xf fontId="23227" applyFont="true" borderId="8" applyBorder="true" applyNumberFormat="true" numFmtId="2" fillId="22" applyFill="true">
      <alignment horizontal="center" vertical="center"/>
    </xf>
    <xf fontId="23228" applyFont="true" borderId="8" applyBorder="true" applyNumberFormat="true" numFmtId="2" fillId="22" applyFill="true">
      <alignment horizontal="center" vertical="center"/>
    </xf>
    <xf fontId="23229" applyFont="true" borderId="8" applyBorder="true" applyNumberFormat="true" numFmtId="2" fillId="22" applyFill="true">
      <alignment horizontal="center" vertical="center"/>
    </xf>
    <xf fontId="23230" applyFont="true" borderId="8" applyBorder="true" applyNumberFormat="true" numFmtId="2" fillId="22" applyFill="true">
      <alignment horizontal="center" vertical="center"/>
    </xf>
    <xf fontId="23231" applyFont="true" borderId="8" applyBorder="true" applyNumberFormat="true" numFmtId="2" fillId="22" applyFill="true">
      <alignment horizontal="center" vertical="center"/>
    </xf>
    <xf fontId="23232" applyFont="true" borderId="8" applyBorder="true" applyNumberFormat="true" numFmtId="2" fillId="22" applyFill="true">
      <alignment horizontal="center" vertical="center"/>
    </xf>
    <xf fontId="23233" applyFont="true" borderId="8" applyBorder="true" applyNumberFormat="true" numFmtId="2" fillId="22" applyFill="true">
      <alignment horizontal="center" vertical="center"/>
    </xf>
    <xf fontId="23234" applyFont="true" borderId="8" applyBorder="true" applyNumberFormat="true" numFmtId="2" fillId="22" applyFill="true">
      <alignment horizontal="center" vertical="center"/>
    </xf>
    <xf fontId="23235" applyFont="true" borderId="8" applyBorder="true" applyNumberFormat="true" numFmtId="2" fillId="22" applyFill="true">
      <alignment horizontal="center" vertical="center"/>
    </xf>
    <xf fontId="23236" applyFont="true" borderId="8" applyBorder="true" applyNumberFormat="true" numFmtId="2" fillId="22" applyFill="true">
      <alignment horizontal="center" vertical="center"/>
    </xf>
    <xf fontId="23237" applyFont="true" borderId="8" applyBorder="true" applyNumberFormat="true" numFmtId="2" fillId="22" applyFill="true">
      <alignment horizontal="center" vertical="center"/>
    </xf>
    <xf fontId="23238" applyFont="true" borderId="8" applyBorder="true" applyNumberFormat="true" numFmtId="2" fillId="22" applyFill="true">
      <alignment horizontal="center" vertical="center"/>
    </xf>
    <xf fontId="23239" applyFont="true" borderId="8" applyBorder="true" applyNumberFormat="true" numFmtId="2" fillId="22" applyFill="true">
      <alignment horizontal="center" vertical="center"/>
    </xf>
    <xf fontId="23240" applyFont="true" borderId="8" applyBorder="true" applyNumberFormat="true" numFmtId="2" fillId="22" applyFill="true">
      <alignment horizontal="center" vertical="center"/>
    </xf>
    <xf fontId="23241" applyFont="true" borderId="8" applyBorder="true" applyNumberFormat="true" numFmtId="2" fillId="22" applyFill="true">
      <alignment horizontal="center" vertical="center"/>
    </xf>
    <xf fontId="23242" applyFont="true" borderId="8" applyBorder="true" applyNumberFormat="true" numFmtId="2" fillId="22" applyFill="true">
      <alignment horizontal="center" vertical="center"/>
    </xf>
    <xf fontId="23243" applyFont="true" borderId="8" applyBorder="true" applyNumberFormat="true" numFmtId="2" fillId="22" applyFill="true">
      <alignment horizontal="center" vertical="center"/>
    </xf>
    <xf fontId="23244" applyFont="true" borderId="8" applyBorder="true" applyNumberFormat="true" numFmtId="2" fillId="22" applyFill="true">
      <alignment horizontal="center" vertical="center"/>
    </xf>
    <xf fontId="23245" applyFont="true" borderId="8" applyBorder="true" applyNumberFormat="true" numFmtId="2" fillId="22" applyFill="true">
      <alignment horizontal="center" vertical="center"/>
    </xf>
    <xf fontId="23246" applyFont="true" borderId="8" applyBorder="true" applyNumberFormat="true" numFmtId="2" fillId="22" applyFill="true">
      <alignment horizontal="center" vertical="center"/>
    </xf>
    <xf fontId="23247" applyFont="true" borderId="8" applyBorder="true" applyNumberFormat="true" numFmtId="165" fillId="19" applyFill="true">
      <alignment horizontal="left" vertical="center"/>
    </xf>
    <xf fontId="23248" applyFont="true" borderId="8" applyBorder="true" applyNumberFormat="true" numFmtId="165" fillId="22" applyFill="true">
      <alignment horizontal="center" vertical="center"/>
    </xf>
    <xf fontId="23249" applyFont="true" borderId="8" applyBorder="true" applyNumberFormat="true" numFmtId="166" fillId="22" applyFill="true">
      <alignment horizontal="center" vertical="center"/>
    </xf>
    <xf fontId="23250" applyFont="true" borderId="8" applyBorder="true" applyNumberFormat="true" numFmtId="1" fillId="22" applyFill="true">
      <alignment horizontal="center" vertical="center"/>
    </xf>
    <xf fontId="23251" applyFont="true" borderId="8" applyBorder="true" applyNumberFormat="true" numFmtId="1" fillId="22" applyFill="true">
      <alignment horizontal="center" vertical="center"/>
    </xf>
    <xf fontId="23252" applyFont="true" borderId="8" applyBorder="true" applyNumberFormat="true" numFmtId="1" fillId="22" applyFill="true">
      <alignment horizontal="center" vertical="center"/>
    </xf>
    <xf fontId="23253" applyFont="true" borderId="8" applyBorder="true" applyNumberFormat="true" numFmtId="1" fillId="22" applyFill="true">
      <alignment horizontal="center" vertical="center"/>
    </xf>
    <xf fontId="23254" applyFont="true" borderId="8" applyBorder="true" applyNumberFormat="true" numFmtId="1" fillId="22" applyFill="true">
      <alignment horizontal="center" vertical="center"/>
    </xf>
    <xf fontId="23255" applyFont="true" borderId="8" applyBorder="true" applyNumberFormat="true" numFmtId="1" fillId="22" applyFill="true">
      <alignment horizontal="center" vertical="center"/>
    </xf>
    <xf fontId="23256" applyFont="true" borderId="8" applyBorder="true" applyNumberFormat="true" numFmtId="1" fillId="22" applyFill="true">
      <alignment horizontal="center" vertical="center"/>
    </xf>
    <xf fontId="23257" applyFont="true" borderId="8" applyBorder="true" applyNumberFormat="true" numFmtId="165" fillId="22" applyFill="true">
      <alignment horizontal="center" vertical="center"/>
    </xf>
    <xf fontId="23258" applyFont="true" borderId="8" applyBorder="true" applyNumberFormat="true" numFmtId="165" fillId="22" applyFill="true">
      <alignment horizontal="center" vertical="center"/>
    </xf>
    <xf fontId="23259" applyFont="true" borderId="8" applyBorder="true" applyNumberFormat="true" numFmtId="1" fillId="22" applyFill="true">
      <alignment horizontal="center" vertical="center"/>
    </xf>
    <xf fontId="23260" applyFont="true" borderId="8" applyBorder="true" applyNumberFormat="true" numFmtId="1" fillId="22" applyFill="true">
      <alignment horizontal="center" vertical="center"/>
    </xf>
    <xf fontId="23261" applyFont="true" borderId="8" applyBorder="true" applyNumberFormat="true" numFmtId="1" fillId="22" applyFill="true">
      <alignment horizontal="center" vertical="center"/>
    </xf>
    <xf fontId="23262" applyFont="true" borderId="8" applyBorder="true" applyNumberFormat="true" numFmtId="167" fillId="22" applyFill="true">
      <alignment horizontal="center" vertical="center"/>
    </xf>
    <xf fontId="23263" applyFont="true" borderId="8" applyBorder="true" applyNumberFormat="true" numFmtId="1" fillId="22" applyFill="true">
      <alignment horizontal="center" vertical="center"/>
    </xf>
    <xf fontId="23264" applyFont="true" borderId="8" applyBorder="true" applyNumberFormat="true" numFmtId="167" fillId="22" applyFill="true">
      <alignment horizontal="center" vertical="center"/>
    </xf>
    <xf fontId="23265" applyFont="true" borderId="8" applyBorder="true" applyNumberFormat="true" numFmtId="1" fillId="22" applyFill="true">
      <alignment horizontal="center" vertical="center"/>
    </xf>
    <xf fontId="23266" applyFont="true" borderId="8" applyBorder="true" applyNumberFormat="true" numFmtId="167" fillId="22" applyFill="true">
      <alignment horizontal="center" vertical="center"/>
    </xf>
    <xf fontId="23267" applyFont="true" borderId="8" applyBorder="true" applyNumberFormat="true" numFmtId="1" fillId="22" applyFill="true">
      <alignment horizontal="center" vertical="center"/>
    </xf>
    <xf fontId="23268" applyFont="true" borderId="8" applyBorder="true" applyNumberFormat="true" numFmtId="167" fillId="22" applyFill="true">
      <alignment horizontal="center" vertical="center"/>
    </xf>
    <xf fontId="23269" applyFont="true" borderId="8" applyBorder="true" applyNumberFormat="true" numFmtId="167" fillId="22" applyFill="true">
      <alignment horizontal="center" vertical="center"/>
    </xf>
    <xf fontId="23270" applyFont="true" borderId="8" applyBorder="true" applyNumberFormat="true" numFmtId="1" fillId="22" applyFill="true">
      <alignment horizontal="center" vertical="center"/>
    </xf>
    <xf fontId="23271" applyFont="true" borderId="8" applyBorder="true" applyNumberFormat="true" numFmtId="1" fillId="22" applyFill="true">
      <alignment horizontal="center" vertical="center"/>
    </xf>
    <xf fontId="23272" applyFont="true" borderId="8" applyBorder="true" applyNumberFormat="true" numFmtId="1" fillId="22" applyFill="true">
      <alignment horizontal="center" vertical="center"/>
    </xf>
    <xf fontId="23273" applyFont="true" borderId="8" applyBorder="true" applyNumberFormat="true" numFmtId="167" fillId="22" applyFill="true">
      <alignment horizontal="center" vertical="center"/>
    </xf>
    <xf fontId="23274" applyFont="true" borderId="8" applyBorder="true" applyNumberFormat="true" numFmtId="166" fillId="22" applyFill="true">
      <alignment horizontal="center" vertical="center"/>
    </xf>
    <xf fontId="23275" applyFont="true" borderId="8" applyBorder="true" applyNumberFormat="true" numFmtId="166" fillId="22" applyFill="true">
      <alignment horizontal="center" vertical="center"/>
    </xf>
    <xf fontId="23276" applyFont="true" borderId="8" applyBorder="true" applyNumberFormat="true" numFmtId="1" fillId="22" applyFill="true">
      <alignment horizontal="center" vertical="center"/>
    </xf>
    <xf fontId="23277" applyFont="true" borderId="8" applyBorder="true" applyNumberFormat="true" numFmtId="1" fillId="22" applyFill="true">
      <alignment horizontal="center" vertical="center"/>
    </xf>
    <xf fontId="23278" applyFont="true" borderId="8" applyBorder="true" applyNumberFormat="true" numFmtId="1" fillId="22" applyFill="true">
      <alignment horizontal="center" vertical="center"/>
    </xf>
    <xf fontId="23279" applyFont="true" borderId="8" applyBorder="true" applyNumberFormat="true" numFmtId="167" fillId="22" applyFill="true">
      <alignment horizontal="center" vertical="center"/>
    </xf>
    <xf fontId="23280" applyFont="true" borderId="8" applyBorder="true" applyNumberFormat="true" numFmtId="1" fillId="22" applyFill="true">
      <alignment horizontal="center" vertical="center"/>
    </xf>
    <xf fontId="23281" applyFont="true" borderId="8" applyBorder="true" applyNumberFormat="true" numFmtId="167" fillId="22" applyFill="true">
      <alignment horizontal="center" vertical="center"/>
    </xf>
    <xf fontId="23282" applyFont="true" borderId="8" applyBorder="true" applyNumberFormat="true" numFmtId="1" fillId="22" applyFill="true">
      <alignment horizontal="center" vertical="center"/>
    </xf>
    <xf fontId="23283" applyFont="true" borderId="8" applyBorder="true" applyNumberFormat="true" numFmtId="1" fillId="22" applyFill="true">
      <alignment horizontal="center" vertical="center"/>
    </xf>
    <xf fontId="23284" applyFont="true" borderId="8" applyBorder="true" applyNumberFormat="true" numFmtId="1" fillId="22" applyFill="true">
      <alignment horizontal="center" vertical="center"/>
    </xf>
    <xf fontId="23285" applyFont="true" borderId="8" applyBorder="true" applyNumberFormat="true" numFmtId="1" fillId="22" applyFill="true">
      <alignment horizontal="center" vertical="center"/>
    </xf>
    <xf fontId="23286" applyFont="true" borderId="8" applyBorder="true" applyNumberFormat="true" numFmtId="167" fillId="22" applyFill="true">
      <alignment horizontal="center" vertical="center"/>
    </xf>
    <xf fontId="23287" applyFont="true" borderId="8" applyBorder="true" applyNumberFormat="true" numFmtId="1" fillId="22" applyFill="true">
      <alignment horizontal="center" vertical="center"/>
    </xf>
    <xf fontId="23288" applyFont="true" borderId="8" applyBorder="true" applyNumberFormat="true" numFmtId="167" fillId="22" applyFill="true">
      <alignment horizontal="center" vertical="center"/>
    </xf>
    <xf fontId="23289" applyFont="true" borderId="8" applyBorder="true" applyNumberFormat="true" numFmtId="1" fillId="22" applyFill="true">
      <alignment horizontal="center" vertical="center"/>
    </xf>
    <xf fontId="23290" applyFont="true" borderId="8" applyBorder="true" applyNumberFormat="true" numFmtId="167" fillId="22" applyFill="true">
      <alignment horizontal="center" vertical="center"/>
    </xf>
    <xf fontId="23291" applyFont="true" borderId="8" applyBorder="true" applyNumberFormat="true" numFmtId="2" fillId="22" applyFill="true">
      <alignment horizontal="center" vertical="center"/>
    </xf>
    <xf fontId="23292" applyFont="true" borderId="8" applyBorder="true" applyNumberFormat="true" numFmtId="2" fillId="22" applyFill="true">
      <alignment horizontal="center" vertical="center"/>
    </xf>
    <xf fontId="23293" applyFont="true" borderId="8" applyBorder="true" applyNumberFormat="true" numFmtId="2" fillId="22" applyFill="true">
      <alignment horizontal="center" vertical="center"/>
    </xf>
    <xf fontId="23294" applyFont="true" borderId="8" applyBorder="true" applyNumberFormat="true" numFmtId="2" fillId="22" applyFill="true">
      <alignment horizontal="center" vertical="center"/>
    </xf>
    <xf fontId="23295" applyFont="true" borderId="8" applyBorder="true" applyNumberFormat="true" numFmtId="2" fillId="22" applyFill="true">
      <alignment horizontal="center" vertical="center"/>
    </xf>
    <xf fontId="23296" applyFont="true" borderId="8" applyBorder="true" applyNumberFormat="true" numFmtId="2" fillId="22" applyFill="true">
      <alignment horizontal="center" vertical="center"/>
    </xf>
    <xf fontId="23297" applyFont="true" borderId="8" applyBorder="true" applyNumberFormat="true" numFmtId="2" fillId="22" applyFill="true">
      <alignment horizontal="center" vertical="center"/>
    </xf>
    <xf fontId="23298" applyFont="true" borderId="8" applyBorder="true" applyNumberFormat="true" numFmtId="2" fillId="22" applyFill="true">
      <alignment horizontal="center" vertical="center"/>
    </xf>
    <xf fontId="23299" applyFont="true" borderId="8" applyBorder="true" applyNumberFormat="true" numFmtId="2" fillId="22" applyFill="true">
      <alignment horizontal="center" vertical="center"/>
    </xf>
    <xf fontId="23300" applyFont="true" borderId="8" applyBorder="true" applyNumberFormat="true" numFmtId="2" fillId="22" applyFill="true">
      <alignment horizontal="center" vertical="center"/>
    </xf>
    <xf fontId="23301" applyFont="true" borderId="8" applyBorder="true" applyNumberFormat="true" numFmtId="2" fillId="22" applyFill="true">
      <alignment horizontal="center" vertical="center"/>
    </xf>
    <xf fontId="23302" applyFont="true" borderId="8" applyBorder="true" applyNumberFormat="true" numFmtId="2" fillId="22" applyFill="true">
      <alignment horizontal="center" vertical="center"/>
    </xf>
    <xf fontId="23303" applyFont="true" borderId="8" applyBorder="true" applyNumberFormat="true" numFmtId="2" fillId="22" applyFill="true">
      <alignment horizontal="center" vertical="center"/>
    </xf>
    <xf fontId="23304" applyFont="true" borderId="8" applyBorder="true" applyNumberFormat="true" numFmtId="2" fillId="22" applyFill="true">
      <alignment horizontal="center" vertical="center"/>
    </xf>
    <xf fontId="23305" applyFont="true" borderId="8" applyBorder="true" applyNumberFormat="true" numFmtId="2" fillId="22" applyFill="true">
      <alignment horizontal="center" vertical="center"/>
    </xf>
    <xf fontId="23306" applyFont="true" borderId="8" applyBorder="true" applyNumberFormat="true" numFmtId="2" fillId="22" applyFill="true">
      <alignment horizontal="center" vertical="center"/>
    </xf>
    <xf fontId="23307" applyFont="true" borderId="8" applyBorder="true" applyNumberFormat="true" numFmtId="2" fillId="22" applyFill="true">
      <alignment horizontal="center" vertical="center"/>
    </xf>
    <xf fontId="23308" applyFont="true" borderId="8" applyBorder="true" applyNumberFormat="true" numFmtId="2" fillId="22" applyFill="true">
      <alignment horizontal="center" vertical="center"/>
    </xf>
    <xf fontId="23309" applyFont="true" borderId="8" applyBorder="true" applyNumberFormat="true" numFmtId="2" fillId="22" applyFill="true">
      <alignment horizontal="center" vertical="center"/>
    </xf>
    <xf fontId="23310" applyFont="true" borderId="8" applyBorder="true" applyNumberFormat="true" numFmtId="2" fillId="22" applyFill="true">
      <alignment horizontal="center" vertical="center"/>
    </xf>
    <xf fontId="23311" applyFont="true" borderId="8" applyBorder="true" applyNumberFormat="true" numFmtId="2" fillId="22" applyFill="true">
      <alignment horizontal="center" vertical="center"/>
    </xf>
    <xf fontId="23312" applyFont="true" borderId="8" applyBorder="true" applyNumberFormat="true" numFmtId="2" fillId="22" applyFill="true">
      <alignment horizontal="center" vertical="center"/>
    </xf>
    <xf fontId="23313" applyFont="true" borderId="8" applyBorder="true" applyNumberFormat="true" numFmtId="2" fillId="22" applyFill="true">
      <alignment horizontal="center" vertical="center"/>
    </xf>
    <xf fontId="23314" applyFont="true" borderId="8" applyBorder="true" applyNumberFormat="true" numFmtId="2" fillId="22" applyFill="true">
      <alignment horizontal="center" vertical="center"/>
    </xf>
    <xf fontId="23315" applyFont="true" borderId="8" applyBorder="true" applyNumberFormat="true" numFmtId="2" fillId="22" applyFill="true">
      <alignment horizontal="center" vertical="center"/>
    </xf>
    <xf fontId="23316" applyFont="true" borderId="8" applyBorder="true" applyNumberFormat="true" numFmtId="2" fillId="22" applyFill="true">
      <alignment horizontal="center" vertical="center"/>
    </xf>
    <xf fontId="23317" applyFont="true" borderId="8" applyBorder="true" applyNumberFormat="true" numFmtId="2" fillId="22" applyFill="true">
      <alignment horizontal="center" vertical="center"/>
    </xf>
    <xf fontId="23318" applyFont="true" borderId="8" applyBorder="true" applyNumberFormat="true" numFmtId="2" fillId="22" applyFill="true">
      <alignment horizontal="center" vertical="center"/>
    </xf>
    <xf fontId="23319" applyFont="true" borderId="8" applyBorder="true" applyNumberFormat="true" numFmtId="2" fillId="22" applyFill="true">
      <alignment horizontal="center" vertical="center"/>
    </xf>
    <xf fontId="23320" applyFont="true" borderId="8" applyBorder="true" applyNumberFormat="true" numFmtId="2" fillId="22" applyFill="true">
      <alignment horizontal="center" vertical="center"/>
    </xf>
    <xf fontId="23321" applyFont="true" borderId="8" applyBorder="true" applyNumberFormat="true" numFmtId="2" fillId="22" applyFill="true">
      <alignment horizontal="center" vertical="center"/>
    </xf>
    <xf fontId="23322" applyFont="true" borderId="8" applyBorder="true" applyNumberFormat="true" numFmtId="2" fillId="22" applyFill="true">
      <alignment horizontal="center" vertical="center"/>
    </xf>
    <xf fontId="23323" applyFont="true" borderId="8" applyBorder="true" applyNumberFormat="true" numFmtId="2" fillId="22" applyFill="true">
      <alignment horizontal="center" vertical="center"/>
    </xf>
    <xf fontId="23324" applyFont="true" borderId="8" applyBorder="true" applyNumberFormat="true" numFmtId="2" fillId="22" applyFill="true">
      <alignment horizontal="center" vertical="center"/>
    </xf>
    <xf fontId="23325" applyFont="true" borderId="8" applyBorder="true" applyNumberFormat="true" numFmtId="165" fillId="19" applyFill="true">
      <alignment horizontal="left" vertical="center"/>
    </xf>
    <xf fontId="23326" applyFont="true" borderId="8" applyBorder="true" applyNumberFormat="true" numFmtId="165" fillId="22" applyFill="true">
      <alignment horizontal="center" vertical="center"/>
    </xf>
    <xf fontId="23327" applyFont="true" borderId="8" applyBorder="true" applyNumberFormat="true" numFmtId="166" fillId="22" applyFill="true">
      <alignment horizontal="center" vertical="center"/>
    </xf>
    <xf fontId="23328" applyFont="true" borderId="8" applyBorder="true" applyNumberFormat="true" numFmtId="1" fillId="22" applyFill="true">
      <alignment horizontal="center" vertical="center"/>
    </xf>
    <xf fontId="23329" applyFont="true" borderId="8" applyBorder="true" applyNumberFormat="true" numFmtId="1" fillId="22" applyFill="true">
      <alignment horizontal="center" vertical="center"/>
    </xf>
    <xf fontId="23330" applyFont="true" borderId="8" applyBorder="true" applyNumberFormat="true" numFmtId="1" fillId="22" applyFill="true">
      <alignment horizontal="center" vertical="center"/>
    </xf>
    <xf fontId="23331" applyFont="true" borderId="8" applyBorder="true" applyNumberFormat="true" numFmtId="1" fillId="22" applyFill="true">
      <alignment horizontal="center" vertical="center"/>
    </xf>
    <xf fontId="23332" applyFont="true" borderId="8" applyBorder="true" applyNumberFormat="true" numFmtId="1" fillId="22" applyFill="true">
      <alignment horizontal="center" vertical="center"/>
    </xf>
    <xf fontId="23333" applyFont="true" borderId="8" applyBorder="true" applyNumberFormat="true" numFmtId="1" fillId="22" applyFill="true">
      <alignment horizontal="center" vertical="center"/>
    </xf>
    <xf fontId="23334" applyFont="true" borderId="8" applyBorder="true" applyNumberFormat="true" numFmtId="1" fillId="22" applyFill="true">
      <alignment horizontal="center" vertical="center"/>
    </xf>
    <xf fontId="23335" applyFont="true" borderId="8" applyBorder="true" applyNumberFormat="true" numFmtId="165" fillId="22" applyFill="true">
      <alignment horizontal="center" vertical="center"/>
    </xf>
    <xf fontId="23336" applyFont="true" borderId="8" applyBorder="true" applyNumberFormat="true" numFmtId="165" fillId="22" applyFill="true">
      <alignment horizontal="center" vertical="center"/>
    </xf>
    <xf fontId="23337" applyFont="true" borderId="8" applyBorder="true" applyNumberFormat="true" numFmtId="1" fillId="22" applyFill="true">
      <alignment horizontal="center" vertical="center"/>
    </xf>
    <xf fontId="23338" applyFont="true" borderId="8" applyBorder="true" applyNumberFormat="true" numFmtId="1" fillId="22" applyFill="true">
      <alignment horizontal="center" vertical="center"/>
    </xf>
    <xf fontId="23339" applyFont="true" borderId="8" applyBorder="true" applyNumberFormat="true" numFmtId="1" fillId="22" applyFill="true">
      <alignment horizontal="center" vertical="center"/>
    </xf>
    <xf fontId="23340" applyFont="true" borderId="8" applyBorder="true" applyNumberFormat="true" numFmtId="167" fillId="22" applyFill="true">
      <alignment horizontal="center" vertical="center"/>
    </xf>
    <xf fontId="23341" applyFont="true" borderId="8" applyBorder="true" applyNumberFormat="true" numFmtId="1" fillId="22" applyFill="true">
      <alignment horizontal="center" vertical="center"/>
    </xf>
    <xf fontId="23342" applyFont="true" borderId="8" applyBorder="true" applyNumberFormat="true" numFmtId="167" fillId="22" applyFill="true">
      <alignment horizontal="center" vertical="center"/>
    </xf>
    <xf fontId="23343" applyFont="true" borderId="8" applyBorder="true" applyNumberFormat="true" numFmtId="1" fillId="22" applyFill="true">
      <alignment horizontal="center" vertical="center"/>
    </xf>
    <xf fontId="23344" applyFont="true" borderId="8" applyBorder="true" applyNumberFormat="true" numFmtId="167" fillId="22" applyFill="true">
      <alignment horizontal="center" vertical="center"/>
    </xf>
    <xf fontId="23345" applyFont="true" borderId="8" applyBorder="true" applyNumberFormat="true" numFmtId="1" fillId="22" applyFill="true">
      <alignment horizontal="center" vertical="center"/>
    </xf>
    <xf fontId="23346" applyFont="true" borderId="8" applyBorder="true" applyNumberFormat="true" numFmtId="167" fillId="22" applyFill="true">
      <alignment horizontal="center" vertical="center"/>
    </xf>
    <xf fontId="23347" applyFont="true" borderId="8" applyBorder="true" applyNumberFormat="true" numFmtId="167" fillId="22" applyFill="true">
      <alignment horizontal="center" vertical="center"/>
    </xf>
    <xf fontId="23348" applyFont="true" borderId="8" applyBorder="true" applyNumberFormat="true" numFmtId="1" fillId="22" applyFill="true">
      <alignment horizontal="center" vertical="center"/>
    </xf>
    <xf fontId="23349" applyFont="true" borderId="8" applyBorder="true" applyNumberFormat="true" numFmtId="1" fillId="22" applyFill="true">
      <alignment horizontal="center" vertical="center"/>
    </xf>
    <xf fontId="23350" applyFont="true" borderId="8" applyBorder="true" applyNumberFormat="true" numFmtId="1" fillId="22" applyFill="true">
      <alignment horizontal="center" vertical="center"/>
    </xf>
    <xf fontId="23351" applyFont="true" borderId="8" applyBorder="true" applyNumberFormat="true" numFmtId="167" fillId="22" applyFill="true">
      <alignment horizontal="center" vertical="center"/>
    </xf>
    <xf fontId="23352" applyFont="true" borderId="8" applyBorder="true" applyNumberFormat="true" numFmtId="166" fillId="22" applyFill="true">
      <alignment horizontal="center" vertical="center"/>
    </xf>
    <xf fontId="23353" applyFont="true" borderId="8" applyBorder="true" applyNumberFormat="true" numFmtId="166" fillId="22" applyFill="true">
      <alignment horizontal="center" vertical="center"/>
    </xf>
    <xf fontId="23354" applyFont="true" borderId="8" applyBorder="true" applyNumberFormat="true" numFmtId="1" fillId="22" applyFill="true">
      <alignment horizontal="center" vertical="center"/>
    </xf>
    <xf fontId="23355" applyFont="true" borderId="8" applyBorder="true" applyNumberFormat="true" numFmtId="1" fillId="22" applyFill="true">
      <alignment horizontal="center" vertical="center"/>
    </xf>
    <xf fontId="23356" applyFont="true" borderId="8" applyBorder="true" applyNumberFormat="true" numFmtId="1" fillId="22" applyFill="true">
      <alignment horizontal="center" vertical="center"/>
    </xf>
    <xf fontId="23357" applyFont="true" borderId="8" applyBorder="true" applyNumberFormat="true" numFmtId="167" fillId="22" applyFill="true">
      <alignment horizontal="center" vertical="center"/>
    </xf>
    <xf fontId="23358" applyFont="true" borderId="8" applyBorder="true" applyNumberFormat="true" numFmtId="1" fillId="22" applyFill="true">
      <alignment horizontal="center" vertical="center"/>
    </xf>
    <xf fontId="23359" applyFont="true" borderId="8" applyBorder="true" applyNumberFormat="true" numFmtId="167" fillId="22" applyFill="true">
      <alignment horizontal="center" vertical="center"/>
    </xf>
    <xf fontId="23360" applyFont="true" borderId="8" applyBorder="true" applyNumberFormat="true" numFmtId="1" fillId="22" applyFill="true">
      <alignment horizontal="center" vertical="center"/>
    </xf>
    <xf fontId="23361" applyFont="true" borderId="8" applyBorder="true" applyNumberFormat="true" numFmtId="1" fillId="22" applyFill="true">
      <alignment horizontal="center" vertical="center"/>
    </xf>
    <xf fontId="23362" applyFont="true" borderId="8" applyBorder="true" applyNumberFormat="true" numFmtId="1" fillId="22" applyFill="true">
      <alignment horizontal="center" vertical="center"/>
    </xf>
    <xf fontId="23363" applyFont="true" borderId="8" applyBorder="true" applyNumberFormat="true" numFmtId="1" fillId="22" applyFill="true">
      <alignment horizontal="center" vertical="center"/>
    </xf>
    <xf fontId="23364" applyFont="true" borderId="8" applyBorder="true" applyNumberFormat="true" numFmtId="167" fillId="22" applyFill="true">
      <alignment horizontal="center" vertical="center"/>
    </xf>
    <xf fontId="23365" applyFont="true" borderId="8" applyBorder="true" applyNumberFormat="true" numFmtId="1" fillId="22" applyFill="true">
      <alignment horizontal="center" vertical="center"/>
    </xf>
    <xf fontId="23366" applyFont="true" borderId="8" applyBorder="true" applyNumberFormat="true" numFmtId="167" fillId="22" applyFill="true">
      <alignment horizontal="center" vertical="center"/>
    </xf>
    <xf fontId="23367" applyFont="true" borderId="8" applyBorder="true" applyNumberFormat="true" numFmtId="1" fillId="22" applyFill="true">
      <alignment horizontal="center" vertical="center"/>
    </xf>
    <xf fontId="23368" applyFont="true" borderId="8" applyBorder="true" applyNumberFormat="true" numFmtId="167" fillId="22" applyFill="true">
      <alignment horizontal="center" vertical="center"/>
    </xf>
    <xf fontId="23369" applyFont="true" borderId="8" applyBorder="true" applyNumberFormat="true" numFmtId="2" fillId="22" applyFill="true">
      <alignment horizontal="center" vertical="center"/>
    </xf>
    <xf fontId="23370" applyFont="true" borderId="8" applyBorder="true" applyNumberFormat="true" numFmtId="2" fillId="22" applyFill="true">
      <alignment horizontal="center" vertical="center"/>
    </xf>
    <xf fontId="23371" applyFont="true" borderId="8" applyBorder="true" applyNumberFormat="true" numFmtId="2" fillId="22" applyFill="true">
      <alignment horizontal="center" vertical="center"/>
    </xf>
    <xf fontId="23372" applyFont="true" borderId="8" applyBorder="true" applyNumberFormat="true" numFmtId="2" fillId="22" applyFill="true">
      <alignment horizontal="center" vertical="center"/>
    </xf>
    <xf fontId="23373" applyFont="true" borderId="8" applyBorder="true" applyNumberFormat="true" numFmtId="2" fillId="22" applyFill="true">
      <alignment horizontal="center" vertical="center"/>
    </xf>
    <xf fontId="23374" applyFont="true" borderId="8" applyBorder="true" applyNumberFormat="true" numFmtId="2" fillId="22" applyFill="true">
      <alignment horizontal="center" vertical="center"/>
    </xf>
    <xf fontId="23375" applyFont="true" borderId="8" applyBorder="true" applyNumberFormat="true" numFmtId="2" fillId="22" applyFill="true">
      <alignment horizontal="center" vertical="center"/>
    </xf>
    <xf fontId="23376" applyFont="true" borderId="8" applyBorder="true" applyNumberFormat="true" numFmtId="2" fillId="22" applyFill="true">
      <alignment horizontal="center" vertical="center"/>
    </xf>
    <xf fontId="23377" applyFont="true" borderId="8" applyBorder="true" applyNumberFormat="true" numFmtId="2" fillId="22" applyFill="true">
      <alignment horizontal="center" vertical="center"/>
    </xf>
    <xf fontId="23378" applyFont="true" borderId="8" applyBorder="true" applyNumberFormat="true" numFmtId="2" fillId="22" applyFill="true">
      <alignment horizontal="center" vertical="center"/>
    </xf>
    <xf fontId="23379" applyFont="true" borderId="8" applyBorder="true" applyNumberFormat="true" numFmtId="2" fillId="22" applyFill="true">
      <alignment horizontal="center" vertical="center"/>
    </xf>
    <xf fontId="23380" applyFont="true" borderId="8" applyBorder="true" applyNumberFormat="true" numFmtId="2" fillId="22" applyFill="true">
      <alignment horizontal="center" vertical="center"/>
    </xf>
    <xf fontId="23381" applyFont="true" borderId="8" applyBorder="true" applyNumberFormat="true" numFmtId="2" fillId="22" applyFill="true">
      <alignment horizontal="center" vertical="center"/>
    </xf>
    <xf fontId="23382" applyFont="true" borderId="8" applyBorder="true" applyNumberFormat="true" numFmtId="2" fillId="22" applyFill="true">
      <alignment horizontal="center" vertical="center"/>
    </xf>
    <xf fontId="23383" applyFont="true" borderId="8" applyBorder="true" applyNumberFormat="true" numFmtId="2" fillId="22" applyFill="true">
      <alignment horizontal="center" vertical="center"/>
    </xf>
    <xf fontId="23384" applyFont="true" borderId="8" applyBorder="true" applyNumberFormat="true" numFmtId="2" fillId="22" applyFill="true">
      <alignment horizontal="center" vertical="center"/>
    </xf>
    <xf fontId="23385" applyFont="true" borderId="8" applyBorder="true" applyNumberFormat="true" numFmtId="2" fillId="22" applyFill="true">
      <alignment horizontal="center" vertical="center"/>
    </xf>
    <xf fontId="23386" applyFont="true" borderId="8" applyBorder="true" applyNumberFormat="true" numFmtId="2" fillId="22" applyFill="true">
      <alignment horizontal="center" vertical="center"/>
    </xf>
    <xf fontId="23387" applyFont="true" borderId="8" applyBorder="true" applyNumberFormat="true" numFmtId="2" fillId="22" applyFill="true">
      <alignment horizontal="center" vertical="center"/>
    </xf>
    <xf fontId="23388" applyFont="true" borderId="8" applyBorder="true" applyNumberFormat="true" numFmtId="2" fillId="22" applyFill="true">
      <alignment horizontal="center" vertical="center"/>
    </xf>
    <xf fontId="23389" applyFont="true" borderId="8" applyBorder="true" applyNumberFormat="true" numFmtId="2" fillId="22" applyFill="true">
      <alignment horizontal="center" vertical="center"/>
    </xf>
    <xf fontId="23390" applyFont="true" borderId="8" applyBorder="true" applyNumberFormat="true" numFmtId="2" fillId="22" applyFill="true">
      <alignment horizontal="center" vertical="center"/>
    </xf>
    <xf fontId="23391" applyFont="true" borderId="8" applyBorder="true" applyNumberFormat="true" numFmtId="2" fillId="22" applyFill="true">
      <alignment horizontal="center" vertical="center"/>
    </xf>
    <xf fontId="23392" applyFont="true" borderId="8" applyBorder="true" applyNumberFormat="true" numFmtId="2" fillId="22" applyFill="true">
      <alignment horizontal="center" vertical="center"/>
    </xf>
    <xf fontId="23393" applyFont="true" borderId="8" applyBorder="true" applyNumberFormat="true" numFmtId="2" fillId="22" applyFill="true">
      <alignment horizontal="center" vertical="center"/>
    </xf>
    <xf fontId="23394" applyFont="true" borderId="8" applyBorder="true" applyNumberFormat="true" numFmtId="2" fillId="22" applyFill="true">
      <alignment horizontal="center" vertical="center"/>
    </xf>
    <xf fontId="23395" applyFont="true" borderId="8" applyBorder="true" applyNumberFormat="true" numFmtId="2" fillId="22" applyFill="true">
      <alignment horizontal="center" vertical="center"/>
    </xf>
    <xf fontId="23396" applyFont="true" borderId="8" applyBorder="true" applyNumberFormat="true" numFmtId="2" fillId="22" applyFill="true">
      <alignment horizontal="center" vertical="center"/>
    </xf>
    <xf fontId="23397" applyFont="true" borderId="8" applyBorder="true" applyNumberFormat="true" numFmtId="2" fillId="22" applyFill="true">
      <alignment horizontal="center" vertical="center"/>
    </xf>
    <xf fontId="23398" applyFont="true" borderId="8" applyBorder="true" applyNumberFormat="true" numFmtId="2" fillId="22" applyFill="true">
      <alignment horizontal="center" vertical="center"/>
    </xf>
    <xf fontId="23399" applyFont="true" borderId="8" applyBorder="true" applyNumberFormat="true" numFmtId="2" fillId="22" applyFill="true">
      <alignment horizontal="center" vertical="center"/>
    </xf>
    <xf fontId="23400" applyFont="true" borderId="8" applyBorder="true" applyNumberFormat="true" numFmtId="2" fillId="22" applyFill="true">
      <alignment horizontal="center" vertical="center"/>
    </xf>
    <xf fontId="23401" applyFont="true" borderId="8" applyBorder="true" applyNumberFormat="true" numFmtId="2" fillId="22" applyFill="true">
      <alignment horizontal="center" vertical="center"/>
    </xf>
    <xf fontId="23402" applyFont="true" borderId="8" applyBorder="true" applyNumberFormat="true" numFmtId="2" fillId="22" applyFill="true">
      <alignment horizontal="center" vertical="center"/>
    </xf>
    <xf fontId="23403" applyFont="true" borderId="8" applyBorder="true" applyNumberFormat="true" numFmtId="165" fillId="19" applyFill="true">
      <alignment horizontal="left" vertical="center"/>
    </xf>
    <xf fontId="23404" applyFont="true" borderId="8" applyBorder="true" applyNumberFormat="true" numFmtId="165" fillId="22" applyFill="true">
      <alignment horizontal="center" vertical="center"/>
    </xf>
    <xf fontId="23405" applyFont="true" borderId="8" applyBorder="true" applyNumberFormat="true" numFmtId="166" fillId="22" applyFill="true">
      <alignment horizontal="center" vertical="center"/>
    </xf>
    <xf fontId="23406" applyFont="true" borderId="8" applyBorder="true" applyNumberFormat="true" numFmtId="1" fillId="22" applyFill="true">
      <alignment horizontal="center" vertical="center"/>
    </xf>
    <xf fontId="23407" applyFont="true" borderId="8" applyBorder="true" applyNumberFormat="true" numFmtId="1" fillId="22" applyFill="true">
      <alignment horizontal="center" vertical="center"/>
    </xf>
    <xf fontId="23408" applyFont="true" borderId="8" applyBorder="true" applyNumberFormat="true" numFmtId="1" fillId="22" applyFill="true">
      <alignment horizontal="center" vertical="center"/>
    </xf>
    <xf fontId="23409" applyFont="true" borderId="8" applyBorder="true" applyNumberFormat="true" numFmtId="1" fillId="22" applyFill="true">
      <alignment horizontal="center" vertical="center"/>
    </xf>
    <xf fontId="23410" applyFont="true" borderId="8" applyBorder="true" applyNumberFormat="true" numFmtId="1" fillId="22" applyFill="true">
      <alignment horizontal="center" vertical="center"/>
    </xf>
    <xf fontId="23411" applyFont="true" borderId="8" applyBorder="true" applyNumberFormat="true" numFmtId="1" fillId="22" applyFill="true">
      <alignment horizontal="center" vertical="center"/>
    </xf>
    <xf fontId="23412" applyFont="true" borderId="8" applyBorder="true" applyNumberFormat="true" numFmtId="1" fillId="22" applyFill="true">
      <alignment horizontal="center" vertical="center"/>
    </xf>
    <xf fontId="23413" applyFont="true" borderId="8" applyBorder="true" applyNumberFormat="true" numFmtId="165" fillId="22" applyFill="true">
      <alignment horizontal="center" vertical="center"/>
    </xf>
    <xf fontId="23414" applyFont="true" borderId="8" applyBorder="true" applyNumberFormat="true" numFmtId="165" fillId="22" applyFill="true">
      <alignment horizontal="center" vertical="center"/>
    </xf>
    <xf fontId="23415" applyFont="true" borderId="8" applyBorder="true" applyNumberFormat="true" numFmtId="1" fillId="22" applyFill="true">
      <alignment horizontal="center" vertical="center"/>
    </xf>
    <xf fontId="23416" applyFont="true" borderId="8" applyBorder="true" applyNumberFormat="true" numFmtId="1" fillId="22" applyFill="true">
      <alignment horizontal="center" vertical="center"/>
    </xf>
    <xf fontId="23417" applyFont="true" borderId="8" applyBorder="true" applyNumberFormat="true" numFmtId="1" fillId="22" applyFill="true">
      <alignment horizontal="center" vertical="center"/>
    </xf>
    <xf fontId="23418" applyFont="true" borderId="8" applyBorder="true" applyNumberFormat="true" numFmtId="167" fillId="22" applyFill="true">
      <alignment horizontal="center" vertical="center"/>
    </xf>
    <xf fontId="23419" applyFont="true" borderId="8" applyBorder="true" applyNumberFormat="true" numFmtId="1" fillId="22" applyFill="true">
      <alignment horizontal="center" vertical="center"/>
    </xf>
    <xf fontId="23420" applyFont="true" borderId="8" applyBorder="true" applyNumberFormat="true" numFmtId="167" fillId="22" applyFill="true">
      <alignment horizontal="center" vertical="center"/>
    </xf>
    <xf fontId="23421" applyFont="true" borderId="8" applyBorder="true" applyNumberFormat="true" numFmtId="1" fillId="22" applyFill="true">
      <alignment horizontal="center" vertical="center"/>
    </xf>
    <xf fontId="23422" applyFont="true" borderId="8" applyBorder="true" applyNumberFormat="true" numFmtId="167" fillId="22" applyFill="true">
      <alignment horizontal="center" vertical="center"/>
    </xf>
    <xf fontId="23423" applyFont="true" borderId="8" applyBorder="true" applyNumberFormat="true" numFmtId="1" fillId="22" applyFill="true">
      <alignment horizontal="center" vertical="center"/>
    </xf>
    <xf fontId="23424" applyFont="true" borderId="8" applyBorder="true" applyNumberFormat="true" numFmtId="167" fillId="22" applyFill="true">
      <alignment horizontal="center" vertical="center"/>
    </xf>
    <xf fontId="23425" applyFont="true" borderId="8" applyBorder="true" applyNumberFormat="true" numFmtId="167" fillId="22" applyFill="true">
      <alignment horizontal="center" vertical="center"/>
    </xf>
    <xf fontId="23426" applyFont="true" borderId="8" applyBorder="true" applyNumberFormat="true" numFmtId="1" fillId="22" applyFill="true">
      <alignment horizontal="center" vertical="center"/>
    </xf>
    <xf fontId="23427" applyFont="true" borderId="8" applyBorder="true" applyNumberFormat="true" numFmtId="1" fillId="22" applyFill="true">
      <alignment horizontal="center" vertical="center"/>
    </xf>
    <xf fontId="23428" applyFont="true" borderId="8" applyBorder="true" applyNumberFormat="true" numFmtId="1" fillId="22" applyFill="true">
      <alignment horizontal="center" vertical="center"/>
    </xf>
    <xf fontId="23429" applyFont="true" borderId="8" applyBorder="true" applyNumberFormat="true" numFmtId="167" fillId="22" applyFill="true">
      <alignment horizontal="center" vertical="center"/>
    </xf>
    <xf fontId="23430" applyFont="true" borderId="8" applyBorder="true" applyNumberFormat="true" numFmtId="166" fillId="22" applyFill="true">
      <alignment horizontal="center" vertical="center"/>
    </xf>
    <xf fontId="23431" applyFont="true" borderId="8" applyBorder="true" applyNumberFormat="true" numFmtId="166" fillId="22" applyFill="true">
      <alignment horizontal="center" vertical="center"/>
    </xf>
    <xf fontId="23432" applyFont="true" borderId="8" applyBorder="true" applyNumberFormat="true" numFmtId="1" fillId="22" applyFill="true">
      <alignment horizontal="center" vertical="center"/>
    </xf>
    <xf fontId="23433" applyFont="true" borderId="8" applyBorder="true" applyNumberFormat="true" numFmtId="1" fillId="22" applyFill="true">
      <alignment horizontal="center" vertical="center"/>
    </xf>
    <xf fontId="23434" applyFont="true" borderId="8" applyBorder="true" applyNumberFormat="true" numFmtId="1" fillId="22" applyFill="true">
      <alignment horizontal="center" vertical="center"/>
    </xf>
    <xf fontId="23435" applyFont="true" borderId="8" applyBorder="true" applyNumberFormat="true" numFmtId="167" fillId="22" applyFill="true">
      <alignment horizontal="center" vertical="center"/>
    </xf>
    <xf fontId="23436" applyFont="true" borderId="8" applyBorder="true" applyNumberFormat="true" numFmtId="1" fillId="22" applyFill="true">
      <alignment horizontal="center" vertical="center"/>
    </xf>
    <xf fontId="23437" applyFont="true" borderId="8" applyBorder="true" applyNumberFormat="true" numFmtId="167" fillId="22" applyFill="true">
      <alignment horizontal="center" vertical="center"/>
    </xf>
    <xf fontId="23438" applyFont="true" borderId="8" applyBorder="true" applyNumberFormat="true" numFmtId="1" fillId="22" applyFill="true">
      <alignment horizontal="center" vertical="center"/>
    </xf>
    <xf fontId="23439" applyFont="true" borderId="8" applyBorder="true" applyNumberFormat="true" numFmtId="1" fillId="22" applyFill="true">
      <alignment horizontal="center" vertical="center"/>
    </xf>
    <xf fontId="23440" applyFont="true" borderId="8" applyBorder="true" applyNumberFormat="true" numFmtId="1" fillId="22" applyFill="true">
      <alignment horizontal="center" vertical="center"/>
    </xf>
    <xf fontId="23441" applyFont="true" borderId="8" applyBorder="true" applyNumberFormat="true" numFmtId="1" fillId="22" applyFill="true">
      <alignment horizontal="center" vertical="center"/>
    </xf>
    <xf fontId="23442" applyFont="true" borderId="8" applyBorder="true" applyNumberFormat="true" numFmtId="167" fillId="22" applyFill="true">
      <alignment horizontal="center" vertical="center"/>
    </xf>
    <xf fontId="23443" applyFont="true" borderId="8" applyBorder="true" applyNumberFormat="true" numFmtId="1" fillId="22" applyFill="true">
      <alignment horizontal="center" vertical="center"/>
    </xf>
    <xf fontId="23444" applyFont="true" borderId="8" applyBorder="true" applyNumberFormat="true" numFmtId="167" fillId="22" applyFill="true">
      <alignment horizontal="center" vertical="center"/>
    </xf>
    <xf fontId="23445" applyFont="true" borderId="8" applyBorder="true" applyNumberFormat="true" numFmtId="1" fillId="22" applyFill="true">
      <alignment horizontal="center" vertical="center"/>
    </xf>
    <xf fontId="23446" applyFont="true" borderId="8" applyBorder="true" applyNumberFormat="true" numFmtId="167" fillId="22" applyFill="true">
      <alignment horizontal="center" vertical="center"/>
    </xf>
    <xf fontId="23447" applyFont="true" borderId="8" applyBorder="true" applyNumberFormat="true" numFmtId="2" fillId="22" applyFill="true">
      <alignment horizontal="center" vertical="center"/>
    </xf>
    <xf fontId="23448" applyFont="true" borderId="8" applyBorder="true" applyNumberFormat="true" numFmtId="2" fillId="22" applyFill="true">
      <alignment horizontal="center" vertical="center"/>
    </xf>
    <xf fontId="23449" applyFont="true" borderId="8" applyBorder="true" applyNumberFormat="true" numFmtId="2" fillId="22" applyFill="true">
      <alignment horizontal="center" vertical="center"/>
    </xf>
    <xf fontId="23450" applyFont="true" borderId="8" applyBorder="true" applyNumberFormat="true" numFmtId="2" fillId="22" applyFill="true">
      <alignment horizontal="center" vertical="center"/>
    </xf>
    <xf fontId="23451" applyFont="true" borderId="8" applyBorder="true" applyNumberFormat="true" numFmtId="2" fillId="22" applyFill="true">
      <alignment horizontal="center" vertical="center"/>
    </xf>
    <xf fontId="23452" applyFont="true" borderId="8" applyBorder="true" applyNumberFormat="true" numFmtId="2" fillId="22" applyFill="true">
      <alignment horizontal="center" vertical="center"/>
    </xf>
    <xf fontId="23453" applyFont="true" borderId="8" applyBorder="true" applyNumberFormat="true" numFmtId="2" fillId="22" applyFill="true">
      <alignment horizontal="center" vertical="center"/>
    </xf>
    <xf fontId="23454" applyFont="true" borderId="8" applyBorder="true" applyNumberFormat="true" numFmtId="2" fillId="22" applyFill="true">
      <alignment horizontal="center" vertical="center"/>
    </xf>
    <xf fontId="23455" applyFont="true" borderId="8" applyBorder="true" applyNumberFormat="true" numFmtId="2" fillId="22" applyFill="true">
      <alignment horizontal="center" vertical="center"/>
    </xf>
    <xf fontId="23456" applyFont="true" borderId="8" applyBorder="true" applyNumberFormat="true" numFmtId="2" fillId="22" applyFill="true">
      <alignment horizontal="center" vertical="center"/>
    </xf>
    <xf fontId="23457" applyFont="true" borderId="8" applyBorder="true" applyNumberFormat="true" numFmtId="2" fillId="22" applyFill="true">
      <alignment horizontal="center" vertical="center"/>
    </xf>
    <xf fontId="23458" applyFont="true" borderId="8" applyBorder="true" applyNumberFormat="true" numFmtId="2" fillId="22" applyFill="true">
      <alignment horizontal="center" vertical="center"/>
    </xf>
    <xf fontId="23459" applyFont="true" borderId="8" applyBorder="true" applyNumberFormat="true" numFmtId="2" fillId="22" applyFill="true">
      <alignment horizontal="center" vertical="center"/>
    </xf>
    <xf fontId="23460" applyFont="true" borderId="8" applyBorder="true" applyNumberFormat="true" numFmtId="2" fillId="22" applyFill="true">
      <alignment horizontal="center" vertical="center"/>
    </xf>
    <xf fontId="23461" applyFont="true" borderId="8" applyBorder="true" applyNumberFormat="true" numFmtId="2" fillId="22" applyFill="true">
      <alignment horizontal="center" vertical="center"/>
    </xf>
    <xf fontId="23462" applyFont="true" borderId="8" applyBorder="true" applyNumberFormat="true" numFmtId="2" fillId="22" applyFill="true">
      <alignment horizontal="center" vertical="center"/>
    </xf>
    <xf fontId="23463" applyFont="true" borderId="8" applyBorder="true" applyNumberFormat="true" numFmtId="2" fillId="22" applyFill="true">
      <alignment horizontal="center" vertical="center"/>
    </xf>
    <xf fontId="23464" applyFont="true" borderId="8" applyBorder="true" applyNumberFormat="true" numFmtId="2" fillId="22" applyFill="true">
      <alignment horizontal="center" vertical="center"/>
    </xf>
    <xf fontId="23465" applyFont="true" borderId="8" applyBorder="true" applyNumberFormat="true" numFmtId="2" fillId="22" applyFill="true">
      <alignment horizontal="center" vertical="center"/>
    </xf>
    <xf fontId="23466" applyFont="true" borderId="8" applyBorder="true" applyNumberFormat="true" numFmtId="2" fillId="22" applyFill="true">
      <alignment horizontal="center" vertical="center"/>
    </xf>
    <xf fontId="23467" applyFont="true" borderId="8" applyBorder="true" applyNumberFormat="true" numFmtId="2" fillId="22" applyFill="true">
      <alignment horizontal="center" vertical="center"/>
    </xf>
    <xf fontId="23468" applyFont="true" borderId="8" applyBorder="true" applyNumberFormat="true" numFmtId="2" fillId="22" applyFill="true">
      <alignment horizontal="center" vertical="center"/>
    </xf>
    <xf fontId="23469" applyFont="true" borderId="8" applyBorder="true" applyNumberFormat="true" numFmtId="2" fillId="22" applyFill="true">
      <alignment horizontal="center" vertical="center"/>
    </xf>
    <xf fontId="23470" applyFont="true" borderId="8" applyBorder="true" applyNumberFormat="true" numFmtId="2" fillId="22" applyFill="true">
      <alignment horizontal="center" vertical="center"/>
    </xf>
    <xf fontId="23471" applyFont="true" borderId="8" applyBorder="true" applyNumberFormat="true" numFmtId="2" fillId="22" applyFill="true">
      <alignment horizontal="center" vertical="center"/>
    </xf>
    <xf fontId="23472" applyFont="true" borderId="8" applyBorder="true" applyNumberFormat="true" numFmtId="2" fillId="22" applyFill="true">
      <alignment horizontal="center" vertical="center"/>
    </xf>
    <xf fontId="23473" applyFont="true" borderId="8" applyBorder="true" applyNumberFormat="true" numFmtId="2" fillId="22" applyFill="true">
      <alignment horizontal="center" vertical="center"/>
    </xf>
    <xf fontId="23474" applyFont="true" borderId="8" applyBorder="true" applyNumberFormat="true" numFmtId="2" fillId="22" applyFill="true">
      <alignment horizontal="center" vertical="center"/>
    </xf>
    <xf fontId="23475" applyFont="true" borderId="8" applyBorder="true" applyNumberFormat="true" numFmtId="2" fillId="22" applyFill="true">
      <alignment horizontal="center" vertical="center"/>
    </xf>
    <xf fontId="23476" applyFont="true" borderId="8" applyBorder="true" applyNumberFormat="true" numFmtId="2" fillId="22" applyFill="true">
      <alignment horizontal="center" vertical="center"/>
    </xf>
    <xf fontId="23477" applyFont="true" borderId="8" applyBorder="true" applyNumberFormat="true" numFmtId="2" fillId="22" applyFill="true">
      <alignment horizontal="center" vertical="center"/>
    </xf>
    <xf fontId="23478" applyFont="true" borderId="8" applyBorder="true" applyNumberFormat="true" numFmtId="2" fillId="22" applyFill="true">
      <alignment horizontal="center" vertical="center"/>
    </xf>
    <xf fontId="23479" applyFont="true" borderId="8" applyBorder="true" applyNumberFormat="true" numFmtId="2" fillId="22" applyFill="true">
      <alignment horizontal="center" vertical="center"/>
    </xf>
    <xf fontId="23480" applyFont="true" borderId="8" applyBorder="true" applyNumberFormat="true" numFmtId="2" fillId="22" applyFill="true">
      <alignment horizontal="center" vertical="center"/>
    </xf>
    <xf fontId="23481" applyFont="true" borderId="8" applyBorder="true" applyNumberFormat="true" numFmtId="165" fillId="19" applyFill="true">
      <alignment horizontal="left" vertical="center"/>
    </xf>
    <xf fontId="23482" applyFont="true" borderId="8" applyBorder="true" applyNumberFormat="true" numFmtId="165" fillId="22" applyFill="true">
      <alignment horizontal="center" vertical="center"/>
    </xf>
    <xf fontId="23483" applyFont="true" borderId="8" applyBorder="true" applyNumberFormat="true" numFmtId="166" fillId="22" applyFill="true">
      <alignment horizontal="center" vertical="center"/>
    </xf>
    <xf fontId="23484" applyFont="true" borderId="8" applyBorder="true" applyNumberFormat="true" numFmtId="1" fillId="22" applyFill="true">
      <alignment horizontal="center" vertical="center"/>
    </xf>
    <xf fontId="23485" applyFont="true" borderId="8" applyBorder="true" applyNumberFormat="true" numFmtId="1" fillId="22" applyFill="true">
      <alignment horizontal="center" vertical="center"/>
    </xf>
    <xf fontId="23486" applyFont="true" borderId="8" applyBorder="true" applyNumberFormat="true" numFmtId="1" fillId="22" applyFill="true">
      <alignment horizontal="center" vertical="center"/>
    </xf>
    <xf fontId="23487" applyFont="true" borderId="8" applyBorder="true" applyNumberFormat="true" numFmtId="1" fillId="22" applyFill="true">
      <alignment horizontal="center" vertical="center"/>
    </xf>
    <xf fontId="23488" applyFont="true" borderId="8" applyBorder="true" applyNumberFormat="true" numFmtId="1" fillId="22" applyFill="true">
      <alignment horizontal="center" vertical="center"/>
    </xf>
    <xf fontId="23489" applyFont="true" borderId="8" applyBorder="true" applyNumberFormat="true" numFmtId="1" fillId="22" applyFill="true">
      <alignment horizontal="center" vertical="center"/>
    </xf>
    <xf fontId="23490" applyFont="true" borderId="8" applyBorder="true" applyNumberFormat="true" numFmtId="1" fillId="22" applyFill="true">
      <alignment horizontal="center" vertical="center"/>
    </xf>
    <xf fontId="23491" applyFont="true" borderId="8" applyBorder="true" applyNumberFormat="true" numFmtId="165" fillId="22" applyFill="true">
      <alignment horizontal="center" vertical="center"/>
    </xf>
    <xf fontId="23492" applyFont="true" borderId="8" applyBorder="true" applyNumberFormat="true" numFmtId="165" fillId="22" applyFill="true">
      <alignment horizontal="center" vertical="center"/>
    </xf>
    <xf fontId="23493" applyFont="true" borderId="8" applyBorder="true" applyNumberFormat="true" numFmtId="1" fillId="22" applyFill="true">
      <alignment horizontal="center" vertical="center"/>
    </xf>
    <xf fontId="23494" applyFont="true" borderId="8" applyBorder="true" applyNumberFormat="true" numFmtId="1" fillId="22" applyFill="true">
      <alignment horizontal="center" vertical="center"/>
    </xf>
    <xf fontId="23495" applyFont="true" borderId="8" applyBorder="true" applyNumberFormat="true" numFmtId="1" fillId="22" applyFill="true">
      <alignment horizontal="center" vertical="center"/>
    </xf>
    <xf fontId="23496" applyFont="true" borderId="8" applyBorder="true" applyNumberFormat="true" numFmtId="167" fillId="22" applyFill="true">
      <alignment horizontal="center" vertical="center"/>
    </xf>
    <xf fontId="23497" applyFont="true" borderId="8" applyBorder="true" applyNumberFormat="true" numFmtId="1" fillId="22" applyFill="true">
      <alignment horizontal="center" vertical="center"/>
    </xf>
    <xf fontId="23498" applyFont="true" borderId="8" applyBorder="true" applyNumberFormat="true" numFmtId="167" fillId="22" applyFill="true">
      <alignment horizontal="center" vertical="center"/>
    </xf>
    <xf fontId="23499" applyFont="true" borderId="8" applyBorder="true" applyNumberFormat="true" numFmtId="1" fillId="22" applyFill="true">
      <alignment horizontal="center" vertical="center"/>
    </xf>
    <xf fontId="23500" applyFont="true" borderId="8" applyBorder="true" applyNumberFormat="true" numFmtId="167" fillId="22" applyFill="true">
      <alignment horizontal="center" vertical="center"/>
    </xf>
    <xf fontId="23501" applyFont="true" borderId="8" applyBorder="true" applyNumberFormat="true" numFmtId="1" fillId="22" applyFill="true">
      <alignment horizontal="center" vertical="center"/>
    </xf>
    <xf fontId="23502" applyFont="true" borderId="8" applyBorder="true" applyNumberFormat="true" numFmtId="167" fillId="22" applyFill="true">
      <alignment horizontal="center" vertical="center"/>
    </xf>
    <xf fontId="23503" applyFont="true" borderId="8" applyBorder="true" applyNumberFormat="true" numFmtId="167" fillId="22" applyFill="true">
      <alignment horizontal="center" vertical="center"/>
    </xf>
    <xf fontId="23504" applyFont="true" borderId="8" applyBorder="true" applyNumberFormat="true" numFmtId="1" fillId="22" applyFill="true">
      <alignment horizontal="center" vertical="center"/>
    </xf>
    <xf fontId="23505" applyFont="true" borderId="8" applyBorder="true" applyNumberFormat="true" numFmtId="1" fillId="22" applyFill="true">
      <alignment horizontal="center" vertical="center"/>
    </xf>
    <xf fontId="23506" applyFont="true" borderId="8" applyBorder="true" applyNumberFormat="true" numFmtId="1" fillId="22" applyFill="true">
      <alignment horizontal="center" vertical="center"/>
    </xf>
    <xf fontId="23507" applyFont="true" borderId="8" applyBorder="true" applyNumberFormat="true" numFmtId="167" fillId="22" applyFill="true">
      <alignment horizontal="center" vertical="center"/>
    </xf>
    <xf fontId="23508" applyFont="true" borderId="8" applyBorder="true" applyNumberFormat="true" numFmtId="166" fillId="22" applyFill="true">
      <alignment horizontal="center" vertical="center"/>
    </xf>
    <xf fontId="23509" applyFont="true" borderId="8" applyBorder="true" applyNumberFormat="true" numFmtId="166" fillId="22" applyFill="true">
      <alignment horizontal="center" vertical="center"/>
    </xf>
    <xf fontId="23510" applyFont="true" borderId="8" applyBorder="true" applyNumberFormat="true" numFmtId="1" fillId="22" applyFill="true">
      <alignment horizontal="center" vertical="center"/>
    </xf>
    <xf fontId="23511" applyFont="true" borderId="8" applyBorder="true" applyNumberFormat="true" numFmtId="1" fillId="22" applyFill="true">
      <alignment horizontal="center" vertical="center"/>
    </xf>
    <xf fontId="23512" applyFont="true" borderId="8" applyBorder="true" applyNumberFormat="true" numFmtId="1" fillId="22" applyFill="true">
      <alignment horizontal="center" vertical="center"/>
    </xf>
    <xf fontId="23513" applyFont="true" borderId="8" applyBorder="true" applyNumberFormat="true" numFmtId="167" fillId="22" applyFill="true">
      <alignment horizontal="center" vertical="center"/>
    </xf>
    <xf fontId="23514" applyFont="true" borderId="8" applyBorder="true" applyNumberFormat="true" numFmtId="1" fillId="22" applyFill="true">
      <alignment horizontal="center" vertical="center"/>
    </xf>
    <xf fontId="23515" applyFont="true" borderId="8" applyBorder="true" applyNumberFormat="true" numFmtId="167" fillId="22" applyFill="true">
      <alignment horizontal="center" vertical="center"/>
    </xf>
    <xf fontId="23516" applyFont="true" borderId="8" applyBorder="true" applyNumberFormat="true" numFmtId="1" fillId="22" applyFill="true">
      <alignment horizontal="center" vertical="center"/>
    </xf>
    <xf fontId="23517" applyFont="true" borderId="8" applyBorder="true" applyNumberFormat="true" numFmtId="1" fillId="22" applyFill="true">
      <alignment horizontal="center" vertical="center"/>
    </xf>
    <xf fontId="23518" applyFont="true" borderId="8" applyBorder="true" applyNumberFormat="true" numFmtId="1" fillId="22" applyFill="true">
      <alignment horizontal="center" vertical="center"/>
    </xf>
    <xf fontId="23519" applyFont="true" borderId="8" applyBorder="true" applyNumberFormat="true" numFmtId="1" fillId="22" applyFill="true">
      <alignment horizontal="center" vertical="center"/>
    </xf>
    <xf fontId="23520" applyFont="true" borderId="8" applyBorder="true" applyNumberFormat="true" numFmtId="167" fillId="22" applyFill="true">
      <alignment horizontal="center" vertical="center"/>
    </xf>
    <xf fontId="23521" applyFont="true" borderId="8" applyBorder="true" applyNumberFormat="true" numFmtId="1" fillId="22" applyFill="true">
      <alignment horizontal="center" vertical="center"/>
    </xf>
    <xf fontId="23522" applyFont="true" borderId="8" applyBorder="true" applyNumberFormat="true" numFmtId="167" fillId="22" applyFill="true">
      <alignment horizontal="center" vertical="center"/>
    </xf>
    <xf fontId="23523" applyFont="true" borderId="8" applyBorder="true" applyNumberFormat="true" numFmtId="1" fillId="22" applyFill="true">
      <alignment horizontal="center" vertical="center"/>
    </xf>
    <xf fontId="23524" applyFont="true" borderId="8" applyBorder="true" applyNumberFormat="true" numFmtId="167" fillId="22" applyFill="true">
      <alignment horizontal="center" vertical="center"/>
    </xf>
    <xf fontId="23525" applyFont="true" borderId="8" applyBorder="true" applyNumberFormat="true" numFmtId="2" fillId="22" applyFill="true">
      <alignment horizontal="center" vertical="center"/>
    </xf>
    <xf fontId="23526" applyFont="true" borderId="8" applyBorder="true" applyNumberFormat="true" numFmtId="2" fillId="22" applyFill="true">
      <alignment horizontal="center" vertical="center"/>
    </xf>
    <xf fontId="23527" applyFont="true" borderId="8" applyBorder="true" applyNumberFormat="true" numFmtId="2" fillId="22" applyFill="true">
      <alignment horizontal="center" vertical="center"/>
    </xf>
    <xf fontId="23528" applyFont="true" borderId="8" applyBorder="true" applyNumberFormat="true" numFmtId="2" fillId="22" applyFill="true">
      <alignment horizontal="center" vertical="center"/>
    </xf>
    <xf fontId="23529" applyFont="true" borderId="8" applyBorder="true" applyNumberFormat="true" numFmtId="2" fillId="22" applyFill="true">
      <alignment horizontal="center" vertical="center"/>
    </xf>
    <xf fontId="23530" applyFont="true" borderId="8" applyBorder="true" applyNumberFormat="true" numFmtId="2" fillId="22" applyFill="true">
      <alignment horizontal="center" vertical="center"/>
    </xf>
    <xf fontId="23531" applyFont="true" borderId="8" applyBorder="true" applyNumberFormat="true" numFmtId="2" fillId="22" applyFill="true">
      <alignment horizontal="center" vertical="center"/>
    </xf>
    <xf fontId="23532" applyFont="true" borderId="8" applyBorder="true" applyNumberFormat="true" numFmtId="2" fillId="22" applyFill="true">
      <alignment horizontal="center" vertical="center"/>
    </xf>
    <xf fontId="23533" applyFont="true" borderId="8" applyBorder="true" applyNumberFormat="true" numFmtId="2" fillId="22" applyFill="true">
      <alignment horizontal="center" vertical="center"/>
    </xf>
    <xf fontId="23534" applyFont="true" borderId="8" applyBorder="true" applyNumberFormat="true" numFmtId="2" fillId="22" applyFill="true">
      <alignment horizontal="center" vertical="center"/>
    </xf>
    <xf fontId="23535" applyFont="true" borderId="8" applyBorder="true" applyNumberFormat="true" numFmtId="2" fillId="22" applyFill="true">
      <alignment horizontal="center" vertical="center"/>
    </xf>
    <xf fontId="23536" applyFont="true" borderId="8" applyBorder="true" applyNumberFormat="true" numFmtId="2" fillId="22" applyFill="true">
      <alignment horizontal="center" vertical="center"/>
    </xf>
    <xf fontId="23537" applyFont="true" borderId="8" applyBorder="true" applyNumberFormat="true" numFmtId="2" fillId="22" applyFill="true">
      <alignment horizontal="center" vertical="center"/>
    </xf>
    <xf fontId="23538" applyFont="true" borderId="8" applyBorder="true" applyNumberFormat="true" numFmtId="2" fillId="22" applyFill="true">
      <alignment horizontal="center" vertical="center"/>
    </xf>
    <xf fontId="23539" applyFont="true" borderId="8" applyBorder="true" applyNumberFormat="true" numFmtId="2" fillId="22" applyFill="true">
      <alignment horizontal="center" vertical="center"/>
    </xf>
    <xf fontId="23540" applyFont="true" borderId="8" applyBorder="true" applyNumberFormat="true" numFmtId="2" fillId="22" applyFill="true">
      <alignment horizontal="center" vertical="center"/>
    </xf>
    <xf fontId="23541" applyFont="true" borderId="8" applyBorder="true" applyNumberFormat="true" numFmtId="2" fillId="22" applyFill="true">
      <alignment horizontal="center" vertical="center"/>
    </xf>
    <xf fontId="23542" applyFont="true" borderId="8" applyBorder="true" applyNumberFormat="true" numFmtId="2" fillId="22" applyFill="true">
      <alignment horizontal="center" vertical="center"/>
    </xf>
    <xf fontId="23543" applyFont="true" borderId="8" applyBorder="true" applyNumberFormat="true" numFmtId="2" fillId="22" applyFill="true">
      <alignment horizontal="center" vertical="center"/>
    </xf>
    <xf fontId="23544" applyFont="true" borderId="8" applyBorder="true" applyNumberFormat="true" numFmtId="2" fillId="22" applyFill="true">
      <alignment horizontal="center" vertical="center"/>
    </xf>
    <xf fontId="23545" applyFont="true" borderId="8" applyBorder="true" applyNumberFormat="true" numFmtId="2" fillId="22" applyFill="true">
      <alignment horizontal="center" vertical="center"/>
    </xf>
    <xf fontId="23546" applyFont="true" borderId="8" applyBorder="true" applyNumberFormat="true" numFmtId="2" fillId="22" applyFill="true">
      <alignment horizontal="center" vertical="center"/>
    </xf>
    <xf fontId="23547" applyFont="true" borderId="8" applyBorder="true" applyNumberFormat="true" numFmtId="2" fillId="22" applyFill="true">
      <alignment horizontal="center" vertical="center"/>
    </xf>
    <xf fontId="23548" applyFont="true" borderId="8" applyBorder="true" applyNumberFormat="true" numFmtId="2" fillId="22" applyFill="true">
      <alignment horizontal="center" vertical="center"/>
    </xf>
    <xf fontId="23549" applyFont="true" borderId="8" applyBorder="true" applyNumberFormat="true" numFmtId="2" fillId="22" applyFill="true">
      <alignment horizontal="center" vertical="center"/>
    </xf>
    <xf fontId="23550" applyFont="true" borderId="8" applyBorder="true" applyNumberFormat="true" numFmtId="2" fillId="22" applyFill="true">
      <alignment horizontal="center" vertical="center"/>
    </xf>
    <xf fontId="23551" applyFont="true" borderId="8" applyBorder="true" applyNumberFormat="true" numFmtId="2" fillId="22" applyFill="true">
      <alignment horizontal="center" vertical="center"/>
    </xf>
    <xf fontId="23552" applyFont="true" borderId="8" applyBorder="true" applyNumberFormat="true" numFmtId="2" fillId="22" applyFill="true">
      <alignment horizontal="center" vertical="center"/>
    </xf>
    <xf fontId="23553" applyFont="true" borderId="8" applyBorder="true" applyNumberFormat="true" numFmtId="2" fillId="22" applyFill="true">
      <alignment horizontal="center" vertical="center"/>
    </xf>
    <xf fontId="23554" applyFont="true" borderId="8" applyBorder="true" applyNumberFormat="true" numFmtId="2" fillId="22" applyFill="true">
      <alignment horizontal="center" vertical="center"/>
    </xf>
    <xf fontId="23555" applyFont="true" borderId="8" applyBorder="true" applyNumberFormat="true" numFmtId="2" fillId="22" applyFill="true">
      <alignment horizontal="center" vertical="center"/>
    </xf>
    <xf fontId="23556" applyFont="true" borderId="8" applyBorder="true" applyNumberFormat="true" numFmtId="2" fillId="22" applyFill="true">
      <alignment horizontal="center" vertical="center"/>
    </xf>
    <xf fontId="23557" applyFont="true" borderId="8" applyBorder="true" applyNumberFormat="true" numFmtId="2" fillId="22" applyFill="true">
      <alignment horizontal="center" vertical="center"/>
    </xf>
    <xf fontId="23558" applyFont="true" borderId="8" applyBorder="true" applyNumberFormat="true" numFmtId="2" fillId="22" applyFill="true">
      <alignment horizontal="center" vertical="center"/>
    </xf>
    <xf fontId="23559" applyFont="true" borderId="8" applyBorder="true" applyNumberFormat="true" numFmtId="165" fillId="19" applyFill="true">
      <alignment horizontal="left" vertical="center"/>
    </xf>
    <xf fontId="23560" applyFont="true" borderId="8" applyBorder="true" applyNumberFormat="true" numFmtId="165" fillId="22" applyFill="true">
      <alignment horizontal="center" vertical="center"/>
    </xf>
    <xf fontId="23561" applyFont="true" borderId="8" applyBorder="true" applyNumberFormat="true" numFmtId="166" fillId="22" applyFill="true">
      <alignment horizontal="center" vertical="center"/>
    </xf>
    <xf fontId="23562" applyFont="true" borderId="8" applyBorder="true" applyNumberFormat="true" numFmtId="1" fillId="22" applyFill="true">
      <alignment horizontal="center" vertical="center"/>
    </xf>
    <xf fontId="23563" applyFont="true" borderId="8" applyBorder="true" applyNumberFormat="true" numFmtId="1" fillId="22" applyFill="true">
      <alignment horizontal="center" vertical="center"/>
    </xf>
    <xf fontId="23564" applyFont="true" borderId="8" applyBorder="true" applyNumberFormat="true" numFmtId="1" fillId="22" applyFill="true">
      <alignment horizontal="center" vertical="center"/>
    </xf>
    <xf fontId="23565" applyFont="true" borderId="8" applyBorder="true" applyNumberFormat="true" numFmtId="1" fillId="22" applyFill="true">
      <alignment horizontal="center" vertical="center"/>
    </xf>
    <xf fontId="23566" applyFont="true" borderId="8" applyBorder="true" applyNumberFormat="true" numFmtId="1" fillId="22" applyFill="true">
      <alignment horizontal="center" vertical="center"/>
    </xf>
    <xf fontId="23567" applyFont="true" borderId="8" applyBorder="true" applyNumberFormat="true" numFmtId="1" fillId="22" applyFill="true">
      <alignment horizontal="center" vertical="center"/>
    </xf>
    <xf fontId="23568" applyFont="true" borderId="8" applyBorder="true" applyNumberFormat="true" numFmtId="1" fillId="22" applyFill="true">
      <alignment horizontal="center" vertical="center"/>
    </xf>
    <xf fontId="23569" applyFont="true" borderId="8" applyBorder="true" applyNumberFormat="true" numFmtId="165" fillId="22" applyFill="true">
      <alignment horizontal="center" vertical="center"/>
    </xf>
    <xf fontId="23570" applyFont="true" borderId="8" applyBorder="true" applyNumberFormat="true" numFmtId="165" fillId="22" applyFill="true">
      <alignment horizontal="center" vertical="center"/>
    </xf>
    <xf fontId="23571" applyFont="true" borderId="8" applyBorder="true" applyNumberFormat="true" numFmtId="1" fillId="22" applyFill="true">
      <alignment horizontal="center" vertical="center"/>
    </xf>
    <xf fontId="23572" applyFont="true" borderId="8" applyBorder="true" applyNumberFormat="true" numFmtId="1" fillId="22" applyFill="true">
      <alignment horizontal="center" vertical="center"/>
    </xf>
    <xf fontId="23573" applyFont="true" borderId="8" applyBorder="true" applyNumberFormat="true" numFmtId="1" fillId="22" applyFill="true">
      <alignment horizontal="center" vertical="center"/>
    </xf>
    <xf fontId="23574" applyFont="true" borderId="8" applyBorder="true" applyNumberFormat="true" numFmtId="167" fillId="22" applyFill="true">
      <alignment horizontal="center" vertical="center"/>
    </xf>
    <xf fontId="23575" applyFont="true" borderId="8" applyBorder="true" applyNumberFormat="true" numFmtId="1" fillId="22" applyFill="true">
      <alignment horizontal="center" vertical="center"/>
    </xf>
    <xf fontId="23576" applyFont="true" borderId="8" applyBorder="true" applyNumberFormat="true" numFmtId="167" fillId="22" applyFill="true">
      <alignment horizontal="center" vertical="center"/>
    </xf>
    <xf fontId="23577" applyFont="true" borderId="8" applyBorder="true" applyNumberFormat="true" numFmtId="1" fillId="22" applyFill="true">
      <alignment horizontal="center" vertical="center"/>
    </xf>
    <xf fontId="23578" applyFont="true" borderId="8" applyBorder="true" applyNumberFormat="true" numFmtId="167" fillId="22" applyFill="true">
      <alignment horizontal="center" vertical="center"/>
    </xf>
    <xf fontId="23579" applyFont="true" borderId="8" applyBorder="true" applyNumberFormat="true" numFmtId="1" fillId="22" applyFill="true">
      <alignment horizontal="center" vertical="center"/>
    </xf>
    <xf fontId="23580" applyFont="true" borderId="8" applyBorder="true" applyNumberFormat="true" numFmtId="167" fillId="22" applyFill="true">
      <alignment horizontal="center" vertical="center"/>
    </xf>
    <xf fontId="23581" applyFont="true" borderId="8" applyBorder="true" applyNumberFormat="true" numFmtId="167" fillId="22" applyFill="true">
      <alignment horizontal="center" vertical="center"/>
    </xf>
    <xf fontId="23582" applyFont="true" borderId="8" applyBorder="true" applyNumberFormat="true" numFmtId="1" fillId="22" applyFill="true">
      <alignment horizontal="center" vertical="center"/>
    </xf>
    <xf fontId="23583" applyFont="true" borderId="8" applyBorder="true" applyNumberFormat="true" numFmtId="1" fillId="22" applyFill="true">
      <alignment horizontal="center" vertical="center"/>
    </xf>
    <xf fontId="23584" applyFont="true" borderId="8" applyBorder="true" applyNumberFormat="true" numFmtId="1" fillId="22" applyFill="true">
      <alignment horizontal="center" vertical="center"/>
    </xf>
    <xf fontId="23585" applyFont="true" borderId="8" applyBorder="true" applyNumberFormat="true" numFmtId="167" fillId="22" applyFill="true">
      <alignment horizontal="center" vertical="center"/>
    </xf>
    <xf fontId="23586" applyFont="true" borderId="8" applyBorder="true" applyNumberFormat="true" numFmtId="166" fillId="22" applyFill="true">
      <alignment horizontal="center" vertical="center"/>
    </xf>
    <xf fontId="23587" applyFont="true" borderId="8" applyBorder="true" applyNumberFormat="true" numFmtId="166" fillId="22" applyFill="true">
      <alignment horizontal="center" vertical="center"/>
    </xf>
    <xf fontId="23588" applyFont="true" borderId="8" applyBorder="true" applyNumberFormat="true" numFmtId="1" fillId="22" applyFill="true">
      <alignment horizontal="center" vertical="center"/>
    </xf>
    <xf fontId="23589" applyFont="true" borderId="8" applyBorder="true" applyNumberFormat="true" numFmtId="1" fillId="22" applyFill="true">
      <alignment horizontal="center" vertical="center"/>
    </xf>
    <xf fontId="23590" applyFont="true" borderId="8" applyBorder="true" applyNumberFormat="true" numFmtId="1" fillId="22" applyFill="true">
      <alignment horizontal="center" vertical="center"/>
    </xf>
    <xf fontId="23591" applyFont="true" borderId="8" applyBorder="true" applyNumberFormat="true" numFmtId="167" fillId="22" applyFill="true">
      <alignment horizontal="center" vertical="center"/>
    </xf>
    <xf fontId="23592" applyFont="true" borderId="8" applyBorder="true" applyNumberFormat="true" numFmtId="1" fillId="22" applyFill="true">
      <alignment horizontal="center" vertical="center"/>
    </xf>
    <xf fontId="23593" applyFont="true" borderId="8" applyBorder="true" applyNumberFormat="true" numFmtId="167" fillId="22" applyFill="true">
      <alignment horizontal="center" vertical="center"/>
    </xf>
    <xf fontId="23594" applyFont="true" borderId="8" applyBorder="true" applyNumberFormat="true" numFmtId="1" fillId="22" applyFill="true">
      <alignment horizontal="center" vertical="center"/>
    </xf>
    <xf fontId="23595" applyFont="true" borderId="8" applyBorder="true" applyNumberFormat="true" numFmtId="1" fillId="22" applyFill="true">
      <alignment horizontal="center" vertical="center"/>
    </xf>
    <xf fontId="23596" applyFont="true" borderId="8" applyBorder="true" applyNumberFormat="true" numFmtId="1" fillId="22" applyFill="true">
      <alignment horizontal="center" vertical="center"/>
    </xf>
    <xf fontId="23597" applyFont="true" borderId="8" applyBorder="true" applyNumberFormat="true" numFmtId="1" fillId="22" applyFill="true">
      <alignment horizontal="center" vertical="center"/>
    </xf>
    <xf fontId="23598" applyFont="true" borderId="8" applyBorder="true" applyNumberFormat="true" numFmtId="167" fillId="22" applyFill="true">
      <alignment horizontal="center" vertical="center"/>
    </xf>
    <xf fontId="23599" applyFont="true" borderId="8" applyBorder="true" applyNumberFormat="true" numFmtId="1" fillId="22" applyFill="true">
      <alignment horizontal="center" vertical="center"/>
    </xf>
    <xf fontId="23600" applyFont="true" borderId="8" applyBorder="true" applyNumberFormat="true" numFmtId="167" fillId="22" applyFill="true">
      <alignment horizontal="center" vertical="center"/>
    </xf>
    <xf fontId="23601" applyFont="true" borderId="8" applyBorder="true" applyNumberFormat="true" numFmtId="1" fillId="22" applyFill="true">
      <alignment horizontal="center" vertical="center"/>
    </xf>
    <xf fontId="23602" applyFont="true" borderId="8" applyBorder="true" applyNumberFormat="true" numFmtId="167" fillId="22" applyFill="true">
      <alignment horizontal="center" vertical="center"/>
    </xf>
    <xf fontId="23603" applyFont="true" borderId="8" applyBorder="true" applyNumberFormat="true" numFmtId="2" fillId="22" applyFill="true">
      <alignment horizontal="center" vertical="center"/>
    </xf>
    <xf fontId="23604" applyFont="true" borderId="8" applyBorder="true" applyNumberFormat="true" numFmtId="2" fillId="22" applyFill="true">
      <alignment horizontal="center" vertical="center"/>
    </xf>
    <xf fontId="23605" applyFont="true" borderId="8" applyBorder="true" applyNumberFormat="true" numFmtId="2" fillId="22" applyFill="true">
      <alignment horizontal="center" vertical="center"/>
    </xf>
    <xf fontId="23606" applyFont="true" borderId="8" applyBorder="true" applyNumberFormat="true" numFmtId="2" fillId="22" applyFill="true">
      <alignment horizontal="center" vertical="center"/>
    </xf>
    <xf fontId="23607" applyFont="true" borderId="8" applyBorder="true" applyNumberFormat="true" numFmtId="2" fillId="22" applyFill="true">
      <alignment horizontal="center" vertical="center"/>
    </xf>
    <xf fontId="23608" applyFont="true" borderId="8" applyBorder="true" applyNumberFormat="true" numFmtId="2" fillId="22" applyFill="true">
      <alignment horizontal="center" vertical="center"/>
    </xf>
    <xf fontId="23609" applyFont="true" borderId="8" applyBorder="true" applyNumberFormat="true" numFmtId="2" fillId="22" applyFill="true">
      <alignment horizontal="center" vertical="center"/>
    </xf>
    <xf fontId="23610" applyFont="true" borderId="8" applyBorder="true" applyNumberFormat="true" numFmtId="2" fillId="22" applyFill="true">
      <alignment horizontal="center" vertical="center"/>
    </xf>
    <xf fontId="23611" applyFont="true" borderId="8" applyBorder="true" applyNumberFormat="true" numFmtId="2" fillId="22" applyFill="true">
      <alignment horizontal="center" vertical="center"/>
    </xf>
    <xf fontId="23612" applyFont="true" borderId="8" applyBorder="true" applyNumberFormat="true" numFmtId="2" fillId="22" applyFill="true">
      <alignment horizontal="center" vertical="center"/>
    </xf>
    <xf fontId="23613" applyFont="true" borderId="8" applyBorder="true" applyNumberFormat="true" numFmtId="2" fillId="22" applyFill="true">
      <alignment horizontal="center" vertical="center"/>
    </xf>
    <xf fontId="23614" applyFont="true" borderId="8" applyBorder="true" applyNumberFormat="true" numFmtId="2" fillId="22" applyFill="true">
      <alignment horizontal="center" vertical="center"/>
    </xf>
    <xf fontId="23615" applyFont="true" borderId="8" applyBorder="true" applyNumberFormat="true" numFmtId="2" fillId="22" applyFill="true">
      <alignment horizontal="center" vertical="center"/>
    </xf>
    <xf fontId="23616" applyFont="true" borderId="8" applyBorder="true" applyNumberFormat="true" numFmtId="2" fillId="22" applyFill="true">
      <alignment horizontal="center" vertical="center"/>
    </xf>
    <xf fontId="23617" applyFont="true" borderId="8" applyBorder="true" applyNumberFormat="true" numFmtId="2" fillId="22" applyFill="true">
      <alignment horizontal="center" vertical="center"/>
    </xf>
    <xf fontId="23618" applyFont="true" borderId="8" applyBorder="true" applyNumberFormat="true" numFmtId="2" fillId="22" applyFill="true">
      <alignment horizontal="center" vertical="center"/>
    </xf>
    <xf fontId="23619" applyFont="true" borderId="8" applyBorder="true" applyNumberFormat="true" numFmtId="2" fillId="22" applyFill="true">
      <alignment horizontal="center" vertical="center"/>
    </xf>
    <xf fontId="23620" applyFont="true" borderId="8" applyBorder="true" applyNumberFormat="true" numFmtId="2" fillId="22" applyFill="true">
      <alignment horizontal="center" vertical="center"/>
    </xf>
    <xf fontId="23621" applyFont="true" borderId="8" applyBorder="true" applyNumberFormat="true" numFmtId="2" fillId="22" applyFill="true">
      <alignment horizontal="center" vertical="center"/>
    </xf>
    <xf fontId="23622" applyFont="true" borderId="8" applyBorder="true" applyNumberFormat="true" numFmtId="2" fillId="22" applyFill="true">
      <alignment horizontal="center" vertical="center"/>
    </xf>
    <xf fontId="23623" applyFont="true" borderId="8" applyBorder="true" applyNumberFormat="true" numFmtId="2" fillId="22" applyFill="true">
      <alignment horizontal="center" vertical="center"/>
    </xf>
    <xf fontId="23624" applyFont="true" borderId="8" applyBorder="true" applyNumberFormat="true" numFmtId="2" fillId="22" applyFill="true">
      <alignment horizontal="center" vertical="center"/>
    </xf>
    <xf fontId="23625" applyFont="true" borderId="8" applyBorder="true" applyNumberFormat="true" numFmtId="2" fillId="22" applyFill="true">
      <alignment horizontal="center" vertical="center"/>
    </xf>
    <xf fontId="23626" applyFont="true" borderId="8" applyBorder="true" applyNumberFormat="true" numFmtId="2" fillId="22" applyFill="true">
      <alignment horizontal="center" vertical="center"/>
    </xf>
    <xf fontId="23627" applyFont="true" borderId="8" applyBorder="true" applyNumberFormat="true" numFmtId="2" fillId="22" applyFill="true">
      <alignment horizontal="center" vertical="center"/>
    </xf>
    <xf fontId="23628" applyFont="true" borderId="8" applyBorder="true" applyNumberFormat="true" numFmtId="2" fillId="22" applyFill="true">
      <alignment horizontal="center" vertical="center"/>
    </xf>
    <xf fontId="23629" applyFont="true" borderId="8" applyBorder="true" applyNumberFormat="true" numFmtId="2" fillId="22" applyFill="true">
      <alignment horizontal="center" vertical="center"/>
    </xf>
    <xf fontId="23630" applyFont="true" borderId="8" applyBorder="true" applyNumberFormat="true" numFmtId="2" fillId="22" applyFill="true">
      <alignment horizontal="center" vertical="center"/>
    </xf>
    <xf fontId="23631" applyFont="true" borderId="8" applyBorder="true" applyNumberFormat="true" numFmtId="2" fillId="22" applyFill="true">
      <alignment horizontal="center" vertical="center"/>
    </xf>
    <xf fontId="23632" applyFont="true" borderId="8" applyBorder="true" applyNumberFormat="true" numFmtId="2" fillId="22" applyFill="true">
      <alignment horizontal="center" vertical="center"/>
    </xf>
    <xf fontId="23633" applyFont="true" borderId="8" applyBorder="true" applyNumberFormat="true" numFmtId="2" fillId="22" applyFill="true">
      <alignment horizontal="center" vertical="center"/>
    </xf>
    <xf fontId="23634" applyFont="true" borderId="8" applyBorder="true" applyNumberFormat="true" numFmtId="2" fillId="22" applyFill="true">
      <alignment horizontal="center" vertical="center"/>
    </xf>
    <xf fontId="23635" applyFont="true" borderId="8" applyBorder="true" applyNumberFormat="true" numFmtId="2" fillId="22" applyFill="true">
      <alignment horizontal="center" vertical="center"/>
    </xf>
    <xf fontId="23636" applyFont="true" borderId="8" applyBorder="true" applyNumberFormat="true" numFmtId="2" fillId="22" applyFill="true">
      <alignment horizontal="center" vertical="center"/>
    </xf>
    <xf fontId="23637" applyFont="true" borderId="8" applyBorder="true" applyNumberFormat="true" numFmtId="165" fillId="19" applyFill="true">
      <alignment horizontal="left" vertical="center"/>
    </xf>
    <xf fontId="23638" applyFont="true" borderId="8" applyBorder="true" applyNumberFormat="true" numFmtId="165" fillId="22" applyFill="true">
      <alignment horizontal="center" vertical="center"/>
    </xf>
    <xf fontId="23639" applyFont="true" borderId="8" applyBorder="true" applyNumberFormat="true" numFmtId="166" fillId="22" applyFill="true">
      <alignment horizontal="center" vertical="center"/>
    </xf>
    <xf fontId="23640" applyFont="true" borderId="8" applyBorder="true" applyNumberFormat="true" numFmtId="1" fillId="22" applyFill="true">
      <alignment horizontal="center" vertical="center"/>
    </xf>
    <xf fontId="23641" applyFont="true" borderId="8" applyBorder="true" applyNumberFormat="true" numFmtId="1" fillId="22" applyFill="true">
      <alignment horizontal="center" vertical="center"/>
    </xf>
    <xf fontId="23642" applyFont="true" borderId="8" applyBorder="true" applyNumberFormat="true" numFmtId="1" fillId="22" applyFill="true">
      <alignment horizontal="center" vertical="center"/>
    </xf>
    <xf fontId="23643" applyFont="true" borderId="8" applyBorder="true" applyNumberFormat="true" numFmtId="1" fillId="22" applyFill="true">
      <alignment horizontal="center" vertical="center"/>
    </xf>
    <xf fontId="23644" applyFont="true" borderId="8" applyBorder="true" applyNumberFormat="true" numFmtId="1" fillId="22" applyFill="true">
      <alignment horizontal="center" vertical="center"/>
    </xf>
    <xf fontId="23645" applyFont="true" borderId="8" applyBorder="true" applyNumberFormat="true" numFmtId="1" fillId="22" applyFill="true">
      <alignment horizontal="center" vertical="center"/>
    </xf>
    <xf fontId="23646" applyFont="true" borderId="8" applyBorder="true" applyNumberFormat="true" numFmtId="1" fillId="22" applyFill="true">
      <alignment horizontal="center" vertical="center"/>
    </xf>
    <xf fontId="23647" applyFont="true" borderId="8" applyBorder="true" applyNumberFormat="true" numFmtId="165" fillId="22" applyFill="true">
      <alignment horizontal="center" vertical="center"/>
    </xf>
    <xf fontId="23648" applyFont="true" borderId="8" applyBorder="true" applyNumberFormat="true" numFmtId="165" fillId="22" applyFill="true">
      <alignment horizontal="center" vertical="center"/>
    </xf>
    <xf fontId="23649" applyFont="true" borderId="8" applyBorder="true" applyNumberFormat="true" numFmtId="1" fillId="22" applyFill="true">
      <alignment horizontal="center" vertical="center"/>
    </xf>
    <xf fontId="23650" applyFont="true" borderId="8" applyBorder="true" applyNumberFormat="true" numFmtId="1" fillId="22" applyFill="true">
      <alignment horizontal="center" vertical="center"/>
    </xf>
    <xf fontId="23651" applyFont="true" borderId="8" applyBorder="true" applyNumberFormat="true" numFmtId="1" fillId="22" applyFill="true">
      <alignment horizontal="center" vertical="center"/>
    </xf>
    <xf fontId="23652" applyFont="true" borderId="8" applyBorder="true" applyNumberFormat="true" numFmtId="167" fillId="22" applyFill="true">
      <alignment horizontal="center" vertical="center"/>
    </xf>
    <xf fontId="23653" applyFont="true" borderId="8" applyBorder="true" applyNumberFormat="true" numFmtId="1" fillId="22" applyFill="true">
      <alignment horizontal="center" vertical="center"/>
    </xf>
    <xf fontId="23654" applyFont="true" borderId="8" applyBorder="true" applyNumberFormat="true" numFmtId="167" fillId="22" applyFill="true">
      <alignment horizontal="center" vertical="center"/>
    </xf>
    <xf fontId="23655" applyFont="true" borderId="8" applyBorder="true" applyNumberFormat="true" numFmtId="1" fillId="22" applyFill="true">
      <alignment horizontal="center" vertical="center"/>
    </xf>
    <xf fontId="23656" applyFont="true" borderId="8" applyBorder="true" applyNumberFormat="true" numFmtId="167" fillId="22" applyFill="true">
      <alignment horizontal="center" vertical="center"/>
    </xf>
    <xf fontId="23657" applyFont="true" borderId="8" applyBorder="true" applyNumberFormat="true" numFmtId="1" fillId="22" applyFill="true">
      <alignment horizontal="center" vertical="center"/>
    </xf>
    <xf fontId="23658" applyFont="true" borderId="8" applyBorder="true" applyNumberFormat="true" numFmtId="167" fillId="22" applyFill="true">
      <alignment horizontal="center" vertical="center"/>
    </xf>
    <xf fontId="23659" applyFont="true" borderId="8" applyBorder="true" applyNumberFormat="true" numFmtId="167" fillId="22" applyFill="true">
      <alignment horizontal="center" vertical="center"/>
    </xf>
    <xf fontId="23660" applyFont="true" borderId="8" applyBorder="true" applyNumberFormat="true" numFmtId="1" fillId="22" applyFill="true">
      <alignment horizontal="center" vertical="center"/>
    </xf>
    <xf fontId="23661" applyFont="true" borderId="8" applyBorder="true" applyNumberFormat="true" numFmtId="1" fillId="22" applyFill="true">
      <alignment horizontal="center" vertical="center"/>
    </xf>
    <xf fontId="23662" applyFont="true" borderId="8" applyBorder="true" applyNumberFormat="true" numFmtId="1" fillId="22" applyFill="true">
      <alignment horizontal="center" vertical="center"/>
    </xf>
    <xf fontId="23663" applyFont="true" borderId="8" applyBorder="true" applyNumberFormat="true" numFmtId="167" fillId="22" applyFill="true">
      <alignment horizontal="center" vertical="center"/>
    </xf>
    <xf fontId="23664" applyFont="true" borderId="8" applyBorder="true" applyNumberFormat="true" numFmtId="166" fillId="22" applyFill="true">
      <alignment horizontal="center" vertical="center"/>
    </xf>
    <xf fontId="23665" applyFont="true" borderId="8" applyBorder="true" applyNumberFormat="true" numFmtId="166" fillId="22" applyFill="true">
      <alignment horizontal="center" vertical="center"/>
    </xf>
    <xf fontId="23666" applyFont="true" borderId="8" applyBorder="true" applyNumberFormat="true" numFmtId="1" fillId="22" applyFill="true">
      <alignment horizontal="center" vertical="center"/>
    </xf>
    <xf fontId="23667" applyFont="true" borderId="8" applyBorder="true" applyNumberFormat="true" numFmtId="1" fillId="22" applyFill="true">
      <alignment horizontal="center" vertical="center"/>
    </xf>
    <xf fontId="23668" applyFont="true" borderId="8" applyBorder="true" applyNumberFormat="true" numFmtId="1" fillId="22" applyFill="true">
      <alignment horizontal="center" vertical="center"/>
    </xf>
    <xf fontId="23669" applyFont="true" borderId="8" applyBorder="true" applyNumberFormat="true" numFmtId="167" fillId="22" applyFill="true">
      <alignment horizontal="center" vertical="center"/>
    </xf>
    <xf fontId="23670" applyFont="true" borderId="8" applyBorder="true" applyNumberFormat="true" numFmtId="1" fillId="22" applyFill="true">
      <alignment horizontal="center" vertical="center"/>
    </xf>
    <xf fontId="23671" applyFont="true" borderId="8" applyBorder="true" applyNumberFormat="true" numFmtId="167" fillId="22" applyFill="true">
      <alignment horizontal="center" vertical="center"/>
    </xf>
    <xf fontId="23672" applyFont="true" borderId="8" applyBorder="true" applyNumberFormat="true" numFmtId="1" fillId="22" applyFill="true">
      <alignment horizontal="center" vertical="center"/>
    </xf>
    <xf fontId="23673" applyFont="true" borderId="8" applyBorder="true" applyNumberFormat="true" numFmtId="1" fillId="22" applyFill="true">
      <alignment horizontal="center" vertical="center"/>
    </xf>
    <xf fontId="23674" applyFont="true" borderId="8" applyBorder="true" applyNumberFormat="true" numFmtId="1" fillId="22" applyFill="true">
      <alignment horizontal="center" vertical="center"/>
    </xf>
    <xf fontId="23675" applyFont="true" borderId="8" applyBorder="true" applyNumberFormat="true" numFmtId="1" fillId="22" applyFill="true">
      <alignment horizontal="center" vertical="center"/>
    </xf>
    <xf fontId="23676" applyFont="true" borderId="8" applyBorder="true" applyNumberFormat="true" numFmtId="167" fillId="22" applyFill="true">
      <alignment horizontal="center" vertical="center"/>
    </xf>
    <xf fontId="23677" applyFont="true" borderId="8" applyBorder="true" applyNumberFormat="true" numFmtId="1" fillId="22" applyFill="true">
      <alignment horizontal="center" vertical="center"/>
    </xf>
    <xf fontId="23678" applyFont="true" borderId="8" applyBorder="true" applyNumberFormat="true" numFmtId="167" fillId="22" applyFill="true">
      <alignment horizontal="center" vertical="center"/>
    </xf>
    <xf fontId="23679" applyFont="true" borderId="8" applyBorder="true" applyNumberFormat="true" numFmtId="1" fillId="22" applyFill="true">
      <alignment horizontal="center" vertical="center"/>
    </xf>
    <xf fontId="23680" applyFont="true" borderId="8" applyBorder="true" applyNumberFormat="true" numFmtId="167" fillId="22" applyFill="true">
      <alignment horizontal="center" vertical="center"/>
    </xf>
    <xf fontId="23681" applyFont="true" borderId="8" applyBorder="true" applyNumberFormat="true" numFmtId="2" fillId="22" applyFill="true">
      <alignment horizontal="center" vertical="center"/>
    </xf>
    <xf fontId="23682" applyFont="true" borderId="8" applyBorder="true" applyNumberFormat="true" numFmtId="2" fillId="22" applyFill="true">
      <alignment horizontal="center" vertical="center"/>
    </xf>
    <xf fontId="23683" applyFont="true" borderId="8" applyBorder="true" applyNumberFormat="true" numFmtId="2" fillId="22" applyFill="true">
      <alignment horizontal="center" vertical="center"/>
    </xf>
    <xf fontId="23684" applyFont="true" borderId="8" applyBorder="true" applyNumberFormat="true" numFmtId="2" fillId="22" applyFill="true">
      <alignment horizontal="center" vertical="center"/>
    </xf>
    <xf fontId="23685" applyFont="true" borderId="8" applyBorder="true" applyNumberFormat="true" numFmtId="2" fillId="22" applyFill="true">
      <alignment horizontal="center" vertical="center"/>
    </xf>
    <xf fontId="23686" applyFont="true" borderId="8" applyBorder="true" applyNumberFormat="true" numFmtId="2" fillId="22" applyFill="true">
      <alignment horizontal="center" vertical="center"/>
    </xf>
    <xf fontId="23687" applyFont="true" borderId="8" applyBorder="true" applyNumberFormat="true" numFmtId="2" fillId="22" applyFill="true">
      <alignment horizontal="center" vertical="center"/>
    </xf>
    <xf fontId="23688" applyFont="true" borderId="8" applyBorder="true" applyNumberFormat="true" numFmtId="2" fillId="22" applyFill="true">
      <alignment horizontal="center" vertical="center"/>
    </xf>
    <xf fontId="23689" applyFont="true" borderId="8" applyBorder="true" applyNumberFormat="true" numFmtId="2" fillId="22" applyFill="true">
      <alignment horizontal="center" vertical="center"/>
    </xf>
    <xf fontId="23690" applyFont="true" borderId="8" applyBorder="true" applyNumberFormat="true" numFmtId="2" fillId="22" applyFill="true">
      <alignment horizontal="center" vertical="center"/>
    </xf>
    <xf fontId="23691" applyFont="true" borderId="8" applyBorder="true" applyNumberFormat="true" numFmtId="2" fillId="22" applyFill="true">
      <alignment horizontal="center" vertical="center"/>
    </xf>
    <xf fontId="23692" applyFont="true" borderId="8" applyBorder="true" applyNumberFormat="true" numFmtId="2" fillId="22" applyFill="true">
      <alignment horizontal="center" vertical="center"/>
    </xf>
    <xf fontId="23693" applyFont="true" borderId="8" applyBorder="true" applyNumberFormat="true" numFmtId="2" fillId="22" applyFill="true">
      <alignment horizontal="center" vertical="center"/>
    </xf>
    <xf fontId="23694" applyFont="true" borderId="8" applyBorder="true" applyNumberFormat="true" numFmtId="2" fillId="22" applyFill="true">
      <alignment horizontal="center" vertical="center"/>
    </xf>
    <xf fontId="23695" applyFont="true" borderId="8" applyBorder="true" applyNumberFormat="true" numFmtId="2" fillId="22" applyFill="true">
      <alignment horizontal="center" vertical="center"/>
    </xf>
    <xf fontId="23696" applyFont="true" borderId="8" applyBorder="true" applyNumberFormat="true" numFmtId="2" fillId="22" applyFill="true">
      <alignment horizontal="center" vertical="center"/>
    </xf>
    <xf fontId="23697" applyFont="true" borderId="8" applyBorder="true" applyNumberFormat="true" numFmtId="2" fillId="22" applyFill="true">
      <alignment horizontal="center" vertical="center"/>
    </xf>
    <xf fontId="23698" applyFont="true" borderId="8" applyBorder="true" applyNumberFormat="true" numFmtId="2" fillId="22" applyFill="true">
      <alignment horizontal="center" vertical="center"/>
    </xf>
    <xf fontId="23699" applyFont="true" borderId="8" applyBorder="true" applyNumberFormat="true" numFmtId="2" fillId="22" applyFill="true">
      <alignment horizontal="center" vertical="center"/>
    </xf>
    <xf fontId="23700" applyFont="true" borderId="8" applyBorder="true" applyNumberFormat="true" numFmtId="2" fillId="22" applyFill="true">
      <alignment horizontal="center" vertical="center"/>
    </xf>
    <xf fontId="23701" applyFont="true" borderId="8" applyBorder="true" applyNumberFormat="true" numFmtId="2" fillId="22" applyFill="true">
      <alignment horizontal="center" vertical="center"/>
    </xf>
    <xf fontId="23702" applyFont="true" borderId="8" applyBorder="true" applyNumberFormat="true" numFmtId="2" fillId="22" applyFill="true">
      <alignment horizontal="center" vertical="center"/>
    </xf>
    <xf fontId="23703" applyFont="true" borderId="8" applyBorder="true" applyNumberFormat="true" numFmtId="2" fillId="22" applyFill="true">
      <alignment horizontal="center" vertical="center"/>
    </xf>
    <xf fontId="23704" applyFont="true" borderId="8" applyBorder="true" applyNumberFormat="true" numFmtId="2" fillId="22" applyFill="true">
      <alignment horizontal="center" vertical="center"/>
    </xf>
    <xf fontId="23705" applyFont="true" borderId="8" applyBorder="true" applyNumberFormat="true" numFmtId="2" fillId="22" applyFill="true">
      <alignment horizontal="center" vertical="center"/>
    </xf>
    <xf fontId="23706" applyFont="true" borderId="8" applyBorder="true" applyNumberFormat="true" numFmtId="2" fillId="22" applyFill="true">
      <alignment horizontal="center" vertical="center"/>
    </xf>
    <xf fontId="23707" applyFont="true" borderId="8" applyBorder="true" applyNumberFormat="true" numFmtId="2" fillId="22" applyFill="true">
      <alignment horizontal="center" vertical="center"/>
    </xf>
    <xf fontId="23708" applyFont="true" borderId="8" applyBorder="true" applyNumberFormat="true" numFmtId="2" fillId="22" applyFill="true">
      <alignment horizontal="center" vertical="center"/>
    </xf>
    <xf fontId="23709" applyFont="true" borderId="8" applyBorder="true" applyNumberFormat="true" numFmtId="2" fillId="22" applyFill="true">
      <alignment horizontal="center" vertical="center"/>
    </xf>
    <xf fontId="23710" applyFont="true" borderId="8" applyBorder="true" applyNumberFormat="true" numFmtId="2" fillId="22" applyFill="true">
      <alignment horizontal="center" vertical="center"/>
    </xf>
    <xf fontId="23711" applyFont="true" borderId="8" applyBorder="true" applyNumberFormat="true" numFmtId="2" fillId="22" applyFill="true">
      <alignment horizontal="center" vertical="center"/>
    </xf>
    <xf fontId="23712" applyFont="true" borderId="8" applyBorder="true" applyNumberFormat="true" numFmtId="2" fillId="22" applyFill="true">
      <alignment horizontal="center" vertical="center"/>
    </xf>
    <xf fontId="23713" applyFont="true" borderId="8" applyBorder="true" applyNumberFormat="true" numFmtId="2" fillId="22" applyFill="true">
      <alignment horizontal="center" vertical="center"/>
    </xf>
    <xf fontId="23714" applyFont="true" borderId="8" applyBorder="true" applyNumberFormat="true" numFmtId="2" fillId="22" applyFill="true">
      <alignment horizontal="center" vertical="center"/>
    </xf>
    <xf fontId="23715" applyFont="true" borderId="8" applyBorder="true" applyNumberFormat="true" numFmtId="165" fillId="19" applyFill="true">
      <alignment horizontal="left" vertical="center"/>
    </xf>
    <xf fontId="23716" applyFont="true" borderId="8" applyBorder="true" applyNumberFormat="true" numFmtId="165" fillId="22" applyFill="true">
      <alignment horizontal="center" vertical="center"/>
    </xf>
    <xf fontId="23717" applyFont="true" borderId="8" applyBorder="true" applyNumberFormat="true" numFmtId="166" fillId="22" applyFill="true">
      <alignment horizontal="center" vertical="center"/>
    </xf>
    <xf fontId="23718" applyFont="true" borderId="8" applyBorder="true" applyNumberFormat="true" numFmtId="1" fillId="22" applyFill="true">
      <alignment horizontal="center" vertical="center"/>
    </xf>
    <xf fontId="23719" applyFont="true" borderId="8" applyBorder="true" applyNumberFormat="true" numFmtId="1" fillId="22" applyFill="true">
      <alignment horizontal="center" vertical="center"/>
    </xf>
    <xf fontId="23720" applyFont="true" borderId="8" applyBorder="true" applyNumberFormat="true" numFmtId="1" fillId="22" applyFill="true">
      <alignment horizontal="center" vertical="center"/>
    </xf>
    <xf fontId="23721" applyFont="true" borderId="8" applyBorder="true" applyNumberFormat="true" numFmtId="1" fillId="22" applyFill="true">
      <alignment horizontal="center" vertical="center"/>
    </xf>
    <xf fontId="23722" applyFont="true" borderId="8" applyBorder="true" applyNumberFormat="true" numFmtId="1" fillId="22" applyFill="true">
      <alignment horizontal="center" vertical="center"/>
    </xf>
    <xf fontId="23723" applyFont="true" borderId="8" applyBorder="true" applyNumberFormat="true" numFmtId="1" fillId="22" applyFill="true">
      <alignment horizontal="center" vertical="center"/>
    </xf>
    <xf fontId="23724" applyFont="true" borderId="8" applyBorder="true" applyNumberFormat="true" numFmtId="1" fillId="22" applyFill="true">
      <alignment horizontal="center" vertical="center"/>
    </xf>
    <xf fontId="23725" applyFont="true" borderId="8" applyBorder="true" applyNumberFormat="true" numFmtId="165" fillId="22" applyFill="true">
      <alignment horizontal="center" vertical="center"/>
    </xf>
    <xf fontId="23726" applyFont="true" borderId="8" applyBorder="true" applyNumberFormat="true" numFmtId="165" fillId="22" applyFill="true">
      <alignment horizontal="center" vertical="center"/>
    </xf>
    <xf fontId="23727" applyFont="true" borderId="8" applyBorder="true" applyNumberFormat="true" numFmtId="1" fillId="22" applyFill="true">
      <alignment horizontal="center" vertical="center"/>
    </xf>
    <xf fontId="23728" applyFont="true" borderId="8" applyBorder="true" applyNumberFormat="true" numFmtId="1" fillId="22" applyFill="true">
      <alignment horizontal="center" vertical="center"/>
    </xf>
    <xf fontId="23729" applyFont="true" borderId="8" applyBorder="true" applyNumberFormat="true" numFmtId="1" fillId="22" applyFill="true">
      <alignment horizontal="center" vertical="center"/>
    </xf>
    <xf fontId="23730" applyFont="true" borderId="8" applyBorder="true" applyNumberFormat="true" numFmtId="167" fillId="22" applyFill="true">
      <alignment horizontal="center" vertical="center"/>
    </xf>
    <xf fontId="23731" applyFont="true" borderId="8" applyBorder="true" applyNumberFormat="true" numFmtId="1" fillId="22" applyFill="true">
      <alignment horizontal="center" vertical="center"/>
    </xf>
    <xf fontId="23732" applyFont="true" borderId="8" applyBorder="true" applyNumberFormat="true" numFmtId="167" fillId="22" applyFill="true">
      <alignment horizontal="center" vertical="center"/>
    </xf>
    <xf fontId="23733" applyFont="true" borderId="8" applyBorder="true" applyNumberFormat="true" numFmtId="1" fillId="22" applyFill="true">
      <alignment horizontal="center" vertical="center"/>
    </xf>
    <xf fontId="23734" applyFont="true" borderId="8" applyBorder="true" applyNumberFormat="true" numFmtId="167" fillId="22" applyFill="true">
      <alignment horizontal="center" vertical="center"/>
    </xf>
    <xf fontId="23735" applyFont="true" borderId="8" applyBorder="true" applyNumberFormat="true" numFmtId="1" fillId="22" applyFill="true">
      <alignment horizontal="center" vertical="center"/>
    </xf>
    <xf fontId="23736" applyFont="true" borderId="8" applyBorder="true" applyNumberFormat="true" numFmtId="167" fillId="22" applyFill="true">
      <alignment horizontal="center" vertical="center"/>
    </xf>
    <xf fontId="23737" applyFont="true" borderId="8" applyBorder="true" applyNumberFormat="true" numFmtId="167" fillId="22" applyFill="true">
      <alignment horizontal="center" vertical="center"/>
    </xf>
    <xf fontId="23738" applyFont="true" borderId="8" applyBorder="true" applyNumberFormat="true" numFmtId="1" fillId="22" applyFill="true">
      <alignment horizontal="center" vertical="center"/>
    </xf>
    <xf fontId="23739" applyFont="true" borderId="8" applyBorder="true" applyNumberFormat="true" numFmtId="1" fillId="22" applyFill="true">
      <alignment horizontal="center" vertical="center"/>
    </xf>
    <xf fontId="23740" applyFont="true" borderId="8" applyBorder="true" applyNumberFormat="true" numFmtId="1" fillId="22" applyFill="true">
      <alignment horizontal="center" vertical="center"/>
    </xf>
    <xf fontId="23741" applyFont="true" borderId="8" applyBorder="true" applyNumberFormat="true" numFmtId="167" fillId="22" applyFill="true">
      <alignment horizontal="center" vertical="center"/>
    </xf>
    <xf fontId="23742" applyFont="true" borderId="8" applyBorder="true" applyNumberFormat="true" numFmtId="166" fillId="22" applyFill="true">
      <alignment horizontal="center" vertical="center"/>
    </xf>
    <xf fontId="23743" applyFont="true" borderId="8" applyBorder="true" applyNumberFormat="true" numFmtId="166" fillId="22" applyFill="true">
      <alignment horizontal="center" vertical="center"/>
    </xf>
    <xf fontId="23744" applyFont="true" borderId="8" applyBorder="true" applyNumberFormat="true" numFmtId="1" fillId="22" applyFill="true">
      <alignment horizontal="center" vertical="center"/>
    </xf>
    <xf fontId="23745" applyFont="true" borderId="8" applyBorder="true" applyNumberFormat="true" numFmtId="1" fillId="22" applyFill="true">
      <alignment horizontal="center" vertical="center"/>
    </xf>
    <xf fontId="23746" applyFont="true" borderId="8" applyBorder="true" applyNumberFormat="true" numFmtId="1" fillId="22" applyFill="true">
      <alignment horizontal="center" vertical="center"/>
    </xf>
    <xf fontId="23747" applyFont="true" borderId="8" applyBorder="true" applyNumberFormat="true" numFmtId="167" fillId="22" applyFill="true">
      <alignment horizontal="center" vertical="center"/>
    </xf>
    <xf fontId="23748" applyFont="true" borderId="8" applyBorder="true" applyNumberFormat="true" numFmtId="1" fillId="22" applyFill="true">
      <alignment horizontal="center" vertical="center"/>
    </xf>
    <xf fontId="23749" applyFont="true" borderId="8" applyBorder="true" applyNumberFormat="true" numFmtId="167" fillId="22" applyFill="true">
      <alignment horizontal="center" vertical="center"/>
    </xf>
    <xf fontId="23750" applyFont="true" borderId="8" applyBorder="true" applyNumberFormat="true" numFmtId="1" fillId="22" applyFill="true">
      <alignment horizontal="center" vertical="center"/>
    </xf>
    <xf fontId="23751" applyFont="true" borderId="8" applyBorder="true" applyNumberFormat="true" numFmtId="1" fillId="22" applyFill="true">
      <alignment horizontal="center" vertical="center"/>
    </xf>
    <xf fontId="23752" applyFont="true" borderId="8" applyBorder="true" applyNumberFormat="true" numFmtId="1" fillId="22" applyFill="true">
      <alignment horizontal="center" vertical="center"/>
    </xf>
    <xf fontId="23753" applyFont="true" borderId="8" applyBorder="true" applyNumberFormat="true" numFmtId="1" fillId="22" applyFill="true">
      <alignment horizontal="center" vertical="center"/>
    </xf>
    <xf fontId="23754" applyFont="true" borderId="8" applyBorder="true" applyNumberFormat="true" numFmtId="167" fillId="22" applyFill="true">
      <alignment horizontal="center" vertical="center"/>
    </xf>
    <xf fontId="23755" applyFont="true" borderId="8" applyBorder="true" applyNumberFormat="true" numFmtId="1" fillId="22" applyFill="true">
      <alignment horizontal="center" vertical="center"/>
    </xf>
    <xf fontId="23756" applyFont="true" borderId="8" applyBorder="true" applyNumberFormat="true" numFmtId="167" fillId="22" applyFill="true">
      <alignment horizontal="center" vertical="center"/>
    </xf>
    <xf fontId="23757" applyFont="true" borderId="8" applyBorder="true" applyNumberFormat="true" numFmtId="1" fillId="22" applyFill="true">
      <alignment horizontal="center" vertical="center"/>
    </xf>
    <xf fontId="23758" applyFont="true" borderId="8" applyBorder="true" applyNumberFormat="true" numFmtId="167" fillId="22" applyFill="true">
      <alignment horizontal="center" vertical="center"/>
    </xf>
    <xf fontId="23759" applyFont="true" borderId="8" applyBorder="true" applyNumberFormat="true" numFmtId="2" fillId="22" applyFill="true">
      <alignment horizontal="center" vertical="center"/>
    </xf>
    <xf fontId="23760" applyFont="true" borderId="8" applyBorder="true" applyNumberFormat="true" numFmtId="2" fillId="22" applyFill="true">
      <alignment horizontal="center" vertical="center"/>
    </xf>
    <xf fontId="23761" applyFont="true" borderId="8" applyBorder="true" applyNumberFormat="true" numFmtId="2" fillId="22" applyFill="true">
      <alignment horizontal="center" vertical="center"/>
    </xf>
    <xf fontId="23762" applyFont="true" borderId="8" applyBorder="true" applyNumberFormat="true" numFmtId="2" fillId="22" applyFill="true">
      <alignment horizontal="center" vertical="center"/>
    </xf>
    <xf fontId="23763" applyFont="true" borderId="8" applyBorder="true" applyNumberFormat="true" numFmtId="2" fillId="22" applyFill="true">
      <alignment horizontal="center" vertical="center"/>
    </xf>
    <xf fontId="23764" applyFont="true" borderId="8" applyBorder="true" applyNumberFormat="true" numFmtId="2" fillId="22" applyFill="true">
      <alignment horizontal="center" vertical="center"/>
    </xf>
    <xf fontId="23765" applyFont="true" borderId="8" applyBorder="true" applyNumberFormat="true" numFmtId="2" fillId="22" applyFill="true">
      <alignment horizontal="center" vertical="center"/>
    </xf>
    <xf fontId="23766" applyFont="true" borderId="8" applyBorder="true" applyNumberFormat="true" numFmtId="2" fillId="22" applyFill="true">
      <alignment horizontal="center" vertical="center"/>
    </xf>
    <xf fontId="23767" applyFont="true" borderId="8" applyBorder="true" applyNumberFormat="true" numFmtId="2" fillId="22" applyFill="true">
      <alignment horizontal="center" vertical="center"/>
    </xf>
    <xf fontId="23768" applyFont="true" borderId="8" applyBorder="true" applyNumberFormat="true" numFmtId="2" fillId="22" applyFill="true">
      <alignment horizontal="center" vertical="center"/>
    </xf>
    <xf fontId="23769" applyFont="true" borderId="8" applyBorder="true" applyNumberFormat="true" numFmtId="2" fillId="22" applyFill="true">
      <alignment horizontal="center" vertical="center"/>
    </xf>
    <xf fontId="23770" applyFont="true" borderId="8" applyBorder="true" applyNumberFormat="true" numFmtId="2" fillId="22" applyFill="true">
      <alignment horizontal="center" vertical="center"/>
    </xf>
    <xf fontId="23771" applyFont="true" borderId="8" applyBorder="true" applyNumberFormat="true" numFmtId="2" fillId="22" applyFill="true">
      <alignment horizontal="center" vertical="center"/>
    </xf>
    <xf fontId="23772" applyFont="true" borderId="8" applyBorder="true" applyNumberFormat="true" numFmtId="2" fillId="22" applyFill="true">
      <alignment horizontal="center" vertical="center"/>
    </xf>
    <xf fontId="23773" applyFont="true" borderId="8" applyBorder="true" applyNumberFormat="true" numFmtId="2" fillId="22" applyFill="true">
      <alignment horizontal="center" vertical="center"/>
    </xf>
    <xf fontId="23774" applyFont="true" borderId="8" applyBorder="true" applyNumberFormat="true" numFmtId="2" fillId="22" applyFill="true">
      <alignment horizontal="center" vertical="center"/>
    </xf>
    <xf fontId="23775" applyFont="true" borderId="8" applyBorder="true" applyNumberFormat="true" numFmtId="2" fillId="22" applyFill="true">
      <alignment horizontal="center" vertical="center"/>
    </xf>
    <xf fontId="23776" applyFont="true" borderId="8" applyBorder="true" applyNumberFormat="true" numFmtId="2" fillId="22" applyFill="true">
      <alignment horizontal="center" vertical="center"/>
    </xf>
    <xf fontId="23777" applyFont="true" borderId="8" applyBorder="true" applyNumberFormat="true" numFmtId="2" fillId="22" applyFill="true">
      <alignment horizontal="center" vertical="center"/>
    </xf>
    <xf fontId="23778" applyFont="true" borderId="8" applyBorder="true" applyNumberFormat="true" numFmtId="2" fillId="22" applyFill="true">
      <alignment horizontal="center" vertical="center"/>
    </xf>
    <xf fontId="23779" applyFont="true" borderId="8" applyBorder="true" applyNumberFormat="true" numFmtId="2" fillId="22" applyFill="true">
      <alignment horizontal="center" vertical="center"/>
    </xf>
    <xf fontId="23780" applyFont="true" borderId="8" applyBorder="true" applyNumberFormat="true" numFmtId="2" fillId="22" applyFill="true">
      <alignment horizontal="center" vertical="center"/>
    </xf>
    <xf fontId="23781" applyFont="true" borderId="8" applyBorder="true" applyNumberFormat="true" numFmtId="2" fillId="22" applyFill="true">
      <alignment horizontal="center" vertical="center"/>
    </xf>
    <xf fontId="23782" applyFont="true" borderId="8" applyBorder="true" applyNumberFormat="true" numFmtId="2" fillId="22" applyFill="true">
      <alignment horizontal="center" vertical="center"/>
    </xf>
    <xf fontId="23783" applyFont="true" borderId="8" applyBorder="true" applyNumberFormat="true" numFmtId="2" fillId="22" applyFill="true">
      <alignment horizontal="center" vertical="center"/>
    </xf>
    <xf fontId="23784" applyFont="true" borderId="8" applyBorder="true" applyNumberFormat="true" numFmtId="2" fillId="22" applyFill="true">
      <alignment horizontal="center" vertical="center"/>
    </xf>
    <xf fontId="23785" applyFont="true" borderId="8" applyBorder="true" applyNumberFormat="true" numFmtId="2" fillId="22" applyFill="true">
      <alignment horizontal="center" vertical="center"/>
    </xf>
    <xf fontId="23786" applyFont="true" borderId="8" applyBorder="true" applyNumberFormat="true" numFmtId="2" fillId="22" applyFill="true">
      <alignment horizontal="center" vertical="center"/>
    </xf>
    <xf fontId="23787" applyFont="true" borderId="8" applyBorder="true" applyNumberFormat="true" numFmtId="2" fillId="22" applyFill="true">
      <alignment horizontal="center" vertical="center"/>
    </xf>
    <xf fontId="23788" applyFont="true" borderId="8" applyBorder="true" applyNumberFormat="true" numFmtId="2" fillId="22" applyFill="true">
      <alignment horizontal="center" vertical="center"/>
    </xf>
    <xf fontId="23789" applyFont="true" borderId="8" applyBorder="true" applyNumberFormat="true" numFmtId="2" fillId="22" applyFill="true">
      <alignment horizontal="center" vertical="center"/>
    </xf>
    <xf fontId="23790" applyFont="true" borderId="8" applyBorder="true" applyNumberFormat="true" numFmtId="2" fillId="22" applyFill="true">
      <alignment horizontal="center" vertical="center"/>
    </xf>
    <xf fontId="23791" applyFont="true" borderId="8" applyBorder="true" applyNumberFormat="true" numFmtId="2" fillId="22" applyFill="true">
      <alignment horizontal="center" vertical="center"/>
    </xf>
    <xf fontId="23792" applyFont="true" borderId="8" applyBorder="true" applyNumberFormat="true" numFmtId="2" fillId="22" applyFill="true">
      <alignment horizontal="center" vertical="center"/>
    </xf>
    <xf fontId="23793" applyFont="true" borderId="8" applyBorder="true" applyNumberFormat="true" numFmtId="165" fillId="19" applyFill="true">
      <alignment horizontal="left" vertical="center"/>
    </xf>
    <xf fontId="23794" applyFont="true" borderId="8" applyBorder="true" applyNumberFormat="true" numFmtId="165" fillId="22" applyFill="true">
      <alignment horizontal="center" vertical="center"/>
    </xf>
    <xf fontId="23795" applyFont="true" borderId="8" applyBorder="true" applyNumberFormat="true" numFmtId="166" fillId="22" applyFill="true">
      <alignment horizontal="center" vertical="center"/>
    </xf>
    <xf fontId="23796" applyFont="true" borderId="8" applyBorder="true" applyNumberFormat="true" numFmtId="1" fillId="22" applyFill="true">
      <alignment horizontal="center" vertical="center"/>
    </xf>
    <xf fontId="23797" applyFont="true" borderId="8" applyBorder="true" applyNumberFormat="true" numFmtId="1" fillId="22" applyFill="true">
      <alignment horizontal="center" vertical="center"/>
    </xf>
    <xf fontId="23798" applyFont="true" borderId="8" applyBorder="true" applyNumberFormat="true" numFmtId="1" fillId="22" applyFill="true">
      <alignment horizontal="center" vertical="center"/>
    </xf>
    <xf fontId="23799" applyFont="true" borderId="8" applyBorder="true" applyNumberFormat="true" numFmtId="1" fillId="22" applyFill="true">
      <alignment horizontal="center" vertical="center"/>
    </xf>
    <xf fontId="23800" applyFont="true" borderId="8" applyBorder="true" applyNumberFormat="true" numFmtId="1" fillId="22" applyFill="true">
      <alignment horizontal="center" vertical="center"/>
    </xf>
    <xf fontId="23801" applyFont="true" borderId="8" applyBorder="true" applyNumberFormat="true" numFmtId="1" fillId="22" applyFill="true">
      <alignment horizontal="center" vertical="center"/>
    </xf>
    <xf fontId="23802" applyFont="true" borderId="8" applyBorder="true" applyNumberFormat="true" numFmtId="1" fillId="22" applyFill="true">
      <alignment horizontal="center" vertical="center"/>
    </xf>
    <xf fontId="23803" applyFont="true" borderId="8" applyBorder="true" applyNumberFormat="true" numFmtId="165" fillId="22" applyFill="true">
      <alignment horizontal="center" vertical="center"/>
    </xf>
    <xf fontId="23804" applyFont="true" borderId="8" applyBorder="true" applyNumberFormat="true" numFmtId="165" fillId="22" applyFill="true">
      <alignment horizontal="center" vertical="center"/>
    </xf>
    <xf fontId="23805" applyFont="true" borderId="8" applyBorder="true" applyNumberFormat="true" numFmtId="1" fillId="22" applyFill="true">
      <alignment horizontal="center" vertical="center"/>
    </xf>
    <xf fontId="23806" applyFont="true" borderId="8" applyBorder="true" applyNumberFormat="true" numFmtId="1" fillId="22" applyFill="true">
      <alignment horizontal="center" vertical="center"/>
    </xf>
    <xf fontId="23807" applyFont="true" borderId="8" applyBorder="true" applyNumberFormat="true" numFmtId="1" fillId="22" applyFill="true">
      <alignment horizontal="center" vertical="center"/>
    </xf>
    <xf fontId="23808" applyFont="true" borderId="8" applyBorder="true" applyNumberFormat="true" numFmtId="167" fillId="22" applyFill="true">
      <alignment horizontal="center" vertical="center"/>
    </xf>
    <xf fontId="23809" applyFont="true" borderId="8" applyBorder="true" applyNumberFormat="true" numFmtId="1" fillId="22" applyFill="true">
      <alignment horizontal="center" vertical="center"/>
    </xf>
    <xf fontId="23810" applyFont="true" borderId="8" applyBorder="true" applyNumberFormat="true" numFmtId="167" fillId="22" applyFill="true">
      <alignment horizontal="center" vertical="center"/>
    </xf>
    <xf fontId="23811" applyFont="true" borderId="8" applyBorder="true" applyNumberFormat="true" numFmtId="1" fillId="22" applyFill="true">
      <alignment horizontal="center" vertical="center"/>
    </xf>
    <xf fontId="23812" applyFont="true" borderId="8" applyBorder="true" applyNumberFormat="true" numFmtId="167" fillId="22" applyFill="true">
      <alignment horizontal="center" vertical="center"/>
    </xf>
    <xf fontId="23813" applyFont="true" borderId="8" applyBorder="true" applyNumberFormat="true" numFmtId="1" fillId="22" applyFill="true">
      <alignment horizontal="center" vertical="center"/>
    </xf>
    <xf fontId="23814" applyFont="true" borderId="8" applyBorder="true" applyNumberFormat="true" numFmtId="167" fillId="22" applyFill="true">
      <alignment horizontal="center" vertical="center"/>
    </xf>
    <xf fontId="23815" applyFont="true" borderId="8" applyBorder="true" applyNumberFormat="true" numFmtId="167" fillId="22" applyFill="true">
      <alignment horizontal="center" vertical="center"/>
    </xf>
    <xf fontId="23816" applyFont="true" borderId="8" applyBorder="true" applyNumberFormat="true" numFmtId="1" fillId="22" applyFill="true">
      <alignment horizontal="center" vertical="center"/>
    </xf>
    <xf fontId="23817" applyFont="true" borderId="8" applyBorder="true" applyNumberFormat="true" numFmtId="1" fillId="22" applyFill="true">
      <alignment horizontal="center" vertical="center"/>
    </xf>
    <xf fontId="23818" applyFont="true" borderId="8" applyBorder="true" applyNumberFormat="true" numFmtId="1" fillId="22" applyFill="true">
      <alignment horizontal="center" vertical="center"/>
    </xf>
    <xf fontId="23819" applyFont="true" borderId="8" applyBorder="true" applyNumberFormat="true" numFmtId="167" fillId="22" applyFill="true">
      <alignment horizontal="center" vertical="center"/>
    </xf>
    <xf fontId="23820" applyFont="true" borderId="8" applyBorder="true" applyNumberFormat="true" numFmtId="166" fillId="22" applyFill="true">
      <alignment horizontal="center" vertical="center"/>
    </xf>
    <xf fontId="23821" applyFont="true" borderId="8" applyBorder="true" applyNumberFormat="true" numFmtId="166" fillId="22" applyFill="true">
      <alignment horizontal="center" vertical="center"/>
    </xf>
    <xf fontId="23822" applyFont="true" borderId="8" applyBorder="true" applyNumberFormat="true" numFmtId="1" fillId="22" applyFill="true">
      <alignment horizontal="center" vertical="center"/>
    </xf>
    <xf fontId="23823" applyFont="true" borderId="8" applyBorder="true" applyNumberFormat="true" numFmtId="1" fillId="22" applyFill="true">
      <alignment horizontal="center" vertical="center"/>
    </xf>
    <xf fontId="23824" applyFont="true" borderId="8" applyBorder="true" applyNumberFormat="true" numFmtId="1" fillId="22" applyFill="true">
      <alignment horizontal="center" vertical="center"/>
    </xf>
    <xf fontId="23825" applyFont="true" borderId="8" applyBorder="true" applyNumberFormat="true" numFmtId="167" fillId="22" applyFill="true">
      <alignment horizontal="center" vertical="center"/>
    </xf>
    <xf fontId="23826" applyFont="true" borderId="8" applyBorder="true" applyNumberFormat="true" numFmtId="1" fillId="22" applyFill="true">
      <alignment horizontal="center" vertical="center"/>
    </xf>
    <xf fontId="23827" applyFont="true" borderId="8" applyBorder="true" applyNumberFormat="true" numFmtId="167" fillId="22" applyFill="true">
      <alignment horizontal="center" vertical="center"/>
    </xf>
    <xf fontId="23828" applyFont="true" borderId="8" applyBorder="true" applyNumberFormat="true" numFmtId="1" fillId="22" applyFill="true">
      <alignment horizontal="center" vertical="center"/>
    </xf>
    <xf fontId="23829" applyFont="true" borderId="8" applyBorder="true" applyNumberFormat="true" numFmtId="1" fillId="22" applyFill="true">
      <alignment horizontal="center" vertical="center"/>
    </xf>
    <xf fontId="23830" applyFont="true" borderId="8" applyBorder="true" applyNumberFormat="true" numFmtId="1" fillId="22" applyFill="true">
      <alignment horizontal="center" vertical="center"/>
    </xf>
    <xf fontId="23831" applyFont="true" borderId="8" applyBorder="true" applyNumberFormat="true" numFmtId="1" fillId="22" applyFill="true">
      <alignment horizontal="center" vertical="center"/>
    </xf>
    <xf fontId="23832" applyFont="true" borderId="8" applyBorder="true" applyNumberFormat="true" numFmtId="167" fillId="22" applyFill="true">
      <alignment horizontal="center" vertical="center"/>
    </xf>
    <xf fontId="23833" applyFont="true" borderId="8" applyBorder="true" applyNumberFormat="true" numFmtId="1" fillId="22" applyFill="true">
      <alignment horizontal="center" vertical="center"/>
    </xf>
    <xf fontId="23834" applyFont="true" borderId="8" applyBorder="true" applyNumberFormat="true" numFmtId="167" fillId="22" applyFill="true">
      <alignment horizontal="center" vertical="center"/>
    </xf>
    <xf fontId="23835" applyFont="true" borderId="8" applyBorder="true" applyNumberFormat="true" numFmtId="1" fillId="22" applyFill="true">
      <alignment horizontal="center" vertical="center"/>
    </xf>
    <xf fontId="23836" applyFont="true" borderId="8" applyBorder="true" applyNumberFormat="true" numFmtId="167" fillId="22" applyFill="true">
      <alignment horizontal="center" vertical="center"/>
    </xf>
    <xf fontId="23837" applyFont="true" borderId="8" applyBorder="true" applyNumberFormat="true" numFmtId="2" fillId="22" applyFill="true">
      <alignment horizontal="center" vertical="center"/>
    </xf>
    <xf fontId="23838" applyFont="true" borderId="8" applyBorder="true" applyNumberFormat="true" numFmtId="2" fillId="22" applyFill="true">
      <alignment horizontal="center" vertical="center"/>
    </xf>
    <xf fontId="23839" applyFont="true" borderId="8" applyBorder="true" applyNumberFormat="true" numFmtId="2" fillId="22" applyFill="true">
      <alignment horizontal="center" vertical="center"/>
    </xf>
    <xf fontId="23840" applyFont="true" borderId="8" applyBorder="true" applyNumberFormat="true" numFmtId="2" fillId="22" applyFill="true">
      <alignment horizontal="center" vertical="center"/>
    </xf>
    <xf fontId="23841" applyFont="true" borderId="8" applyBorder="true" applyNumberFormat="true" numFmtId="2" fillId="22" applyFill="true">
      <alignment horizontal="center" vertical="center"/>
    </xf>
    <xf fontId="23842" applyFont="true" borderId="8" applyBorder="true" applyNumberFormat="true" numFmtId="2" fillId="22" applyFill="true">
      <alignment horizontal="center" vertical="center"/>
    </xf>
    <xf fontId="23843" applyFont="true" borderId="8" applyBorder="true" applyNumberFormat="true" numFmtId="2" fillId="22" applyFill="true">
      <alignment horizontal="center" vertical="center"/>
    </xf>
    <xf fontId="23844" applyFont="true" borderId="8" applyBorder="true" applyNumberFormat="true" numFmtId="2" fillId="22" applyFill="true">
      <alignment horizontal="center" vertical="center"/>
    </xf>
    <xf fontId="23845" applyFont="true" borderId="8" applyBorder="true" applyNumberFormat="true" numFmtId="2" fillId="22" applyFill="true">
      <alignment horizontal="center" vertical="center"/>
    </xf>
    <xf fontId="23846" applyFont="true" borderId="8" applyBorder="true" applyNumberFormat="true" numFmtId="2" fillId="22" applyFill="true">
      <alignment horizontal="center" vertical="center"/>
    </xf>
    <xf fontId="23847" applyFont="true" borderId="8" applyBorder="true" applyNumberFormat="true" numFmtId="2" fillId="22" applyFill="true">
      <alignment horizontal="center" vertical="center"/>
    </xf>
    <xf fontId="23848" applyFont="true" borderId="8" applyBorder="true" applyNumberFormat="true" numFmtId="2" fillId="22" applyFill="true">
      <alignment horizontal="center" vertical="center"/>
    </xf>
    <xf fontId="23849" applyFont="true" borderId="8" applyBorder="true" applyNumberFormat="true" numFmtId="2" fillId="22" applyFill="true">
      <alignment horizontal="center" vertical="center"/>
    </xf>
    <xf fontId="23850" applyFont="true" borderId="8" applyBorder="true" applyNumberFormat="true" numFmtId="2" fillId="22" applyFill="true">
      <alignment horizontal="center" vertical="center"/>
    </xf>
    <xf fontId="23851" applyFont="true" borderId="8" applyBorder="true" applyNumberFormat="true" numFmtId="2" fillId="22" applyFill="true">
      <alignment horizontal="center" vertical="center"/>
    </xf>
    <xf fontId="23852" applyFont="true" borderId="8" applyBorder="true" applyNumberFormat="true" numFmtId="2" fillId="22" applyFill="true">
      <alignment horizontal="center" vertical="center"/>
    </xf>
    <xf fontId="23853" applyFont="true" borderId="8" applyBorder="true" applyNumberFormat="true" numFmtId="2" fillId="22" applyFill="true">
      <alignment horizontal="center" vertical="center"/>
    </xf>
    <xf fontId="23854" applyFont="true" borderId="8" applyBorder="true" applyNumberFormat="true" numFmtId="2" fillId="22" applyFill="true">
      <alignment horizontal="center" vertical="center"/>
    </xf>
    <xf fontId="23855" applyFont="true" borderId="8" applyBorder="true" applyNumberFormat="true" numFmtId="2" fillId="22" applyFill="true">
      <alignment horizontal="center" vertical="center"/>
    </xf>
    <xf fontId="23856" applyFont="true" borderId="8" applyBorder="true" applyNumberFormat="true" numFmtId="2" fillId="22" applyFill="true">
      <alignment horizontal="center" vertical="center"/>
    </xf>
    <xf fontId="23857" applyFont="true" borderId="8" applyBorder="true" applyNumberFormat="true" numFmtId="2" fillId="22" applyFill="true">
      <alignment horizontal="center" vertical="center"/>
    </xf>
    <xf fontId="23858" applyFont="true" borderId="8" applyBorder="true" applyNumberFormat="true" numFmtId="2" fillId="22" applyFill="true">
      <alignment horizontal="center" vertical="center"/>
    </xf>
    <xf fontId="23859" applyFont="true" borderId="8" applyBorder="true" applyNumberFormat="true" numFmtId="2" fillId="22" applyFill="true">
      <alignment horizontal="center" vertical="center"/>
    </xf>
    <xf fontId="23860" applyFont="true" borderId="8" applyBorder="true" applyNumberFormat="true" numFmtId="2" fillId="22" applyFill="true">
      <alignment horizontal="center" vertical="center"/>
    </xf>
    <xf fontId="23861" applyFont="true" borderId="8" applyBorder="true" applyNumberFormat="true" numFmtId="2" fillId="22" applyFill="true">
      <alignment horizontal="center" vertical="center"/>
    </xf>
    <xf fontId="23862" applyFont="true" borderId="8" applyBorder="true" applyNumberFormat="true" numFmtId="2" fillId="22" applyFill="true">
      <alignment horizontal="center" vertical="center"/>
    </xf>
    <xf fontId="23863" applyFont="true" borderId="8" applyBorder="true" applyNumberFormat="true" numFmtId="2" fillId="22" applyFill="true">
      <alignment horizontal="center" vertical="center"/>
    </xf>
    <xf fontId="23864" applyFont="true" borderId="8" applyBorder="true" applyNumberFormat="true" numFmtId="2" fillId="22" applyFill="true">
      <alignment horizontal="center" vertical="center"/>
    </xf>
    <xf fontId="23865" applyFont="true" borderId="8" applyBorder="true" applyNumberFormat="true" numFmtId="2" fillId="22" applyFill="true">
      <alignment horizontal="center" vertical="center"/>
    </xf>
    <xf fontId="23866" applyFont="true" borderId="8" applyBorder="true" applyNumberFormat="true" numFmtId="2" fillId="22" applyFill="true">
      <alignment horizontal="center" vertical="center"/>
    </xf>
    <xf fontId="23867" applyFont="true" borderId="8" applyBorder="true" applyNumberFormat="true" numFmtId="2" fillId="22" applyFill="true">
      <alignment horizontal="center" vertical="center"/>
    </xf>
    <xf fontId="23868" applyFont="true" borderId="8" applyBorder="true" applyNumberFormat="true" numFmtId="2" fillId="22" applyFill="true">
      <alignment horizontal="center" vertical="center"/>
    </xf>
    <xf fontId="23869" applyFont="true" borderId="8" applyBorder="true" applyNumberFormat="true" numFmtId="2" fillId="22" applyFill="true">
      <alignment horizontal="center" vertical="center"/>
    </xf>
    <xf fontId="23870" applyFont="true" borderId="8" applyBorder="true" applyNumberFormat="true" numFmtId="2" fillId="22" applyFill="true">
      <alignment horizontal="center" vertical="center"/>
    </xf>
    <xf fontId="23871" applyFont="true" borderId="8" applyBorder="true" applyNumberFormat="true" numFmtId="165" fillId="19" applyFill="true">
      <alignment horizontal="left" vertical="center"/>
    </xf>
    <xf fontId="23872" applyFont="true" borderId="8" applyBorder="true" applyNumberFormat="true" numFmtId="165" fillId="22" applyFill="true">
      <alignment horizontal="center" vertical="center"/>
    </xf>
    <xf fontId="23873" applyFont="true" borderId="8" applyBorder="true" applyNumberFormat="true" numFmtId="166" fillId="22" applyFill="true">
      <alignment horizontal="center" vertical="center"/>
    </xf>
    <xf fontId="23874" applyFont="true" borderId="8" applyBorder="true" applyNumberFormat="true" numFmtId="1" fillId="22" applyFill="true">
      <alignment horizontal="center" vertical="center"/>
    </xf>
    <xf fontId="23875" applyFont="true" borderId="8" applyBorder="true" applyNumberFormat="true" numFmtId="1" fillId="22" applyFill="true">
      <alignment horizontal="center" vertical="center"/>
    </xf>
    <xf fontId="23876" applyFont="true" borderId="8" applyBorder="true" applyNumberFormat="true" numFmtId="1" fillId="22" applyFill="true">
      <alignment horizontal="center" vertical="center"/>
    </xf>
    <xf fontId="23877" applyFont="true" borderId="8" applyBorder="true" applyNumberFormat="true" numFmtId="1" fillId="22" applyFill="true">
      <alignment horizontal="center" vertical="center"/>
    </xf>
    <xf fontId="23878" applyFont="true" borderId="8" applyBorder="true" applyNumberFormat="true" numFmtId="1" fillId="22" applyFill="true">
      <alignment horizontal="center" vertical="center"/>
    </xf>
    <xf fontId="23879" applyFont="true" borderId="8" applyBorder="true" applyNumberFormat="true" numFmtId="1" fillId="22" applyFill="true">
      <alignment horizontal="center" vertical="center"/>
    </xf>
    <xf fontId="23880" applyFont="true" borderId="8" applyBorder="true" applyNumberFormat="true" numFmtId="1" fillId="22" applyFill="true">
      <alignment horizontal="center" vertical="center"/>
    </xf>
    <xf fontId="23881" applyFont="true" borderId="8" applyBorder="true" applyNumberFormat="true" numFmtId="165" fillId="22" applyFill="true">
      <alignment horizontal="center" vertical="center"/>
    </xf>
    <xf fontId="23882" applyFont="true" borderId="8" applyBorder="true" applyNumberFormat="true" numFmtId="165" fillId="22" applyFill="true">
      <alignment horizontal="center" vertical="center"/>
    </xf>
    <xf fontId="23883" applyFont="true" borderId="8" applyBorder="true" applyNumberFormat="true" numFmtId="1" fillId="22" applyFill="true">
      <alignment horizontal="center" vertical="center"/>
    </xf>
    <xf fontId="23884" applyFont="true" borderId="8" applyBorder="true" applyNumberFormat="true" numFmtId="1" fillId="22" applyFill="true">
      <alignment horizontal="center" vertical="center"/>
    </xf>
    <xf fontId="23885" applyFont="true" borderId="8" applyBorder="true" applyNumberFormat="true" numFmtId="1" fillId="22" applyFill="true">
      <alignment horizontal="center" vertical="center"/>
    </xf>
    <xf fontId="23886" applyFont="true" borderId="8" applyBorder="true" applyNumberFormat="true" numFmtId="167" fillId="22" applyFill="true">
      <alignment horizontal="center" vertical="center"/>
    </xf>
    <xf fontId="23887" applyFont="true" borderId="8" applyBorder="true" applyNumberFormat="true" numFmtId="1" fillId="22" applyFill="true">
      <alignment horizontal="center" vertical="center"/>
    </xf>
    <xf fontId="23888" applyFont="true" borderId="8" applyBorder="true" applyNumberFormat="true" numFmtId="167" fillId="22" applyFill="true">
      <alignment horizontal="center" vertical="center"/>
    </xf>
    <xf fontId="23889" applyFont="true" borderId="8" applyBorder="true" applyNumberFormat="true" numFmtId="1" fillId="22" applyFill="true">
      <alignment horizontal="center" vertical="center"/>
    </xf>
    <xf fontId="23890" applyFont="true" borderId="8" applyBorder="true" applyNumberFormat="true" numFmtId="167" fillId="22" applyFill="true">
      <alignment horizontal="center" vertical="center"/>
    </xf>
    <xf fontId="23891" applyFont="true" borderId="8" applyBorder="true" applyNumberFormat="true" numFmtId="1" fillId="22" applyFill="true">
      <alignment horizontal="center" vertical="center"/>
    </xf>
    <xf fontId="23892" applyFont="true" borderId="8" applyBorder="true" applyNumberFormat="true" numFmtId="167" fillId="22" applyFill="true">
      <alignment horizontal="center" vertical="center"/>
    </xf>
    <xf fontId="23893" applyFont="true" borderId="8" applyBorder="true" applyNumberFormat="true" numFmtId="167" fillId="22" applyFill="true">
      <alignment horizontal="center" vertical="center"/>
    </xf>
    <xf fontId="23894" applyFont="true" borderId="8" applyBorder="true" applyNumberFormat="true" numFmtId="1" fillId="22" applyFill="true">
      <alignment horizontal="center" vertical="center"/>
    </xf>
    <xf fontId="23895" applyFont="true" borderId="8" applyBorder="true" applyNumberFormat="true" numFmtId="1" fillId="22" applyFill="true">
      <alignment horizontal="center" vertical="center"/>
    </xf>
    <xf fontId="23896" applyFont="true" borderId="8" applyBorder="true" applyNumberFormat="true" numFmtId="1" fillId="22" applyFill="true">
      <alignment horizontal="center" vertical="center"/>
    </xf>
    <xf fontId="23897" applyFont="true" borderId="8" applyBorder="true" applyNumberFormat="true" numFmtId="167" fillId="22" applyFill="true">
      <alignment horizontal="center" vertical="center"/>
    </xf>
    <xf fontId="23898" applyFont="true" borderId="8" applyBorder="true" applyNumberFormat="true" numFmtId="166" fillId="22" applyFill="true">
      <alignment horizontal="center" vertical="center"/>
    </xf>
    <xf fontId="23899" applyFont="true" borderId="8" applyBorder="true" applyNumberFormat="true" numFmtId="166" fillId="22" applyFill="true">
      <alignment horizontal="center" vertical="center"/>
    </xf>
    <xf fontId="23900" applyFont="true" borderId="8" applyBorder="true" applyNumberFormat="true" numFmtId="1" fillId="22" applyFill="true">
      <alignment horizontal="center" vertical="center"/>
    </xf>
    <xf fontId="23901" applyFont="true" borderId="8" applyBorder="true" applyNumberFormat="true" numFmtId="1" fillId="22" applyFill="true">
      <alignment horizontal="center" vertical="center"/>
    </xf>
    <xf fontId="23902" applyFont="true" borderId="8" applyBorder="true" applyNumberFormat="true" numFmtId="1" fillId="22" applyFill="true">
      <alignment horizontal="center" vertical="center"/>
    </xf>
    <xf fontId="23903" applyFont="true" borderId="8" applyBorder="true" applyNumberFormat="true" numFmtId="167" fillId="22" applyFill="true">
      <alignment horizontal="center" vertical="center"/>
    </xf>
    <xf fontId="23904" applyFont="true" borderId="8" applyBorder="true" applyNumberFormat="true" numFmtId="1" fillId="22" applyFill="true">
      <alignment horizontal="center" vertical="center"/>
    </xf>
    <xf fontId="23905" applyFont="true" borderId="8" applyBorder="true" applyNumberFormat="true" numFmtId="167" fillId="22" applyFill="true">
      <alignment horizontal="center" vertical="center"/>
    </xf>
    <xf fontId="23906" applyFont="true" borderId="8" applyBorder="true" applyNumberFormat="true" numFmtId="1" fillId="22" applyFill="true">
      <alignment horizontal="center" vertical="center"/>
    </xf>
    <xf fontId="23907" applyFont="true" borderId="8" applyBorder="true" applyNumberFormat="true" numFmtId="1" fillId="22" applyFill="true">
      <alignment horizontal="center" vertical="center"/>
    </xf>
    <xf fontId="23908" applyFont="true" borderId="8" applyBorder="true" applyNumberFormat="true" numFmtId="1" fillId="22" applyFill="true">
      <alignment horizontal="center" vertical="center"/>
    </xf>
    <xf fontId="23909" applyFont="true" borderId="8" applyBorder="true" applyNumberFormat="true" numFmtId="1" fillId="22" applyFill="true">
      <alignment horizontal="center" vertical="center"/>
    </xf>
    <xf fontId="23910" applyFont="true" borderId="8" applyBorder="true" applyNumberFormat="true" numFmtId="167" fillId="22" applyFill="true">
      <alignment horizontal="center" vertical="center"/>
    </xf>
    <xf fontId="23911" applyFont="true" borderId="8" applyBorder="true" applyNumberFormat="true" numFmtId="1" fillId="22" applyFill="true">
      <alignment horizontal="center" vertical="center"/>
    </xf>
    <xf fontId="23912" applyFont="true" borderId="8" applyBorder="true" applyNumberFormat="true" numFmtId="167" fillId="22" applyFill="true">
      <alignment horizontal="center" vertical="center"/>
    </xf>
    <xf fontId="23913" applyFont="true" borderId="8" applyBorder="true" applyNumberFormat="true" numFmtId="1" fillId="22" applyFill="true">
      <alignment horizontal="center" vertical="center"/>
    </xf>
    <xf fontId="23914" applyFont="true" borderId="8" applyBorder="true" applyNumberFormat="true" numFmtId="167" fillId="22" applyFill="true">
      <alignment horizontal="center" vertical="center"/>
    </xf>
    <xf fontId="23915" applyFont="true" borderId="8" applyBorder="true" applyNumberFormat="true" numFmtId="2" fillId="22" applyFill="true">
      <alignment horizontal="center" vertical="center"/>
    </xf>
    <xf fontId="23916" applyFont="true" borderId="8" applyBorder="true" applyNumberFormat="true" numFmtId="2" fillId="22" applyFill="true">
      <alignment horizontal="center" vertical="center"/>
    </xf>
    <xf fontId="23917" applyFont="true" borderId="8" applyBorder="true" applyNumberFormat="true" numFmtId="2" fillId="22" applyFill="true">
      <alignment horizontal="center" vertical="center"/>
    </xf>
    <xf fontId="23918" applyFont="true" borderId="8" applyBorder="true" applyNumberFormat="true" numFmtId="2" fillId="22" applyFill="true">
      <alignment horizontal="center" vertical="center"/>
    </xf>
    <xf fontId="23919" applyFont="true" borderId="8" applyBorder="true" applyNumberFormat="true" numFmtId="2" fillId="22" applyFill="true">
      <alignment horizontal="center" vertical="center"/>
    </xf>
    <xf fontId="23920" applyFont="true" borderId="8" applyBorder="true" applyNumberFormat="true" numFmtId="2" fillId="22" applyFill="true">
      <alignment horizontal="center" vertical="center"/>
    </xf>
    <xf fontId="23921" applyFont="true" borderId="8" applyBorder="true" applyNumberFormat="true" numFmtId="2" fillId="22" applyFill="true">
      <alignment horizontal="center" vertical="center"/>
    </xf>
    <xf fontId="23922" applyFont="true" borderId="8" applyBorder="true" applyNumberFormat="true" numFmtId="2" fillId="22" applyFill="true">
      <alignment horizontal="center" vertical="center"/>
    </xf>
    <xf fontId="23923" applyFont="true" borderId="8" applyBorder="true" applyNumberFormat="true" numFmtId="2" fillId="22" applyFill="true">
      <alignment horizontal="center" vertical="center"/>
    </xf>
    <xf fontId="23924" applyFont="true" borderId="8" applyBorder="true" applyNumberFormat="true" numFmtId="2" fillId="22" applyFill="true">
      <alignment horizontal="center" vertical="center"/>
    </xf>
    <xf fontId="23925" applyFont="true" borderId="8" applyBorder="true" applyNumberFormat="true" numFmtId="2" fillId="22" applyFill="true">
      <alignment horizontal="center" vertical="center"/>
    </xf>
    <xf fontId="23926" applyFont="true" borderId="8" applyBorder="true" applyNumberFormat="true" numFmtId="2" fillId="22" applyFill="true">
      <alignment horizontal="center" vertical="center"/>
    </xf>
    <xf fontId="23927" applyFont="true" borderId="8" applyBorder="true" applyNumberFormat="true" numFmtId="2" fillId="22" applyFill="true">
      <alignment horizontal="center" vertical="center"/>
    </xf>
    <xf fontId="23928" applyFont="true" borderId="8" applyBorder="true" applyNumberFormat="true" numFmtId="2" fillId="22" applyFill="true">
      <alignment horizontal="center" vertical="center"/>
    </xf>
    <xf fontId="23929" applyFont="true" borderId="8" applyBorder="true" applyNumberFormat="true" numFmtId="2" fillId="22" applyFill="true">
      <alignment horizontal="center" vertical="center"/>
    </xf>
    <xf fontId="23930" applyFont="true" borderId="8" applyBorder="true" applyNumberFormat="true" numFmtId="2" fillId="22" applyFill="true">
      <alignment horizontal="center" vertical="center"/>
    </xf>
    <xf fontId="23931" applyFont="true" borderId="8" applyBorder="true" applyNumberFormat="true" numFmtId="2" fillId="22" applyFill="true">
      <alignment horizontal="center" vertical="center"/>
    </xf>
    <xf fontId="23932" applyFont="true" borderId="8" applyBorder="true" applyNumberFormat="true" numFmtId="2" fillId="22" applyFill="true">
      <alignment horizontal="center" vertical="center"/>
    </xf>
    <xf fontId="23933" applyFont="true" borderId="8" applyBorder="true" applyNumberFormat="true" numFmtId="2" fillId="22" applyFill="true">
      <alignment horizontal="center" vertical="center"/>
    </xf>
    <xf fontId="23934" applyFont="true" borderId="8" applyBorder="true" applyNumberFormat="true" numFmtId="2" fillId="22" applyFill="true">
      <alignment horizontal="center" vertical="center"/>
    </xf>
    <xf fontId="23935" applyFont="true" borderId="8" applyBorder="true" applyNumberFormat="true" numFmtId="2" fillId="22" applyFill="true">
      <alignment horizontal="center" vertical="center"/>
    </xf>
    <xf fontId="23936" applyFont="true" borderId="8" applyBorder="true" applyNumberFormat="true" numFmtId="2" fillId="22" applyFill="true">
      <alignment horizontal="center" vertical="center"/>
    </xf>
    <xf fontId="23937" applyFont="true" borderId="8" applyBorder="true" applyNumberFormat="true" numFmtId="2" fillId="22" applyFill="true">
      <alignment horizontal="center" vertical="center"/>
    </xf>
    <xf fontId="23938" applyFont="true" borderId="8" applyBorder="true" applyNumberFormat="true" numFmtId="2" fillId="22" applyFill="true">
      <alignment horizontal="center" vertical="center"/>
    </xf>
    <xf fontId="23939" applyFont="true" borderId="8" applyBorder="true" applyNumberFormat="true" numFmtId="2" fillId="22" applyFill="true">
      <alignment horizontal="center" vertical="center"/>
    </xf>
    <xf fontId="23940" applyFont="true" borderId="8" applyBorder="true" applyNumberFormat="true" numFmtId="2" fillId="22" applyFill="true">
      <alignment horizontal="center" vertical="center"/>
    </xf>
    <xf fontId="23941" applyFont="true" borderId="8" applyBorder="true" applyNumberFormat="true" numFmtId="2" fillId="22" applyFill="true">
      <alignment horizontal="center" vertical="center"/>
    </xf>
    <xf fontId="23942" applyFont="true" borderId="8" applyBorder="true" applyNumberFormat="true" numFmtId="2" fillId="22" applyFill="true">
      <alignment horizontal="center" vertical="center"/>
    </xf>
    <xf fontId="23943" applyFont="true" borderId="8" applyBorder="true" applyNumberFormat="true" numFmtId="2" fillId="22" applyFill="true">
      <alignment horizontal="center" vertical="center"/>
    </xf>
    <xf fontId="23944" applyFont="true" borderId="8" applyBorder="true" applyNumberFormat="true" numFmtId="2" fillId="22" applyFill="true">
      <alignment horizontal="center" vertical="center"/>
    </xf>
    <xf fontId="23945" applyFont="true" borderId="8" applyBorder="true" applyNumberFormat="true" numFmtId="2" fillId="22" applyFill="true">
      <alignment horizontal="center" vertical="center"/>
    </xf>
    <xf fontId="23946" applyFont="true" borderId="8" applyBorder="true" applyNumberFormat="true" numFmtId="2" fillId="22" applyFill="true">
      <alignment horizontal="center" vertical="center"/>
    </xf>
    <xf fontId="23947" applyFont="true" borderId="8" applyBorder="true" applyNumberFormat="true" numFmtId="2" fillId="22" applyFill="true">
      <alignment horizontal="center" vertical="center"/>
    </xf>
    <xf fontId="23948" applyFont="true" borderId="8" applyBorder="true" applyNumberFormat="true" numFmtId="2" fillId="22" applyFill="true">
      <alignment horizontal="center" vertical="center"/>
    </xf>
    <xf fontId="23949" applyFont="true" borderId="8" applyBorder="true" applyNumberFormat="true" numFmtId="165" fillId="19" applyFill="true">
      <alignment horizontal="left" vertical="center"/>
    </xf>
    <xf fontId="23950" applyFont="true" borderId="8" applyBorder="true" applyNumberFormat="true" numFmtId="165" fillId="22" applyFill="true">
      <alignment horizontal="center" vertical="center"/>
    </xf>
    <xf fontId="23951" applyFont="true" borderId="8" applyBorder="true" applyNumberFormat="true" numFmtId="166" fillId="22" applyFill="true">
      <alignment horizontal="center" vertical="center"/>
    </xf>
    <xf fontId="23952" applyFont="true" borderId="8" applyBorder="true" applyNumberFormat="true" numFmtId="1" fillId="22" applyFill="true">
      <alignment horizontal="center" vertical="center"/>
    </xf>
    <xf fontId="23953" applyFont="true" borderId="8" applyBorder="true" applyNumberFormat="true" numFmtId="1" fillId="22" applyFill="true">
      <alignment horizontal="center" vertical="center"/>
    </xf>
    <xf fontId="23954" applyFont="true" borderId="8" applyBorder="true" applyNumberFormat="true" numFmtId="1" fillId="22" applyFill="true">
      <alignment horizontal="center" vertical="center"/>
    </xf>
    <xf fontId="23955" applyFont="true" borderId="8" applyBorder="true" applyNumberFormat="true" numFmtId="1" fillId="22" applyFill="true">
      <alignment horizontal="center" vertical="center"/>
    </xf>
    <xf fontId="23956" applyFont="true" borderId="8" applyBorder="true" applyNumberFormat="true" numFmtId="1" fillId="22" applyFill="true">
      <alignment horizontal="center" vertical="center"/>
    </xf>
    <xf fontId="23957" applyFont="true" borderId="8" applyBorder="true" applyNumberFormat="true" numFmtId="1" fillId="22" applyFill="true">
      <alignment horizontal="center" vertical="center"/>
    </xf>
    <xf fontId="23958" applyFont="true" borderId="8" applyBorder="true" applyNumberFormat="true" numFmtId="1" fillId="22" applyFill="true">
      <alignment horizontal="center" vertical="center"/>
    </xf>
    <xf fontId="23959" applyFont="true" borderId="8" applyBorder="true" applyNumberFormat="true" numFmtId="165" fillId="22" applyFill="true">
      <alignment horizontal="center" vertical="center"/>
    </xf>
    <xf fontId="23960" applyFont="true" borderId="8" applyBorder="true" applyNumberFormat="true" numFmtId="165" fillId="22" applyFill="true">
      <alignment horizontal="center" vertical="center"/>
    </xf>
    <xf fontId="23961" applyFont="true" borderId="8" applyBorder="true" applyNumberFormat="true" numFmtId="1" fillId="22" applyFill="true">
      <alignment horizontal="center" vertical="center"/>
    </xf>
    <xf fontId="23962" applyFont="true" borderId="8" applyBorder="true" applyNumberFormat="true" numFmtId="1" fillId="22" applyFill="true">
      <alignment horizontal="center" vertical="center"/>
    </xf>
    <xf fontId="23963" applyFont="true" borderId="8" applyBorder="true" applyNumberFormat="true" numFmtId="1" fillId="22" applyFill="true">
      <alignment horizontal="center" vertical="center"/>
    </xf>
    <xf fontId="23964" applyFont="true" borderId="8" applyBorder="true" applyNumberFormat="true" numFmtId="167" fillId="22" applyFill="true">
      <alignment horizontal="center" vertical="center"/>
    </xf>
    <xf fontId="23965" applyFont="true" borderId="8" applyBorder="true" applyNumberFormat="true" numFmtId="1" fillId="22" applyFill="true">
      <alignment horizontal="center" vertical="center"/>
    </xf>
    <xf fontId="23966" applyFont="true" borderId="8" applyBorder="true" applyNumberFormat="true" numFmtId="167" fillId="22" applyFill="true">
      <alignment horizontal="center" vertical="center"/>
    </xf>
    <xf fontId="23967" applyFont="true" borderId="8" applyBorder="true" applyNumberFormat="true" numFmtId="1" fillId="22" applyFill="true">
      <alignment horizontal="center" vertical="center"/>
    </xf>
    <xf fontId="23968" applyFont="true" borderId="8" applyBorder="true" applyNumberFormat="true" numFmtId="167" fillId="22" applyFill="true">
      <alignment horizontal="center" vertical="center"/>
    </xf>
    <xf fontId="23969" applyFont="true" borderId="8" applyBorder="true" applyNumberFormat="true" numFmtId="1" fillId="22" applyFill="true">
      <alignment horizontal="center" vertical="center"/>
    </xf>
    <xf fontId="23970" applyFont="true" borderId="8" applyBorder="true" applyNumberFormat="true" numFmtId="167" fillId="22" applyFill="true">
      <alignment horizontal="center" vertical="center"/>
    </xf>
    <xf fontId="23971" applyFont="true" borderId="8" applyBorder="true" applyNumberFormat="true" numFmtId="167" fillId="22" applyFill="true">
      <alignment horizontal="center" vertical="center"/>
    </xf>
    <xf fontId="23972" applyFont="true" borderId="8" applyBorder="true" applyNumberFormat="true" numFmtId="1" fillId="22" applyFill="true">
      <alignment horizontal="center" vertical="center"/>
    </xf>
    <xf fontId="23973" applyFont="true" borderId="8" applyBorder="true" applyNumberFormat="true" numFmtId="1" fillId="22" applyFill="true">
      <alignment horizontal="center" vertical="center"/>
    </xf>
    <xf fontId="23974" applyFont="true" borderId="8" applyBorder="true" applyNumberFormat="true" numFmtId="1" fillId="22" applyFill="true">
      <alignment horizontal="center" vertical="center"/>
    </xf>
    <xf fontId="23975" applyFont="true" borderId="8" applyBorder="true" applyNumberFormat="true" numFmtId="167" fillId="22" applyFill="true">
      <alignment horizontal="center" vertical="center"/>
    </xf>
    <xf fontId="23976" applyFont="true" borderId="8" applyBorder="true" applyNumberFormat="true" numFmtId="166" fillId="22" applyFill="true">
      <alignment horizontal="center" vertical="center"/>
    </xf>
    <xf fontId="23977" applyFont="true" borderId="8" applyBorder="true" applyNumberFormat="true" numFmtId="166" fillId="22" applyFill="true">
      <alignment horizontal="center" vertical="center"/>
    </xf>
    <xf fontId="23978" applyFont="true" borderId="8" applyBorder="true" applyNumberFormat="true" numFmtId="1" fillId="22" applyFill="true">
      <alignment horizontal="center" vertical="center"/>
    </xf>
    <xf fontId="23979" applyFont="true" borderId="8" applyBorder="true" applyNumberFormat="true" numFmtId="1" fillId="22" applyFill="true">
      <alignment horizontal="center" vertical="center"/>
    </xf>
    <xf fontId="23980" applyFont="true" borderId="8" applyBorder="true" applyNumberFormat="true" numFmtId="1" fillId="22" applyFill="true">
      <alignment horizontal="center" vertical="center"/>
    </xf>
    <xf fontId="23981" applyFont="true" borderId="8" applyBorder="true" applyNumberFormat="true" numFmtId="167" fillId="22" applyFill="true">
      <alignment horizontal="center" vertical="center"/>
    </xf>
    <xf fontId="23982" applyFont="true" borderId="8" applyBorder="true" applyNumberFormat="true" numFmtId="1" fillId="22" applyFill="true">
      <alignment horizontal="center" vertical="center"/>
    </xf>
    <xf fontId="23983" applyFont="true" borderId="8" applyBorder="true" applyNumberFormat="true" numFmtId="167" fillId="22" applyFill="true">
      <alignment horizontal="center" vertical="center"/>
    </xf>
    <xf fontId="23984" applyFont="true" borderId="8" applyBorder="true" applyNumberFormat="true" numFmtId="1" fillId="22" applyFill="true">
      <alignment horizontal="center" vertical="center"/>
    </xf>
    <xf fontId="23985" applyFont="true" borderId="8" applyBorder="true" applyNumberFormat="true" numFmtId="1" fillId="22" applyFill="true">
      <alignment horizontal="center" vertical="center"/>
    </xf>
    <xf fontId="23986" applyFont="true" borderId="8" applyBorder="true" applyNumberFormat="true" numFmtId="1" fillId="22" applyFill="true">
      <alignment horizontal="center" vertical="center"/>
    </xf>
    <xf fontId="23987" applyFont="true" borderId="8" applyBorder="true" applyNumberFormat="true" numFmtId="1" fillId="22" applyFill="true">
      <alignment horizontal="center" vertical="center"/>
    </xf>
    <xf fontId="23988" applyFont="true" borderId="8" applyBorder="true" applyNumberFormat="true" numFmtId="167" fillId="22" applyFill="true">
      <alignment horizontal="center" vertical="center"/>
    </xf>
    <xf fontId="23989" applyFont="true" borderId="8" applyBorder="true" applyNumberFormat="true" numFmtId="1" fillId="22" applyFill="true">
      <alignment horizontal="center" vertical="center"/>
    </xf>
    <xf fontId="23990" applyFont="true" borderId="8" applyBorder="true" applyNumberFormat="true" numFmtId="167" fillId="22" applyFill="true">
      <alignment horizontal="center" vertical="center"/>
    </xf>
    <xf fontId="23991" applyFont="true" borderId="8" applyBorder="true" applyNumberFormat="true" numFmtId="1" fillId="22" applyFill="true">
      <alignment horizontal="center" vertical="center"/>
    </xf>
    <xf fontId="23992" applyFont="true" borderId="8" applyBorder="true" applyNumberFormat="true" numFmtId="167" fillId="22" applyFill="true">
      <alignment horizontal="center" vertical="center"/>
    </xf>
    <xf fontId="23993" applyFont="true" borderId="8" applyBorder="true" applyNumberFormat="true" numFmtId="2" fillId="22" applyFill="true">
      <alignment horizontal="center" vertical="center"/>
    </xf>
    <xf fontId="23994" applyFont="true" borderId="8" applyBorder="true" applyNumberFormat="true" numFmtId="2" fillId="22" applyFill="true">
      <alignment horizontal="center" vertical="center"/>
    </xf>
    <xf fontId="23995" applyFont="true" borderId="8" applyBorder="true" applyNumberFormat="true" numFmtId="2" fillId="22" applyFill="true">
      <alignment horizontal="center" vertical="center"/>
    </xf>
    <xf fontId="23996" applyFont="true" borderId="8" applyBorder="true" applyNumberFormat="true" numFmtId="2" fillId="22" applyFill="true">
      <alignment horizontal="center" vertical="center"/>
    </xf>
    <xf fontId="23997" applyFont="true" borderId="8" applyBorder="true" applyNumberFormat="true" numFmtId="2" fillId="22" applyFill="true">
      <alignment horizontal="center" vertical="center"/>
    </xf>
    <xf fontId="23998" applyFont="true" borderId="8" applyBorder="true" applyNumberFormat="true" numFmtId="2" fillId="22" applyFill="true">
      <alignment horizontal="center" vertical="center"/>
    </xf>
    <xf fontId="23999" applyFont="true" borderId="8" applyBorder="true" applyNumberFormat="true" numFmtId="2" fillId="22" applyFill="true">
      <alignment horizontal="center" vertical="center"/>
    </xf>
    <xf fontId="24000" applyFont="true" borderId="8" applyBorder="true" applyNumberFormat="true" numFmtId="2" fillId="22" applyFill="true">
      <alignment horizontal="center" vertical="center"/>
    </xf>
    <xf fontId="24001" applyFont="true" borderId="8" applyBorder="true" applyNumberFormat="true" numFmtId="2" fillId="22" applyFill="true">
      <alignment horizontal="center" vertical="center"/>
    </xf>
    <xf fontId="24002" applyFont="true" borderId="8" applyBorder="true" applyNumberFormat="true" numFmtId="2" fillId="22" applyFill="true">
      <alignment horizontal="center" vertical="center"/>
    </xf>
    <xf fontId="24003" applyFont="true" borderId="8" applyBorder="true" applyNumberFormat="true" numFmtId="2" fillId="22" applyFill="true">
      <alignment horizontal="center" vertical="center"/>
    </xf>
    <xf fontId="24004" applyFont="true" borderId="8" applyBorder="true" applyNumberFormat="true" numFmtId="2" fillId="22" applyFill="true">
      <alignment horizontal="center" vertical="center"/>
    </xf>
    <xf fontId="24005" applyFont="true" borderId="8" applyBorder="true" applyNumberFormat="true" numFmtId="2" fillId="22" applyFill="true">
      <alignment horizontal="center" vertical="center"/>
    </xf>
    <xf fontId="24006" applyFont="true" borderId="8" applyBorder="true" applyNumberFormat="true" numFmtId="2" fillId="22" applyFill="true">
      <alignment horizontal="center" vertical="center"/>
    </xf>
    <xf fontId="24007" applyFont="true" borderId="8" applyBorder="true" applyNumberFormat="true" numFmtId="2" fillId="22" applyFill="true">
      <alignment horizontal="center" vertical="center"/>
    </xf>
    <xf fontId="24008" applyFont="true" borderId="8" applyBorder="true" applyNumberFormat="true" numFmtId="2" fillId="22" applyFill="true">
      <alignment horizontal="center" vertical="center"/>
    </xf>
    <xf fontId="24009" applyFont="true" borderId="8" applyBorder="true" applyNumberFormat="true" numFmtId="2" fillId="22" applyFill="true">
      <alignment horizontal="center" vertical="center"/>
    </xf>
    <xf fontId="24010" applyFont="true" borderId="8" applyBorder="true" applyNumberFormat="true" numFmtId="2" fillId="22" applyFill="true">
      <alignment horizontal="center" vertical="center"/>
    </xf>
    <xf fontId="24011" applyFont="true" borderId="8" applyBorder="true" applyNumberFormat="true" numFmtId="2" fillId="22" applyFill="true">
      <alignment horizontal="center" vertical="center"/>
    </xf>
    <xf fontId="24012" applyFont="true" borderId="8" applyBorder="true" applyNumberFormat="true" numFmtId="2" fillId="22" applyFill="true">
      <alignment horizontal="center" vertical="center"/>
    </xf>
    <xf fontId="24013" applyFont="true" borderId="8" applyBorder="true" applyNumberFormat="true" numFmtId="2" fillId="22" applyFill="true">
      <alignment horizontal="center" vertical="center"/>
    </xf>
    <xf fontId="24014" applyFont="true" borderId="8" applyBorder="true" applyNumberFormat="true" numFmtId="2" fillId="22" applyFill="true">
      <alignment horizontal="center" vertical="center"/>
    </xf>
    <xf fontId="24015" applyFont="true" borderId="8" applyBorder="true" applyNumberFormat="true" numFmtId="2" fillId="22" applyFill="true">
      <alignment horizontal="center" vertical="center"/>
    </xf>
    <xf fontId="24016" applyFont="true" borderId="8" applyBorder="true" applyNumberFormat="true" numFmtId="2" fillId="22" applyFill="true">
      <alignment horizontal="center" vertical="center"/>
    </xf>
    <xf fontId="24017" applyFont="true" borderId="8" applyBorder="true" applyNumberFormat="true" numFmtId="2" fillId="22" applyFill="true">
      <alignment horizontal="center" vertical="center"/>
    </xf>
    <xf fontId="24018" applyFont="true" borderId="8" applyBorder="true" applyNumberFormat="true" numFmtId="2" fillId="22" applyFill="true">
      <alignment horizontal="center" vertical="center"/>
    </xf>
    <xf fontId="24019" applyFont="true" borderId="8" applyBorder="true" applyNumberFormat="true" numFmtId="2" fillId="22" applyFill="true">
      <alignment horizontal="center" vertical="center"/>
    </xf>
    <xf fontId="24020" applyFont="true" borderId="8" applyBorder="true" applyNumberFormat="true" numFmtId="2" fillId="22" applyFill="true">
      <alignment horizontal="center" vertical="center"/>
    </xf>
    <xf fontId="24021" applyFont="true" borderId="8" applyBorder="true" applyNumberFormat="true" numFmtId="2" fillId="22" applyFill="true">
      <alignment horizontal="center" vertical="center"/>
    </xf>
    <xf fontId="24022" applyFont="true" borderId="8" applyBorder="true" applyNumberFormat="true" numFmtId="2" fillId="22" applyFill="true">
      <alignment horizontal="center" vertical="center"/>
    </xf>
    <xf fontId="24023" applyFont="true" borderId="8" applyBorder="true" applyNumberFormat="true" numFmtId="2" fillId="22" applyFill="true">
      <alignment horizontal="center" vertical="center"/>
    </xf>
    <xf fontId="24024" applyFont="true" borderId="8" applyBorder="true" applyNumberFormat="true" numFmtId="2" fillId="22" applyFill="true">
      <alignment horizontal="center" vertical="center"/>
    </xf>
    <xf fontId="24025" applyFont="true" borderId="8" applyBorder="true" applyNumberFormat="true" numFmtId="2" fillId="22" applyFill="true">
      <alignment horizontal="center" vertical="center"/>
    </xf>
    <xf fontId="24026" applyFont="true" borderId="8" applyBorder="true" applyNumberFormat="true" numFmtId="2" fillId="22" applyFill="true">
      <alignment horizontal="center" vertical="center"/>
    </xf>
    <xf fontId="24027" applyFont="true" borderId="8" applyBorder="true" applyNumberFormat="true" numFmtId="165" fillId="19" applyFill="true">
      <alignment horizontal="left" vertical="center"/>
    </xf>
    <xf fontId="24028" applyFont="true" borderId="8" applyBorder="true" applyNumberFormat="true" numFmtId="165" fillId="22" applyFill="true">
      <alignment horizontal="center" vertical="center"/>
    </xf>
    <xf fontId="24029" applyFont="true" borderId="8" applyBorder="true" applyNumberFormat="true" numFmtId="166" fillId="22" applyFill="true">
      <alignment horizontal="center" vertical="center"/>
    </xf>
    <xf fontId="24030" applyFont="true" borderId="8" applyBorder="true" applyNumberFormat="true" numFmtId="1" fillId="22" applyFill="true">
      <alignment horizontal="center" vertical="center"/>
    </xf>
    <xf fontId="24031" applyFont="true" borderId="8" applyBorder="true" applyNumberFormat="true" numFmtId="1" fillId="22" applyFill="true">
      <alignment horizontal="center" vertical="center"/>
    </xf>
    <xf fontId="24032" applyFont="true" borderId="8" applyBorder="true" applyNumberFormat="true" numFmtId="1" fillId="22" applyFill="true">
      <alignment horizontal="center" vertical="center"/>
    </xf>
    <xf fontId="24033" applyFont="true" borderId="8" applyBorder="true" applyNumberFormat="true" numFmtId="1" fillId="22" applyFill="true">
      <alignment horizontal="center" vertical="center"/>
    </xf>
    <xf fontId="24034" applyFont="true" borderId="8" applyBorder="true" applyNumberFormat="true" numFmtId="1" fillId="22" applyFill="true">
      <alignment horizontal="center" vertical="center"/>
    </xf>
    <xf fontId="24035" applyFont="true" borderId="8" applyBorder="true" applyNumberFormat="true" numFmtId="1" fillId="22" applyFill="true">
      <alignment horizontal="center" vertical="center"/>
    </xf>
    <xf fontId="24036" applyFont="true" borderId="8" applyBorder="true" applyNumberFormat="true" numFmtId="1" fillId="22" applyFill="true">
      <alignment horizontal="center" vertical="center"/>
    </xf>
    <xf fontId="24037" applyFont="true" borderId="8" applyBorder="true" applyNumberFormat="true" numFmtId="165" fillId="22" applyFill="true">
      <alignment horizontal="center" vertical="center"/>
    </xf>
    <xf fontId="24038" applyFont="true" borderId="8" applyBorder="true" applyNumberFormat="true" numFmtId="165" fillId="22" applyFill="true">
      <alignment horizontal="center" vertical="center"/>
    </xf>
    <xf fontId="24039" applyFont="true" borderId="8" applyBorder="true" applyNumberFormat="true" numFmtId="1" fillId="22" applyFill="true">
      <alignment horizontal="center" vertical="center"/>
    </xf>
    <xf fontId="24040" applyFont="true" borderId="8" applyBorder="true" applyNumberFormat="true" numFmtId="1" fillId="22" applyFill="true">
      <alignment horizontal="center" vertical="center"/>
    </xf>
    <xf fontId="24041" applyFont="true" borderId="8" applyBorder="true" applyNumberFormat="true" numFmtId="1" fillId="22" applyFill="true">
      <alignment horizontal="center" vertical="center"/>
    </xf>
    <xf fontId="24042" applyFont="true" borderId="8" applyBorder="true" applyNumberFormat="true" numFmtId="167" fillId="22" applyFill="true">
      <alignment horizontal="center" vertical="center"/>
    </xf>
    <xf fontId="24043" applyFont="true" borderId="8" applyBorder="true" applyNumberFormat="true" numFmtId="1" fillId="22" applyFill="true">
      <alignment horizontal="center" vertical="center"/>
    </xf>
    <xf fontId="24044" applyFont="true" borderId="8" applyBorder="true" applyNumberFormat="true" numFmtId="167" fillId="22" applyFill="true">
      <alignment horizontal="center" vertical="center"/>
    </xf>
    <xf fontId="24045" applyFont="true" borderId="8" applyBorder="true" applyNumberFormat="true" numFmtId="1" fillId="22" applyFill="true">
      <alignment horizontal="center" vertical="center"/>
    </xf>
    <xf fontId="24046" applyFont="true" borderId="8" applyBorder="true" applyNumberFormat="true" numFmtId="167" fillId="22" applyFill="true">
      <alignment horizontal="center" vertical="center"/>
    </xf>
    <xf fontId="24047" applyFont="true" borderId="8" applyBorder="true" applyNumberFormat="true" numFmtId="1" fillId="22" applyFill="true">
      <alignment horizontal="center" vertical="center"/>
    </xf>
    <xf fontId="24048" applyFont="true" borderId="8" applyBorder="true" applyNumberFormat="true" numFmtId="167" fillId="22" applyFill="true">
      <alignment horizontal="center" vertical="center"/>
    </xf>
    <xf fontId="24049" applyFont="true" borderId="8" applyBorder="true" applyNumberFormat="true" numFmtId="167" fillId="22" applyFill="true">
      <alignment horizontal="center" vertical="center"/>
    </xf>
    <xf fontId="24050" applyFont="true" borderId="8" applyBorder="true" applyNumberFormat="true" numFmtId="1" fillId="22" applyFill="true">
      <alignment horizontal="center" vertical="center"/>
    </xf>
    <xf fontId="24051" applyFont="true" borderId="8" applyBorder="true" applyNumberFormat="true" numFmtId="1" fillId="22" applyFill="true">
      <alignment horizontal="center" vertical="center"/>
    </xf>
    <xf fontId="24052" applyFont="true" borderId="8" applyBorder="true" applyNumberFormat="true" numFmtId="1" fillId="22" applyFill="true">
      <alignment horizontal="center" vertical="center"/>
    </xf>
    <xf fontId="24053" applyFont="true" borderId="8" applyBorder="true" applyNumberFormat="true" numFmtId="167" fillId="22" applyFill="true">
      <alignment horizontal="center" vertical="center"/>
    </xf>
    <xf fontId="24054" applyFont="true" borderId="8" applyBorder="true" applyNumberFormat="true" numFmtId="166" fillId="22" applyFill="true">
      <alignment horizontal="center" vertical="center"/>
    </xf>
    <xf fontId="24055" applyFont="true" borderId="8" applyBorder="true" applyNumberFormat="true" numFmtId="166" fillId="22" applyFill="true">
      <alignment horizontal="center" vertical="center"/>
    </xf>
    <xf fontId="24056" applyFont="true" borderId="8" applyBorder="true" applyNumberFormat="true" numFmtId="1" fillId="22" applyFill="true">
      <alignment horizontal="center" vertical="center"/>
    </xf>
    <xf fontId="24057" applyFont="true" borderId="8" applyBorder="true" applyNumberFormat="true" numFmtId="1" fillId="22" applyFill="true">
      <alignment horizontal="center" vertical="center"/>
    </xf>
    <xf fontId="24058" applyFont="true" borderId="8" applyBorder="true" applyNumberFormat="true" numFmtId="1" fillId="22" applyFill="true">
      <alignment horizontal="center" vertical="center"/>
    </xf>
    <xf fontId="24059" applyFont="true" borderId="8" applyBorder="true" applyNumberFormat="true" numFmtId="167" fillId="22" applyFill="true">
      <alignment horizontal="center" vertical="center"/>
    </xf>
    <xf fontId="24060" applyFont="true" borderId="8" applyBorder="true" applyNumberFormat="true" numFmtId="1" fillId="22" applyFill="true">
      <alignment horizontal="center" vertical="center"/>
    </xf>
    <xf fontId="24061" applyFont="true" borderId="8" applyBorder="true" applyNumberFormat="true" numFmtId="167" fillId="22" applyFill="true">
      <alignment horizontal="center" vertical="center"/>
    </xf>
    <xf fontId="24062" applyFont="true" borderId="8" applyBorder="true" applyNumberFormat="true" numFmtId="1" fillId="22" applyFill="true">
      <alignment horizontal="center" vertical="center"/>
    </xf>
    <xf fontId="24063" applyFont="true" borderId="8" applyBorder="true" applyNumberFormat="true" numFmtId="1" fillId="22" applyFill="true">
      <alignment horizontal="center" vertical="center"/>
    </xf>
    <xf fontId="24064" applyFont="true" borderId="8" applyBorder="true" applyNumberFormat="true" numFmtId="1" fillId="22" applyFill="true">
      <alignment horizontal="center" vertical="center"/>
    </xf>
    <xf fontId="24065" applyFont="true" borderId="8" applyBorder="true" applyNumberFormat="true" numFmtId="1" fillId="22" applyFill="true">
      <alignment horizontal="center" vertical="center"/>
    </xf>
    <xf fontId="24066" applyFont="true" borderId="8" applyBorder="true" applyNumberFormat="true" numFmtId="167" fillId="22" applyFill="true">
      <alignment horizontal="center" vertical="center"/>
    </xf>
    <xf fontId="24067" applyFont="true" borderId="8" applyBorder="true" applyNumberFormat="true" numFmtId="1" fillId="22" applyFill="true">
      <alignment horizontal="center" vertical="center"/>
    </xf>
    <xf fontId="24068" applyFont="true" borderId="8" applyBorder="true" applyNumberFormat="true" numFmtId="167" fillId="22" applyFill="true">
      <alignment horizontal="center" vertical="center"/>
    </xf>
    <xf fontId="24069" applyFont="true" borderId="8" applyBorder="true" applyNumberFormat="true" numFmtId="1" fillId="22" applyFill="true">
      <alignment horizontal="center" vertical="center"/>
    </xf>
    <xf fontId="24070" applyFont="true" borderId="8" applyBorder="true" applyNumberFormat="true" numFmtId="167" fillId="22" applyFill="true">
      <alignment horizontal="center" vertical="center"/>
    </xf>
    <xf fontId="24071" applyFont="true" borderId="8" applyBorder="true" applyNumberFormat="true" numFmtId="2" fillId="22" applyFill="true">
      <alignment horizontal="center" vertical="center"/>
    </xf>
    <xf fontId="24072" applyFont="true" borderId="8" applyBorder="true" applyNumberFormat="true" numFmtId="2" fillId="22" applyFill="true">
      <alignment horizontal="center" vertical="center"/>
    </xf>
    <xf fontId="24073" applyFont="true" borderId="8" applyBorder="true" applyNumberFormat="true" numFmtId="2" fillId="22" applyFill="true">
      <alignment horizontal="center" vertical="center"/>
    </xf>
    <xf fontId="24074" applyFont="true" borderId="8" applyBorder="true" applyNumberFormat="true" numFmtId="2" fillId="22" applyFill="true">
      <alignment horizontal="center" vertical="center"/>
    </xf>
    <xf fontId="24075" applyFont="true" borderId="8" applyBorder="true" applyNumberFormat="true" numFmtId="2" fillId="22" applyFill="true">
      <alignment horizontal="center" vertical="center"/>
    </xf>
    <xf fontId="24076" applyFont="true" borderId="8" applyBorder="true" applyNumberFormat="true" numFmtId="2" fillId="22" applyFill="true">
      <alignment horizontal="center" vertical="center"/>
    </xf>
    <xf fontId="24077" applyFont="true" borderId="8" applyBorder="true" applyNumberFormat="true" numFmtId="2" fillId="22" applyFill="true">
      <alignment horizontal="center" vertical="center"/>
    </xf>
    <xf fontId="24078" applyFont="true" borderId="8" applyBorder="true" applyNumberFormat="true" numFmtId="2" fillId="22" applyFill="true">
      <alignment horizontal="center" vertical="center"/>
    </xf>
    <xf fontId="24079" applyFont="true" borderId="8" applyBorder="true" applyNumberFormat="true" numFmtId="2" fillId="22" applyFill="true">
      <alignment horizontal="center" vertical="center"/>
    </xf>
    <xf fontId="24080" applyFont="true" borderId="8" applyBorder="true" applyNumberFormat="true" numFmtId="2" fillId="22" applyFill="true">
      <alignment horizontal="center" vertical="center"/>
    </xf>
    <xf fontId="24081" applyFont="true" borderId="8" applyBorder="true" applyNumberFormat="true" numFmtId="2" fillId="22" applyFill="true">
      <alignment horizontal="center" vertical="center"/>
    </xf>
    <xf fontId="24082" applyFont="true" borderId="8" applyBorder="true" applyNumberFormat="true" numFmtId="2" fillId="22" applyFill="true">
      <alignment horizontal="center" vertical="center"/>
    </xf>
    <xf fontId="24083" applyFont="true" borderId="8" applyBorder="true" applyNumberFormat="true" numFmtId="2" fillId="22" applyFill="true">
      <alignment horizontal="center" vertical="center"/>
    </xf>
    <xf fontId="24084" applyFont="true" borderId="8" applyBorder="true" applyNumberFormat="true" numFmtId="2" fillId="22" applyFill="true">
      <alignment horizontal="center" vertical="center"/>
    </xf>
    <xf fontId="24085" applyFont="true" borderId="8" applyBorder="true" applyNumberFormat="true" numFmtId="2" fillId="22" applyFill="true">
      <alignment horizontal="center" vertical="center"/>
    </xf>
    <xf fontId="24086" applyFont="true" borderId="8" applyBorder="true" applyNumberFormat="true" numFmtId="2" fillId="22" applyFill="true">
      <alignment horizontal="center" vertical="center"/>
    </xf>
    <xf fontId="24087" applyFont="true" borderId="8" applyBorder="true" applyNumberFormat="true" numFmtId="2" fillId="22" applyFill="true">
      <alignment horizontal="center" vertical="center"/>
    </xf>
    <xf fontId="24088" applyFont="true" borderId="8" applyBorder="true" applyNumberFormat="true" numFmtId="2" fillId="22" applyFill="true">
      <alignment horizontal="center" vertical="center"/>
    </xf>
    <xf fontId="24089" applyFont="true" borderId="8" applyBorder="true" applyNumberFormat="true" numFmtId="2" fillId="22" applyFill="true">
      <alignment horizontal="center" vertical="center"/>
    </xf>
    <xf fontId="24090" applyFont="true" borderId="8" applyBorder="true" applyNumberFormat="true" numFmtId="2" fillId="22" applyFill="true">
      <alignment horizontal="center" vertical="center"/>
    </xf>
    <xf fontId="24091" applyFont="true" borderId="8" applyBorder="true" applyNumberFormat="true" numFmtId="2" fillId="22" applyFill="true">
      <alignment horizontal="center" vertical="center"/>
    </xf>
    <xf fontId="24092" applyFont="true" borderId="8" applyBorder="true" applyNumberFormat="true" numFmtId="2" fillId="22" applyFill="true">
      <alignment horizontal="center" vertical="center"/>
    </xf>
    <xf fontId="24093" applyFont="true" borderId="8" applyBorder="true" applyNumberFormat="true" numFmtId="2" fillId="22" applyFill="true">
      <alignment horizontal="center" vertical="center"/>
    </xf>
    <xf fontId="24094" applyFont="true" borderId="8" applyBorder="true" applyNumberFormat="true" numFmtId="2" fillId="22" applyFill="true">
      <alignment horizontal="center" vertical="center"/>
    </xf>
    <xf fontId="24095" applyFont="true" borderId="8" applyBorder="true" applyNumberFormat="true" numFmtId="2" fillId="22" applyFill="true">
      <alignment horizontal="center" vertical="center"/>
    </xf>
    <xf fontId="24096" applyFont="true" borderId="8" applyBorder="true" applyNumberFormat="true" numFmtId="2" fillId="22" applyFill="true">
      <alignment horizontal="center" vertical="center"/>
    </xf>
    <xf fontId="24097" applyFont="true" borderId="8" applyBorder="true" applyNumberFormat="true" numFmtId="2" fillId="22" applyFill="true">
      <alignment horizontal="center" vertical="center"/>
    </xf>
    <xf fontId="24098" applyFont="true" borderId="8" applyBorder="true" applyNumberFormat="true" numFmtId="2" fillId="22" applyFill="true">
      <alignment horizontal="center" vertical="center"/>
    </xf>
    <xf fontId="24099" applyFont="true" borderId="8" applyBorder="true" applyNumberFormat="true" numFmtId="2" fillId="22" applyFill="true">
      <alignment horizontal="center" vertical="center"/>
    </xf>
    <xf fontId="24100" applyFont="true" borderId="8" applyBorder="true" applyNumberFormat="true" numFmtId="2" fillId="22" applyFill="true">
      <alignment horizontal="center" vertical="center"/>
    </xf>
    <xf fontId="24101" applyFont="true" borderId="8" applyBorder="true" applyNumberFormat="true" numFmtId="2" fillId="22" applyFill="true">
      <alignment horizontal="center" vertical="center"/>
    </xf>
    <xf fontId="24102" applyFont="true" borderId="8" applyBorder="true" applyNumberFormat="true" numFmtId="2" fillId="22" applyFill="true">
      <alignment horizontal="center" vertical="center"/>
    </xf>
    <xf fontId="24103" applyFont="true" borderId="8" applyBorder="true" applyNumberFormat="true" numFmtId="2" fillId="22" applyFill="true">
      <alignment horizontal="center" vertical="center"/>
    </xf>
    <xf fontId="24104" applyFont="true" borderId="8" applyBorder="true" applyNumberFormat="true" numFmtId="2" fillId="22" applyFill="true">
      <alignment horizontal="center" vertical="center"/>
    </xf>
    <xf fontId="24105" applyFont="true" borderId="8" applyBorder="true" applyNumberFormat="true" numFmtId="165" fillId="19" applyFill="true">
      <alignment horizontal="left" vertical="center"/>
    </xf>
    <xf fontId="24106" applyFont="true" borderId="8" applyBorder="true" applyNumberFormat="true" numFmtId="165" fillId="22" applyFill="true">
      <alignment horizontal="center" vertical="center"/>
    </xf>
    <xf fontId="24107" applyFont="true" borderId="8" applyBorder="true" applyNumberFormat="true" numFmtId="166" fillId="22" applyFill="true">
      <alignment horizontal="center" vertical="center"/>
    </xf>
    <xf fontId="24108" applyFont="true" borderId="8" applyBorder="true" applyNumberFormat="true" numFmtId="1" fillId="22" applyFill="true">
      <alignment horizontal="center" vertical="center"/>
    </xf>
    <xf fontId="24109" applyFont="true" borderId="8" applyBorder="true" applyNumberFormat="true" numFmtId="1" fillId="22" applyFill="true">
      <alignment horizontal="center" vertical="center"/>
    </xf>
    <xf fontId="24110" applyFont="true" borderId="8" applyBorder="true" applyNumberFormat="true" numFmtId="1" fillId="22" applyFill="true">
      <alignment horizontal="center" vertical="center"/>
    </xf>
    <xf fontId="24111" applyFont="true" borderId="8" applyBorder="true" applyNumberFormat="true" numFmtId="1" fillId="22" applyFill="true">
      <alignment horizontal="center" vertical="center"/>
    </xf>
    <xf fontId="24112" applyFont="true" borderId="8" applyBorder="true" applyNumberFormat="true" numFmtId="1" fillId="22" applyFill="true">
      <alignment horizontal="center" vertical="center"/>
    </xf>
    <xf fontId="24113" applyFont="true" borderId="8" applyBorder="true" applyNumberFormat="true" numFmtId="1" fillId="22" applyFill="true">
      <alignment horizontal="center" vertical="center"/>
    </xf>
    <xf fontId="24114" applyFont="true" borderId="8" applyBorder="true" applyNumberFormat="true" numFmtId="1" fillId="22" applyFill="true">
      <alignment horizontal="center" vertical="center"/>
    </xf>
    <xf fontId="24115" applyFont="true" borderId="8" applyBorder="true" applyNumberFormat="true" numFmtId="165" fillId="22" applyFill="true">
      <alignment horizontal="center" vertical="center"/>
    </xf>
    <xf fontId="24116" applyFont="true" borderId="8" applyBorder="true" applyNumberFormat="true" numFmtId="165" fillId="22" applyFill="true">
      <alignment horizontal="center" vertical="center"/>
    </xf>
    <xf fontId="24117" applyFont="true" borderId="8" applyBorder="true" applyNumberFormat="true" numFmtId="1" fillId="22" applyFill="true">
      <alignment horizontal="center" vertical="center"/>
    </xf>
    <xf fontId="24118" applyFont="true" borderId="8" applyBorder="true" applyNumberFormat="true" numFmtId="1" fillId="22" applyFill="true">
      <alignment horizontal="center" vertical="center"/>
    </xf>
    <xf fontId="24119" applyFont="true" borderId="8" applyBorder="true" applyNumberFormat="true" numFmtId="1" fillId="22" applyFill="true">
      <alignment horizontal="center" vertical="center"/>
    </xf>
    <xf fontId="24120" applyFont="true" borderId="8" applyBorder="true" applyNumberFormat="true" numFmtId="167" fillId="22" applyFill="true">
      <alignment horizontal="center" vertical="center"/>
    </xf>
    <xf fontId="24121" applyFont="true" borderId="8" applyBorder="true" applyNumberFormat="true" numFmtId="1" fillId="22" applyFill="true">
      <alignment horizontal="center" vertical="center"/>
    </xf>
    <xf fontId="24122" applyFont="true" borderId="8" applyBorder="true" applyNumberFormat="true" numFmtId="167" fillId="22" applyFill="true">
      <alignment horizontal="center" vertical="center"/>
    </xf>
    <xf fontId="24123" applyFont="true" borderId="8" applyBorder="true" applyNumberFormat="true" numFmtId="1" fillId="22" applyFill="true">
      <alignment horizontal="center" vertical="center"/>
    </xf>
    <xf fontId="24124" applyFont="true" borderId="8" applyBorder="true" applyNumberFormat="true" numFmtId="167" fillId="22" applyFill="true">
      <alignment horizontal="center" vertical="center"/>
    </xf>
    <xf fontId="24125" applyFont="true" borderId="8" applyBorder="true" applyNumberFormat="true" numFmtId="1" fillId="22" applyFill="true">
      <alignment horizontal="center" vertical="center"/>
    </xf>
    <xf fontId="24126" applyFont="true" borderId="8" applyBorder="true" applyNumberFormat="true" numFmtId="167" fillId="22" applyFill="true">
      <alignment horizontal="center" vertical="center"/>
    </xf>
    <xf fontId="24127" applyFont="true" borderId="8" applyBorder="true" applyNumberFormat="true" numFmtId="167" fillId="22" applyFill="true">
      <alignment horizontal="center" vertical="center"/>
    </xf>
    <xf fontId="24128" applyFont="true" borderId="8" applyBorder="true" applyNumberFormat="true" numFmtId="1" fillId="22" applyFill="true">
      <alignment horizontal="center" vertical="center"/>
    </xf>
    <xf fontId="24129" applyFont="true" borderId="8" applyBorder="true" applyNumberFormat="true" numFmtId="1" fillId="22" applyFill="true">
      <alignment horizontal="center" vertical="center"/>
    </xf>
    <xf fontId="24130" applyFont="true" borderId="8" applyBorder="true" applyNumberFormat="true" numFmtId="1" fillId="22" applyFill="true">
      <alignment horizontal="center" vertical="center"/>
    </xf>
    <xf fontId="24131" applyFont="true" borderId="8" applyBorder="true" applyNumberFormat="true" numFmtId="167" fillId="22" applyFill="true">
      <alignment horizontal="center" vertical="center"/>
    </xf>
    <xf fontId="24132" applyFont="true" borderId="8" applyBorder="true" applyNumberFormat="true" numFmtId="166" fillId="22" applyFill="true">
      <alignment horizontal="center" vertical="center"/>
    </xf>
    <xf fontId="24133" applyFont="true" borderId="8" applyBorder="true" applyNumberFormat="true" numFmtId="166" fillId="22" applyFill="true">
      <alignment horizontal="center" vertical="center"/>
    </xf>
    <xf fontId="24134" applyFont="true" borderId="8" applyBorder="true" applyNumberFormat="true" numFmtId="1" fillId="22" applyFill="true">
      <alignment horizontal="center" vertical="center"/>
    </xf>
    <xf fontId="24135" applyFont="true" borderId="8" applyBorder="true" applyNumberFormat="true" numFmtId="1" fillId="22" applyFill="true">
      <alignment horizontal="center" vertical="center"/>
    </xf>
    <xf fontId="24136" applyFont="true" borderId="8" applyBorder="true" applyNumberFormat="true" numFmtId="1" fillId="22" applyFill="true">
      <alignment horizontal="center" vertical="center"/>
    </xf>
    <xf fontId="24137" applyFont="true" borderId="8" applyBorder="true" applyNumberFormat="true" numFmtId="167" fillId="22" applyFill="true">
      <alignment horizontal="center" vertical="center"/>
    </xf>
    <xf fontId="24138" applyFont="true" borderId="8" applyBorder="true" applyNumberFormat="true" numFmtId="1" fillId="22" applyFill="true">
      <alignment horizontal="center" vertical="center"/>
    </xf>
    <xf fontId="24139" applyFont="true" borderId="8" applyBorder="true" applyNumberFormat="true" numFmtId="167" fillId="22" applyFill="true">
      <alignment horizontal="center" vertical="center"/>
    </xf>
    <xf fontId="24140" applyFont="true" borderId="8" applyBorder="true" applyNumberFormat="true" numFmtId="1" fillId="22" applyFill="true">
      <alignment horizontal="center" vertical="center"/>
    </xf>
    <xf fontId="24141" applyFont="true" borderId="8" applyBorder="true" applyNumberFormat="true" numFmtId="1" fillId="22" applyFill="true">
      <alignment horizontal="center" vertical="center"/>
    </xf>
    <xf fontId="24142" applyFont="true" borderId="8" applyBorder="true" applyNumberFormat="true" numFmtId="1" fillId="22" applyFill="true">
      <alignment horizontal="center" vertical="center"/>
    </xf>
    <xf fontId="24143" applyFont="true" borderId="8" applyBorder="true" applyNumberFormat="true" numFmtId="1" fillId="22" applyFill="true">
      <alignment horizontal="center" vertical="center"/>
    </xf>
    <xf fontId="24144" applyFont="true" borderId="8" applyBorder="true" applyNumberFormat="true" numFmtId="167" fillId="22" applyFill="true">
      <alignment horizontal="center" vertical="center"/>
    </xf>
    <xf fontId="24145" applyFont="true" borderId="8" applyBorder="true" applyNumberFormat="true" numFmtId="1" fillId="22" applyFill="true">
      <alignment horizontal="center" vertical="center"/>
    </xf>
    <xf fontId="24146" applyFont="true" borderId="8" applyBorder="true" applyNumberFormat="true" numFmtId="167" fillId="22" applyFill="true">
      <alignment horizontal="center" vertical="center"/>
    </xf>
    <xf fontId="24147" applyFont="true" borderId="8" applyBorder="true" applyNumberFormat="true" numFmtId="1" fillId="22" applyFill="true">
      <alignment horizontal="center" vertical="center"/>
    </xf>
    <xf fontId="24148" applyFont="true" borderId="8" applyBorder="true" applyNumberFormat="true" numFmtId="167" fillId="22" applyFill="true">
      <alignment horizontal="center" vertical="center"/>
    </xf>
    <xf fontId="24149" applyFont="true" borderId="8" applyBorder="true" applyNumberFormat="true" numFmtId="2" fillId="22" applyFill="true">
      <alignment horizontal="center" vertical="center"/>
    </xf>
    <xf fontId="24150" applyFont="true" borderId="8" applyBorder="true" applyNumberFormat="true" numFmtId="2" fillId="22" applyFill="true">
      <alignment horizontal="center" vertical="center"/>
    </xf>
    <xf fontId="24151" applyFont="true" borderId="8" applyBorder="true" applyNumberFormat="true" numFmtId="2" fillId="22" applyFill="true">
      <alignment horizontal="center" vertical="center"/>
    </xf>
    <xf fontId="24152" applyFont="true" borderId="8" applyBorder="true" applyNumberFormat="true" numFmtId="2" fillId="22" applyFill="true">
      <alignment horizontal="center" vertical="center"/>
    </xf>
    <xf fontId="24153" applyFont="true" borderId="8" applyBorder="true" applyNumberFormat="true" numFmtId="2" fillId="22" applyFill="true">
      <alignment horizontal="center" vertical="center"/>
    </xf>
    <xf fontId="24154" applyFont="true" borderId="8" applyBorder="true" applyNumberFormat="true" numFmtId="2" fillId="22" applyFill="true">
      <alignment horizontal="center" vertical="center"/>
    </xf>
    <xf fontId="24155" applyFont="true" borderId="8" applyBorder="true" applyNumberFormat="true" numFmtId="2" fillId="22" applyFill="true">
      <alignment horizontal="center" vertical="center"/>
    </xf>
    <xf fontId="24156" applyFont="true" borderId="8" applyBorder="true" applyNumberFormat="true" numFmtId="2" fillId="22" applyFill="true">
      <alignment horizontal="center" vertical="center"/>
    </xf>
    <xf fontId="24157" applyFont="true" borderId="8" applyBorder="true" applyNumberFormat="true" numFmtId="2" fillId="22" applyFill="true">
      <alignment horizontal="center" vertical="center"/>
    </xf>
    <xf fontId="24158" applyFont="true" borderId="8" applyBorder="true" applyNumberFormat="true" numFmtId="2" fillId="22" applyFill="true">
      <alignment horizontal="center" vertical="center"/>
    </xf>
    <xf fontId="24159" applyFont="true" borderId="8" applyBorder="true" applyNumberFormat="true" numFmtId="2" fillId="22" applyFill="true">
      <alignment horizontal="center" vertical="center"/>
    </xf>
    <xf fontId="24160" applyFont="true" borderId="8" applyBorder="true" applyNumberFormat="true" numFmtId="2" fillId="22" applyFill="true">
      <alignment horizontal="center" vertical="center"/>
    </xf>
    <xf fontId="24161" applyFont="true" borderId="8" applyBorder="true" applyNumberFormat="true" numFmtId="2" fillId="22" applyFill="true">
      <alignment horizontal="center" vertical="center"/>
    </xf>
    <xf fontId="24162" applyFont="true" borderId="8" applyBorder="true" applyNumberFormat="true" numFmtId="2" fillId="22" applyFill="true">
      <alignment horizontal="center" vertical="center"/>
    </xf>
    <xf fontId="24163" applyFont="true" borderId="8" applyBorder="true" applyNumberFormat="true" numFmtId="2" fillId="22" applyFill="true">
      <alignment horizontal="center" vertical="center"/>
    </xf>
    <xf fontId="24164" applyFont="true" borderId="8" applyBorder="true" applyNumberFormat="true" numFmtId="2" fillId="22" applyFill="true">
      <alignment horizontal="center" vertical="center"/>
    </xf>
    <xf fontId="24165" applyFont="true" borderId="8" applyBorder="true" applyNumberFormat="true" numFmtId="2" fillId="22" applyFill="true">
      <alignment horizontal="center" vertical="center"/>
    </xf>
    <xf fontId="24166" applyFont="true" borderId="8" applyBorder="true" applyNumberFormat="true" numFmtId="2" fillId="22" applyFill="true">
      <alignment horizontal="center" vertical="center"/>
    </xf>
    <xf fontId="24167" applyFont="true" borderId="8" applyBorder="true" applyNumberFormat="true" numFmtId="2" fillId="22" applyFill="true">
      <alignment horizontal="center" vertical="center"/>
    </xf>
    <xf fontId="24168" applyFont="true" borderId="8" applyBorder="true" applyNumberFormat="true" numFmtId="2" fillId="22" applyFill="true">
      <alignment horizontal="center" vertical="center"/>
    </xf>
    <xf fontId="24169" applyFont="true" borderId="8" applyBorder="true" applyNumberFormat="true" numFmtId="2" fillId="22" applyFill="true">
      <alignment horizontal="center" vertical="center"/>
    </xf>
    <xf fontId="24170" applyFont="true" borderId="8" applyBorder="true" applyNumberFormat="true" numFmtId="2" fillId="22" applyFill="true">
      <alignment horizontal="center" vertical="center"/>
    </xf>
    <xf fontId="24171" applyFont="true" borderId="8" applyBorder="true" applyNumberFormat="true" numFmtId="2" fillId="22" applyFill="true">
      <alignment horizontal="center" vertical="center"/>
    </xf>
    <xf fontId="24172" applyFont="true" borderId="8" applyBorder="true" applyNumberFormat="true" numFmtId="2" fillId="22" applyFill="true">
      <alignment horizontal="center" vertical="center"/>
    </xf>
    <xf fontId="24173" applyFont="true" borderId="8" applyBorder="true" applyNumberFormat="true" numFmtId="2" fillId="22" applyFill="true">
      <alignment horizontal="center" vertical="center"/>
    </xf>
    <xf fontId="24174" applyFont="true" borderId="8" applyBorder="true" applyNumberFormat="true" numFmtId="2" fillId="22" applyFill="true">
      <alignment horizontal="center" vertical="center"/>
    </xf>
    <xf fontId="24175" applyFont="true" borderId="8" applyBorder="true" applyNumberFormat="true" numFmtId="2" fillId="22" applyFill="true">
      <alignment horizontal="center" vertical="center"/>
    </xf>
    <xf fontId="24176" applyFont="true" borderId="8" applyBorder="true" applyNumberFormat="true" numFmtId="2" fillId="22" applyFill="true">
      <alignment horizontal="center" vertical="center"/>
    </xf>
    <xf fontId="24177" applyFont="true" borderId="8" applyBorder="true" applyNumberFormat="true" numFmtId="2" fillId="22" applyFill="true">
      <alignment horizontal="center" vertical="center"/>
    </xf>
    <xf fontId="24178" applyFont="true" borderId="8" applyBorder="true" applyNumberFormat="true" numFmtId="2" fillId="22" applyFill="true">
      <alignment horizontal="center" vertical="center"/>
    </xf>
    <xf fontId="24179" applyFont="true" borderId="8" applyBorder="true" applyNumberFormat="true" numFmtId="2" fillId="22" applyFill="true">
      <alignment horizontal="center" vertical="center"/>
    </xf>
    <xf fontId="24180" applyFont="true" borderId="8" applyBorder="true" applyNumberFormat="true" numFmtId="2" fillId="22" applyFill="true">
      <alignment horizontal="center" vertical="center"/>
    </xf>
    <xf fontId="24181" applyFont="true" borderId="8" applyBorder="true" applyNumberFormat="true" numFmtId="2" fillId="22" applyFill="true">
      <alignment horizontal="center" vertical="center"/>
    </xf>
    <xf fontId="24182" applyFont="true" borderId="8" applyBorder="true" applyNumberFormat="true" numFmtId="2" fillId="22" applyFill="true">
      <alignment horizontal="center" vertical="center"/>
    </xf>
    <xf fontId="24183" applyFont="true" borderId="8" applyBorder="true" applyNumberFormat="true" numFmtId="165" fillId="19" applyFill="true">
      <alignment horizontal="left" vertical="center"/>
    </xf>
    <xf fontId="24184" applyFont="true" borderId="8" applyBorder="true" applyNumberFormat="true" numFmtId="165" fillId="22" applyFill="true">
      <alignment horizontal="center" vertical="center"/>
    </xf>
    <xf fontId="24185" applyFont="true" borderId="8" applyBorder="true" applyNumberFormat="true" numFmtId="166" fillId="22" applyFill="true">
      <alignment horizontal="center" vertical="center"/>
    </xf>
    <xf fontId="24186" applyFont="true" borderId="8" applyBorder="true" applyNumberFormat="true" numFmtId="1" fillId="22" applyFill="true">
      <alignment horizontal="center" vertical="center"/>
    </xf>
    <xf fontId="24187" applyFont="true" borderId="8" applyBorder="true" applyNumberFormat="true" numFmtId="1" fillId="22" applyFill="true">
      <alignment horizontal="center" vertical="center"/>
    </xf>
    <xf fontId="24188" applyFont="true" borderId="8" applyBorder="true" applyNumberFormat="true" numFmtId="1" fillId="22" applyFill="true">
      <alignment horizontal="center" vertical="center"/>
    </xf>
    <xf fontId="24189" applyFont="true" borderId="8" applyBorder="true" applyNumberFormat="true" numFmtId="1" fillId="22" applyFill="true">
      <alignment horizontal="center" vertical="center"/>
    </xf>
    <xf fontId="24190" applyFont="true" borderId="8" applyBorder="true" applyNumberFormat="true" numFmtId="1" fillId="22" applyFill="true">
      <alignment horizontal="center" vertical="center"/>
    </xf>
    <xf fontId="24191" applyFont="true" borderId="8" applyBorder="true" applyNumberFormat="true" numFmtId="1" fillId="22" applyFill="true">
      <alignment horizontal="center" vertical="center"/>
    </xf>
    <xf fontId="24192" applyFont="true" borderId="8" applyBorder="true" applyNumberFormat="true" numFmtId="1" fillId="22" applyFill="true">
      <alignment horizontal="center" vertical="center"/>
    </xf>
    <xf fontId="24193" applyFont="true" borderId="8" applyBorder="true" applyNumberFormat="true" numFmtId="165" fillId="22" applyFill="true">
      <alignment horizontal="center" vertical="center"/>
    </xf>
    <xf fontId="24194" applyFont="true" borderId="8" applyBorder="true" applyNumberFormat="true" numFmtId="165" fillId="22" applyFill="true">
      <alignment horizontal="center" vertical="center"/>
    </xf>
    <xf fontId="24195" applyFont="true" borderId="8" applyBorder="true" applyNumberFormat="true" numFmtId="1" fillId="22" applyFill="true">
      <alignment horizontal="center" vertical="center"/>
    </xf>
    <xf fontId="24196" applyFont="true" borderId="8" applyBorder="true" applyNumberFormat="true" numFmtId="1" fillId="22" applyFill="true">
      <alignment horizontal="center" vertical="center"/>
    </xf>
    <xf fontId="24197" applyFont="true" borderId="8" applyBorder="true" applyNumberFormat="true" numFmtId="1" fillId="22" applyFill="true">
      <alignment horizontal="center" vertical="center"/>
    </xf>
    <xf fontId="24198" applyFont="true" borderId="8" applyBorder="true" applyNumberFormat="true" numFmtId="167" fillId="22" applyFill="true">
      <alignment horizontal="center" vertical="center"/>
    </xf>
    <xf fontId="24199" applyFont="true" borderId="8" applyBorder="true" applyNumberFormat="true" numFmtId="1" fillId="22" applyFill="true">
      <alignment horizontal="center" vertical="center"/>
    </xf>
    <xf fontId="24200" applyFont="true" borderId="8" applyBorder="true" applyNumberFormat="true" numFmtId="167" fillId="22" applyFill="true">
      <alignment horizontal="center" vertical="center"/>
    </xf>
    <xf fontId="24201" applyFont="true" borderId="8" applyBorder="true" applyNumberFormat="true" numFmtId="1" fillId="22" applyFill="true">
      <alignment horizontal="center" vertical="center"/>
    </xf>
    <xf fontId="24202" applyFont="true" borderId="8" applyBorder="true" applyNumberFormat="true" numFmtId="167" fillId="22" applyFill="true">
      <alignment horizontal="center" vertical="center"/>
    </xf>
    <xf fontId="24203" applyFont="true" borderId="8" applyBorder="true" applyNumberFormat="true" numFmtId="1" fillId="22" applyFill="true">
      <alignment horizontal="center" vertical="center"/>
    </xf>
    <xf fontId="24204" applyFont="true" borderId="8" applyBorder="true" applyNumberFormat="true" numFmtId="167" fillId="22" applyFill="true">
      <alignment horizontal="center" vertical="center"/>
    </xf>
    <xf fontId="24205" applyFont="true" borderId="8" applyBorder="true" applyNumberFormat="true" numFmtId="167" fillId="22" applyFill="true">
      <alignment horizontal="center" vertical="center"/>
    </xf>
    <xf fontId="24206" applyFont="true" borderId="8" applyBorder="true" applyNumberFormat="true" numFmtId="1" fillId="22" applyFill="true">
      <alignment horizontal="center" vertical="center"/>
    </xf>
    <xf fontId="24207" applyFont="true" borderId="8" applyBorder="true" applyNumberFormat="true" numFmtId="1" fillId="22" applyFill="true">
      <alignment horizontal="center" vertical="center"/>
    </xf>
    <xf fontId="24208" applyFont="true" borderId="8" applyBorder="true" applyNumberFormat="true" numFmtId="1" fillId="22" applyFill="true">
      <alignment horizontal="center" vertical="center"/>
    </xf>
    <xf fontId="24209" applyFont="true" borderId="8" applyBorder="true" applyNumberFormat="true" numFmtId="167" fillId="22" applyFill="true">
      <alignment horizontal="center" vertical="center"/>
    </xf>
    <xf fontId="24210" applyFont="true" borderId="8" applyBorder="true" applyNumberFormat="true" numFmtId="166" fillId="22" applyFill="true">
      <alignment horizontal="center" vertical="center"/>
    </xf>
    <xf fontId="24211" applyFont="true" borderId="8" applyBorder="true" applyNumberFormat="true" numFmtId="166" fillId="22" applyFill="true">
      <alignment horizontal="center" vertical="center"/>
    </xf>
    <xf fontId="24212" applyFont="true" borderId="8" applyBorder="true" applyNumberFormat="true" numFmtId="1" fillId="22" applyFill="true">
      <alignment horizontal="center" vertical="center"/>
    </xf>
    <xf fontId="24213" applyFont="true" borderId="8" applyBorder="true" applyNumberFormat="true" numFmtId="1" fillId="22" applyFill="true">
      <alignment horizontal="center" vertical="center"/>
    </xf>
    <xf fontId="24214" applyFont="true" borderId="8" applyBorder="true" applyNumberFormat="true" numFmtId="1" fillId="22" applyFill="true">
      <alignment horizontal="center" vertical="center"/>
    </xf>
    <xf fontId="24215" applyFont="true" borderId="8" applyBorder="true" applyNumberFormat="true" numFmtId="167" fillId="22" applyFill="true">
      <alignment horizontal="center" vertical="center"/>
    </xf>
    <xf fontId="24216" applyFont="true" borderId="8" applyBorder="true" applyNumberFormat="true" numFmtId="1" fillId="22" applyFill="true">
      <alignment horizontal="center" vertical="center"/>
    </xf>
    <xf fontId="24217" applyFont="true" borderId="8" applyBorder="true" applyNumberFormat="true" numFmtId="167" fillId="22" applyFill="true">
      <alignment horizontal="center" vertical="center"/>
    </xf>
    <xf fontId="24218" applyFont="true" borderId="8" applyBorder="true" applyNumberFormat="true" numFmtId="1" fillId="22" applyFill="true">
      <alignment horizontal="center" vertical="center"/>
    </xf>
    <xf fontId="24219" applyFont="true" borderId="8" applyBorder="true" applyNumberFormat="true" numFmtId="1" fillId="22" applyFill="true">
      <alignment horizontal="center" vertical="center"/>
    </xf>
    <xf fontId="24220" applyFont="true" borderId="8" applyBorder="true" applyNumberFormat="true" numFmtId="1" fillId="22" applyFill="true">
      <alignment horizontal="center" vertical="center"/>
    </xf>
    <xf fontId="24221" applyFont="true" borderId="8" applyBorder="true" applyNumberFormat="true" numFmtId="1" fillId="22" applyFill="true">
      <alignment horizontal="center" vertical="center"/>
    </xf>
    <xf fontId="24222" applyFont="true" borderId="8" applyBorder="true" applyNumberFormat="true" numFmtId="167" fillId="22" applyFill="true">
      <alignment horizontal="center" vertical="center"/>
    </xf>
    <xf fontId="24223" applyFont="true" borderId="8" applyBorder="true" applyNumberFormat="true" numFmtId="1" fillId="22" applyFill="true">
      <alignment horizontal="center" vertical="center"/>
    </xf>
    <xf fontId="24224" applyFont="true" borderId="8" applyBorder="true" applyNumberFormat="true" numFmtId="167" fillId="22" applyFill="true">
      <alignment horizontal="center" vertical="center"/>
    </xf>
    <xf fontId="24225" applyFont="true" borderId="8" applyBorder="true" applyNumberFormat="true" numFmtId="1" fillId="22" applyFill="true">
      <alignment horizontal="center" vertical="center"/>
    </xf>
    <xf fontId="24226" applyFont="true" borderId="8" applyBorder="true" applyNumberFormat="true" numFmtId="167" fillId="22" applyFill="true">
      <alignment horizontal="center" vertical="center"/>
    </xf>
    <xf fontId="24227" applyFont="true" borderId="8" applyBorder="true" applyNumberFormat="true" numFmtId="2" fillId="22" applyFill="true">
      <alignment horizontal="center" vertical="center"/>
    </xf>
    <xf fontId="24228" applyFont="true" borderId="8" applyBorder="true" applyNumberFormat="true" numFmtId="2" fillId="22" applyFill="true">
      <alignment horizontal="center" vertical="center"/>
    </xf>
    <xf fontId="24229" applyFont="true" borderId="8" applyBorder="true" applyNumberFormat="true" numFmtId="2" fillId="22" applyFill="true">
      <alignment horizontal="center" vertical="center"/>
    </xf>
    <xf fontId="24230" applyFont="true" borderId="8" applyBorder="true" applyNumberFormat="true" numFmtId="2" fillId="22" applyFill="true">
      <alignment horizontal="center" vertical="center"/>
    </xf>
    <xf fontId="24231" applyFont="true" borderId="8" applyBorder="true" applyNumberFormat="true" numFmtId="2" fillId="22" applyFill="true">
      <alignment horizontal="center" vertical="center"/>
    </xf>
    <xf fontId="24232" applyFont="true" borderId="8" applyBorder="true" applyNumberFormat="true" numFmtId="2" fillId="22" applyFill="true">
      <alignment horizontal="center" vertical="center"/>
    </xf>
    <xf fontId="24233" applyFont="true" borderId="8" applyBorder="true" applyNumberFormat="true" numFmtId="2" fillId="22" applyFill="true">
      <alignment horizontal="center" vertical="center"/>
    </xf>
    <xf fontId="24234" applyFont="true" borderId="8" applyBorder="true" applyNumberFormat="true" numFmtId="2" fillId="22" applyFill="true">
      <alignment horizontal="center" vertical="center"/>
    </xf>
    <xf fontId="24235" applyFont="true" borderId="8" applyBorder="true" applyNumberFormat="true" numFmtId="2" fillId="22" applyFill="true">
      <alignment horizontal="center" vertical="center"/>
    </xf>
    <xf fontId="24236" applyFont="true" borderId="8" applyBorder="true" applyNumberFormat="true" numFmtId="2" fillId="22" applyFill="true">
      <alignment horizontal="center" vertical="center"/>
    </xf>
    <xf fontId="24237" applyFont="true" borderId="8" applyBorder="true" applyNumberFormat="true" numFmtId="2" fillId="22" applyFill="true">
      <alignment horizontal="center" vertical="center"/>
    </xf>
    <xf fontId="24238" applyFont="true" borderId="8" applyBorder="true" applyNumberFormat="true" numFmtId="2" fillId="22" applyFill="true">
      <alignment horizontal="center" vertical="center"/>
    </xf>
    <xf fontId="24239" applyFont="true" borderId="8" applyBorder="true" applyNumberFormat="true" numFmtId="2" fillId="22" applyFill="true">
      <alignment horizontal="center" vertical="center"/>
    </xf>
    <xf fontId="24240" applyFont="true" borderId="8" applyBorder="true" applyNumberFormat="true" numFmtId="2" fillId="22" applyFill="true">
      <alignment horizontal="center" vertical="center"/>
    </xf>
    <xf fontId="24241" applyFont="true" borderId="8" applyBorder="true" applyNumberFormat="true" numFmtId="2" fillId="22" applyFill="true">
      <alignment horizontal="center" vertical="center"/>
    </xf>
    <xf fontId="24242" applyFont="true" borderId="8" applyBorder="true" applyNumberFormat="true" numFmtId="2" fillId="22" applyFill="true">
      <alignment horizontal="center" vertical="center"/>
    </xf>
    <xf fontId="24243" applyFont="true" borderId="8" applyBorder="true" applyNumberFormat="true" numFmtId="2" fillId="22" applyFill="true">
      <alignment horizontal="center" vertical="center"/>
    </xf>
    <xf fontId="24244" applyFont="true" borderId="8" applyBorder="true" applyNumberFormat="true" numFmtId="2" fillId="22" applyFill="true">
      <alignment horizontal="center" vertical="center"/>
    </xf>
    <xf fontId="24245" applyFont="true" borderId="8" applyBorder="true" applyNumberFormat="true" numFmtId="2" fillId="22" applyFill="true">
      <alignment horizontal="center" vertical="center"/>
    </xf>
    <xf fontId="24246" applyFont="true" borderId="8" applyBorder="true" applyNumberFormat="true" numFmtId="2" fillId="22" applyFill="true">
      <alignment horizontal="center" vertical="center"/>
    </xf>
    <xf fontId="24247" applyFont="true" borderId="8" applyBorder="true" applyNumberFormat="true" numFmtId="2" fillId="22" applyFill="true">
      <alignment horizontal="center" vertical="center"/>
    </xf>
    <xf fontId="24248" applyFont="true" borderId="8" applyBorder="true" applyNumberFormat="true" numFmtId="2" fillId="22" applyFill="true">
      <alignment horizontal="center" vertical="center"/>
    </xf>
    <xf fontId="24249" applyFont="true" borderId="8" applyBorder="true" applyNumberFormat="true" numFmtId="2" fillId="22" applyFill="true">
      <alignment horizontal="center" vertical="center"/>
    </xf>
    <xf fontId="24250" applyFont="true" borderId="8" applyBorder="true" applyNumberFormat="true" numFmtId="2" fillId="22" applyFill="true">
      <alignment horizontal="center" vertical="center"/>
    </xf>
    <xf fontId="24251" applyFont="true" borderId="8" applyBorder="true" applyNumberFormat="true" numFmtId="2" fillId="22" applyFill="true">
      <alignment horizontal="center" vertical="center"/>
    </xf>
    <xf fontId="24252" applyFont="true" borderId="8" applyBorder="true" applyNumberFormat="true" numFmtId="2" fillId="22" applyFill="true">
      <alignment horizontal="center" vertical="center"/>
    </xf>
    <xf fontId="24253" applyFont="true" borderId="8" applyBorder="true" applyNumberFormat="true" numFmtId="2" fillId="22" applyFill="true">
      <alignment horizontal="center" vertical="center"/>
    </xf>
    <xf fontId="24254" applyFont="true" borderId="8" applyBorder="true" applyNumberFormat="true" numFmtId="2" fillId="22" applyFill="true">
      <alignment horizontal="center" vertical="center"/>
    </xf>
    <xf fontId="24255" applyFont="true" borderId="8" applyBorder="true" applyNumberFormat="true" numFmtId="2" fillId="22" applyFill="true">
      <alignment horizontal="center" vertical="center"/>
    </xf>
    <xf fontId="24256" applyFont="true" borderId="8" applyBorder="true" applyNumberFormat="true" numFmtId="2" fillId="22" applyFill="true">
      <alignment horizontal="center" vertical="center"/>
    </xf>
    <xf fontId="24257" applyFont="true" borderId="8" applyBorder="true" applyNumberFormat="true" numFmtId="2" fillId="22" applyFill="true">
      <alignment horizontal="center" vertical="center"/>
    </xf>
    <xf fontId="24258" applyFont="true" borderId="8" applyBorder="true" applyNumberFormat="true" numFmtId="2" fillId="22" applyFill="true">
      <alignment horizontal="center" vertical="center"/>
    </xf>
    <xf fontId="24259" applyFont="true" borderId="8" applyBorder="true" applyNumberFormat="true" numFmtId="2" fillId="22" applyFill="true">
      <alignment horizontal="center" vertical="center"/>
    </xf>
    <xf fontId="24260" applyFont="true" borderId="8" applyBorder="true" applyNumberFormat="true" numFmtId="2" fillId="22" applyFill="true">
      <alignment horizontal="center" vertical="center"/>
    </xf>
    <xf fontId="24261" applyFont="true" borderId="8" applyBorder="true" applyNumberFormat="true" numFmtId="165" fillId="19" applyFill="true">
      <alignment horizontal="left" vertical="center"/>
    </xf>
    <xf fontId="24262" applyFont="true" borderId="8" applyBorder="true" applyNumberFormat="true" numFmtId="165" fillId="22" applyFill="true">
      <alignment horizontal="center" vertical="center"/>
    </xf>
    <xf fontId="24263" applyFont="true" borderId="8" applyBorder="true" applyNumberFormat="true" numFmtId="166" fillId="22" applyFill="true">
      <alignment horizontal="center" vertical="center"/>
    </xf>
    <xf fontId="24264" applyFont="true" borderId="8" applyBorder="true" applyNumberFormat="true" numFmtId="1" fillId="22" applyFill="true">
      <alignment horizontal="center" vertical="center"/>
    </xf>
    <xf fontId="24265" applyFont="true" borderId="8" applyBorder="true" applyNumberFormat="true" numFmtId="1" fillId="22" applyFill="true">
      <alignment horizontal="center" vertical="center"/>
    </xf>
    <xf fontId="24266" applyFont="true" borderId="8" applyBorder="true" applyNumberFormat="true" numFmtId="1" fillId="22" applyFill="true">
      <alignment horizontal="center" vertical="center"/>
    </xf>
    <xf fontId="24267" applyFont="true" borderId="8" applyBorder="true" applyNumberFormat="true" numFmtId="1" fillId="22" applyFill="true">
      <alignment horizontal="center" vertical="center"/>
    </xf>
    <xf fontId="24268" applyFont="true" borderId="8" applyBorder="true" applyNumberFormat="true" numFmtId="1" fillId="22" applyFill="true">
      <alignment horizontal="center" vertical="center"/>
    </xf>
    <xf fontId="24269" applyFont="true" borderId="8" applyBorder="true" applyNumberFormat="true" numFmtId="1" fillId="22" applyFill="true">
      <alignment horizontal="center" vertical="center"/>
    </xf>
    <xf fontId="24270" applyFont="true" borderId="8" applyBorder="true" applyNumberFormat="true" numFmtId="1" fillId="22" applyFill="true">
      <alignment horizontal="center" vertical="center"/>
    </xf>
    <xf fontId="24271" applyFont="true" borderId="8" applyBorder="true" applyNumberFormat="true" numFmtId="165" fillId="22" applyFill="true">
      <alignment horizontal="center" vertical="center"/>
    </xf>
    <xf fontId="24272" applyFont="true" borderId="8" applyBorder="true" applyNumberFormat="true" numFmtId="165" fillId="22" applyFill="true">
      <alignment horizontal="center" vertical="center"/>
    </xf>
    <xf fontId="24273" applyFont="true" borderId="8" applyBorder="true" applyNumberFormat="true" numFmtId="1" fillId="22" applyFill="true">
      <alignment horizontal="center" vertical="center"/>
    </xf>
    <xf fontId="24274" applyFont="true" borderId="8" applyBorder="true" applyNumberFormat="true" numFmtId="1" fillId="22" applyFill="true">
      <alignment horizontal="center" vertical="center"/>
    </xf>
    <xf fontId="24275" applyFont="true" borderId="8" applyBorder="true" applyNumberFormat="true" numFmtId="1" fillId="22" applyFill="true">
      <alignment horizontal="center" vertical="center"/>
    </xf>
    <xf fontId="24276" applyFont="true" borderId="8" applyBorder="true" applyNumberFormat="true" numFmtId="167" fillId="22" applyFill="true">
      <alignment horizontal="center" vertical="center"/>
    </xf>
    <xf fontId="24277" applyFont="true" borderId="8" applyBorder="true" applyNumberFormat="true" numFmtId="1" fillId="22" applyFill="true">
      <alignment horizontal="center" vertical="center"/>
    </xf>
    <xf fontId="24278" applyFont="true" borderId="8" applyBorder="true" applyNumberFormat="true" numFmtId="167" fillId="22" applyFill="true">
      <alignment horizontal="center" vertical="center"/>
    </xf>
    <xf fontId="24279" applyFont="true" borderId="8" applyBorder="true" applyNumberFormat="true" numFmtId="1" fillId="22" applyFill="true">
      <alignment horizontal="center" vertical="center"/>
    </xf>
    <xf fontId="24280" applyFont="true" borderId="8" applyBorder="true" applyNumberFormat="true" numFmtId="167" fillId="22" applyFill="true">
      <alignment horizontal="center" vertical="center"/>
    </xf>
    <xf fontId="24281" applyFont="true" borderId="8" applyBorder="true" applyNumberFormat="true" numFmtId="1" fillId="22" applyFill="true">
      <alignment horizontal="center" vertical="center"/>
    </xf>
    <xf fontId="24282" applyFont="true" borderId="8" applyBorder="true" applyNumberFormat="true" numFmtId="167" fillId="22" applyFill="true">
      <alignment horizontal="center" vertical="center"/>
    </xf>
    <xf fontId="24283" applyFont="true" borderId="8" applyBorder="true" applyNumberFormat="true" numFmtId="167" fillId="22" applyFill="true">
      <alignment horizontal="center" vertical="center"/>
    </xf>
    <xf fontId="24284" applyFont="true" borderId="8" applyBorder="true" applyNumberFormat="true" numFmtId="1" fillId="22" applyFill="true">
      <alignment horizontal="center" vertical="center"/>
    </xf>
    <xf fontId="24285" applyFont="true" borderId="8" applyBorder="true" applyNumberFormat="true" numFmtId="1" fillId="22" applyFill="true">
      <alignment horizontal="center" vertical="center"/>
    </xf>
    <xf fontId="24286" applyFont="true" borderId="8" applyBorder="true" applyNumberFormat="true" numFmtId="1" fillId="22" applyFill="true">
      <alignment horizontal="center" vertical="center"/>
    </xf>
    <xf fontId="24287" applyFont="true" borderId="8" applyBorder="true" applyNumberFormat="true" numFmtId="167" fillId="22" applyFill="true">
      <alignment horizontal="center" vertical="center"/>
    </xf>
    <xf fontId="24288" applyFont="true" borderId="8" applyBorder="true" applyNumberFormat="true" numFmtId="166" fillId="22" applyFill="true">
      <alignment horizontal="center" vertical="center"/>
    </xf>
    <xf fontId="24289" applyFont="true" borderId="8" applyBorder="true" applyNumberFormat="true" numFmtId="166" fillId="22" applyFill="true">
      <alignment horizontal="center" vertical="center"/>
    </xf>
    <xf fontId="24290" applyFont="true" borderId="8" applyBorder="true" applyNumberFormat="true" numFmtId="1" fillId="22" applyFill="true">
      <alignment horizontal="center" vertical="center"/>
    </xf>
    <xf fontId="24291" applyFont="true" borderId="8" applyBorder="true" applyNumberFormat="true" numFmtId="1" fillId="22" applyFill="true">
      <alignment horizontal="center" vertical="center"/>
    </xf>
    <xf fontId="24292" applyFont="true" borderId="8" applyBorder="true" applyNumberFormat="true" numFmtId="1" fillId="22" applyFill="true">
      <alignment horizontal="center" vertical="center"/>
    </xf>
    <xf fontId="24293" applyFont="true" borderId="8" applyBorder="true" applyNumberFormat="true" numFmtId="167" fillId="22" applyFill="true">
      <alignment horizontal="center" vertical="center"/>
    </xf>
    <xf fontId="24294" applyFont="true" borderId="8" applyBorder="true" applyNumberFormat="true" numFmtId="1" fillId="22" applyFill="true">
      <alignment horizontal="center" vertical="center"/>
    </xf>
    <xf fontId="24295" applyFont="true" borderId="8" applyBorder="true" applyNumberFormat="true" numFmtId="167" fillId="22" applyFill="true">
      <alignment horizontal="center" vertical="center"/>
    </xf>
    <xf fontId="24296" applyFont="true" borderId="8" applyBorder="true" applyNumberFormat="true" numFmtId="1" fillId="22" applyFill="true">
      <alignment horizontal="center" vertical="center"/>
    </xf>
    <xf fontId="24297" applyFont="true" borderId="8" applyBorder="true" applyNumberFormat="true" numFmtId="1" fillId="22" applyFill="true">
      <alignment horizontal="center" vertical="center"/>
    </xf>
    <xf fontId="24298" applyFont="true" borderId="8" applyBorder="true" applyNumberFormat="true" numFmtId="1" fillId="22" applyFill="true">
      <alignment horizontal="center" vertical="center"/>
    </xf>
    <xf fontId="24299" applyFont="true" borderId="8" applyBorder="true" applyNumberFormat="true" numFmtId="1" fillId="22" applyFill="true">
      <alignment horizontal="center" vertical="center"/>
    </xf>
    <xf fontId="24300" applyFont="true" borderId="8" applyBorder="true" applyNumberFormat="true" numFmtId="167" fillId="22" applyFill="true">
      <alignment horizontal="center" vertical="center"/>
    </xf>
    <xf fontId="24301" applyFont="true" borderId="8" applyBorder="true" applyNumberFormat="true" numFmtId="1" fillId="22" applyFill="true">
      <alignment horizontal="center" vertical="center"/>
    </xf>
    <xf fontId="24302" applyFont="true" borderId="8" applyBorder="true" applyNumberFormat="true" numFmtId="167" fillId="22" applyFill="true">
      <alignment horizontal="center" vertical="center"/>
    </xf>
    <xf fontId="24303" applyFont="true" borderId="8" applyBorder="true" applyNumberFormat="true" numFmtId="1" fillId="22" applyFill="true">
      <alignment horizontal="center" vertical="center"/>
    </xf>
    <xf fontId="24304" applyFont="true" borderId="8" applyBorder="true" applyNumberFormat="true" numFmtId="167" fillId="22" applyFill="true">
      <alignment horizontal="center" vertical="center"/>
    </xf>
    <xf fontId="24305" applyFont="true" borderId="8" applyBorder="true" applyNumberFormat="true" numFmtId="2" fillId="22" applyFill="true">
      <alignment horizontal="center" vertical="center"/>
    </xf>
    <xf fontId="24306" applyFont="true" borderId="8" applyBorder="true" applyNumberFormat="true" numFmtId="2" fillId="22" applyFill="true">
      <alignment horizontal="center" vertical="center"/>
    </xf>
    <xf fontId="24307" applyFont="true" borderId="8" applyBorder="true" applyNumberFormat="true" numFmtId="2" fillId="22" applyFill="true">
      <alignment horizontal="center" vertical="center"/>
    </xf>
    <xf fontId="24308" applyFont="true" borderId="8" applyBorder="true" applyNumberFormat="true" numFmtId="2" fillId="22" applyFill="true">
      <alignment horizontal="center" vertical="center"/>
    </xf>
    <xf fontId="24309" applyFont="true" borderId="8" applyBorder="true" applyNumberFormat="true" numFmtId="2" fillId="22" applyFill="true">
      <alignment horizontal="center" vertical="center"/>
    </xf>
    <xf fontId="24310" applyFont="true" borderId="8" applyBorder="true" applyNumberFormat="true" numFmtId="2" fillId="22" applyFill="true">
      <alignment horizontal="center" vertical="center"/>
    </xf>
    <xf fontId="24311" applyFont="true" borderId="8" applyBorder="true" applyNumberFormat="true" numFmtId="2" fillId="22" applyFill="true">
      <alignment horizontal="center" vertical="center"/>
    </xf>
    <xf fontId="24312" applyFont="true" borderId="8" applyBorder="true" applyNumberFormat="true" numFmtId="2" fillId="22" applyFill="true">
      <alignment horizontal="center" vertical="center"/>
    </xf>
    <xf fontId="24313" applyFont="true" borderId="8" applyBorder="true" applyNumberFormat="true" numFmtId="2" fillId="22" applyFill="true">
      <alignment horizontal="center" vertical="center"/>
    </xf>
    <xf fontId="24314" applyFont="true" borderId="8" applyBorder="true" applyNumberFormat="true" numFmtId="2" fillId="22" applyFill="true">
      <alignment horizontal="center" vertical="center"/>
    </xf>
    <xf fontId="24315" applyFont="true" borderId="8" applyBorder="true" applyNumberFormat="true" numFmtId="2" fillId="22" applyFill="true">
      <alignment horizontal="center" vertical="center"/>
    </xf>
    <xf fontId="24316" applyFont="true" borderId="8" applyBorder="true" applyNumberFormat="true" numFmtId="2" fillId="22" applyFill="true">
      <alignment horizontal="center" vertical="center"/>
    </xf>
    <xf fontId="24317" applyFont="true" borderId="8" applyBorder="true" applyNumberFormat="true" numFmtId="2" fillId="22" applyFill="true">
      <alignment horizontal="center" vertical="center"/>
    </xf>
    <xf fontId="24318" applyFont="true" borderId="8" applyBorder="true" applyNumberFormat="true" numFmtId="2" fillId="22" applyFill="true">
      <alignment horizontal="center" vertical="center"/>
    </xf>
    <xf fontId="24319" applyFont="true" borderId="8" applyBorder="true" applyNumberFormat="true" numFmtId="2" fillId="22" applyFill="true">
      <alignment horizontal="center" vertical="center"/>
    </xf>
    <xf fontId="24320" applyFont="true" borderId="8" applyBorder="true" applyNumberFormat="true" numFmtId="2" fillId="22" applyFill="true">
      <alignment horizontal="center" vertical="center"/>
    </xf>
    <xf fontId="24321" applyFont="true" borderId="8" applyBorder="true" applyNumberFormat="true" numFmtId="2" fillId="22" applyFill="true">
      <alignment horizontal="center" vertical="center"/>
    </xf>
    <xf fontId="24322" applyFont="true" borderId="8" applyBorder="true" applyNumberFormat="true" numFmtId="2" fillId="22" applyFill="true">
      <alignment horizontal="center" vertical="center"/>
    </xf>
    <xf fontId="24323" applyFont="true" borderId="8" applyBorder="true" applyNumberFormat="true" numFmtId="2" fillId="22" applyFill="true">
      <alignment horizontal="center" vertical="center"/>
    </xf>
    <xf fontId="24324" applyFont="true" borderId="8" applyBorder="true" applyNumberFormat="true" numFmtId="2" fillId="22" applyFill="true">
      <alignment horizontal="center" vertical="center"/>
    </xf>
    <xf fontId="24325" applyFont="true" borderId="8" applyBorder="true" applyNumberFormat="true" numFmtId="2" fillId="22" applyFill="true">
      <alignment horizontal="center" vertical="center"/>
    </xf>
    <xf fontId="24326" applyFont="true" borderId="8" applyBorder="true" applyNumberFormat="true" numFmtId="2" fillId="22" applyFill="true">
      <alignment horizontal="center" vertical="center"/>
    </xf>
    <xf fontId="24327" applyFont="true" borderId="8" applyBorder="true" applyNumberFormat="true" numFmtId="2" fillId="22" applyFill="true">
      <alignment horizontal="center" vertical="center"/>
    </xf>
    <xf fontId="24328" applyFont="true" borderId="8" applyBorder="true" applyNumberFormat="true" numFmtId="2" fillId="22" applyFill="true">
      <alignment horizontal="center" vertical="center"/>
    </xf>
    <xf fontId="24329" applyFont="true" borderId="8" applyBorder="true" applyNumberFormat="true" numFmtId="2" fillId="22" applyFill="true">
      <alignment horizontal="center" vertical="center"/>
    </xf>
    <xf fontId="24330" applyFont="true" borderId="8" applyBorder="true" applyNumberFormat="true" numFmtId="2" fillId="22" applyFill="true">
      <alignment horizontal="center" vertical="center"/>
    </xf>
    <xf fontId="24331" applyFont="true" borderId="8" applyBorder="true" applyNumberFormat="true" numFmtId="2" fillId="22" applyFill="true">
      <alignment horizontal="center" vertical="center"/>
    </xf>
    <xf fontId="24332" applyFont="true" borderId="8" applyBorder="true" applyNumberFormat="true" numFmtId="2" fillId="22" applyFill="true">
      <alignment horizontal="center" vertical="center"/>
    </xf>
    <xf fontId="24333" applyFont="true" borderId="8" applyBorder="true" applyNumberFormat="true" numFmtId="2" fillId="22" applyFill="true">
      <alignment horizontal="center" vertical="center"/>
    </xf>
    <xf fontId="24334" applyFont="true" borderId="8" applyBorder="true" applyNumberFormat="true" numFmtId="2" fillId="22" applyFill="true">
      <alignment horizontal="center" vertical="center"/>
    </xf>
    <xf fontId="24335" applyFont="true" borderId="8" applyBorder="true" applyNumberFormat="true" numFmtId="2" fillId="22" applyFill="true">
      <alignment horizontal="center" vertical="center"/>
    </xf>
    <xf fontId="24336" applyFont="true" borderId="8" applyBorder="true" applyNumberFormat="true" numFmtId="2" fillId="22" applyFill="true">
      <alignment horizontal="center" vertical="center"/>
    </xf>
    <xf fontId="24337" applyFont="true" borderId="8" applyBorder="true" applyNumberFormat="true" numFmtId="2" fillId="22" applyFill="true">
      <alignment horizontal="center" vertical="center"/>
    </xf>
    <xf fontId="24338" applyFont="true" borderId="8" applyBorder="true" applyNumberFormat="true" numFmtId="2" fillId="22" applyFill="true">
      <alignment horizontal="center" vertical="center"/>
    </xf>
    <xf fontId="24339" applyFont="true" borderId="8" applyBorder="true" applyNumberFormat="true" numFmtId="165" fillId="19" applyFill="true">
      <alignment horizontal="left" vertical="center"/>
    </xf>
    <xf fontId="24340" applyFont="true" borderId="8" applyBorder="true" applyNumberFormat="true" numFmtId="165" fillId="22" applyFill="true">
      <alignment horizontal="center" vertical="center"/>
    </xf>
    <xf fontId="24341" applyFont="true" borderId="8" applyBorder="true" applyNumberFormat="true" numFmtId="166" fillId="22" applyFill="true">
      <alignment horizontal="center" vertical="center"/>
    </xf>
    <xf fontId="24342" applyFont="true" borderId="8" applyBorder="true" applyNumberFormat="true" numFmtId="1" fillId="22" applyFill="true">
      <alignment horizontal="center" vertical="center"/>
    </xf>
    <xf fontId="24343" applyFont="true" borderId="8" applyBorder="true" applyNumberFormat="true" numFmtId="1" fillId="22" applyFill="true">
      <alignment horizontal="center" vertical="center"/>
    </xf>
    <xf fontId="24344" applyFont="true" borderId="8" applyBorder="true" applyNumberFormat="true" numFmtId="1" fillId="22" applyFill="true">
      <alignment horizontal="center" vertical="center"/>
    </xf>
    <xf fontId="24345" applyFont="true" borderId="8" applyBorder="true" applyNumberFormat="true" numFmtId="1" fillId="22" applyFill="true">
      <alignment horizontal="center" vertical="center"/>
    </xf>
    <xf fontId="24346" applyFont="true" borderId="8" applyBorder="true" applyNumberFormat="true" numFmtId="1" fillId="22" applyFill="true">
      <alignment horizontal="center" vertical="center"/>
    </xf>
    <xf fontId="24347" applyFont="true" borderId="8" applyBorder="true" applyNumberFormat="true" numFmtId="1" fillId="22" applyFill="true">
      <alignment horizontal="center" vertical="center"/>
    </xf>
    <xf fontId="24348" applyFont="true" borderId="8" applyBorder="true" applyNumberFormat="true" numFmtId="1" fillId="22" applyFill="true">
      <alignment horizontal="center" vertical="center"/>
    </xf>
    <xf fontId="24349" applyFont="true" borderId="8" applyBorder="true" applyNumberFormat="true" numFmtId="165" fillId="22" applyFill="true">
      <alignment horizontal="center" vertical="center"/>
    </xf>
    <xf fontId="24350" applyFont="true" borderId="8" applyBorder="true" applyNumberFormat="true" numFmtId="165" fillId="22" applyFill="true">
      <alignment horizontal="center" vertical="center"/>
    </xf>
    <xf fontId="24351" applyFont="true" borderId="8" applyBorder="true" applyNumberFormat="true" numFmtId="1" fillId="22" applyFill="true">
      <alignment horizontal="center" vertical="center"/>
    </xf>
    <xf fontId="24352" applyFont="true" borderId="8" applyBorder="true" applyNumberFormat="true" numFmtId="1" fillId="22" applyFill="true">
      <alignment horizontal="center" vertical="center"/>
    </xf>
    <xf fontId="24353" applyFont="true" borderId="8" applyBorder="true" applyNumberFormat="true" numFmtId="1" fillId="22" applyFill="true">
      <alignment horizontal="center" vertical="center"/>
    </xf>
    <xf fontId="24354" applyFont="true" borderId="8" applyBorder="true" applyNumberFormat="true" numFmtId="167" fillId="22" applyFill="true">
      <alignment horizontal="center" vertical="center"/>
    </xf>
    <xf fontId="24355" applyFont="true" borderId="8" applyBorder="true" applyNumberFormat="true" numFmtId="1" fillId="22" applyFill="true">
      <alignment horizontal="center" vertical="center"/>
    </xf>
    <xf fontId="24356" applyFont="true" borderId="8" applyBorder="true" applyNumberFormat="true" numFmtId="167" fillId="22" applyFill="true">
      <alignment horizontal="center" vertical="center"/>
    </xf>
    <xf fontId="24357" applyFont="true" borderId="8" applyBorder="true" applyNumberFormat="true" numFmtId="1" fillId="22" applyFill="true">
      <alignment horizontal="center" vertical="center"/>
    </xf>
    <xf fontId="24358" applyFont="true" borderId="8" applyBorder="true" applyNumberFormat="true" numFmtId="167" fillId="22" applyFill="true">
      <alignment horizontal="center" vertical="center"/>
    </xf>
    <xf fontId="24359" applyFont="true" borderId="8" applyBorder="true" applyNumberFormat="true" numFmtId="1" fillId="22" applyFill="true">
      <alignment horizontal="center" vertical="center"/>
    </xf>
    <xf fontId="24360" applyFont="true" borderId="8" applyBorder="true" applyNumberFormat="true" numFmtId="167" fillId="22" applyFill="true">
      <alignment horizontal="center" vertical="center"/>
    </xf>
    <xf fontId="24361" applyFont="true" borderId="8" applyBorder="true" applyNumberFormat="true" numFmtId="167" fillId="22" applyFill="true">
      <alignment horizontal="center" vertical="center"/>
    </xf>
    <xf fontId="24362" applyFont="true" borderId="8" applyBorder="true" applyNumberFormat="true" numFmtId="1" fillId="22" applyFill="true">
      <alignment horizontal="center" vertical="center"/>
    </xf>
    <xf fontId="24363" applyFont="true" borderId="8" applyBorder="true" applyNumberFormat="true" numFmtId="1" fillId="22" applyFill="true">
      <alignment horizontal="center" vertical="center"/>
    </xf>
    <xf fontId="24364" applyFont="true" borderId="8" applyBorder="true" applyNumberFormat="true" numFmtId="1" fillId="22" applyFill="true">
      <alignment horizontal="center" vertical="center"/>
    </xf>
    <xf fontId="24365" applyFont="true" borderId="8" applyBorder="true" applyNumberFormat="true" numFmtId="167" fillId="22" applyFill="true">
      <alignment horizontal="center" vertical="center"/>
    </xf>
    <xf fontId="24366" applyFont="true" borderId="8" applyBorder="true" applyNumberFormat="true" numFmtId="166" fillId="22" applyFill="true">
      <alignment horizontal="center" vertical="center"/>
    </xf>
    <xf fontId="24367" applyFont="true" borderId="8" applyBorder="true" applyNumberFormat="true" numFmtId="166" fillId="22" applyFill="true">
      <alignment horizontal="center" vertical="center"/>
    </xf>
    <xf fontId="24368" applyFont="true" borderId="8" applyBorder="true" applyNumberFormat="true" numFmtId="1" fillId="22" applyFill="true">
      <alignment horizontal="center" vertical="center"/>
    </xf>
    <xf fontId="24369" applyFont="true" borderId="8" applyBorder="true" applyNumberFormat="true" numFmtId="1" fillId="22" applyFill="true">
      <alignment horizontal="center" vertical="center"/>
    </xf>
    <xf fontId="24370" applyFont="true" borderId="8" applyBorder="true" applyNumberFormat="true" numFmtId="1" fillId="22" applyFill="true">
      <alignment horizontal="center" vertical="center"/>
    </xf>
    <xf fontId="24371" applyFont="true" borderId="8" applyBorder="true" applyNumberFormat="true" numFmtId="167" fillId="22" applyFill="true">
      <alignment horizontal="center" vertical="center"/>
    </xf>
    <xf fontId="24372" applyFont="true" borderId="8" applyBorder="true" applyNumberFormat="true" numFmtId="1" fillId="22" applyFill="true">
      <alignment horizontal="center" vertical="center"/>
    </xf>
    <xf fontId="24373" applyFont="true" borderId="8" applyBorder="true" applyNumberFormat="true" numFmtId="167" fillId="22" applyFill="true">
      <alignment horizontal="center" vertical="center"/>
    </xf>
    <xf fontId="24374" applyFont="true" borderId="8" applyBorder="true" applyNumberFormat="true" numFmtId="1" fillId="22" applyFill="true">
      <alignment horizontal="center" vertical="center"/>
    </xf>
    <xf fontId="24375" applyFont="true" borderId="8" applyBorder="true" applyNumberFormat="true" numFmtId="1" fillId="22" applyFill="true">
      <alignment horizontal="center" vertical="center"/>
    </xf>
    <xf fontId="24376" applyFont="true" borderId="8" applyBorder="true" applyNumberFormat="true" numFmtId="1" fillId="22" applyFill="true">
      <alignment horizontal="center" vertical="center"/>
    </xf>
    <xf fontId="24377" applyFont="true" borderId="8" applyBorder="true" applyNumberFormat="true" numFmtId="1" fillId="22" applyFill="true">
      <alignment horizontal="center" vertical="center"/>
    </xf>
    <xf fontId="24378" applyFont="true" borderId="8" applyBorder="true" applyNumberFormat="true" numFmtId="167" fillId="22" applyFill="true">
      <alignment horizontal="center" vertical="center"/>
    </xf>
    <xf fontId="24379" applyFont="true" borderId="8" applyBorder="true" applyNumberFormat="true" numFmtId="1" fillId="22" applyFill="true">
      <alignment horizontal="center" vertical="center"/>
    </xf>
    <xf fontId="24380" applyFont="true" borderId="8" applyBorder="true" applyNumberFormat="true" numFmtId="167" fillId="22" applyFill="true">
      <alignment horizontal="center" vertical="center"/>
    </xf>
    <xf fontId="24381" applyFont="true" borderId="8" applyBorder="true" applyNumberFormat="true" numFmtId="1" fillId="22" applyFill="true">
      <alignment horizontal="center" vertical="center"/>
    </xf>
    <xf fontId="24382" applyFont="true" borderId="8" applyBorder="true" applyNumberFormat="true" numFmtId="167" fillId="22" applyFill="true">
      <alignment horizontal="center" vertical="center"/>
    </xf>
    <xf fontId="24383" applyFont="true" borderId="8" applyBorder="true" applyNumberFormat="true" numFmtId="2" fillId="22" applyFill="true">
      <alignment horizontal="center" vertical="center"/>
    </xf>
    <xf fontId="24384" applyFont="true" borderId="8" applyBorder="true" applyNumberFormat="true" numFmtId="2" fillId="22" applyFill="true">
      <alignment horizontal="center" vertical="center"/>
    </xf>
    <xf fontId="24385" applyFont="true" borderId="8" applyBorder="true" applyNumberFormat="true" numFmtId="2" fillId="22" applyFill="true">
      <alignment horizontal="center" vertical="center"/>
    </xf>
    <xf fontId="24386" applyFont="true" borderId="8" applyBorder="true" applyNumberFormat="true" numFmtId="2" fillId="22" applyFill="true">
      <alignment horizontal="center" vertical="center"/>
    </xf>
    <xf fontId="24387" applyFont="true" borderId="8" applyBorder="true" applyNumberFormat="true" numFmtId="2" fillId="22" applyFill="true">
      <alignment horizontal="center" vertical="center"/>
    </xf>
    <xf fontId="24388" applyFont="true" borderId="8" applyBorder="true" applyNumberFormat="true" numFmtId="2" fillId="22" applyFill="true">
      <alignment horizontal="center" vertical="center"/>
    </xf>
    <xf fontId="24389" applyFont="true" borderId="8" applyBorder="true" applyNumberFormat="true" numFmtId="2" fillId="22" applyFill="true">
      <alignment horizontal="center" vertical="center"/>
    </xf>
    <xf fontId="24390" applyFont="true" borderId="8" applyBorder="true" applyNumberFormat="true" numFmtId="2" fillId="22" applyFill="true">
      <alignment horizontal="center" vertical="center"/>
    </xf>
    <xf fontId="24391" applyFont="true" borderId="8" applyBorder="true" applyNumberFormat="true" numFmtId="2" fillId="22" applyFill="true">
      <alignment horizontal="center" vertical="center"/>
    </xf>
    <xf fontId="24392" applyFont="true" borderId="8" applyBorder="true" applyNumberFormat="true" numFmtId="2" fillId="22" applyFill="true">
      <alignment horizontal="center" vertical="center"/>
    </xf>
    <xf fontId="24393" applyFont="true" borderId="8" applyBorder="true" applyNumberFormat="true" numFmtId="2" fillId="22" applyFill="true">
      <alignment horizontal="center" vertical="center"/>
    </xf>
    <xf fontId="24394" applyFont="true" borderId="8" applyBorder="true" applyNumberFormat="true" numFmtId="2" fillId="22" applyFill="true">
      <alignment horizontal="center" vertical="center"/>
    </xf>
    <xf fontId="24395" applyFont="true" borderId="8" applyBorder="true" applyNumberFormat="true" numFmtId="2" fillId="22" applyFill="true">
      <alignment horizontal="center" vertical="center"/>
    </xf>
    <xf fontId="24396" applyFont="true" borderId="8" applyBorder="true" applyNumberFormat="true" numFmtId="2" fillId="22" applyFill="true">
      <alignment horizontal="center" vertical="center"/>
    </xf>
    <xf fontId="24397" applyFont="true" borderId="8" applyBorder="true" applyNumberFormat="true" numFmtId="2" fillId="22" applyFill="true">
      <alignment horizontal="center" vertical="center"/>
    </xf>
    <xf fontId="24398" applyFont="true" borderId="8" applyBorder="true" applyNumberFormat="true" numFmtId="2" fillId="22" applyFill="true">
      <alignment horizontal="center" vertical="center"/>
    </xf>
    <xf fontId="24399" applyFont="true" borderId="8" applyBorder="true" applyNumberFormat="true" numFmtId="2" fillId="22" applyFill="true">
      <alignment horizontal="center" vertical="center"/>
    </xf>
    <xf fontId="24400" applyFont="true" borderId="8" applyBorder="true" applyNumberFormat="true" numFmtId="2" fillId="22" applyFill="true">
      <alignment horizontal="center" vertical="center"/>
    </xf>
    <xf fontId="24401" applyFont="true" borderId="8" applyBorder="true" applyNumberFormat="true" numFmtId="2" fillId="22" applyFill="true">
      <alignment horizontal="center" vertical="center"/>
    </xf>
    <xf fontId="24402" applyFont="true" borderId="8" applyBorder="true" applyNumberFormat="true" numFmtId="2" fillId="22" applyFill="true">
      <alignment horizontal="center" vertical="center"/>
    </xf>
    <xf fontId="24403" applyFont="true" borderId="8" applyBorder="true" applyNumberFormat="true" numFmtId="2" fillId="22" applyFill="true">
      <alignment horizontal="center" vertical="center"/>
    </xf>
    <xf fontId="24404" applyFont="true" borderId="8" applyBorder="true" applyNumberFormat="true" numFmtId="2" fillId="22" applyFill="true">
      <alignment horizontal="center" vertical="center"/>
    </xf>
    <xf fontId="24405" applyFont="true" borderId="8" applyBorder="true" applyNumberFormat="true" numFmtId="2" fillId="22" applyFill="true">
      <alignment horizontal="center" vertical="center"/>
    </xf>
    <xf fontId="24406" applyFont="true" borderId="8" applyBorder="true" applyNumberFormat="true" numFmtId="2" fillId="22" applyFill="true">
      <alignment horizontal="center" vertical="center"/>
    </xf>
    <xf fontId="24407" applyFont="true" borderId="8" applyBorder="true" applyNumberFormat="true" numFmtId="2" fillId="22" applyFill="true">
      <alignment horizontal="center" vertical="center"/>
    </xf>
    <xf fontId="24408" applyFont="true" borderId="8" applyBorder="true" applyNumberFormat="true" numFmtId="2" fillId="22" applyFill="true">
      <alignment horizontal="center" vertical="center"/>
    </xf>
    <xf fontId="24409" applyFont="true" borderId="8" applyBorder="true" applyNumberFormat="true" numFmtId="2" fillId="22" applyFill="true">
      <alignment horizontal="center" vertical="center"/>
    </xf>
    <xf fontId="24410" applyFont="true" borderId="8" applyBorder="true" applyNumberFormat="true" numFmtId="2" fillId="22" applyFill="true">
      <alignment horizontal="center" vertical="center"/>
    </xf>
    <xf fontId="24411" applyFont="true" borderId="8" applyBorder="true" applyNumberFormat="true" numFmtId="2" fillId="22" applyFill="true">
      <alignment horizontal="center" vertical="center"/>
    </xf>
    <xf fontId="24412" applyFont="true" borderId="8" applyBorder="true" applyNumberFormat="true" numFmtId="2" fillId="22" applyFill="true">
      <alignment horizontal="center" vertical="center"/>
    </xf>
    <xf fontId="24413" applyFont="true" borderId="8" applyBorder="true" applyNumberFormat="true" numFmtId="2" fillId="22" applyFill="true">
      <alignment horizontal="center" vertical="center"/>
    </xf>
    <xf fontId="24414" applyFont="true" borderId="8" applyBorder="true" applyNumberFormat="true" numFmtId="2" fillId="22" applyFill="true">
      <alignment horizontal="center" vertical="center"/>
    </xf>
    <xf fontId="24415" applyFont="true" borderId="8" applyBorder="true" applyNumberFormat="true" numFmtId="2" fillId="22" applyFill="true">
      <alignment horizontal="center" vertical="center"/>
    </xf>
    <xf fontId="24416" applyFont="true" borderId="8" applyBorder="true" applyNumberFormat="true" numFmtId="2" fillId="22" applyFill="true">
      <alignment horizontal="center" vertical="center"/>
    </xf>
    <xf fontId="24417" applyFont="true" borderId="8" applyBorder="true" applyNumberFormat="true" numFmtId="165" fillId="19" applyFill="true">
      <alignment horizontal="left" vertical="center"/>
    </xf>
    <xf fontId="24418" applyFont="true" borderId="8" applyBorder="true" applyNumberFormat="true" numFmtId="165" fillId="22" applyFill="true">
      <alignment horizontal="center" vertical="center"/>
    </xf>
    <xf fontId="24419" applyFont="true" borderId="8" applyBorder="true" applyNumberFormat="true" numFmtId="166" fillId="22" applyFill="true">
      <alignment horizontal="center" vertical="center"/>
    </xf>
    <xf fontId="24420" applyFont="true" borderId="8" applyBorder="true" applyNumberFormat="true" numFmtId="1" fillId="22" applyFill="true">
      <alignment horizontal="center" vertical="center"/>
    </xf>
    <xf fontId="24421" applyFont="true" borderId="8" applyBorder="true" applyNumberFormat="true" numFmtId="1" fillId="22" applyFill="true">
      <alignment horizontal="center" vertical="center"/>
    </xf>
    <xf fontId="24422" applyFont="true" borderId="8" applyBorder="true" applyNumberFormat="true" numFmtId="1" fillId="22" applyFill="true">
      <alignment horizontal="center" vertical="center"/>
    </xf>
    <xf fontId="24423" applyFont="true" borderId="8" applyBorder="true" applyNumberFormat="true" numFmtId="1" fillId="22" applyFill="true">
      <alignment horizontal="center" vertical="center"/>
    </xf>
    <xf fontId="24424" applyFont="true" borderId="8" applyBorder="true" applyNumberFormat="true" numFmtId="1" fillId="22" applyFill="true">
      <alignment horizontal="center" vertical="center"/>
    </xf>
    <xf fontId="24425" applyFont="true" borderId="8" applyBorder="true" applyNumberFormat="true" numFmtId="1" fillId="22" applyFill="true">
      <alignment horizontal="center" vertical="center"/>
    </xf>
    <xf fontId="24426" applyFont="true" borderId="8" applyBorder="true" applyNumberFormat="true" numFmtId="1" fillId="22" applyFill="true">
      <alignment horizontal="center" vertical="center"/>
    </xf>
    <xf fontId="24427" applyFont="true" borderId="8" applyBorder="true" applyNumberFormat="true" numFmtId="165" fillId="22" applyFill="true">
      <alignment horizontal="center" vertical="center"/>
    </xf>
    <xf fontId="24428" applyFont="true" borderId="8" applyBorder="true" applyNumberFormat="true" numFmtId="165" fillId="22" applyFill="true">
      <alignment horizontal="center" vertical="center"/>
    </xf>
    <xf fontId="24429" applyFont="true" borderId="8" applyBorder="true" applyNumberFormat="true" numFmtId="1" fillId="22" applyFill="true">
      <alignment horizontal="center" vertical="center"/>
    </xf>
    <xf fontId="24430" applyFont="true" borderId="8" applyBorder="true" applyNumberFormat="true" numFmtId="1" fillId="22" applyFill="true">
      <alignment horizontal="center" vertical="center"/>
    </xf>
    <xf fontId="24431" applyFont="true" borderId="8" applyBorder="true" applyNumberFormat="true" numFmtId="1" fillId="22" applyFill="true">
      <alignment horizontal="center" vertical="center"/>
    </xf>
    <xf fontId="24432" applyFont="true" borderId="8" applyBorder="true" applyNumberFormat="true" numFmtId="167" fillId="22" applyFill="true">
      <alignment horizontal="center" vertical="center"/>
    </xf>
    <xf fontId="24433" applyFont="true" borderId="8" applyBorder="true" applyNumberFormat="true" numFmtId="1" fillId="22" applyFill="true">
      <alignment horizontal="center" vertical="center"/>
    </xf>
    <xf fontId="24434" applyFont="true" borderId="8" applyBorder="true" applyNumberFormat="true" numFmtId="167" fillId="22" applyFill="true">
      <alignment horizontal="center" vertical="center"/>
    </xf>
    <xf fontId="24435" applyFont="true" borderId="8" applyBorder="true" applyNumberFormat="true" numFmtId="1" fillId="22" applyFill="true">
      <alignment horizontal="center" vertical="center"/>
    </xf>
    <xf fontId="24436" applyFont="true" borderId="8" applyBorder="true" applyNumberFormat="true" numFmtId="167" fillId="22" applyFill="true">
      <alignment horizontal="center" vertical="center"/>
    </xf>
    <xf fontId="24437" applyFont="true" borderId="8" applyBorder="true" applyNumberFormat="true" numFmtId="1" fillId="22" applyFill="true">
      <alignment horizontal="center" vertical="center"/>
    </xf>
    <xf fontId="24438" applyFont="true" borderId="8" applyBorder="true" applyNumberFormat="true" numFmtId="167" fillId="22" applyFill="true">
      <alignment horizontal="center" vertical="center"/>
    </xf>
    <xf fontId="24439" applyFont="true" borderId="8" applyBorder="true" applyNumberFormat="true" numFmtId="167" fillId="22" applyFill="true">
      <alignment horizontal="center" vertical="center"/>
    </xf>
    <xf fontId="24440" applyFont="true" borderId="8" applyBorder="true" applyNumberFormat="true" numFmtId="1" fillId="22" applyFill="true">
      <alignment horizontal="center" vertical="center"/>
    </xf>
    <xf fontId="24441" applyFont="true" borderId="8" applyBorder="true" applyNumberFormat="true" numFmtId="1" fillId="22" applyFill="true">
      <alignment horizontal="center" vertical="center"/>
    </xf>
    <xf fontId="24442" applyFont="true" borderId="8" applyBorder="true" applyNumberFormat="true" numFmtId="1" fillId="22" applyFill="true">
      <alignment horizontal="center" vertical="center"/>
    </xf>
    <xf fontId="24443" applyFont="true" borderId="8" applyBorder="true" applyNumberFormat="true" numFmtId="167" fillId="22" applyFill="true">
      <alignment horizontal="center" vertical="center"/>
    </xf>
    <xf fontId="24444" applyFont="true" borderId="8" applyBorder="true" applyNumberFormat="true" numFmtId="166" fillId="22" applyFill="true">
      <alignment horizontal="center" vertical="center"/>
    </xf>
    <xf fontId="24445" applyFont="true" borderId="8" applyBorder="true" applyNumberFormat="true" numFmtId="166" fillId="22" applyFill="true">
      <alignment horizontal="center" vertical="center"/>
    </xf>
    <xf fontId="24446" applyFont="true" borderId="8" applyBorder="true" applyNumberFormat="true" numFmtId="1" fillId="22" applyFill="true">
      <alignment horizontal="center" vertical="center"/>
    </xf>
    <xf fontId="24447" applyFont="true" borderId="8" applyBorder="true" applyNumberFormat="true" numFmtId="1" fillId="22" applyFill="true">
      <alignment horizontal="center" vertical="center"/>
    </xf>
    <xf fontId="24448" applyFont="true" borderId="8" applyBorder="true" applyNumberFormat="true" numFmtId="1" fillId="22" applyFill="true">
      <alignment horizontal="center" vertical="center"/>
    </xf>
    <xf fontId="24449" applyFont="true" borderId="8" applyBorder="true" applyNumberFormat="true" numFmtId="167" fillId="22" applyFill="true">
      <alignment horizontal="center" vertical="center"/>
    </xf>
    <xf fontId="24450" applyFont="true" borderId="8" applyBorder="true" applyNumberFormat="true" numFmtId="1" fillId="22" applyFill="true">
      <alignment horizontal="center" vertical="center"/>
    </xf>
    <xf fontId="24451" applyFont="true" borderId="8" applyBorder="true" applyNumberFormat="true" numFmtId="167" fillId="22" applyFill="true">
      <alignment horizontal="center" vertical="center"/>
    </xf>
    <xf fontId="24452" applyFont="true" borderId="8" applyBorder="true" applyNumberFormat="true" numFmtId="1" fillId="22" applyFill="true">
      <alignment horizontal="center" vertical="center"/>
    </xf>
    <xf fontId="24453" applyFont="true" borderId="8" applyBorder="true" applyNumberFormat="true" numFmtId="1" fillId="22" applyFill="true">
      <alignment horizontal="center" vertical="center"/>
    </xf>
    <xf fontId="24454" applyFont="true" borderId="8" applyBorder="true" applyNumberFormat="true" numFmtId="1" fillId="22" applyFill="true">
      <alignment horizontal="center" vertical="center"/>
    </xf>
    <xf fontId="24455" applyFont="true" borderId="8" applyBorder="true" applyNumberFormat="true" numFmtId="1" fillId="22" applyFill="true">
      <alignment horizontal="center" vertical="center"/>
    </xf>
    <xf fontId="24456" applyFont="true" borderId="8" applyBorder="true" applyNumberFormat="true" numFmtId="167" fillId="22" applyFill="true">
      <alignment horizontal="center" vertical="center"/>
    </xf>
    <xf fontId="24457" applyFont="true" borderId="8" applyBorder="true" applyNumberFormat="true" numFmtId="1" fillId="22" applyFill="true">
      <alignment horizontal="center" vertical="center"/>
    </xf>
    <xf fontId="24458" applyFont="true" borderId="8" applyBorder="true" applyNumberFormat="true" numFmtId="167" fillId="22" applyFill="true">
      <alignment horizontal="center" vertical="center"/>
    </xf>
    <xf fontId="24459" applyFont="true" borderId="8" applyBorder="true" applyNumberFormat="true" numFmtId="1" fillId="22" applyFill="true">
      <alignment horizontal="center" vertical="center"/>
    </xf>
    <xf fontId="24460" applyFont="true" borderId="8" applyBorder="true" applyNumberFormat="true" numFmtId="167" fillId="22" applyFill="true">
      <alignment horizontal="center" vertical="center"/>
    </xf>
    <xf fontId="24461" applyFont="true" borderId="8" applyBorder="true" applyNumberFormat="true" numFmtId="2" fillId="22" applyFill="true">
      <alignment horizontal="center" vertical="center"/>
    </xf>
    <xf fontId="24462" applyFont="true" borderId="8" applyBorder="true" applyNumberFormat="true" numFmtId="2" fillId="22" applyFill="true">
      <alignment horizontal="center" vertical="center"/>
    </xf>
    <xf fontId="24463" applyFont="true" borderId="8" applyBorder="true" applyNumberFormat="true" numFmtId="2" fillId="22" applyFill="true">
      <alignment horizontal="center" vertical="center"/>
    </xf>
    <xf fontId="24464" applyFont="true" borderId="8" applyBorder="true" applyNumberFormat="true" numFmtId="2" fillId="22" applyFill="true">
      <alignment horizontal="center" vertical="center"/>
    </xf>
    <xf fontId="24465" applyFont="true" borderId="8" applyBorder="true" applyNumberFormat="true" numFmtId="2" fillId="22" applyFill="true">
      <alignment horizontal="center" vertical="center"/>
    </xf>
    <xf fontId="24466" applyFont="true" borderId="8" applyBorder="true" applyNumberFormat="true" numFmtId="2" fillId="22" applyFill="true">
      <alignment horizontal="center" vertical="center"/>
    </xf>
    <xf fontId="24467" applyFont="true" borderId="8" applyBorder="true" applyNumberFormat="true" numFmtId="2" fillId="22" applyFill="true">
      <alignment horizontal="center" vertical="center"/>
    </xf>
    <xf fontId="24468" applyFont="true" borderId="8" applyBorder="true" applyNumberFormat="true" numFmtId="2" fillId="22" applyFill="true">
      <alignment horizontal="center" vertical="center"/>
    </xf>
    <xf fontId="24469" applyFont="true" borderId="8" applyBorder="true" applyNumberFormat="true" numFmtId="2" fillId="22" applyFill="true">
      <alignment horizontal="center" vertical="center"/>
    </xf>
    <xf fontId="24470" applyFont="true" borderId="8" applyBorder="true" applyNumberFormat="true" numFmtId="2" fillId="22" applyFill="true">
      <alignment horizontal="center" vertical="center"/>
    </xf>
    <xf fontId="24471" applyFont="true" borderId="8" applyBorder="true" applyNumberFormat="true" numFmtId="2" fillId="22" applyFill="true">
      <alignment horizontal="center" vertical="center"/>
    </xf>
    <xf fontId="24472" applyFont="true" borderId="8" applyBorder="true" applyNumberFormat="true" numFmtId="2" fillId="22" applyFill="true">
      <alignment horizontal="center" vertical="center"/>
    </xf>
    <xf fontId="24473" applyFont="true" borderId="8" applyBorder="true" applyNumberFormat="true" numFmtId="2" fillId="22" applyFill="true">
      <alignment horizontal="center" vertical="center"/>
    </xf>
    <xf fontId="24474" applyFont="true" borderId="8" applyBorder="true" applyNumberFormat="true" numFmtId="2" fillId="22" applyFill="true">
      <alignment horizontal="center" vertical="center"/>
    </xf>
    <xf fontId="24475" applyFont="true" borderId="8" applyBorder="true" applyNumberFormat="true" numFmtId="2" fillId="22" applyFill="true">
      <alignment horizontal="center" vertical="center"/>
    </xf>
    <xf fontId="24476" applyFont="true" borderId="8" applyBorder="true" applyNumberFormat="true" numFmtId="2" fillId="22" applyFill="true">
      <alignment horizontal="center" vertical="center"/>
    </xf>
    <xf fontId="24477" applyFont="true" borderId="8" applyBorder="true" applyNumberFormat="true" numFmtId="2" fillId="22" applyFill="true">
      <alignment horizontal="center" vertical="center"/>
    </xf>
    <xf fontId="24478" applyFont="true" borderId="8" applyBorder="true" applyNumberFormat="true" numFmtId="2" fillId="22" applyFill="true">
      <alignment horizontal="center" vertical="center"/>
    </xf>
    <xf fontId="24479" applyFont="true" borderId="8" applyBorder="true" applyNumberFormat="true" numFmtId="2" fillId="22" applyFill="true">
      <alignment horizontal="center" vertical="center"/>
    </xf>
    <xf fontId="24480" applyFont="true" borderId="8" applyBorder="true" applyNumberFormat="true" numFmtId="2" fillId="22" applyFill="true">
      <alignment horizontal="center" vertical="center"/>
    </xf>
    <xf fontId="24481" applyFont="true" borderId="8" applyBorder="true" applyNumberFormat="true" numFmtId="2" fillId="22" applyFill="true">
      <alignment horizontal="center" vertical="center"/>
    </xf>
    <xf fontId="24482" applyFont="true" borderId="8" applyBorder="true" applyNumberFormat="true" numFmtId="2" fillId="22" applyFill="true">
      <alignment horizontal="center" vertical="center"/>
    </xf>
    <xf fontId="24483" applyFont="true" borderId="8" applyBorder="true" applyNumberFormat="true" numFmtId="2" fillId="22" applyFill="true">
      <alignment horizontal="center" vertical="center"/>
    </xf>
    <xf fontId="24484" applyFont="true" borderId="8" applyBorder="true" applyNumberFormat="true" numFmtId="2" fillId="22" applyFill="true">
      <alignment horizontal="center" vertical="center"/>
    </xf>
    <xf fontId="24485" applyFont="true" borderId="8" applyBorder="true" applyNumberFormat="true" numFmtId="2" fillId="22" applyFill="true">
      <alignment horizontal="center" vertical="center"/>
    </xf>
    <xf fontId="24486" applyFont="true" borderId="8" applyBorder="true" applyNumberFormat="true" numFmtId="2" fillId="22" applyFill="true">
      <alignment horizontal="center" vertical="center"/>
    </xf>
    <xf fontId="24487" applyFont="true" borderId="8" applyBorder="true" applyNumberFormat="true" numFmtId="2" fillId="22" applyFill="true">
      <alignment horizontal="center" vertical="center"/>
    </xf>
    <xf fontId="24488" applyFont="true" borderId="8" applyBorder="true" applyNumberFormat="true" numFmtId="2" fillId="22" applyFill="true">
      <alignment horizontal="center" vertical="center"/>
    </xf>
    <xf fontId="24489" applyFont="true" borderId="8" applyBorder="true" applyNumberFormat="true" numFmtId="2" fillId="22" applyFill="true">
      <alignment horizontal="center" vertical="center"/>
    </xf>
    <xf fontId="24490" applyFont="true" borderId="8" applyBorder="true" applyNumberFormat="true" numFmtId="2" fillId="22" applyFill="true">
      <alignment horizontal="center" vertical="center"/>
    </xf>
    <xf fontId="24491" applyFont="true" borderId="8" applyBorder="true" applyNumberFormat="true" numFmtId="2" fillId="22" applyFill="true">
      <alignment horizontal="center" vertical="center"/>
    </xf>
    <xf fontId="24492" applyFont="true" borderId="8" applyBorder="true" applyNumberFormat="true" numFmtId="2" fillId="22" applyFill="true">
      <alignment horizontal="center" vertical="center"/>
    </xf>
    <xf fontId="24493" applyFont="true" borderId="8" applyBorder="true" applyNumberFormat="true" numFmtId="2" fillId="22" applyFill="true">
      <alignment horizontal="center" vertical="center"/>
    </xf>
    <xf fontId="24494" applyFont="true" borderId="8" applyBorder="true" applyNumberFormat="true" numFmtId="2" fillId="22" applyFill="true">
      <alignment horizontal="center" vertical="center"/>
    </xf>
    <xf fontId="24495" applyFont="true" borderId="8" applyBorder="true" applyNumberFormat="true" numFmtId="165" fillId="19" applyFill="true">
      <alignment horizontal="left" vertical="center"/>
    </xf>
    <xf fontId="24496" applyFont="true" borderId="8" applyBorder="true" applyNumberFormat="true" numFmtId="165" fillId="22" applyFill="true">
      <alignment horizontal="center" vertical="center"/>
    </xf>
    <xf fontId="24497" applyFont="true" borderId="8" applyBorder="true" applyNumberFormat="true" numFmtId="166" fillId="22" applyFill="true">
      <alignment horizontal="center" vertical="center"/>
    </xf>
    <xf fontId="24498" applyFont="true" borderId="8" applyBorder="true" applyNumberFormat="true" numFmtId="1" fillId="22" applyFill="true">
      <alignment horizontal="center" vertical="center"/>
    </xf>
    <xf fontId="24499" applyFont="true" borderId="8" applyBorder="true" applyNumberFormat="true" numFmtId="1" fillId="22" applyFill="true">
      <alignment horizontal="center" vertical="center"/>
    </xf>
    <xf fontId="24500" applyFont="true" borderId="8" applyBorder="true" applyNumberFormat="true" numFmtId="1" fillId="22" applyFill="true">
      <alignment horizontal="center" vertical="center"/>
    </xf>
    <xf fontId="24501" applyFont="true" borderId="8" applyBorder="true" applyNumberFormat="true" numFmtId="1" fillId="22" applyFill="true">
      <alignment horizontal="center" vertical="center"/>
    </xf>
    <xf fontId="24502" applyFont="true" borderId="8" applyBorder="true" applyNumberFormat="true" numFmtId="1" fillId="22" applyFill="true">
      <alignment horizontal="center" vertical="center"/>
    </xf>
    <xf fontId="24503" applyFont="true" borderId="8" applyBorder="true" applyNumberFormat="true" numFmtId="1" fillId="22" applyFill="true">
      <alignment horizontal="center" vertical="center"/>
    </xf>
    <xf fontId="24504" applyFont="true" borderId="8" applyBorder="true" applyNumberFormat="true" numFmtId="1" fillId="22" applyFill="true">
      <alignment horizontal="center" vertical="center"/>
    </xf>
    <xf fontId="24505" applyFont="true" borderId="8" applyBorder="true" applyNumberFormat="true" numFmtId="165" fillId="22" applyFill="true">
      <alignment horizontal="center" vertical="center"/>
    </xf>
    <xf fontId="24506" applyFont="true" borderId="8" applyBorder="true" applyNumberFormat="true" numFmtId="165" fillId="22" applyFill="true">
      <alignment horizontal="center" vertical="center"/>
    </xf>
    <xf fontId="24507" applyFont="true" borderId="8" applyBorder="true" applyNumberFormat="true" numFmtId="1" fillId="22" applyFill="true">
      <alignment horizontal="center" vertical="center"/>
    </xf>
    <xf fontId="24508" applyFont="true" borderId="8" applyBorder="true" applyNumberFormat="true" numFmtId="1" fillId="22" applyFill="true">
      <alignment horizontal="center" vertical="center"/>
    </xf>
    <xf fontId="24509" applyFont="true" borderId="8" applyBorder="true" applyNumberFormat="true" numFmtId="1" fillId="22" applyFill="true">
      <alignment horizontal="center" vertical="center"/>
    </xf>
    <xf fontId="24510" applyFont="true" borderId="8" applyBorder="true" applyNumberFormat="true" numFmtId="167" fillId="22" applyFill="true">
      <alignment horizontal="center" vertical="center"/>
    </xf>
    <xf fontId="24511" applyFont="true" borderId="8" applyBorder="true" applyNumberFormat="true" numFmtId="1" fillId="22" applyFill="true">
      <alignment horizontal="center" vertical="center"/>
    </xf>
    <xf fontId="24512" applyFont="true" borderId="8" applyBorder="true" applyNumberFormat="true" numFmtId="167" fillId="22" applyFill="true">
      <alignment horizontal="center" vertical="center"/>
    </xf>
    <xf fontId="24513" applyFont="true" borderId="8" applyBorder="true" applyNumberFormat="true" numFmtId="1" fillId="22" applyFill="true">
      <alignment horizontal="center" vertical="center"/>
    </xf>
    <xf fontId="24514" applyFont="true" borderId="8" applyBorder="true" applyNumberFormat="true" numFmtId="167" fillId="22" applyFill="true">
      <alignment horizontal="center" vertical="center"/>
    </xf>
    <xf fontId="24515" applyFont="true" borderId="8" applyBorder="true" applyNumberFormat="true" numFmtId="1" fillId="22" applyFill="true">
      <alignment horizontal="center" vertical="center"/>
    </xf>
    <xf fontId="24516" applyFont="true" borderId="8" applyBorder="true" applyNumberFormat="true" numFmtId="167" fillId="22" applyFill="true">
      <alignment horizontal="center" vertical="center"/>
    </xf>
    <xf fontId="24517" applyFont="true" borderId="8" applyBorder="true" applyNumberFormat="true" numFmtId="167" fillId="22" applyFill="true">
      <alignment horizontal="center" vertical="center"/>
    </xf>
    <xf fontId="24518" applyFont="true" borderId="8" applyBorder="true" applyNumberFormat="true" numFmtId="1" fillId="22" applyFill="true">
      <alignment horizontal="center" vertical="center"/>
    </xf>
    <xf fontId="24519" applyFont="true" borderId="8" applyBorder="true" applyNumberFormat="true" numFmtId="1" fillId="22" applyFill="true">
      <alignment horizontal="center" vertical="center"/>
    </xf>
    <xf fontId="24520" applyFont="true" borderId="8" applyBorder="true" applyNumberFormat="true" numFmtId="1" fillId="22" applyFill="true">
      <alignment horizontal="center" vertical="center"/>
    </xf>
    <xf fontId="24521" applyFont="true" borderId="8" applyBorder="true" applyNumberFormat="true" numFmtId="167" fillId="22" applyFill="true">
      <alignment horizontal="center" vertical="center"/>
    </xf>
    <xf fontId="24522" applyFont="true" borderId="8" applyBorder="true" applyNumberFormat="true" numFmtId="166" fillId="22" applyFill="true">
      <alignment horizontal="center" vertical="center"/>
    </xf>
    <xf fontId="24523" applyFont="true" borderId="8" applyBorder="true" applyNumberFormat="true" numFmtId="166" fillId="22" applyFill="true">
      <alignment horizontal="center" vertical="center"/>
    </xf>
    <xf fontId="24524" applyFont="true" borderId="8" applyBorder="true" applyNumberFormat="true" numFmtId="1" fillId="22" applyFill="true">
      <alignment horizontal="center" vertical="center"/>
    </xf>
    <xf fontId="24525" applyFont="true" borderId="8" applyBorder="true" applyNumberFormat="true" numFmtId="1" fillId="22" applyFill="true">
      <alignment horizontal="center" vertical="center"/>
    </xf>
    <xf fontId="24526" applyFont="true" borderId="8" applyBorder="true" applyNumberFormat="true" numFmtId="1" fillId="22" applyFill="true">
      <alignment horizontal="center" vertical="center"/>
    </xf>
    <xf fontId="24527" applyFont="true" borderId="8" applyBorder="true" applyNumberFormat="true" numFmtId="167" fillId="22" applyFill="true">
      <alignment horizontal="center" vertical="center"/>
    </xf>
    <xf fontId="24528" applyFont="true" borderId="8" applyBorder="true" applyNumberFormat="true" numFmtId="1" fillId="22" applyFill="true">
      <alignment horizontal="center" vertical="center"/>
    </xf>
    <xf fontId="24529" applyFont="true" borderId="8" applyBorder="true" applyNumberFormat="true" numFmtId="167" fillId="22" applyFill="true">
      <alignment horizontal="center" vertical="center"/>
    </xf>
    <xf fontId="24530" applyFont="true" borderId="8" applyBorder="true" applyNumberFormat="true" numFmtId="1" fillId="22" applyFill="true">
      <alignment horizontal="center" vertical="center"/>
    </xf>
    <xf fontId="24531" applyFont="true" borderId="8" applyBorder="true" applyNumberFormat="true" numFmtId="1" fillId="22" applyFill="true">
      <alignment horizontal="center" vertical="center"/>
    </xf>
    <xf fontId="24532" applyFont="true" borderId="8" applyBorder="true" applyNumberFormat="true" numFmtId="1" fillId="22" applyFill="true">
      <alignment horizontal="center" vertical="center"/>
    </xf>
    <xf fontId="24533" applyFont="true" borderId="8" applyBorder="true" applyNumberFormat="true" numFmtId="1" fillId="22" applyFill="true">
      <alignment horizontal="center" vertical="center"/>
    </xf>
    <xf fontId="24534" applyFont="true" borderId="8" applyBorder="true" applyNumberFormat="true" numFmtId="167" fillId="22" applyFill="true">
      <alignment horizontal="center" vertical="center"/>
    </xf>
    <xf fontId="24535" applyFont="true" borderId="8" applyBorder="true" applyNumberFormat="true" numFmtId="1" fillId="22" applyFill="true">
      <alignment horizontal="center" vertical="center"/>
    </xf>
    <xf fontId="24536" applyFont="true" borderId="8" applyBorder="true" applyNumberFormat="true" numFmtId="167" fillId="22" applyFill="true">
      <alignment horizontal="center" vertical="center"/>
    </xf>
    <xf fontId="24537" applyFont="true" borderId="8" applyBorder="true" applyNumberFormat="true" numFmtId="1" fillId="22" applyFill="true">
      <alignment horizontal="center" vertical="center"/>
    </xf>
    <xf fontId="24538" applyFont="true" borderId="8" applyBorder="true" applyNumberFormat="true" numFmtId="167" fillId="22" applyFill="true">
      <alignment horizontal="center" vertical="center"/>
    </xf>
    <xf fontId="24539" applyFont="true" borderId="8" applyBorder="true" applyNumberFormat="true" numFmtId="2" fillId="22" applyFill="true">
      <alignment horizontal="center" vertical="center"/>
    </xf>
    <xf fontId="24540" applyFont="true" borderId="8" applyBorder="true" applyNumberFormat="true" numFmtId="2" fillId="22" applyFill="true">
      <alignment horizontal="center" vertical="center"/>
    </xf>
    <xf fontId="24541" applyFont="true" borderId="8" applyBorder="true" applyNumberFormat="true" numFmtId="2" fillId="22" applyFill="true">
      <alignment horizontal="center" vertical="center"/>
    </xf>
    <xf fontId="24542" applyFont="true" borderId="8" applyBorder="true" applyNumberFormat="true" numFmtId="2" fillId="22" applyFill="true">
      <alignment horizontal="center" vertical="center"/>
    </xf>
    <xf fontId="24543" applyFont="true" borderId="8" applyBorder="true" applyNumberFormat="true" numFmtId="2" fillId="22" applyFill="true">
      <alignment horizontal="center" vertical="center"/>
    </xf>
    <xf fontId="24544" applyFont="true" borderId="8" applyBorder="true" applyNumberFormat="true" numFmtId="2" fillId="22" applyFill="true">
      <alignment horizontal="center" vertical="center"/>
    </xf>
    <xf fontId="24545" applyFont="true" borderId="8" applyBorder="true" applyNumberFormat="true" numFmtId="2" fillId="22" applyFill="true">
      <alignment horizontal="center" vertical="center"/>
    </xf>
    <xf fontId="24546" applyFont="true" borderId="8" applyBorder="true" applyNumberFormat="true" numFmtId="2" fillId="22" applyFill="true">
      <alignment horizontal="center" vertical="center"/>
    </xf>
    <xf fontId="24547" applyFont="true" borderId="8" applyBorder="true" applyNumberFormat="true" numFmtId="2" fillId="22" applyFill="true">
      <alignment horizontal="center" vertical="center"/>
    </xf>
    <xf fontId="24548" applyFont="true" borderId="8" applyBorder="true" applyNumberFormat="true" numFmtId="2" fillId="22" applyFill="true">
      <alignment horizontal="center" vertical="center"/>
    </xf>
    <xf fontId="24549" applyFont="true" borderId="8" applyBorder="true" applyNumberFormat="true" numFmtId="2" fillId="22" applyFill="true">
      <alignment horizontal="center" vertical="center"/>
    </xf>
    <xf fontId="24550" applyFont="true" borderId="8" applyBorder="true" applyNumberFormat="true" numFmtId="2" fillId="22" applyFill="true">
      <alignment horizontal="center" vertical="center"/>
    </xf>
    <xf fontId="24551" applyFont="true" borderId="8" applyBorder="true" applyNumberFormat="true" numFmtId="2" fillId="22" applyFill="true">
      <alignment horizontal="center" vertical="center"/>
    </xf>
    <xf fontId="24552" applyFont="true" borderId="8" applyBorder="true" applyNumberFormat="true" numFmtId="2" fillId="22" applyFill="true">
      <alignment horizontal="center" vertical="center"/>
    </xf>
    <xf fontId="24553" applyFont="true" borderId="8" applyBorder="true" applyNumberFormat="true" numFmtId="2" fillId="22" applyFill="true">
      <alignment horizontal="center" vertical="center"/>
    </xf>
    <xf fontId="24554" applyFont="true" borderId="8" applyBorder="true" applyNumberFormat="true" numFmtId="2" fillId="22" applyFill="true">
      <alignment horizontal="center" vertical="center"/>
    </xf>
    <xf fontId="24555" applyFont="true" borderId="8" applyBorder="true" applyNumberFormat="true" numFmtId="2" fillId="22" applyFill="true">
      <alignment horizontal="center" vertical="center"/>
    </xf>
    <xf fontId="24556" applyFont="true" borderId="8" applyBorder="true" applyNumberFormat="true" numFmtId="2" fillId="22" applyFill="true">
      <alignment horizontal="center" vertical="center"/>
    </xf>
    <xf fontId="24557" applyFont="true" borderId="8" applyBorder="true" applyNumberFormat="true" numFmtId="2" fillId="22" applyFill="true">
      <alignment horizontal="center" vertical="center"/>
    </xf>
    <xf fontId="24558" applyFont="true" borderId="8" applyBorder="true" applyNumberFormat="true" numFmtId="2" fillId="22" applyFill="true">
      <alignment horizontal="center" vertical="center"/>
    </xf>
    <xf fontId="24559" applyFont="true" borderId="8" applyBorder="true" applyNumberFormat="true" numFmtId="2" fillId="22" applyFill="true">
      <alignment horizontal="center" vertical="center"/>
    </xf>
    <xf fontId="24560" applyFont="true" borderId="8" applyBorder="true" applyNumberFormat="true" numFmtId="2" fillId="22" applyFill="true">
      <alignment horizontal="center" vertical="center"/>
    </xf>
    <xf fontId="24561" applyFont="true" borderId="8" applyBorder="true" applyNumberFormat="true" numFmtId="2" fillId="22" applyFill="true">
      <alignment horizontal="center" vertical="center"/>
    </xf>
    <xf fontId="24562" applyFont="true" borderId="8" applyBorder="true" applyNumberFormat="true" numFmtId="2" fillId="22" applyFill="true">
      <alignment horizontal="center" vertical="center"/>
    </xf>
    <xf fontId="24563" applyFont="true" borderId="8" applyBorder="true" applyNumberFormat="true" numFmtId="2" fillId="22" applyFill="true">
      <alignment horizontal="center" vertical="center"/>
    </xf>
    <xf fontId="24564" applyFont="true" borderId="8" applyBorder="true" applyNumberFormat="true" numFmtId="2" fillId="22" applyFill="true">
      <alignment horizontal="center" vertical="center"/>
    </xf>
    <xf fontId="24565" applyFont="true" borderId="8" applyBorder="true" applyNumberFormat="true" numFmtId="2" fillId="22" applyFill="true">
      <alignment horizontal="center" vertical="center"/>
    </xf>
    <xf fontId="24566" applyFont="true" borderId="8" applyBorder="true" applyNumberFormat="true" numFmtId="2" fillId="22" applyFill="true">
      <alignment horizontal="center" vertical="center"/>
    </xf>
    <xf fontId="24567" applyFont="true" borderId="8" applyBorder="true" applyNumberFormat="true" numFmtId="2" fillId="22" applyFill="true">
      <alignment horizontal="center" vertical="center"/>
    </xf>
    <xf fontId="24568" applyFont="true" borderId="8" applyBorder="true" applyNumberFormat="true" numFmtId="2" fillId="22" applyFill="true">
      <alignment horizontal="center" vertical="center"/>
    </xf>
    <xf fontId="24569" applyFont="true" borderId="8" applyBorder="true" applyNumberFormat="true" numFmtId="2" fillId="22" applyFill="true">
      <alignment horizontal="center" vertical="center"/>
    </xf>
    <xf fontId="24570" applyFont="true" borderId="8" applyBorder="true" applyNumberFormat="true" numFmtId="2" fillId="22" applyFill="true">
      <alignment horizontal="center" vertical="center"/>
    </xf>
    <xf fontId="24571" applyFont="true" borderId="8" applyBorder="true" applyNumberFormat="true" numFmtId="2" fillId="22" applyFill="true">
      <alignment horizontal="center" vertical="center"/>
    </xf>
    <xf fontId="24572" applyFont="true" borderId="8" applyBorder="true" applyNumberFormat="true" numFmtId="2" fillId="22" applyFill="true">
      <alignment horizontal="center" vertical="center"/>
    </xf>
    <xf fontId="24573" applyFont="true" borderId="8" applyBorder="true" applyNumberFormat="true" numFmtId="165" fillId="19" applyFill="true">
      <alignment horizontal="left" vertical="center"/>
    </xf>
    <xf fontId="24574" applyFont="true" borderId="8" applyBorder="true" applyNumberFormat="true" numFmtId="165" fillId="22" applyFill="true">
      <alignment horizontal="center" vertical="center"/>
    </xf>
    <xf fontId="24575" applyFont="true" borderId="8" applyBorder="true" applyNumberFormat="true" numFmtId="166" fillId="22" applyFill="true">
      <alignment horizontal="center" vertical="center"/>
    </xf>
    <xf fontId="24576" applyFont="true" borderId="8" applyBorder="true" applyNumberFormat="true" numFmtId="1" fillId="22" applyFill="true">
      <alignment horizontal="center" vertical="center"/>
    </xf>
    <xf fontId="24577" applyFont="true" borderId="8" applyBorder="true" applyNumberFormat="true" numFmtId="1" fillId="22" applyFill="true">
      <alignment horizontal="center" vertical="center"/>
    </xf>
    <xf fontId="24578" applyFont="true" borderId="8" applyBorder="true" applyNumberFormat="true" numFmtId="1" fillId="22" applyFill="true">
      <alignment horizontal="center" vertical="center"/>
    </xf>
    <xf fontId="24579" applyFont="true" borderId="8" applyBorder="true" applyNumberFormat="true" numFmtId="1" fillId="22" applyFill="true">
      <alignment horizontal="center" vertical="center"/>
    </xf>
    <xf fontId="24580" applyFont="true" borderId="8" applyBorder="true" applyNumberFormat="true" numFmtId="1" fillId="22" applyFill="true">
      <alignment horizontal="center" vertical="center"/>
    </xf>
    <xf fontId="24581" applyFont="true" borderId="8" applyBorder="true" applyNumberFormat="true" numFmtId="1" fillId="22" applyFill="true">
      <alignment horizontal="center" vertical="center"/>
    </xf>
    <xf fontId="24582" applyFont="true" borderId="8" applyBorder="true" applyNumberFormat="true" numFmtId="1" fillId="22" applyFill="true">
      <alignment horizontal="center" vertical="center"/>
    </xf>
    <xf fontId="24583" applyFont="true" borderId="8" applyBorder="true" applyNumberFormat="true" numFmtId="165" fillId="22" applyFill="true">
      <alignment horizontal="center" vertical="center"/>
    </xf>
    <xf fontId="24584" applyFont="true" borderId="8" applyBorder="true" applyNumberFormat="true" numFmtId="165" fillId="22" applyFill="true">
      <alignment horizontal="center" vertical="center"/>
    </xf>
    <xf fontId="24585" applyFont="true" borderId="8" applyBorder="true" applyNumberFormat="true" numFmtId="1" fillId="22" applyFill="true">
      <alignment horizontal="center" vertical="center"/>
    </xf>
    <xf fontId="24586" applyFont="true" borderId="8" applyBorder="true" applyNumberFormat="true" numFmtId="1" fillId="22" applyFill="true">
      <alignment horizontal="center" vertical="center"/>
    </xf>
    <xf fontId="24587" applyFont="true" borderId="8" applyBorder="true" applyNumberFormat="true" numFmtId="1" fillId="22" applyFill="true">
      <alignment horizontal="center" vertical="center"/>
    </xf>
    <xf fontId="24588" applyFont="true" borderId="8" applyBorder="true" applyNumberFormat="true" numFmtId="167" fillId="22" applyFill="true">
      <alignment horizontal="center" vertical="center"/>
    </xf>
    <xf fontId="24589" applyFont="true" borderId="8" applyBorder="true" applyNumberFormat="true" numFmtId="1" fillId="22" applyFill="true">
      <alignment horizontal="center" vertical="center"/>
    </xf>
    <xf fontId="24590" applyFont="true" borderId="8" applyBorder="true" applyNumberFormat="true" numFmtId="167" fillId="22" applyFill="true">
      <alignment horizontal="center" vertical="center"/>
    </xf>
    <xf fontId="24591" applyFont="true" borderId="8" applyBorder="true" applyNumberFormat="true" numFmtId="1" fillId="22" applyFill="true">
      <alignment horizontal="center" vertical="center"/>
    </xf>
    <xf fontId="24592" applyFont="true" borderId="8" applyBorder="true" applyNumberFormat="true" numFmtId="167" fillId="22" applyFill="true">
      <alignment horizontal="center" vertical="center"/>
    </xf>
    <xf fontId="24593" applyFont="true" borderId="8" applyBorder="true" applyNumberFormat="true" numFmtId="1" fillId="22" applyFill="true">
      <alignment horizontal="center" vertical="center"/>
    </xf>
    <xf fontId="24594" applyFont="true" borderId="8" applyBorder="true" applyNumberFormat="true" numFmtId="167" fillId="22" applyFill="true">
      <alignment horizontal="center" vertical="center"/>
    </xf>
    <xf fontId="24595" applyFont="true" borderId="8" applyBorder="true" applyNumberFormat="true" numFmtId="167" fillId="22" applyFill="true">
      <alignment horizontal="center" vertical="center"/>
    </xf>
    <xf fontId="24596" applyFont="true" borderId="8" applyBorder="true" applyNumberFormat="true" numFmtId="1" fillId="22" applyFill="true">
      <alignment horizontal="center" vertical="center"/>
    </xf>
    <xf fontId="24597" applyFont="true" borderId="8" applyBorder="true" applyNumberFormat="true" numFmtId="1" fillId="22" applyFill="true">
      <alignment horizontal="center" vertical="center"/>
    </xf>
    <xf fontId="24598" applyFont="true" borderId="8" applyBorder="true" applyNumberFormat="true" numFmtId="1" fillId="22" applyFill="true">
      <alignment horizontal="center" vertical="center"/>
    </xf>
    <xf fontId="24599" applyFont="true" borderId="8" applyBorder="true" applyNumberFormat="true" numFmtId="167" fillId="22" applyFill="true">
      <alignment horizontal="center" vertical="center"/>
    </xf>
    <xf fontId="24600" applyFont="true" borderId="8" applyBorder="true" applyNumberFormat="true" numFmtId="166" fillId="22" applyFill="true">
      <alignment horizontal="center" vertical="center"/>
    </xf>
    <xf fontId="24601" applyFont="true" borderId="8" applyBorder="true" applyNumberFormat="true" numFmtId="166" fillId="22" applyFill="true">
      <alignment horizontal="center" vertical="center"/>
    </xf>
    <xf fontId="24602" applyFont="true" borderId="8" applyBorder="true" applyNumberFormat="true" numFmtId="1" fillId="22" applyFill="true">
      <alignment horizontal="center" vertical="center"/>
    </xf>
    <xf fontId="24603" applyFont="true" borderId="8" applyBorder="true" applyNumberFormat="true" numFmtId="1" fillId="22" applyFill="true">
      <alignment horizontal="center" vertical="center"/>
    </xf>
    <xf fontId="24604" applyFont="true" borderId="8" applyBorder="true" applyNumberFormat="true" numFmtId="1" fillId="22" applyFill="true">
      <alignment horizontal="center" vertical="center"/>
    </xf>
    <xf fontId="24605" applyFont="true" borderId="8" applyBorder="true" applyNumberFormat="true" numFmtId="167" fillId="22" applyFill="true">
      <alignment horizontal="center" vertical="center"/>
    </xf>
    <xf fontId="24606" applyFont="true" borderId="8" applyBorder="true" applyNumberFormat="true" numFmtId="1" fillId="22" applyFill="true">
      <alignment horizontal="center" vertical="center"/>
    </xf>
    <xf fontId="24607" applyFont="true" borderId="8" applyBorder="true" applyNumberFormat="true" numFmtId="167" fillId="22" applyFill="true">
      <alignment horizontal="center" vertical="center"/>
    </xf>
    <xf fontId="24608" applyFont="true" borderId="8" applyBorder="true" applyNumberFormat="true" numFmtId="1" fillId="22" applyFill="true">
      <alignment horizontal="center" vertical="center"/>
    </xf>
    <xf fontId="24609" applyFont="true" borderId="8" applyBorder="true" applyNumberFormat="true" numFmtId="1" fillId="22" applyFill="true">
      <alignment horizontal="center" vertical="center"/>
    </xf>
    <xf fontId="24610" applyFont="true" borderId="8" applyBorder="true" applyNumberFormat="true" numFmtId="1" fillId="22" applyFill="true">
      <alignment horizontal="center" vertical="center"/>
    </xf>
    <xf fontId="24611" applyFont="true" borderId="8" applyBorder="true" applyNumberFormat="true" numFmtId="1" fillId="22" applyFill="true">
      <alignment horizontal="center" vertical="center"/>
    </xf>
    <xf fontId="24612" applyFont="true" borderId="8" applyBorder="true" applyNumberFormat="true" numFmtId="167" fillId="22" applyFill="true">
      <alignment horizontal="center" vertical="center"/>
    </xf>
    <xf fontId="24613" applyFont="true" borderId="8" applyBorder="true" applyNumberFormat="true" numFmtId="1" fillId="22" applyFill="true">
      <alignment horizontal="center" vertical="center"/>
    </xf>
    <xf fontId="24614" applyFont="true" borderId="8" applyBorder="true" applyNumberFormat="true" numFmtId="167" fillId="22" applyFill="true">
      <alignment horizontal="center" vertical="center"/>
    </xf>
    <xf fontId="24615" applyFont="true" borderId="8" applyBorder="true" applyNumberFormat="true" numFmtId="1" fillId="22" applyFill="true">
      <alignment horizontal="center" vertical="center"/>
    </xf>
    <xf fontId="24616" applyFont="true" borderId="8" applyBorder="true" applyNumberFormat="true" numFmtId="167" fillId="22" applyFill="true">
      <alignment horizontal="center" vertical="center"/>
    </xf>
    <xf fontId="24617" applyFont="true" borderId="8" applyBorder="true" applyNumberFormat="true" numFmtId="2" fillId="22" applyFill="true">
      <alignment horizontal="center" vertical="center"/>
    </xf>
    <xf fontId="24618" applyFont="true" borderId="8" applyBorder="true" applyNumberFormat="true" numFmtId="2" fillId="22" applyFill="true">
      <alignment horizontal="center" vertical="center"/>
    </xf>
    <xf fontId="24619" applyFont="true" borderId="8" applyBorder="true" applyNumberFormat="true" numFmtId="2" fillId="22" applyFill="true">
      <alignment horizontal="center" vertical="center"/>
    </xf>
    <xf fontId="24620" applyFont="true" borderId="8" applyBorder="true" applyNumberFormat="true" numFmtId="2" fillId="22" applyFill="true">
      <alignment horizontal="center" vertical="center"/>
    </xf>
    <xf fontId="24621" applyFont="true" borderId="8" applyBorder="true" applyNumberFormat="true" numFmtId="2" fillId="22" applyFill="true">
      <alignment horizontal="center" vertical="center"/>
    </xf>
    <xf fontId="24622" applyFont="true" borderId="8" applyBorder="true" applyNumberFormat="true" numFmtId="2" fillId="22" applyFill="true">
      <alignment horizontal="center" vertical="center"/>
    </xf>
    <xf fontId="24623" applyFont="true" borderId="8" applyBorder="true" applyNumberFormat="true" numFmtId="2" fillId="22" applyFill="true">
      <alignment horizontal="center" vertical="center"/>
    </xf>
    <xf fontId="24624" applyFont="true" borderId="8" applyBorder="true" applyNumberFormat="true" numFmtId="2" fillId="22" applyFill="true">
      <alignment horizontal="center" vertical="center"/>
    </xf>
    <xf fontId="24625" applyFont="true" borderId="8" applyBorder="true" applyNumberFormat="true" numFmtId="2" fillId="22" applyFill="true">
      <alignment horizontal="center" vertical="center"/>
    </xf>
    <xf fontId="24626" applyFont="true" borderId="8" applyBorder="true" applyNumberFormat="true" numFmtId="2" fillId="22" applyFill="true">
      <alignment horizontal="center" vertical="center"/>
    </xf>
    <xf fontId="24627" applyFont="true" borderId="8" applyBorder="true" applyNumberFormat="true" numFmtId="2" fillId="22" applyFill="true">
      <alignment horizontal="center" vertical="center"/>
    </xf>
    <xf fontId="24628" applyFont="true" borderId="8" applyBorder="true" applyNumberFormat="true" numFmtId="2" fillId="22" applyFill="true">
      <alignment horizontal="center" vertical="center"/>
    </xf>
    <xf fontId="24629" applyFont="true" borderId="8" applyBorder="true" applyNumberFormat="true" numFmtId="2" fillId="22" applyFill="true">
      <alignment horizontal="center" vertical="center"/>
    </xf>
    <xf fontId="24630" applyFont="true" borderId="8" applyBorder="true" applyNumberFormat="true" numFmtId="2" fillId="22" applyFill="true">
      <alignment horizontal="center" vertical="center"/>
    </xf>
    <xf fontId="24631" applyFont="true" borderId="8" applyBorder="true" applyNumberFormat="true" numFmtId="2" fillId="22" applyFill="true">
      <alignment horizontal="center" vertical="center"/>
    </xf>
    <xf fontId="24632" applyFont="true" borderId="8" applyBorder="true" applyNumberFormat="true" numFmtId="2" fillId="22" applyFill="true">
      <alignment horizontal="center" vertical="center"/>
    </xf>
    <xf fontId="24633" applyFont="true" borderId="8" applyBorder="true" applyNumberFormat="true" numFmtId="2" fillId="22" applyFill="true">
      <alignment horizontal="center" vertical="center"/>
    </xf>
    <xf fontId="24634" applyFont="true" borderId="8" applyBorder="true" applyNumberFormat="true" numFmtId="2" fillId="22" applyFill="true">
      <alignment horizontal="center" vertical="center"/>
    </xf>
    <xf fontId="24635" applyFont="true" borderId="8" applyBorder="true" applyNumberFormat="true" numFmtId="2" fillId="22" applyFill="true">
      <alignment horizontal="center" vertical="center"/>
    </xf>
    <xf fontId="24636" applyFont="true" borderId="8" applyBorder="true" applyNumberFormat="true" numFmtId="2" fillId="22" applyFill="true">
      <alignment horizontal="center" vertical="center"/>
    </xf>
    <xf fontId="24637" applyFont="true" borderId="8" applyBorder="true" applyNumberFormat="true" numFmtId="2" fillId="22" applyFill="true">
      <alignment horizontal="center" vertical="center"/>
    </xf>
    <xf fontId="24638" applyFont="true" borderId="8" applyBorder="true" applyNumberFormat="true" numFmtId="2" fillId="22" applyFill="true">
      <alignment horizontal="center" vertical="center"/>
    </xf>
    <xf fontId="24639" applyFont="true" borderId="8" applyBorder="true" applyNumberFormat="true" numFmtId="2" fillId="22" applyFill="true">
      <alignment horizontal="center" vertical="center"/>
    </xf>
    <xf fontId="24640" applyFont="true" borderId="8" applyBorder="true" applyNumberFormat="true" numFmtId="2" fillId="22" applyFill="true">
      <alignment horizontal="center" vertical="center"/>
    </xf>
    <xf fontId="24641" applyFont="true" borderId="8" applyBorder="true" applyNumberFormat="true" numFmtId="2" fillId="22" applyFill="true">
      <alignment horizontal="center" vertical="center"/>
    </xf>
    <xf fontId="24642" applyFont="true" borderId="8" applyBorder="true" applyNumberFormat="true" numFmtId="2" fillId="22" applyFill="true">
      <alignment horizontal="center" vertical="center"/>
    </xf>
    <xf fontId="24643" applyFont="true" borderId="8" applyBorder="true" applyNumberFormat="true" numFmtId="2" fillId="22" applyFill="true">
      <alignment horizontal="center" vertical="center"/>
    </xf>
    <xf fontId="24644" applyFont="true" borderId="8" applyBorder="true" applyNumberFormat="true" numFmtId="2" fillId="22" applyFill="true">
      <alignment horizontal="center" vertical="center"/>
    </xf>
    <xf fontId="24645" applyFont="true" borderId="8" applyBorder="true" applyNumberFormat="true" numFmtId="2" fillId="22" applyFill="true">
      <alignment horizontal="center" vertical="center"/>
    </xf>
    <xf fontId="24646" applyFont="true" borderId="8" applyBorder="true" applyNumberFormat="true" numFmtId="2" fillId="22" applyFill="true">
      <alignment horizontal="center" vertical="center"/>
    </xf>
    <xf fontId="24647" applyFont="true" borderId="8" applyBorder="true" applyNumberFormat="true" numFmtId="2" fillId="22" applyFill="true">
      <alignment horizontal="center" vertical="center"/>
    </xf>
    <xf fontId="24648" applyFont="true" borderId="8" applyBorder="true" applyNumberFormat="true" numFmtId="2" fillId="22" applyFill="true">
      <alignment horizontal="center" vertical="center"/>
    </xf>
    <xf fontId="24649" applyFont="true" borderId="8" applyBorder="true" applyNumberFormat="true" numFmtId="2" fillId="22" applyFill="true">
      <alignment horizontal="center" vertical="center"/>
    </xf>
    <xf fontId="24650" applyFont="true" borderId="8" applyBorder="true" applyNumberFormat="true" numFmtId="2" fillId="22" applyFill="true">
      <alignment horizontal="center" vertical="center"/>
    </xf>
    <xf fontId="24651" applyFont="true" borderId="8" applyBorder="true" applyNumberFormat="true" numFmtId="165" fillId="19" applyFill="true">
      <alignment horizontal="left" vertical="center"/>
    </xf>
    <xf fontId="24652" applyFont="true" borderId="8" applyBorder="true" applyNumberFormat="true" numFmtId="165" fillId="22" applyFill="true">
      <alignment horizontal="center" vertical="center"/>
    </xf>
    <xf fontId="24653" applyFont="true" borderId="8" applyBorder="true" applyNumberFormat="true" numFmtId="166" fillId="22" applyFill="true">
      <alignment horizontal="center" vertical="center"/>
    </xf>
    <xf fontId="24654" applyFont="true" borderId="8" applyBorder="true" applyNumberFormat="true" numFmtId="1" fillId="22" applyFill="true">
      <alignment horizontal="center" vertical="center"/>
    </xf>
    <xf fontId="24655" applyFont="true" borderId="8" applyBorder="true" applyNumberFormat="true" numFmtId="1" fillId="22" applyFill="true">
      <alignment horizontal="center" vertical="center"/>
    </xf>
    <xf fontId="24656" applyFont="true" borderId="8" applyBorder="true" applyNumberFormat="true" numFmtId="1" fillId="22" applyFill="true">
      <alignment horizontal="center" vertical="center"/>
    </xf>
    <xf fontId="24657" applyFont="true" borderId="8" applyBorder="true" applyNumberFormat="true" numFmtId="1" fillId="22" applyFill="true">
      <alignment horizontal="center" vertical="center"/>
    </xf>
    <xf fontId="24658" applyFont="true" borderId="8" applyBorder="true" applyNumberFormat="true" numFmtId="1" fillId="22" applyFill="true">
      <alignment horizontal="center" vertical="center"/>
    </xf>
    <xf fontId="24659" applyFont="true" borderId="8" applyBorder="true" applyNumberFormat="true" numFmtId="1" fillId="22" applyFill="true">
      <alignment horizontal="center" vertical="center"/>
    </xf>
    <xf fontId="24660" applyFont="true" borderId="8" applyBorder="true" applyNumberFormat="true" numFmtId="1" fillId="22" applyFill="true">
      <alignment horizontal="center" vertical="center"/>
    </xf>
    <xf fontId="24661" applyFont="true" borderId="8" applyBorder="true" applyNumberFormat="true" numFmtId="165" fillId="22" applyFill="true">
      <alignment horizontal="center" vertical="center"/>
    </xf>
    <xf fontId="24662" applyFont="true" borderId="8" applyBorder="true" applyNumberFormat="true" numFmtId="165" fillId="22" applyFill="true">
      <alignment horizontal="center" vertical="center"/>
    </xf>
    <xf fontId="24663" applyFont="true" borderId="8" applyBorder="true" applyNumberFormat="true" numFmtId="1" fillId="22" applyFill="true">
      <alignment horizontal="center" vertical="center"/>
    </xf>
    <xf fontId="24664" applyFont="true" borderId="8" applyBorder="true" applyNumberFormat="true" numFmtId="1" fillId="22" applyFill="true">
      <alignment horizontal="center" vertical="center"/>
    </xf>
    <xf fontId="24665" applyFont="true" borderId="8" applyBorder="true" applyNumberFormat="true" numFmtId="1" fillId="22" applyFill="true">
      <alignment horizontal="center" vertical="center"/>
    </xf>
    <xf fontId="24666" applyFont="true" borderId="8" applyBorder="true" applyNumberFormat="true" numFmtId="167" fillId="22" applyFill="true">
      <alignment horizontal="center" vertical="center"/>
    </xf>
    <xf fontId="24667" applyFont="true" borderId="8" applyBorder="true" applyNumberFormat="true" numFmtId="1" fillId="22" applyFill="true">
      <alignment horizontal="center" vertical="center"/>
    </xf>
    <xf fontId="24668" applyFont="true" borderId="8" applyBorder="true" applyNumberFormat="true" numFmtId="167" fillId="22" applyFill="true">
      <alignment horizontal="center" vertical="center"/>
    </xf>
    <xf fontId="24669" applyFont="true" borderId="8" applyBorder="true" applyNumberFormat="true" numFmtId="1" fillId="22" applyFill="true">
      <alignment horizontal="center" vertical="center"/>
    </xf>
    <xf fontId="24670" applyFont="true" borderId="8" applyBorder="true" applyNumberFormat="true" numFmtId="167" fillId="22" applyFill="true">
      <alignment horizontal="center" vertical="center"/>
    </xf>
    <xf fontId="24671" applyFont="true" borderId="8" applyBorder="true" applyNumberFormat="true" numFmtId="1" fillId="22" applyFill="true">
      <alignment horizontal="center" vertical="center"/>
    </xf>
    <xf fontId="24672" applyFont="true" borderId="8" applyBorder="true" applyNumberFormat="true" numFmtId="167" fillId="22" applyFill="true">
      <alignment horizontal="center" vertical="center"/>
    </xf>
    <xf fontId="24673" applyFont="true" borderId="8" applyBorder="true" applyNumberFormat="true" numFmtId="167" fillId="22" applyFill="true">
      <alignment horizontal="center" vertical="center"/>
    </xf>
    <xf fontId="24674" applyFont="true" borderId="8" applyBorder="true" applyNumberFormat="true" numFmtId="1" fillId="22" applyFill="true">
      <alignment horizontal="center" vertical="center"/>
    </xf>
    <xf fontId="24675" applyFont="true" borderId="8" applyBorder="true" applyNumberFormat="true" numFmtId="1" fillId="22" applyFill="true">
      <alignment horizontal="center" vertical="center"/>
    </xf>
    <xf fontId="24676" applyFont="true" borderId="8" applyBorder="true" applyNumberFormat="true" numFmtId="1" fillId="22" applyFill="true">
      <alignment horizontal="center" vertical="center"/>
    </xf>
    <xf fontId="24677" applyFont="true" borderId="8" applyBorder="true" applyNumberFormat="true" numFmtId="167" fillId="22" applyFill="true">
      <alignment horizontal="center" vertical="center"/>
    </xf>
    <xf fontId="24678" applyFont="true" borderId="8" applyBorder="true" applyNumberFormat="true" numFmtId="166" fillId="22" applyFill="true">
      <alignment horizontal="center" vertical="center"/>
    </xf>
    <xf fontId="24679" applyFont="true" borderId="8" applyBorder="true" applyNumberFormat="true" numFmtId="166" fillId="22" applyFill="true">
      <alignment horizontal="center" vertical="center"/>
    </xf>
    <xf fontId="24680" applyFont="true" borderId="8" applyBorder="true" applyNumberFormat="true" numFmtId="1" fillId="22" applyFill="true">
      <alignment horizontal="center" vertical="center"/>
    </xf>
    <xf fontId="24681" applyFont="true" borderId="8" applyBorder="true" applyNumberFormat="true" numFmtId="1" fillId="22" applyFill="true">
      <alignment horizontal="center" vertical="center"/>
    </xf>
    <xf fontId="24682" applyFont="true" borderId="8" applyBorder="true" applyNumberFormat="true" numFmtId="1" fillId="22" applyFill="true">
      <alignment horizontal="center" vertical="center"/>
    </xf>
    <xf fontId="24683" applyFont="true" borderId="8" applyBorder="true" applyNumberFormat="true" numFmtId="167" fillId="22" applyFill="true">
      <alignment horizontal="center" vertical="center"/>
    </xf>
    <xf fontId="24684" applyFont="true" borderId="8" applyBorder="true" applyNumberFormat="true" numFmtId="1" fillId="22" applyFill="true">
      <alignment horizontal="center" vertical="center"/>
    </xf>
    <xf fontId="24685" applyFont="true" borderId="8" applyBorder="true" applyNumberFormat="true" numFmtId="167" fillId="22" applyFill="true">
      <alignment horizontal="center" vertical="center"/>
    </xf>
    <xf fontId="24686" applyFont="true" borderId="8" applyBorder="true" applyNumberFormat="true" numFmtId="1" fillId="22" applyFill="true">
      <alignment horizontal="center" vertical="center"/>
    </xf>
    <xf fontId="24687" applyFont="true" borderId="8" applyBorder="true" applyNumberFormat="true" numFmtId="1" fillId="22" applyFill="true">
      <alignment horizontal="center" vertical="center"/>
    </xf>
    <xf fontId="24688" applyFont="true" borderId="8" applyBorder="true" applyNumberFormat="true" numFmtId="1" fillId="22" applyFill="true">
      <alignment horizontal="center" vertical="center"/>
    </xf>
    <xf fontId="24689" applyFont="true" borderId="8" applyBorder="true" applyNumberFormat="true" numFmtId="1" fillId="22" applyFill="true">
      <alignment horizontal="center" vertical="center"/>
    </xf>
    <xf fontId="24690" applyFont="true" borderId="8" applyBorder="true" applyNumberFormat="true" numFmtId="167" fillId="22" applyFill="true">
      <alignment horizontal="center" vertical="center"/>
    </xf>
    <xf fontId="24691" applyFont="true" borderId="8" applyBorder="true" applyNumberFormat="true" numFmtId="1" fillId="22" applyFill="true">
      <alignment horizontal="center" vertical="center"/>
    </xf>
    <xf fontId="24692" applyFont="true" borderId="8" applyBorder="true" applyNumberFormat="true" numFmtId="167" fillId="22" applyFill="true">
      <alignment horizontal="center" vertical="center"/>
    </xf>
    <xf fontId="24693" applyFont="true" borderId="8" applyBorder="true" applyNumberFormat="true" numFmtId="1" fillId="22" applyFill="true">
      <alignment horizontal="center" vertical="center"/>
    </xf>
    <xf fontId="24694" applyFont="true" borderId="8" applyBorder="true" applyNumberFormat="true" numFmtId="167" fillId="22" applyFill="true">
      <alignment horizontal="center" vertical="center"/>
    </xf>
    <xf fontId="24695" applyFont="true" borderId="8" applyBorder="true" applyNumberFormat="true" numFmtId="2" fillId="22" applyFill="true">
      <alignment horizontal="center" vertical="center"/>
    </xf>
    <xf fontId="24696" applyFont="true" borderId="8" applyBorder="true" applyNumberFormat="true" numFmtId="2" fillId="22" applyFill="true">
      <alignment horizontal="center" vertical="center"/>
    </xf>
    <xf fontId="24697" applyFont="true" borderId="8" applyBorder="true" applyNumberFormat="true" numFmtId="2" fillId="22" applyFill="true">
      <alignment horizontal="center" vertical="center"/>
    </xf>
    <xf fontId="24698" applyFont="true" borderId="8" applyBorder="true" applyNumberFormat="true" numFmtId="2" fillId="22" applyFill="true">
      <alignment horizontal="center" vertical="center"/>
    </xf>
    <xf fontId="24699" applyFont="true" borderId="8" applyBorder="true" applyNumberFormat="true" numFmtId="2" fillId="22" applyFill="true">
      <alignment horizontal="center" vertical="center"/>
    </xf>
    <xf fontId="24700" applyFont="true" borderId="8" applyBorder="true" applyNumberFormat="true" numFmtId="2" fillId="22" applyFill="true">
      <alignment horizontal="center" vertical="center"/>
    </xf>
    <xf fontId="24701" applyFont="true" borderId="8" applyBorder="true" applyNumberFormat="true" numFmtId="2" fillId="22" applyFill="true">
      <alignment horizontal="center" vertical="center"/>
    </xf>
    <xf fontId="24702" applyFont="true" borderId="8" applyBorder="true" applyNumberFormat="true" numFmtId="2" fillId="22" applyFill="true">
      <alignment horizontal="center" vertical="center"/>
    </xf>
    <xf fontId="24703" applyFont="true" borderId="8" applyBorder="true" applyNumberFormat="true" numFmtId="2" fillId="22" applyFill="true">
      <alignment horizontal="center" vertical="center"/>
    </xf>
    <xf fontId="24704" applyFont="true" borderId="8" applyBorder="true" applyNumberFormat="true" numFmtId="2" fillId="22" applyFill="true">
      <alignment horizontal="center" vertical="center"/>
    </xf>
    <xf fontId="24705" applyFont="true" borderId="8" applyBorder="true" applyNumberFormat="true" numFmtId="2" fillId="22" applyFill="true">
      <alignment horizontal="center" vertical="center"/>
    </xf>
    <xf fontId="24706" applyFont="true" borderId="8" applyBorder="true" applyNumberFormat="true" numFmtId="2" fillId="22" applyFill="true">
      <alignment horizontal="center" vertical="center"/>
    </xf>
    <xf fontId="24707" applyFont="true" borderId="8" applyBorder="true" applyNumberFormat="true" numFmtId="2" fillId="22" applyFill="true">
      <alignment horizontal="center" vertical="center"/>
    </xf>
    <xf fontId="24708" applyFont="true" borderId="8" applyBorder="true" applyNumberFormat="true" numFmtId="2" fillId="22" applyFill="true">
      <alignment horizontal="center" vertical="center"/>
    </xf>
    <xf fontId="24709" applyFont="true" borderId="8" applyBorder="true" applyNumberFormat="true" numFmtId="2" fillId="22" applyFill="true">
      <alignment horizontal="center" vertical="center"/>
    </xf>
    <xf fontId="24710" applyFont="true" borderId="8" applyBorder="true" applyNumberFormat="true" numFmtId="2" fillId="22" applyFill="true">
      <alignment horizontal="center" vertical="center"/>
    </xf>
    <xf fontId="24711" applyFont="true" borderId="8" applyBorder="true" applyNumberFormat="true" numFmtId="2" fillId="22" applyFill="true">
      <alignment horizontal="center" vertical="center"/>
    </xf>
    <xf fontId="24712" applyFont="true" borderId="8" applyBorder="true" applyNumberFormat="true" numFmtId="2" fillId="22" applyFill="true">
      <alignment horizontal="center" vertical="center"/>
    </xf>
    <xf fontId="24713" applyFont="true" borderId="8" applyBorder="true" applyNumberFormat="true" numFmtId="2" fillId="22" applyFill="true">
      <alignment horizontal="center" vertical="center"/>
    </xf>
    <xf fontId="24714" applyFont="true" borderId="8" applyBorder="true" applyNumberFormat="true" numFmtId="2" fillId="22" applyFill="true">
      <alignment horizontal="center" vertical="center"/>
    </xf>
    <xf fontId="24715" applyFont="true" borderId="8" applyBorder="true" applyNumberFormat="true" numFmtId="2" fillId="22" applyFill="true">
      <alignment horizontal="center" vertical="center"/>
    </xf>
    <xf fontId="24716" applyFont="true" borderId="8" applyBorder="true" applyNumberFormat="true" numFmtId="2" fillId="22" applyFill="true">
      <alignment horizontal="center" vertical="center"/>
    </xf>
    <xf fontId="24717" applyFont="true" borderId="8" applyBorder="true" applyNumberFormat="true" numFmtId="2" fillId="22" applyFill="true">
      <alignment horizontal="center" vertical="center"/>
    </xf>
    <xf fontId="24718" applyFont="true" borderId="8" applyBorder="true" applyNumberFormat="true" numFmtId="2" fillId="22" applyFill="true">
      <alignment horizontal="center" vertical="center"/>
    </xf>
    <xf fontId="24719" applyFont="true" borderId="8" applyBorder="true" applyNumberFormat="true" numFmtId="2" fillId="22" applyFill="true">
      <alignment horizontal="center" vertical="center"/>
    </xf>
    <xf fontId="24720" applyFont="true" borderId="8" applyBorder="true" applyNumberFormat="true" numFmtId="2" fillId="22" applyFill="true">
      <alignment horizontal="center" vertical="center"/>
    </xf>
    <xf fontId="24721" applyFont="true" borderId="8" applyBorder="true" applyNumberFormat="true" numFmtId="2" fillId="22" applyFill="true">
      <alignment horizontal="center" vertical="center"/>
    </xf>
    <xf fontId="24722" applyFont="true" borderId="8" applyBorder="true" applyNumberFormat="true" numFmtId="2" fillId="22" applyFill="true">
      <alignment horizontal="center" vertical="center"/>
    </xf>
    <xf fontId="24723" applyFont="true" borderId="8" applyBorder="true" applyNumberFormat="true" numFmtId="2" fillId="22" applyFill="true">
      <alignment horizontal="center" vertical="center"/>
    </xf>
    <xf fontId="24724" applyFont="true" borderId="8" applyBorder="true" applyNumberFormat="true" numFmtId="2" fillId="22" applyFill="true">
      <alignment horizontal="center" vertical="center"/>
    </xf>
    <xf fontId="24725" applyFont="true" borderId="8" applyBorder="true" applyNumberFormat="true" numFmtId="2" fillId="22" applyFill="true">
      <alignment horizontal="center" vertical="center"/>
    </xf>
    <xf fontId="24726" applyFont="true" borderId="8" applyBorder="true" applyNumberFormat="true" numFmtId="2" fillId="22" applyFill="true">
      <alignment horizontal="center" vertical="center"/>
    </xf>
    <xf fontId="24727" applyFont="true" borderId="8" applyBorder="true" applyNumberFormat="true" numFmtId="2" fillId="22" applyFill="true">
      <alignment horizontal="center" vertical="center"/>
    </xf>
    <xf fontId="24728" applyFont="true" borderId="8" applyBorder="true" applyNumberFormat="true" numFmtId="2" fillId="22" applyFill="true">
      <alignment horizontal="center" vertical="center"/>
    </xf>
    <xf fontId="24729" applyFont="true" borderId="8" applyBorder="true" applyNumberFormat="true" numFmtId="165" fillId="19" applyFill="true">
      <alignment horizontal="left" vertical="center"/>
    </xf>
    <xf fontId="24730" applyFont="true" borderId="8" applyBorder="true" applyNumberFormat="true" numFmtId="165" fillId="22" applyFill="true">
      <alignment horizontal="center" vertical="center"/>
    </xf>
    <xf fontId="24731" applyFont="true" borderId="8" applyBorder="true" applyNumberFormat="true" numFmtId="166" fillId="22" applyFill="true">
      <alignment horizontal="center" vertical="center"/>
    </xf>
    <xf fontId="24732" applyFont="true" borderId="8" applyBorder="true" applyNumberFormat="true" numFmtId="1" fillId="22" applyFill="true">
      <alignment horizontal="center" vertical="center"/>
    </xf>
    <xf fontId="24733" applyFont="true" borderId="8" applyBorder="true" applyNumberFormat="true" numFmtId="1" fillId="22" applyFill="true">
      <alignment horizontal="center" vertical="center"/>
    </xf>
    <xf fontId="24734" applyFont="true" borderId="8" applyBorder="true" applyNumberFormat="true" numFmtId="1" fillId="22" applyFill="true">
      <alignment horizontal="center" vertical="center"/>
    </xf>
    <xf fontId="24735" applyFont="true" borderId="8" applyBorder="true" applyNumberFormat="true" numFmtId="1" fillId="22" applyFill="true">
      <alignment horizontal="center" vertical="center"/>
    </xf>
    <xf fontId="24736" applyFont="true" borderId="8" applyBorder="true" applyNumberFormat="true" numFmtId="1" fillId="22" applyFill="true">
      <alignment horizontal="center" vertical="center"/>
    </xf>
    <xf fontId="24737" applyFont="true" borderId="8" applyBorder="true" applyNumberFormat="true" numFmtId="1" fillId="22" applyFill="true">
      <alignment horizontal="center" vertical="center"/>
    </xf>
    <xf fontId="24738" applyFont="true" borderId="8" applyBorder="true" applyNumberFormat="true" numFmtId="1" fillId="22" applyFill="true">
      <alignment horizontal="center" vertical="center"/>
    </xf>
    <xf fontId="24739" applyFont="true" borderId="8" applyBorder="true" applyNumberFormat="true" numFmtId="165" fillId="22" applyFill="true">
      <alignment horizontal="center" vertical="center"/>
    </xf>
    <xf fontId="24740" applyFont="true" borderId="8" applyBorder="true" applyNumberFormat="true" numFmtId="165" fillId="22" applyFill="true">
      <alignment horizontal="center" vertical="center"/>
    </xf>
    <xf fontId="24741" applyFont="true" borderId="8" applyBorder="true" applyNumberFormat="true" numFmtId="1" fillId="22" applyFill="true">
      <alignment horizontal="center" vertical="center"/>
    </xf>
    <xf fontId="24742" applyFont="true" borderId="8" applyBorder="true" applyNumberFormat="true" numFmtId="1" fillId="22" applyFill="true">
      <alignment horizontal="center" vertical="center"/>
    </xf>
    <xf fontId="24743" applyFont="true" borderId="8" applyBorder="true" applyNumberFormat="true" numFmtId="1" fillId="22" applyFill="true">
      <alignment horizontal="center" vertical="center"/>
    </xf>
    <xf fontId="24744" applyFont="true" borderId="8" applyBorder="true" applyNumberFormat="true" numFmtId="167" fillId="22" applyFill="true">
      <alignment horizontal="center" vertical="center"/>
    </xf>
    <xf fontId="24745" applyFont="true" borderId="8" applyBorder="true" applyNumberFormat="true" numFmtId="1" fillId="22" applyFill="true">
      <alignment horizontal="center" vertical="center"/>
    </xf>
    <xf fontId="24746" applyFont="true" borderId="8" applyBorder="true" applyNumberFormat="true" numFmtId="167" fillId="22" applyFill="true">
      <alignment horizontal="center" vertical="center"/>
    </xf>
    <xf fontId="24747" applyFont="true" borderId="8" applyBorder="true" applyNumberFormat="true" numFmtId="1" fillId="22" applyFill="true">
      <alignment horizontal="center" vertical="center"/>
    </xf>
    <xf fontId="24748" applyFont="true" borderId="8" applyBorder="true" applyNumberFormat="true" numFmtId="167" fillId="22" applyFill="true">
      <alignment horizontal="center" vertical="center"/>
    </xf>
    <xf fontId="24749" applyFont="true" borderId="8" applyBorder="true" applyNumberFormat="true" numFmtId="1" fillId="22" applyFill="true">
      <alignment horizontal="center" vertical="center"/>
    </xf>
    <xf fontId="24750" applyFont="true" borderId="8" applyBorder="true" applyNumberFormat="true" numFmtId="167" fillId="22" applyFill="true">
      <alignment horizontal="center" vertical="center"/>
    </xf>
    <xf fontId="24751" applyFont="true" borderId="8" applyBorder="true" applyNumberFormat="true" numFmtId="167" fillId="22" applyFill="true">
      <alignment horizontal="center" vertical="center"/>
    </xf>
    <xf fontId="24752" applyFont="true" borderId="8" applyBorder="true" applyNumberFormat="true" numFmtId="1" fillId="22" applyFill="true">
      <alignment horizontal="center" vertical="center"/>
    </xf>
    <xf fontId="24753" applyFont="true" borderId="8" applyBorder="true" applyNumberFormat="true" numFmtId="1" fillId="22" applyFill="true">
      <alignment horizontal="center" vertical="center"/>
    </xf>
    <xf fontId="24754" applyFont="true" borderId="8" applyBorder="true" applyNumberFormat="true" numFmtId="1" fillId="22" applyFill="true">
      <alignment horizontal="center" vertical="center"/>
    </xf>
    <xf fontId="24755" applyFont="true" borderId="8" applyBorder="true" applyNumberFormat="true" numFmtId="167" fillId="22" applyFill="true">
      <alignment horizontal="center" vertical="center"/>
    </xf>
    <xf fontId="24756" applyFont="true" borderId="8" applyBorder="true" applyNumberFormat="true" numFmtId="166" fillId="22" applyFill="true">
      <alignment horizontal="center" vertical="center"/>
    </xf>
    <xf fontId="24757" applyFont="true" borderId="8" applyBorder="true" applyNumberFormat="true" numFmtId="166" fillId="22" applyFill="true">
      <alignment horizontal="center" vertical="center"/>
    </xf>
    <xf fontId="24758" applyFont="true" borderId="8" applyBorder="true" applyNumberFormat="true" numFmtId="1" fillId="22" applyFill="true">
      <alignment horizontal="center" vertical="center"/>
    </xf>
    <xf fontId="24759" applyFont="true" borderId="8" applyBorder="true" applyNumberFormat="true" numFmtId="1" fillId="22" applyFill="true">
      <alignment horizontal="center" vertical="center"/>
    </xf>
    <xf fontId="24760" applyFont="true" borderId="8" applyBorder="true" applyNumberFormat="true" numFmtId="1" fillId="22" applyFill="true">
      <alignment horizontal="center" vertical="center"/>
    </xf>
    <xf fontId="24761" applyFont="true" borderId="8" applyBorder="true" applyNumberFormat="true" numFmtId="167" fillId="22" applyFill="true">
      <alignment horizontal="center" vertical="center"/>
    </xf>
    <xf fontId="24762" applyFont="true" borderId="8" applyBorder="true" applyNumberFormat="true" numFmtId="1" fillId="22" applyFill="true">
      <alignment horizontal="center" vertical="center"/>
    </xf>
    <xf fontId="24763" applyFont="true" borderId="8" applyBorder="true" applyNumberFormat="true" numFmtId="167" fillId="22" applyFill="true">
      <alignment horizontal="center" vertical="center"/>
    </xf>
    <xf fontId="24764" applyFont="true" borderId="8" applyBorder="true" applyNumberFormat="true" numFmtId="1" fillId="22" applyFill="true">
      <alignment horizontal="center" vertical="center"/>
    </xf>
    <xf fontId="24765" applyFont="true" borderId="8" applyBorder="true" applyNumberFormat="true" numFmtId="1" fillId="22" applyFill="true">
      <alignment horizontal="center" vertical="center"/>
    </xf>
    <xf fontId="24766" applyFont="true" borderId="8" applyBorder="true" applyNumberFormat="true" numFmtId="1" fillId="22" applyFill="true">
      <alignment horizontal="center" vertical="center"/>
    </xf>
    <xf fontId="24767" applyFont="true" borderId="8" applyBorder="true" applyNumberFormat="true" numFmtId="1" fillId="22" applyFill="true">
      <alignment horizontal="center" vertical="center"/>
    </xf>
    <xf fontId="24768" applyFont="true" borderId="8" applyBorder="true" applyNumberFormat="true" numFmtId="167" fillId="22" applyFill="true">
      <alignment horizontal="center" vertical="center"/>
    </xf>
    <xf fontId="24769" applyFont="true" borderId="8" applyBorder="true" applyNumberFormat="true" numFmtId="1" fillId="22" applyFill="true">
      <alignment horizontal="center" vertical="center"/>
    </xf>
    <xf fontId="24770" applyFont="true" borderId="8" applyBorder="true" applyNumberFormat="true" numFmtId="167" fillId="22" applyFill="true">
      <alignment horizontal="center" vertical="center"/>
    </xf>
    <xf fontId="24771" applyFont="true" borderId="8" applyBorder="true" applyNumberFormat="true" numFmtId="1" fillId="22" applyFill="true">
      <alignment horizontal="center" vertical="center"/>
    </xf>
    <xf fontId="24772" applyFont="true" borderId="8" applyBorder="true" applyNumberFormat="true" numFmtId="167" fillId="22" applyFill="true">
      <alignment horizontal="center" vertical="center"/>
    </xf>
    <xf fontId="24773" applyFont="true" borderId="8" applyBorder="true" applyNumberFormat="true" numFmtId="2" fillId="22" applyFill="true">
      <alignment horizontal="center" vertical="center"/>
    </xf>
    <xf fontId="24774" applyFont="true" borderId="8" applyBorder="true" applyNumberFormat="true" numFmtId="2" fillId="22" applyFill="true">
      <alignment horizontal="center" vertical="center"/>
    </xf>
    <xf fontId="24775" applyFont="true" borderId="8" applyBorder="true" applyNumberFormat="true" numFmtId="2" fillId="22" applyFill="true">
      <alignment horizontal="center" vertical="center"/>
    </xf>
    <xf fontId="24776" applyFont="true" borderId="8" applyBorder="true" applyNumberFormat="true" numFmtId="2" fillId="22" applyFill="true">
      <alignment horizontal="center" vertical="center"/>
    </xf>
    <xf fontId="24777" applyFont="true" borderId="8" applyBorder="true" applyNumberFormat="true" numFmtId="2" fillId="22" applyFill="true">
      <alignment horizontal="center" vertical="center"/>
    </xf>
    <xf fontId="24778" applyFont="true" borderId="8" applyBorder="true" applyNumberFormat="true" numFmtId="2" fillId="22" applyFill="true">
      <alignment horizontal="center" vertical="center"/>
    </xf>
    <xf fontId="24779" applyFont="true" borderId="8" applyBorder="true" applyNumberFormat="true" numFmtId="2" fillId="22" applyFill="true">
      <alignment horizontal="center" vertical="center"/>
    </xf>
    <xf fontId="24780" applyFont="true" borderId="8" applyBorder="true" applyNumberFormat="true" numFmtId="2" fillId="22" applyFill="true">
      <alignment horizontal="center" vertical="center"/>
    </xf>
    <xf fontId="24781" applyFont="true" borderId="8" applyBorder="true" applyNumberFormat="true" numFmtId="2" fillId="22" applyFill="true">
      <alignment horizontal="center" vertical="center"/>
    </xf>
    <xf fontId="24782" applyFont="true" borderId="8" applyBorder="true" applyNumberFormat="true" numFmtId="2" fillId="22" applyFill="true">
      <alignment horizontal="center" vertical="center"/>
    </xf>
    <xf fontId="24783" applyFont="true" borderId="8" applyBorder="true" applyNumberFormat="true" numFmtId="2" fillId="22" applyFill="true">
      <alignment horizontal="center" vertical="center"/>
    </xf>
    <xf fontId="24784" applyFont="true" borderId="8" applyBorder="true" applyNumberFormat="true" numFmtId="2" fillId="22" applyFill="true">
      <alignment horizontal="center" vertical="center"/>
    </xf>
    <xf fontId="24785" applyFont="true" borderId="8" applyBorder="true" applyNumberFormat="true" numFmtId="2" fillId="22" applyFill="true">
      <alignment horizontal="center" vertical="center"/>
    </xf>
    <xf fontId="24786" applyFont="true" borderId="8" applyBorder="true" applyNumberFormat="true" numFmtId="2" fillId="22" applyFill="true">
      <alignment horizontal="center" vertical="center"/>
    </xf>
    <xf fontId="24787" applyFont="true" borderId="8" applyBorder="true" applyNumberFormat="true" numFmtId="2" fillId="22" applyFill="true">
      <alignment horizontal="center" vertical="center"/>
    </xf>
    <xf fontId="24788" applyFont="true" borderId="8" applyBorder="true" applyNumberFormat="true" numFmtId="2" fillId="22" applyFill="true">
      <alignment horizontal="center" vertical="center"/>
    </xf>
    <xf fontId="24789" applyFont="true" borderId="8" applyBorder="true" applyNumberFormat="true" numFmtId="2" fillId="22" applyFill="true">
      <alignment horizontal="center" vertical="center"/>
    </xf>
    <xf fontId="24790" applyFont="true" borderId="8" applyBorder="true" applyNumberFormat="true" numFmtId="2" fillId="22" applyFill="true">
      <alignment horizontal="center" vertical="center"/>
    </xf>
    <xf fontId="24791" applyFont="true" borderId="8" applyBorder="true" applyNumberFormat="true" numFmtId="2" fillId="22" applyFill="true">
      <alignment horizontal="center" vertical="center"/>
    </xf>
    <xf fontId="24792" applyFont="true" borderId="8" applyBorder="true" applyNumberFormat="true" numFmtId="2" fillId="22" applyFill="true">
      <alignment horizontal="center" vertical="center"/>
    </xf>
    <xf fontId="24793" applyFont="true" borderId="8" applyBorder="true" applyNumberFormat="true" numFmtId="2" fillId="22" applyFill="true">
      <alignment horizontal="center" vertical="center"/>
    </xf>
    <xf fontId="24794" applyFont="true" borderId="8" applyBorder="true" applyNumberFormat="true" numFmtId="2" fillId="22" applyFill="true">
      <alignment horizontal="center" vertical="center"/>
    </xf>
    <xf fontId="24795" applyFont="true" borderId="8" applyBorder="true" applyNumberFormat="true" numFmtId="2" fillId="22" applyFill="true">
      <alignment horizontal="center" vertical="center"/>
    </xf>
    <xf fontId="24796" applyFont="true" borderId="8" applyBorder="true" applyNumberFormat="true" numFmtId="2" fillId="22" applyFill="true">
      <alignment horizontal="center" vertical="center"/>
    </xf>
    <xf fontId="24797" applyFont="true" borderId="8" applyBorder="true" applyNumberFormat="true" numFmtId="2" fillId="22" applyFill="true">
      <alignment horizontal="center" vertical="center"/>
    </xf>
    <xf fontId="24798" applyFont="true" borderId="8" applyBorder="true" applyNumberFormat="true" numFmtId="2" fillId="22" applyFill="true">
      <alignment horizontal="center" vertical="center"/>
    </xf>
    <xf fontId="24799" applyFont="true" borderId="8" applyBorder="true" applyNumberFormat="true" numFmtId="2" fillId="22" applyFill="true">
      <alignment horizontal="center" vertical="center"/>
    </xf>
    <xf fontId="24800" applyFont="true" borderId="8" applyBorder="true" applyNumberFormat="true" numFmtId="2" fillId="22" applyFill="true">
      <alignment horizontal="center" vertical="center"/>
    </xf>
    <xf fontId="24801" applyFont="true" borderId="8" applyBorder="true" applyNumberFormat="true" numFmtId="2" fillId="22" applyFill="true">
      <alignment horizontal="center" vertical="center"/>
    </xf>
    <xf fontId="24802" applyFont="true" borderId="8" applyBorder="true" applyNumberFormat="true" numFmtId="2" fillId="22" applyFill="true">
      <alignment horizontal="center" vertical="center"/>
    </xf>
    <xf fontId="24803" applyFont="true" borderId="8" applyBorder="true" applyNumberFormat="true" numFmtId="2" fillId="22" applyFill="true">
      <alignment horizontal="center" vertical="center"/>
    </xf>
    <xf fontId="24804" applyFont="true" borderId="8" applyBorder="true" applyNumberFormat="true" numFmtId="2" fillId="22" applyFill="true">
      <alignment horizontal="center" vertical="center"/>
    </xf>
    <xf fontId="24805" applyFont="true" borderId="8" applyBorder="true" applyNumberFormat="true" numFmtId="2" fillId="22" applyFill="true">
      <alignment horizontal="center" vertical="center"/>
    </xf>
    <xf fontId="24806" applyFont="true" borderId="8" applyBorder="true" applyNumberFormat="true" numFmtId="2" fillId="22" applyFill="true">
      <alignment horizontal="center" vertical="center"/>
    </xf>
    <xf fontId="24807" applyFont="true" borderId="8" applyBorder="true" applyNumberFormat="true" numFmtId="165" fillId="19" applyFill="true">
      <alignment horizontal="left" vertical="center"/>
    </xf>
    <xf fontId="24808" applyFont="true" borderId="8" applyBorder="true" applyNumberFormat="true" numFmtId="165" fillId="22" applyFill="true">
      <alignment horizontal="center" vertical="center"/>
    </xf>
    <xf fontId="24809" applyFont="true" borderId="8" applyBorder="true" applyNumberFormat="true" numFmtId="166" fillId="22" applyFill="true">
      <alignment horizontal="center" vertical="center"/>
    </xf>
    <xf fontId="24810" applyFont="true" borderId="8" applyBorder="true" applyNumberFormat="true" numFmtId="1" fillId="22" applyFill="true">
      <alignment horizontal="center" vertical="center"/>
    </xf>
    <xf fontId="24811" applyFont="true" borderId="8" applyBorder="true" applyNumberFormat="true" numFmtId="1" fillId="22" applyFill="true">
      <alignment horizontal="center" vertical="center"/>
    </xf>
    <xf fontId="24812" applyFont="true" borderId="8" applyBorder="true" applyNumberFormat="true" numFmtId="1" fillId="22" applyFill="true">
      <alignment horizontal="center" vertical="center"/>
    </xf>
    <xf fontId="24813" applyFont="true" borderId="8" applyBorder="true" applyNumberFormat="true" numFmtId="1" fillId="22" applyFill="true">
      <alignment horizontal="center" vertical="center"/>
    </xf>
    <xf fontId="24814" applyFont="true" borderId="8" applyBorder="true" applyNumberFormat="true" numFmtId="1" fillId="22" applyFill="true">
      <alignment horizontal="center" vertical="center"/>
    </xf>
    <xf fontId="24815" applyFont="true" borderId="8" applyBorder="true" applyNumberFormat="true" numFmtId="1" fillId="22" applyFill="true">
      <alignment horizontal="center" vertical="center"/>
    </xf>
    <xf fontId="24816" applyFont="true" borderId="8" applyBorder="true" applyNumberFormat="true" numFmtId="1" fillId="22" applyFill="true">
      <alignment horizontal="center" vertical="center"/>
    </xf>
    <xf fontId="24817" applyFont="true" borderId="8" applyBorder="true" applyNumberFormat="true" numFmtId="165" fillId="22" applyFill="true">
      <alignment horizontal="center" vertical="center"/>
    </xf>
    <xf fontId="24818" applyFont="true" borderId="8" applyBorder="true" applyNumberFormat="true" numFmtId="165" fillId="22" applyFill="true">
      <alignment horizontal="center" vertical="center"/>
    </xf>
    <xf fontId="24819" applyFont="true" borderId="8" applyBorder="true" applyNumberFormat="true" numFmtId="1" fillId="22" applyFill="true">
      <alignment horizontal="center" vertical="center"/>
    </xf>
    <xf fontId="24820" applyFont="true" borderId="8" applyBorder="true" applyNumberFormat="true" numFmtId="1" fillId="22" applyFill="true">
      <alignment horizontal="center" vertical="center"/>
    </xf>
    <xf fontId="24821" applyFont="true" borderId="8" applyBorder="true" applyNumberFormat="true" numFmtId="1" fillId="22" applyFill="true">
      <alignment horizontal="center" vertical="center"/>
    </xf>
    <xf fontId="24822" applyFont="true" borderId="8" applyBorder="true" applyNumberFormat="true" numFmtId="167" fillId="22" applyFill="true">
      <alignment horizontal="center" vertical="center"/>
    </xf>
    <xf fontId="24823" applyFont="true" borderId="8" applyBorder="true" applyNumberFormat="true" numFmtId="1" fillId="22" applyFill="true">
      <alignment horizontal="center" vertical="center"/>
    </xf>
    <xf fontId="24824" applyFont="true" borderId="8" applyBorder="true" applyNumberFormat="true" numFmtId="167" fillId="22" applyFill="true">
      <alignment horizontal="center" vertical="center"/>
    </xf>
    <xf fontId="24825" applyFont="true" borderId="8" applyBorder="true" applyNumberFormat="true" numFmtId="1" fillId="22" applyFill="true">
      <alignment horizontal="center" vertical="center"/>
    </xf>
    <xf fontId="24826" applyFont="true" borderId="8" applyBorder="true" applyNumberFormat="true" numFmtId="167" fillId="22" applyFill="true">
      <alignment horizontal="center" vertical="center"/>
    </xf>
    <xf fontId="24827" applyFont="true" borderId="8" applyBorder="true" applyNumberFormat="true" numFmtId="1" fillId="22" applyFill="true">
      <alignment horizontal="center" vertical="center"/>
    </xf>
    <xf fontId="24828" applyFont="true" borderId="8" applyBorder="true" applyNumberFormat="true" numFmtId="167" fillId="22" applyFill="true">
      <alignment horizontal="center" vertical="center"/>
    </xf>
    <xf fontId="24829" applyFont="true" borderId="8" applyBorder="true" applyNumberFormat="true" numFmtId="167" fillId="22" applyFill="true">
      <alignment horizontal="center" vertical="center"/>
    </xf>
    <xf fontId="24830" applyFont="true" borderId="8" applyBorder="true" applyNumberFormat="true" numFmtId="1" fillId="22" applyFill="true">
      <alignment horizontal="center" vertical="center"/>
    </xf>
    <xf fontId="24831" applyFont="true" borderId="8" applyBorder="true" applyNumberFormat="true" numFmtId="1" fillId="22" applyFill="true">
      <alignment horizontal="center" vertical="center"/>
    </xf>
    <xf fontId="24832" applyFont="true" borderId="8" applyBorder="true" applyNumberFormat="true" numFmtId="1" fillId="22" applyFill="true">
      <alignment horizontal="center" vertical="center"/>
    </xf>
    <xf fontId="24833" applyFont="true" borderId="8" applyBorder="true" applyNumberFormat="true" numFmtId="167" fillId="22" applyFill="true">
      <alignment horizontal="center" vertical="center"/>
    </xf>
    <xf fontId="24834" applyFont="true" borderId="8" applyBorder="true" applyNumberFormat="true" numFmtId="166" fillId="22" applyFill="true">
      <alignment horizontal="center" vertical="center"/>
    </xf>
    <xf fontId="24835" applyFont="true" borderId="8" applyBorder="true" applyNumberFormat="true" numFmtId="166" fillId="22" applyFill="true">
      <alignment horizontal="center" vertical="center"/>
    </xf>
    <xf fontId="24836" applyFont="true" borderId="8" applyBorder="true" applyNumberFormat="true" numFmtId="1" fillId="22" applyFill="true">
      <alignment horizontal="center" vertical="center"/>
    </xf>
    <xf fontId="24837" applyFont="true" borderId="8" applyBorder="true" applyNumberFormat="true" numFmtId="1" fillId="22" applyFill="true">
      <alignment horizontal="center" vertical="center"/>
    </xf>
    <xf fontId="24838" applyFont="true" borderId="8" applyBorder="true" applyNumberFormat="true" numFmtId="1" fillId="22" applyFill="true">
      <alignment horizontal="center" vertical="center"/>
    </xf>
    <xf fontId="24839" applyFont="true" borderId="8" applyBorder="true" applyNumberFormat="true" numFmtId="167" fillId="22" applyFill="true">
      <alignment horizontal="center" vertical="center"/>
    </xf>
    <xf fontId="24840" applyFont="true" borderId="8" applyBorder="true" applyNumberFormat="true" numFmtId="1" fillId="22" applyFill="true">
      <alignment horizontal="center" vertical="center"/>
    </xf>
    <xf fontId="24841" applyFont="true" borderId="8" applyBorder="true" applyNumberFormat="true" numFmtId="167" fillId="22" applyFill="true">
      <alignment horizontal="center" vertical="center"/>
    </xf>
    <xf fontId="24842" applyFont="true" borderId="8" applyBorder="true" applyNumberFormat="true" numFmtId="1" fillId="22" applyFill="true">
      <alignment horizontal="center" vertical="center"/>
    </xf>
    <xf fontId="24843" applyFont="true" borderId="8" applyBorder="true" applyNumberFormat="true" numFmtId="1" fillId="22" applyFill="true">
      <alignment horizontal="center" vertical="center"/>
    </xf>
    <xf fontId="24844" applyFont="true" borderId="8" applyBorder="true" applyNumberFormat="true" numFmtId="1" fillId="22" applyFill="true">
      <alignment horizontal="center" vertical="center"/>
    </xf>
    <xf fontId="24845" applyFont="true" borderId="8" applyBorder="true" applyNumberFormat="true" numFmtId="1" fillId="22" applyFill="true">
      <alignment horizontal="center" vertical="center"/>
    </xf>
    <xf fontId="24846" applyFont="true" borderId="8" applyBorder="true" applyNumberFormat="true" numFmtId="167" fillId="22" applyFill="true">
      <alignment horizontal="center" vertical="center"/>
    </xf>
    <xf fontId="24847" applyFont="true" borderId="8" applyBorder="true" applyNumberFormat="true" numFmtId="1" fillId="22" applyFill="true">
      <alignment horizontal="center" vertical="center"/>
    </xf>
    <xf fontId="24848" applyFont="true" borderId="8" applyBorder="true" applyNumberFormat="true" numFmtId="167" fillId="22" applyFill="true">
      <alignment horizontal="center" vertical="center"/>
    </xf>
    <xf fontId="24849" applyFont="true" borderId="8" applyBorder="true" applyNumberFormat="true" numFmtId="1" fillId="22" applyFill="true">
      <alignment horizontal="center" vertical="center"/>
    </xf>
    <xf fontId="24850" applyFont="true" borderId="8" applyBorder="true" applyNumberFormat="true" numFmtId="167" fillId="22" applyFill="true">
      <alignment horizontal="center" vertical="center"/>
    </xf>
    <xf fontId="24851" applyFont="true" borderId="8" applyBorder="true" applyNumberFormat="true" numFmtId="2" fillId="22" applyFill="true">
      <alignment horizontal="center" vertical="center"/>
    </xf>
    <xf fontId="24852" applyFont="true" borderId="8" applyBorder="true" applyNumberFormat="true" numFmtId="2" fillId="22" applyFill="true">
      <alignment horizontal="center" vertical="center"/>
    </xf>
    <xf fontId="24853" applyFont="true" borderId="8" applyBorder="true" applyNumberFormat="true" numFmtId="2" fillId="22" applyFill="true">
      <alignment horizontal="center" vertical="center"/>
    </xf>
    <xf fontId="24854" applyFont="true" borderId="8" applyBorder="true" applyNumberFormat="true" numFmtId="2" fillId="22" applyFill="true">
      <alignment horizontal="center" vertical="center"/>
    </xf>
    <xf fontId="24855" applyFont="true" borderId="8" applyBorder="true" applyNumberFormat="true" numFmtId="2" fillId="22" applyFill="true">
      <alignment horizontal="center" vertical="center"/>
    </xf>
    <xf fontId="24856" applyFont="true" borderId="8" applyBorder="true" applyNumberFormat="true" numFmtId="2" fillId="22" applyFill="true">
      <alignment horizontal="center" vertical="center"/>
    </xf>
    <xf fontId="24857" applyFont="true" borderId="8" applyBorder="true" applyNumberFormat="true" numFmtId="2" fillId="22" applyFill="true">
      <alignment horizontal="center" vertical="center"/>
    </xf>
    <xf fontId="24858" applyFont="true" borderId="8" applyBorder="true" applyNumberFormat="true" numFmtId="2" fillId="22" applyFill="true">
      <alignment horizontal="center" vertical="center"/>
    </xf>
    <xf fontId="24859" applyFont="true" borderId="8" applyBorder="true" applyNumberFormat="true" numFmtId="2" fillId="22" applyFill="true">
      <alignment horizontal="center" vertical="center"/>
    </xf>
    <xf fontId="24860" applyFont="true" borderId="8" applyBorder="true" applyNumberFormat="true" numFmtId="2" fillId="22" applyFill="true">
      <alignment horizontal="center" vertical="center"/>
    </xf>
    <xf fontId="24861" applyFont="true" borderId="8" applyBorder="true" applyNumberFormat="true" numFmtId="2" fillId="22" applyFill="true">
      <alignment horizontal="center" vertical="center"/>
    </xf>
    <xf fontId="24862" applyFont="true" borderId="8" applyBorder="true" applyNumberFormat="true" numFmtId="2" fillId="22" applyFill="true">
      <alignment horizontal="center" vertical="center"/>
    </xf>
    <xf fontId="24863" applyFont="true" borderId="8" applyBorder="true" applyNumberFormat="true" numFmtId="2" fillId="22" applyFill="true">
      <alignment horizontal="center" vertical="center"/>
    </xf>
    <xf fontId="24864" applyFont="true" borderId="8" applyBorder="true" applyNumberFormat="true" numFmtId="2" fillId="22" applyFill="true">
      <alignment horizontal="center" vertical="center"/>
    </xf>
    <xf fontId="24865" applyFont="true" borderId="8" applyBorder="true" applyNumberFormat="true" numFmtId="2" fillId="22" applyFill="true">
      <alignment horizontal="center" vertical="center"/>
    </xf>
    <xf fontId="24866" applyFont="true" borderId="8" applyBorder="true" applyNumberFormat="true" numFmtId="2" fillId="22" applyFill="true">
      <alignment horizontal="center" vertical="center"/>
    </xf>
    <xf fontId="24867" applyFont="true" borderId="8" applyBorder="true" applyNumberFormat="true" numFmtId="2" fillId="22" applyFill="true">
      <alignment horizontal="center" vertical="center"/>
    </xf>
    <xf fontId="24868" applyFont="true" borderId="8" applyBorder="true" applyNumberFormat="true" numFmtId="2" fillId="22" applyFill="true">
      <alignment horizontal="center" vertical="center"/>
    </xf>
    <xf fontId="24869" applyFont="true" borderId="8" applyBorder="true" applyNumberFormat="true" numFmtId="2" fillId="22" applyFill="true">
      <alignment horizontal="center" vertical="center"/>
    </xf>
    <xf fontId="24870" applyFont="true" borderId="8" applyBorder="true" applyNumberFormat="true" numFmtId="2" fillId="22" applyFill="true">
      <alignment horizontal="center" vertical="center"/>
    </xf>
    <xf fontId="24871" applyFont="true" borderId="8" applyBorder="true" applyNumberFormat="true" numFmtId="2" fillId="22" applyFill="true">
      <alignment horizontal="center" vertical="center"/>
    </xf>
    <xf fontId="24872" applyFont="true" borderId="8" applyBorder="true" applyNumberFormat="true" numFmtId="2" fillId="22" applyFill="true">
      <alignment horizontal="center" vertical="center"/>
    </xf>
    <xf fontId="24873" applyFont="true" borderId="8" applyBorder="true" applyNumberFormat="true" numFmtId="2" fillId="22" applyFill="true">
      <alignment horizontal="center" vertical="center"/>
    </xf>
    <xf fontId="24874" applyFont="true" borderId="8" applyBorder="true" applyNumberFormat="true" numFmtId="2" fillId="22" applyFill="true">
      <alignment horizontal="center" vertical="center"/>
    </xf>
    <xf fontId="24875" applyFont="true" borderId="8" applyBorder="true" applyNumberFormat="true" numFmtId="2" fillId="22" applyFill="true">
      <alignment horizontal="center" vertical="center"/>
    </xf>
    <xf fontId="24876" applyFont="true" borderId="8" applyBorder="true" applyNumberFormat="true" numFmtId="2" fillId="22" applyFill="true">
      <alignment horizontal="center" vertical="center"/>
    </xf>
    <xf fontId="24877" applyFont="true" borderId="8" applyBorder="true" applyNumberFormat="true" numFmtId="2" fillId="22" applyFill="true">
      <alignment horizontal="center" vertical="center"/>
    </xf>
    <xf fontId="24878" applyFont="true" borderId="8" applyBorder="true" applyNumberFormat="true" numFmtId="2" fillId="22" applyFill="true">
      <alignment horizontal="center" vertical="center"/>
    </xf>
    <xf fontId="24879" applyFont="true" borderId="8" applyBorder="true" applyNumberFormat="true" numFmtId="2" fillId="22" applyFill="true">
      <alignment horizontal="center" vertical="center"/>
    </xf>
    <xf fontId="24880" applyFont="true" borderId="8" applyBorder="true" applyNumberFormat="true" numFmtId="2" fillId="22" applyFill="true">
      <alignment horizontal="center" vertical="center"/>
    </xf>
    <xf fontId="24881" applyFont="true" borderId="8" applyBorder="true" applyNumberFormat="true" numFmtId="2" fillId="22" applyFill="true">
      <alignment horizontal="center" vertical="center"/>
    </xf>
    <xf fontId="24882" applyFont="true" borderId="8" applyBorder="true" applyNumberFormat="true" numFmtId="2" fillId="22" applyFill="true">
      <alignment horizontal="center" vertical="center"/>
    </xf>
    <xf fontId="24883" applyFont="true" borderId="8" applyBorder="true" applyNumberFormat="true" numFmtId="2" fillId="22" applyFill="true">
      <alignment horizontal="center" vertical="center"/>
    </xf>
    <xf fontId="24884" applyFont="true" borderId="8" applyBorder="true" applyNumberFormat="true" numFmtId="2" fillId="22" applyFill="true">
      <alignment horizontal="center" vertical="center"/>
    </xf>
    <xf fontId="24885" applyFont="true" borderId="8" applyBorder="true" applyNumberFormat="true" numFmtId="165" fillId="19" applyFill="true">
      <alignment horizontal="left" vertical="center"/>
    </xf>
    <xf fontId="24886" applyFont="true" borderId="8" applyBorder="true" applyNumberFormat="true" numFmtId="165" fillId="22" applyFill="true">
      <alignment horizontal="center" vertical="center"/>
    </xf>
    <xf fontId="24887" applyFont="true" borderId="8" applyBorder="true" applyNumberFormat="true" numFmtId="166" fillId="22" applyFill="true">
      <alignment horizontal="center" vertical="center"/>
    </xf>
    <xf fontId="24888" applyFont="true" borderId="8" applyBorder="true" applyNumberFormat="true" numFmtId="1" fillId="22" applyFill="true">
      <alignment horizontal="center" vertical="center"/>
    </xf>
    <xf fontId="24889" applyFont="true" borderId="8" applyBorder="true" applyNumberFormat="true" numFmtId="1" fillId="22" applyFill="true">
      <alignment horizontal="center" vertical="center"/>
    </xf>
    <xf fontId="24890" applyFont="true" borderId="8" applyBorder="true" applyNumberFormat="true" numFmtId="1" fillId="22" applyFill="true">
      <alignment horizontal="center" vertical="center"/>
    </xf>
    <xf fontId="24891" applyFont="true" borderId="8" applyBorder="true" applyNumberFormat="true" numFmtId="1" fillId="22" applyFill="true">
      <alignment horizontal="center" vertical="center"/>
    </xf>
    <xf fontId="24892" applyFont="true" borderId="8" applyBorder="true" applyNumberFormat="true" numFmtId="1" fillId="22" applyFill="true">
      <alignment horizontal="center" vertical="center"/>
    </xf>
    <xf fontId="24893" applyFont="true" borderId="8" applyBorder="true" applyNumberFormat="true" numFmtId="1" fillId="22" applyFill="true">
      <alignment horizontal="center" vertical="center"/>
    </xf>
    <xf fontId="24894" applyFont="true" borderId="8" applyBorder="true" applyNumberFormat="true" numFmtId="1" fillId="22" applyFill="true">
      <alignment horizontal="center" vertical="center"/>
    </xf>
    <xf fontId="24895" applyFont="true" borderId="8" applyBorder="true" applyNumberFormat="true" numFmtId="165" fillId="22" applyFill="true">
      <alignment horizontal="center" vertical="center"/>
    </xf>
    <xf fontId="24896" applyFont="true" borderId="8" applyBorder="true" applyNumberFormat="true" numFmtId="165" fillId="22" applyFill="true">
      <alignment horizontal="center" vertical="center"/>
    </xf>
    <xf fontId="24897" applyFont="true" borderId="8" applyBorder="true" applyNumberFormat="true" numFmtId="1" fillId="22" applyFill="true">
      <alignment horizontal="center" vertical="center"/>
    </xf>
    <xf fontId="24898" applyFont="true" borderId="8" applyBorder="true" applyNumberFormat="true" numFmtId="1" fillId="22" applyFill="true">
      <alignment horizontal="center" vertical="center"/>
    </xf>
    <xf fontId="24899" applyFont="true" borderId="8" applyBorder="true" applyNumberFormat="true" numFmtId="1" fillId="22" applyFill="true">
      <alignment horizontal="center" vertical="center"/>
    </xf>
    <xf fontId="24900" applyFont="true" borderId="8" applyBorder="true" applyNumberFormat="true" numFmtId="167" fillId="22" applyFill="true">
      <alignment horizontal="center" vertical="center"/>
    </xf>
    <xf fontId="24901" applyFont="true" borderId="8" applyBorder="true" applyNumberFormat="true" numFmtId="1" fillId="22" applyFill="true">
      <alignment horizontal="center" vertical="center"/>
    </xf>
    <xf fontId="24902" applyFont="true" borderId="8" applyBorder="true" applyNumberFormat="true" numFmtId="167" fillId="22" applyFill="true">
      <alignment horizontal="center" vertical="center"/>
    </xf>
    <xf fontId="24903" applyFont="true" borderId="8" applyBorder="true" applyNumberFormat="true" numFmtId="1" fillId="22" applyFill="true">
      <alignment horizontal="center" vertical="center"/>
    </xf>
    <xf fontId="24904" applyFont="true" borderId="8" applyBorder="true" applyNumberFormat="true" numFmtId="167" fillId="22" applyFill="true">
      <alignment horizontal="center" vertical="center"/>
    </xf>
    <xf fontId="24905" applyFont="true" borderId="8" applyBorder="true" applyNumberFormat="true" numFmtId="1" fillId="22" applyFill="true">
      <alignment horizontal="center" vertical="center"/>
    </xf>
    <xf fontId="24906" applyFont="true" borderId="8" applyBorder="true" applyNumberFormat="true" numFmtId="167" fillId="22" applyFill="true">
      <alignment horizontal="center" vertical="center"/>
    </xf>
    <xf fontId="24907" applyFont="true" borderId="8" applyBorder="true" applyNumberFormat="true" numFmtId="167" fillId="22" applyFill="true">
      <alignment horizontal="center" vertical="center"/>
    </xf>
    <xf fontId="24908" applyFont="true" borderId="8" applyBorder="true" applyNumberFormat="true" numFmtId="1" fillId="22" applyFill="true">
      <alignment horizontal="center" vertical="center"/>
    </xf>
    <xf fontId="24909" applyFont="true" borderId="8" applyBorder="true" applyNumberFormat="true" numFmtId="1" fillId="22" applyFill="true">
      <alignment horizontal="center" vertical="center"/>
    </xf>
    <xf fontId="24910" applyFont="true" borderId="8" applyBorder="true" applyNumberFormat="true" numFmtId="1" fillId="22" applyFill="true">
      <alignment horizontal="center" vertical="center"/>
    </xf>
    <xf fontId="24911" applyFont="true" borderId="8" applyBorder="true" applyNumberFormat="true" numFmtId="167" fillId="22" applyFill="true">
      <alignment horizontal="center" vertical="center"/>
    </xf>
    <xf fontId="24912" applyFont="true" borderId="8" applyBorder="true" applyNumberFormat="true" numFmtId="166" fillId="22" applyFill="true">
      <alignment horizontal="center" vertical="center"/>
    </xf>
    <xf fontId="24913" applyFont="true" borderId="8" applyBorder="true" applyNumberFormat="true" numFmtId="166" fillId="22" applyFill="true">
      <alignment horizontal="center" vertical="center"/>
    </xf>
    <xf fontId="24914" applyFont="true" borderId="8" applyBorder="true" applyNumberFormat="true" numFmtId="1" fillId="22" applyFill="true">
      <alignment horizontal="center" vertical="center"/>
    </xf>
    <xf fontId="24915" applyFont="true" borderId="8" applyBorder="true" applyNumberFormat="true" numFmtId="1" fillId="22" applyFill="true">
      <alignment horizontal="center" vertical="center"/>
    </xf>
    <xf fontId="24916" applyFont="true" borderId="8" applyBorder="true" applyNumberFormat="true" numFmtId="1" fillId="22" applyFill="true">
      <alignment horizontal="center" vertical="center"/>
    </xf>
    <xf fontId="24917" applyFont="true" borderId="8" applyBorder="true" applyNumberFormat="true" numFmtId="167" fillId="22" applyFill="true">
      <alignment horizontal="center" vertical="center"/>
    </xf>
    <xf fontId="24918" applyFont="true" borderId="8" applyBorder="true" applyNumberFormat="true" numFmtId="1" fillId="22" applyFill="true">
      <alignment horizontal="center" vertical="center"/>
    </xf>
    <xf fontId="24919" applyFont="true" borderId="8" applyBorder="true" applyNumberFormat="true" numFmtId="167" fillId="22" applyFill="true">
      <alignment horizontal="center" vertical="center"/>
    </xf>
    <xf fontId="24920" applyFont="true" borderId="8" applyBorder="true" applyNumberFormat="true" numFmtId="1" fillId="22" applyFill="true">
      <alignment horizontal="center" vertical="center"/>
    </xf>
    <xf fontId="24921" applyFont="true" borderId="8" applyBorder="true" applyNumberFormat="true" numFmtId="1" fillId="22" applyFill="true">
      <alignment horizontal="center" vertical="center"/>
    </xf>
    <xf fontId="24922" applyFont="true" borderId="8" applyBorder="true" applyNumberFormat="true" numFmtId="1" fillId="22" applyFill="true">
      <alignment horizontal="center" vertical="center"/>
    </xf>
    <xf fontId="24923" applyFont="true" borderId="8" applyBorder="true" applyNumberFormat="true" numFmtId="1" fillId="22" applyFill="true">
      <alignment horizontal="center" vertical="center"/>
    </xf>
    <xf fontId="24924" applyFont="true" borderId="8" applyBorder="true" applyNumberFormat="true" numFmtId="167" fillId="22" applyFill="true">
      <alignment horizontal="center" vertical="center"/>
    </xf>
    <xf fontId="24925" applyFont="true" borderId="8" applyBorder="true" applyNumberFormat="true" numFmtId="1" fillId="22" applyFill="true">
      <alignment horizontal="center" vertical="center"/>
    </xf>
    <xf fontId="24926" applyFont="true" borderId="8" applyBorder="true" applyNumberFormat="true" numFmtId="167" fillId="22" applyFill="true">
      <alignment horizontal="center" vertical="center"/>
    </xf>
    <xf fontId="24927" applyFont="true" borderId="8" applyBorder="true" applyNumberFormat="true" numFmtId="1" fillId="22" applyFill="true">
      <alignment horizontal="center" vertical="center"/>
    </xf>
    <xf fontId="24928" applyFont="true" borderId="8" applyBorder="true" applyNumberFormat="true" numFmtId="167" fillId="22" applyFill="true">
      <alignment horizontal="center" vertical="center"/>
    </xf>
    <xf fontId="24929" applyFont="true" borderId="8" applyBorder="true" applyNumberFormat="true" numFmtId="2" fillId="22" applyFill="true">
      <alignment horizontal="center" vertical="center"/>
    </xf>
    <xf fontId="24930" applyFont="true" borderId="8" applyBorder="true" applyNumberFormat="true" numFmtId="2" fillId="22" applyFill="true">
      <alignment horizontal="center" vertical="center"/>
    </xf>
    <xf fontId="24931" applyFont="true" borderId="8" applyBorder="true" applyNumberFormat="true" numFmtId="2" fillId="22" applyFill="true">
      <alignment horizontal="center" vertical="center"/>
    </xf>
    <xf fontId="24932" applyFont="true" borderId="8" applyBorder="true" applyNumberFormat="true" numFmtId="2" fillId="22" applyFill="true">
      <alignment horizontal="center" vertical="center"/>
    </xf>
    <xf fontId="24933" applyFont="true" borderId="8" applyBorder="true" applyNumberFormat="true" numFmtId="2" fillId="22" applyFill="true">
      <alignment horizontal="center" vertical="center"/>
    </xf>
    <xf fontId="24934" applyFont="true" borderId="8" applyBorder="true" applyNumberFormat="true" numFmtId="2" fillId="22" applyFill="true">
      <alignment horizontal="center" vertical="center"/>
    </xf>
    <xf fontId="24935" applyFont="true" borderId="8" applyBorder="true" applyNumberFormat="true" numFmtId="2" fillId="22" applyFill="true">
      <alignment horizontal="center" vertical="center"/>
    </xf>
    <xf fontId="24936" applyFont="true" borderId="8" applyBorder="true" applyNumberFormat="true" numFmtId="2" fillId="22" applyFill="true">
      <alignment horizontal="center" vertical="center"/>
    </xf>
    <xf fontId="24937" applyFont="true" borderId="8" applyBorder="true" applyNumberFormat="true" numFmtId="2" fillId="22" applyFill="true">
      <alignment horizontal="center" vertical="center"/>
    </xf>
    <xf fontId="24938" applyFont="true" borderId="8" applyBorder="true" applyNumberFormat="true" numFmtId="2" fillId="22" applyFill="true">
      <alignment horizontal="center" vertical="center"/>
    </xf>
    <xf fontId="24939" applyFont="true" borderId="8" applyBorder="true" applyNumberFormat="true" numFmtId="2" fillId="22" applyFill="true">
      <alignment horizontal="center" vertical="center"/>
    </xf>
    <xf fontId="24940" applyFont="true" borderId="8" applyBorder="true" applyNumberFormat="true" numFmtId="2" fillId="22" applyFill="true">
      <alignment horizontal="center" vertical="center"/>
    </xf>
    <xf fontId="24941" applyFont="true" borderId="8" applyBorder="true" applyNumberFormat="true" numFmtId="2" fillId="22" applyFill="true">
      <alignment horizontal="center" vertical="center"/>
    </xf>
    <xf fontId="24942" applyFont="true" borderId="8" applyBorder="true" applyNumberFormat="true" numFmtId="2" fillId="22" applyFill="true">
      <alignment horizontal="center" vertical="center"/>
    </xf>
    <xf fontId="24943" applyFont="true" borderId="8" applyBorder="true" applyNumberFormat="true" numFmtId="2" fillId="22" applyFill="true">
      <alignment horizontal="center" vertical="center"/>
    </xf>
    <xf fontId="24944" applyFont="true" borderId="8" applyBorder="true" applyNumberFormat="true" numFmtId="2" fillId="22" applyFill="true">
      <alignment horizontal="center" vertical="center"/>
    </xf>
    <xf fontId="24945" applyFont="true" borderId="8" applyBorder="true" applyNumberFormat="true" numFmtId="2" fillId="22" applyFill="true">
      <alignment horizontal="center" vertical="center"/>
    </xf>
    <xf fontId="24946" applyFont="true" borderId="8" applyBorder="true" applyNumberFormat="true" numFmtId="2" fillId="22" applyFill="true">
      <alignment horizontal="center" vertical="center"/>
    </xf>
    <xf fontId="24947" applyFont="true" borderId="8" applyBorder="true" applyNumberFormat="true" numFmtId="2" fillId="22" applyFill="true">
      <alignment horizontal="center" vertical="center"/>
    </xf>
    <xf fontId="24948" applyFont="true" borderId="8" applyBorder="true" applyNumberFormat="true" numFmtId="2" fillId="22" applyFill="true">
      <alignment horizontal="center" vertical="center"/>
    </xf>
    <xf fontId="24949" applyFont="true" borderId="8" applyBorder="true" applyNumberFormat="true" numFmtId="2" fillId="22" applyFill="true">
      <alignment horizontal="center" vertical="center"/>
    </xf>
    <xf fontId="24950" applyFont="true" borderId="8" applyBorder="true" applyNumberFormat="true" numFmtId="2" fillId="22" applyFill="true">
      <alignment horizontal="center" vertical="center"/>
    </xf>
    <xf fontId="24951" applyFont="true" borderId="8" applyBorder="true" applyNumberFormat="true" numFmtId="2" fillId="22" applyFill="true">
      <alignment horizontal="center" vertical="center"/>
    </xf>
    <xf fontId="24952" applyFont="true" borderId="8" applyBorder="true" applyNumberFormat="true" numFmtId="2" fillId="22" applyFill="true">
      <alignment horizontal="center" vertical="center"/>
    </xf>
    <xf fontId="24953" applyFont="true" borderId="8" applyBorder="true" applyNumberFormat="true" numFmtId="2" fillId="22" applyFill="true">
      <alignment horizontal="center" vertical="center"/>
    </xf>
    <xf fontId="24954" applyFont="true" borderId="8" applyBorder="true" applyNumberFormat="true" numFmtId="2" fillId="22" applyFill="true">
      <alignment horizontal="center" vertical="center"/>
    </xf>
    <xf fontId="24955" applyFont="true" borderId="8" applyBorder="true" applyNumberFormat="true" numFmtId="2" fillId="22" applyFill="true">
      <alignment horizontal="center" vertical="center"/>
    </xf>
    <xf fontId="24956" applyFont="true" borderId="8" applyBorder="true" applyNumberFormat="true" numFmtId="2" fillId="22" applyFill="true">
      <alignment horizontal="center" vertical="center"/>
    </xf>
    <xf fontId="24957" applyFont="true" borderId="8" applyBorder="true" applyNumberFormat="true" numFmtId="2" fillId="22" applyFill="true">
      <alignment horizontal="center" vertical="center"/>
    </xf>
    <xf fontId="24958" applyFont="true" borderId="8" applyBorder="true" applyNumberFormat="true" numFmtId="2" fillId="22" applyFill="true">
      <alignment horizontal="center" vertical="center"/>
    </xf>
    <xf fontId="24959" applyFont="true" borderId="8" applyBorder="true" applyNumberFormat="true" numFmtId="2" fillId="22" applyFill="true">
      <alignment horizontal="center" vertical="center"/>
    </xf>
    <xf fontId="24960" applyFont="true" borderId="8" applyBorder="true" applyNumberFormat="true" numFmtId="2" fillId="22" applyFill="true">
      <alignment horizontal="center" vertical="center"/>
    </xf>
    <xf fontId="24961" applyFont="true" borderId="8" applyBorder="true" applyNumberFormat="true" numFmtId="2" fillId="22" applyFill="true">
      <alignment horizontal="center" vertical="center"/>
    </xf>
    <xf fontId="24962" applyFont="true" borderId="8" applyBorder="true" applyNumberFormat="true" numFmtId="2" fillId="22" applyFill="true">
      <alignment horizontal="center" vertical="center"/>
    </xf>
    <xf fontId="24963" applyFont="true" borderId="8" applyBorder="true" applyNumberFormat="true" numFmtId="165" fillId="19" applyFill="true">
      <alignment horizontal="left" vertical="center"/>
    </xf>
    <xf fontId="24964" applyFont="true" borderId="8" applyBorder="true" applyNumberFormat="true" numFmtId="165" fillId="22" applyFill="true">
      <alignment horizontal="center" vertical="center"/>
    </xf>
    <xf fontId="24965" applyFont="true" borderId="8" applyBorder="true" applyNumberFormat="true" numFmtId="166" fillId="22" applyFill="true">
      <alignment horizontal="center" vertical="center"/>
    </xf>
    <xf fontId="24966" applyFont="true" borderId="8" applyBorder="true" applyNumberFormat="true" numFmtId="1" fillId="22" applyFill="true">
      <alignment horizontal="center" vertical="center"/>
    </xf>
    <xf fontId="24967" applyFont="true" borderId="8" applyBorder="true" applyNumberFormat="true" numFmtId="1" fillId="22" applyFill="true">
      <alignment horizontal="center" vertical="center"/>
    </xf>
    <xf fontId="24968" applyFont="true" borderId="8" applyBorder="true" applyNumberFormat="true" numFmtId="1" fillId="22" applyFill="true">
      <alignment horizontal="center" vertical="center"/>
    </xf>
    <xf fontId="24969" applyFont="true" borderId="8" applyBorder="true" applyNumberFormat="true" numFmtId="1" fillId="22" applyFill="true">
      <alignment horizontal="center" vertical="center"/>
    </xf>
    <xf fontId="24970" applyFont="true" borderId="8" applyBorder="true" applyNumberFormat="true" numFmtId="1" fillId="22" applyFill="true">
      <alignment horizontal="center" vertical="center"/>
    </xf>
    <xf fontId="24971" applyFont="true" borderId="8" applyBorder="true" applyNumberFormat="true" numFmtId="1" fillId="22" applyFill="true">
      <alignment horizontal="center" vertical="center"/>
    </xf>
    <xf fontId="24972" applyFont="true" borderId="8" applyBorder="true" applyNumberFormat="true" numFmtId="1" fillId="22" applyFill="true">
      <alignment horizontal="center" vertical="center"/>
    </xf>
    <xf fontId="24973" applyFont="true" borderId="8" applyBorder="true" applyNumberFormat="true" numFmtId="165" fillId="22" applyFill="true">
      <alignment horizontal="center" vertical="center"/>
    </xf>
    <xf fontId="24974" applyFont="true" borderId="8" applyBorder="true" applyNumberFormat="true" numFmtId="165" fillId="22" applyFill="true">
      <alignment horizontal="center" vertical="center"/>
    </xf>
    <xf fontId="24975" applyFont="true" borderId="8" applyBorder="true" applyNumberFormat="true" numFmtId="1" fillId="22" applyFill="true">
      <alignment horizontal="center" vertical="center"/>
    </xf>
    <xf fontId="24976" applyFont="true" borderId="8" applyBorder="true" applyNumberFormat="true" numFmtId="1" fillId="22" applyFill="true">
      <alignment horizontal="center" vertical="center"/>
    </xf>
    <xf fontId="24977" applyFont="true" borderId="8" applyBorder="true" applyNumberFormat="true" numFmtId="1" fillId="22" applyFill="true">
      <alignment horizontal="center" vertical="center"/>
    </xf>
    <xf fontId="24978" applyFont="true" borderId="8" applyBorder="true" applyNumberFormat="true" numFmtId="167" fillId="22" applyFill="true">
      <alignment horizontal="center" vertical="center"/>
    </xf>
    <xf fontId="24979" applyFont="true" borderId="8" applyBorder="true" applyNumberFormat="true" numFmtId="1" fillId="22" applyFill="true">
      <alignment horizontal="center" vertical="center"/>
    </xf>
    <xf fontId="24980" applyFont="true" borderId="8" applyBorder="true" applyNumberFormat="true" numFmtId="167" fillId="22" applyFill="true">
      <alignment horizontal="center" vertical="center"/>
    </xf>
    <xf fontId="24981" applyFont="true" borderId="8" applyBorder="true" applyNumberFormat="true" numFmtId="1" fillId="22" applyFill="true">
      <alignment horizontal="center" vertical="center"/>
    </xf>
    <xf fontId="24982" applyFont="true" borderId="8" applyBorder="true" applyNumberFormat="true" numFmtId="167" fillId="22" applyFill="true">
      <alignment horizontal="center" vertical="center"/>
    </xf>
    <xf fontId="24983" applyFont="true" borderId="8" applyBorder="true" applyNumberFormat="true" numFmtId="1" fillId="22" applyFill="true">
      <alignment horizontal="center" vertical="center"/>
    </xf>
    <xf fontId="24984" applyFont="true" borderId="8" applyBorder="true" applyNumberFormat="true" numFmtId="167" fillId="22" applyFill="true">
      <alignment horizontal="center" vertical="center"/>
    </xf>
    <xf fontId="24985" applyFont="true" borderId="8" applyBorder="true" applyNumberFormat="true" numFmtId="167" fillId="22" applyFill="true">
      <alignment horizontal="center" vertical="center"/>
    </xf>
    <xf fontId="24986" applyFont="true" borderId="8" applyBorder="true" applyNumberFormat="true" numFmtId="1" fillId="22" applyFill="true">
      <alignment horizontal="center" vertical="center"/>
    </xf>
    <xf fontId="24987" applyFont="true" borderId="8" applyBorder="true" applyNumberFormat="true" numFmtId="1" fillId="22" applyFill="true">
      <alignment horizontal="center" vertical="center"/>
    </xf>
    <xf fontId="24988" applyFont="true" borderId="8" applyBorder="true" applyNumberFormat="true" numFmtId="1" fillId="22" applyFill="true">
      <alignment horizontal="center" vertical="center"/>
    </xf>
    <xf fontId="24989" applyFont="true" borderId="8" applyBorder="true" applyNumberFormat="true" numFmtId="167" fillId="22" applyFill="true">
      <alignment horizontal="center" vertical="center"/>
    </xf>
    <xf fontId="24990" applyFont="true" borderId="8" applyBorder="true" applyNumberFormat="true" numFmtId="166" fillId="22" applyFill="true">
      <alignment horizontal="center" vertical="center"/>
    </xf>
    <xf fontId="24991" applyFont="true" borderId="8" applyBorder="true" applyNumberFormat="true" numFmtId="166" fillId="22" applyFill="true">
      <alignment horizontal="center" vertical="center"/>
    </xf>
    <xf fontId="24992" applyFont="true" borderId="8" applyBorder="true" applyNumberFormat="true" numFmtId="1" fillId="22" applyFill="true">
      <alignment horizontal="center" vertical="center"/>
    </xf>
    <xf fontId="24993" applyFont="true" borderId="8" applyBorder="true" applyNumberFormat="true" numFmtId="1" fillId="22" applyFill="true">
      <alignment horizontal="center" vertical="center"/>
    </xf>
    <xf fontId="24994" applyFont="true" borderId="8" applyBorder="true" applyNumberFormat="true" numFmtId="1" fillId="22" applyFill="true">
      <alignment horizontal="center" vertical="center"/>
    </xf>
    <xf fontId="24995" applyFont="true" borderId="8" applyBorder="true" applyNumberFormat="true" numFmtId="167" fillId="22" applyFill="true">
      <alignment horizontal="center" vertical="center"/>
    </xf>
    <xf fontId="24996" applyFont="true" borderId="8" applyBorder="true" applyNumberFormat="true" numFmtId="1" fillId="22" applyFill="true">
      <alignment horizontal="center" vertical="center"/>
    </xf>
    <xf fontId="24997" applyFont="true" borderId="8" applyBorder="true" applyNumberFormat="true" numFmtId="167" fillId="22" applyFill="true">
      <alignment horizontal="center" vertical="center"/>
    </xf>
    <xf fontId="24998" applyFont="true" borderId="8" applyBorder="true" applyNumberFormat="true" numFmtId="1" fillId="22" applyFill="true">
      <alignment horizontal="center" vertical="center"/>
    </xf>
    <xf fontId="24999" applyFont="true" borderId="8" applyBorder="true" applyNumberFormat="true" numFmtId="1" fillId="22" applyFill="true">
      <alignment horizontal="center" vertical="center"/>
    </xf>
    <xf fontId="25000" applyFont="true" borderId="8" applyBorder="true" applyNumberFormat="true" numFmtId="1" fillId="22" applyFill="true">
      <alignment horizontal="center" vertical="center"/>
    </xf>
    <xf fontId="25001" applyFont="true" borderId="8" applyBorder="true" applyNumberFormat="true" numFmtId="1" fillId="22" applyFill="true">
      <alignment horizontal="center" vertical="center"/>
    </xf>
    <xf fontId="25002" applyFont="true" borderId="8" applyBorder="true" applyNumberFormat="true" numFmtId="167" fillId="22" applyFill="true">
      <alignment horizontal="center" vertical="center"/>
    </xf>
    <xf fontId="25003" applyFont="true" borderId="8" applyBorder="true" applyNumberFormat="true" numFmtId="1" fillId="22" applyFill="true">
      <alignment horizontal="center" vertical="center"/>
    </xf>
    <xf fontId="25004" applyFont="true" borderId="8" applyBorder="true" applyNumberFormat="true" numFmtId="167" fillId="22" applyFill="true">
      <alignment horizontal="center" vertical="center"/>
    </xf>
    <xf fontId="25005" applyFont="true" borderId="8" applyBorder="true" applyNumberFormat="true" numFmtId="1" fillId="22" applyFill="true">
      <alignment horizontal="center" vertical="center"/>
    </xf>
    <xf fontId="25006" applyFont="true" borderId="8" applyBorder="true" applyNumberFormat="true" numFmtId="167" fillId="22" applyFill="true">
      <alignment horizontal="center" vertical="center"/>
    </xf>
    <xf fontId="25007" applyFont="true" borderId="8" applyBorder="true" applyNumberFormat="true" numFmtId="2" fillId="22" applyFill="true">
      <alignment horizontal="center" vertical="center"/>
    </xf>
    <xf fontId="25008" applyFont="true" borderId="8" applyBorder="true" applyNumberFormat="true" numFmtId="2" fillId="22" applyFill="true">
      <alignment horizontal="center" vertical="center"/>
    </xf>
    <xf fontId="25009" applyFont="true" borderId="8" applyBorder="true" applyNumberFormat="true" numFmtId="2" fillId="22" applyFill="true">
      <alignment horizontal="center" vertical="center"/>
    </xf>
    <xf fontId="25010" applyFont="true" borderId="8" applyBorder="true" applyNumberFormat="true" numFmtId="2" fillId="22" applyFill="true">
      <alignment horizontal="center" vertical="center"/>
    </xf>
    <xf fontId="25011" applyFont="true" borderId="8" applyBorder="true" applyNumberFormat="true" numFmtId="2" fillId="22" applyFill="true">
      <alignment horizontal="center" vertical="center"/>
    </xf>
    <xf fontId="25012" applyFont="true" borderId="8" applyBorder="true" applyNumberFormat="true" numFmtId="2" fillId="22" applyFill="true">
      <alignment horizontal="center" vertical="center"/>
    </xf>
    <xf fontId="25013" applyFont="true" borderId="8" applyBorder="true" applyNumberFormat="true" numFmtId="2" fillId="22" applyFill="true">
      <alignment horizontal="center" vertical="center"/>
    </xf>
    <xf fontId="25014" applyFont="true" borderId="8" applyBorder="true" applyNumberFormat="true" numFmtId="2" fillId="22" applyFill="true">
      <alignment horizontal="center" vertical="center"/>
    </xf>
    <xf fontId="25015" applyFont="true" borderId="8" applyBorder="true" applyNumberFormat="true" numFmtId="2" fillId="22" applyFill="true">
      <alignment horizontal="center" vertical="center"/>
    </xf>
    <xf fontId="25016" applyFont="true" borderId="8" applyBorder="true" applyNumberFormat="true" numFmtId="2" fillId="22" applyFill="true">
      <alignment horizontal="center" vertical="center"/>
    </xf>
    <xf fontId="25017" applyFont="true" borderId="8" applyBorder="true" applyNumberFormat="true" numFmtId="2" fillId="22" applyFill="true">
      <alignment horizontal="center" vertical="center"/>
    </xf>
    <xf fontId="25018" applyFont="true" borderId="8" applyBorder="true" applyNumberFormat="true" numFmtId="2" fillId="22" applyFill="true">
      <alignment horizontal="center" vertical="center"/>
    </xf>
    <xf fontId="25019" applyFont="true" borderId="8" applyBorder="true" applyNumberFormat="true" numFmtId="2" fillId="22" applyFill="true">
      <alignment horizontal="center" vertical="center"/>
    </xf>
    <xf fontId="25020" applyFont="true" borderId="8" applyBorder="true" applyNumberFormat="true" numFmtId="2" fillId="22" applyFill="true">
      <alignment horizontal="center" vertical="center"/>
    </xf>
    <xf fontId="25021" applyFont="true" borderId="8" applyBorder="true" applyNumberFormat="true" numFmtId="2" fillId="22" applyFill="true">
      <alignment horizontal="center" vertical="center"/>
    </xf>
    <xf fontId="25022" applyFont="true" borderId="8" applyBorder="true" applyNumberFormat="true" numFmtId="2" fillId="22" applyFill="true">
      <alignment horizontal="center" vertical="center"/>
    </xf>
    <xf fontId="25023" applyFont="true" borderId="8" applyBorder="true" applyNumberFormat="true" numFmtId="2" fillId="22" applyFill="true">
      <alignment horizontal="center" vertical="center"/>
    </xf>
    <xf fontId="25024" applyFont="true" borderId="8" applyBorder="true" applyNumberFormat="true" numFmtId="2" fillId="22" applyFill="true">
      <alignment horizontal="center" vertical="center"/>
    </xf>
    <xf fontId="25025" applyFont="true" borderId="8" applyBorder="true" applyNumberFormat="true" numFmtId="2" fillId="22" applyFill="true">
      <alignment horizontal="center" vertical="center"/>
    </xf>
    <xf fontId="25026" applyFont="true" borderId="8" applyBorder="true" applyNumberFormat="true" numFmtId="2" fillId="22" applyFill="true">
      <alignment horizontal="center" vertical="center"/>
    </xf>
    <xf fontId="25027" applyFont="true" borderId="8" applyBorder="true" applyNumberFormat="true" numFmtId="2" fillId="22" applyFill="true">
      <alignment horizontal="center" vertical="center"/>
    </xf>
    <xf fontId="25028" applyFont="true" borderId="8" applyBorder="true" applyNumberFormat="true" numFmtId="2" fillId="22" applyFill="true">
      <alignment horizontal="center" vertical="center"/>
    </xf>
    <xf fontId="25029" applyFont="true" borderId="8" applyBorder="true" applyNumberFormat="true" numFmtId="2" fillId="22" applyFill="true">
      <alignment horizontal="center" vertical="center"/>
    </xf>
    <xf fontId="25030" applyFont="true" borderId="8" applyBorder="true" applyNumberFormat="true" numFmtId="2" fillId="22" applyFill="true">
      <alignment horizontal="center" vertical="center"/>
    </xf>
    <xf fontId="25031" applyFont="true" borderId="8" applyBorder="true" applyNumberFormat="true" numFmtId="2" fillId="22" applyFill="true">
      <alignment horizontal="center" vertical="center"/>
    </xf>
    <xf fontId="25032" applyFont="true" borderId="8" applyBorder="true" applyNumberFormat="true" numFmtId="2" fillId="22" applyFill="true">
      <alignment horizontal="center" vertical="center"/>
    </xf>
    <xf fontId="25033" applyFont="true" borderId="8" applyBorder="true" applyNumberFormat="true" numFmtId="2" fillId="22" applyFill="true">
      <alignment horizontal="center" vertical="center"/>
    </xf>
    <xf fontId="25034" applyFont="true" borderId="8" applyBorder="true" applyNumberFormat="true" numFmtId="2" fillId="22" applyFill="true">
      <alignment horizontal="center" vertical="center"/>
    </xf>
    <xf fontId="25035" applyFont="true" borderId="8" applyBorder="true" applyNumberFormat="true" numFmtId="2" fillId="22" applyFill="true">
      <alignment horizontal="center" vertical="center"/>
    </xf>
    <xf fontId="25036" applyFont="true" borderId="8" applyBorder="true" applyNumberFormat="true" numFmtId="2" fillId="22" applyFill="true">
      <alignment horizontal="center" vertical="center"/>
    </xf>
    <xf fontId="25037" applyFont="true" borderId="8" applyBorder="true" applyNumberFormat="true" numFmtId="2" fillId="22" applyFill="true">
      <alignment horizontal="center" vertical="center"/>
    </xf>
    <xf fontId="25038" applyFont="true" borderId="8" applyBorder="true" applyNumberFormat="true" numFmtId="2" fillId="22" applyFill="true">
      <alignment horizontal="center" vertical="center"/>
    </xf>
    <xf fontId="25039" applyFont="true" borderId="8" applyBorder="true" applyNumberFormat="true" numFmtId="2" fillId="22" applyFill="true">
      <alignment horizontal="center" vertical="center"/>
    </xf>
    <xf fontId="25040" applyFont="true" borderId="8" applyBorder="true" applyNumberFormat="true" numFmtId="2" fillId="22" applyFill="true">
      <alignment horizontal="center" vertical="center"/>
    </xf>
    <xf fontId="25041" applyFont="true" borderId="8" applyBorder="true" applyNumberFormat="true" numFmtId="165" fillId="19" applyFill="true">
      <alignment horizontal="left" vertical="center"/>
    </xf>
    <xf fontId="25042" applyFont="true" borderId="8" applyBorder="true" applyNumberFormat="true" numFmtId="165" fillId="22" applyFill="true">
      <alignment horizontal="center" vertical="center"/>
    </xf>
    <xf fontId="25043" applyFont="true" borderId="8" applyBorder="true" applyNumberFormat="true" numFmtId="166" fillId="22" applyFill="true">
      <alignment horizontal="center" vertical="center"/>
    </xf>
    <xf fontId="25044" applyFont="true" borderId="8" applyBorder="true" applyNumberFormat="true" numFmtId="1" fillId="22" applyFill="true">
      <alignment horizontal="center" vertical="center"/>
    </xf>
    <xf fontId="25045" applyFont="true" borderId="8" applyBorder="true" applyNumberFormat="true" numFmtId="1" fillId="22" applyFill="true">
      <alignment horizontal="center" vertical="center"/>
    </xf>
    <xf fontId="25046" applyFont="true" borderId="8" applyBorder="true" applyNumberFormat="true" numFmtId="1" fillId="22" applyFill="true">
      <alignment horizontal="center" vertical="center"/>
    </xf>
    <xf fontId="25047" applyFont="true" borderId="8" applyBorder="true" applyNumberFormat="true" numFmtId="1" fillId="22" applyFill="true">
      <alignment horizontal="center" vertical="center"/>
    </xf>
    <xf fontId="25048" applyFont="true" borderId="8" applyBorder="true" applyNumberFormat="true" numFmtId="1" fillId="22" applyFill="true">
      <alignment horizontal="center" vertical="center"/>
    </xf>
    <xf fontId="25049" applyFont="true" borderId="8" applyBorder="true" applyNumberFormat="true" numFmtId="1" fillId="22" applyFill="true">
      <alignment horizontal="center" vertical="center"/>
    </xf>
    <xf fontId="25050" applyFont="true" borderId="8" applyBorder="true" applyNumberFormat="true" numFmtId="1" fillId="22" applyFill="true">
      <alignment horizontal="center" vertical="center"/>
    </xf>
    <xf fontId="25051" applyFont="true" borderId="8" applyBorder="true" applyNumberFormat="true" numFmtId="165" fillId="22" applyFill="true">
      <alignment horizontal="center" vertical="center"/>
    </xf>
    <xf fontId="25052" applyFont="true" borderId="8" applyBorder="true" applyNumberFormat="true" numFmtId="165" fillId="22" applyFill="true">
      <alignment horizontal="center" vertical="center"/>
    </xf>
    <xf fontId="25053" applyFont="true" borderId="8" applyBorder="true" applyNumberFormat="true" numFmtId="1" fillId="22" applyFill="true">
      <alignment horizontal="center" vertical="center"/>
    </xf>
    <xf fontId="25054" applyFont="true" borderId="8" applyBorder="true" applyNumberFormat="true" numFmtId="1" fillId="22" applyFill="true">
      <alignment horizontal="center" vertical="center"/>
    </xf>
    <xf fontId="25055" applyFont="true" borderId="8" applyBorder="true" applyNumberFormat="true" numFmtId="1" fillId="22" applyFill="true">
      <alignment horizontal="center" vertical="center"/>
    </xf>
    <xf fontId="25056" applyFont="true" borderId="8" applyBorder="true" applyNumberFormat="true" numFmtId="167" fillId="22" applyFill="true">
      <alignment horizontal="center" vertical="center"/>
    </xf>
    <xf fontId="25057" applyFont="true" borderId="8" applyBorder="true" applyNumberFormat="true" numFmtId="1" fillId="22" applyFill="true">
      <alignment horizontal="center" vertical="center"/>
    </xf>
    <xf fontId="25058" applyFont="true" borderId="8" applyBorder="true" applyNumberFormat="true" numFmtId="167" fillId="22" applyFill="true">
      <alignment horizontal="center" vertical="center"/>
    </xf>
    <xf fontId="25059" applyFont="true" borderId="8" applyBorder="true" applyNumberFormat="true" numFmtId="1" fillId="22" applyFill="true">
      <alignment horizontal="center" vertical="center"/>
    </xf>
    <xf fontId="25060" applyFont="true" borderId="8" applyBorder="true" applyNumberFormat="true" numFmtId="167" fillId="22" applyFill="true">
      <alignment horizontal="center" vertical="center"/>
    </xf>
    <xf fontId="25061" applyFont="true" borderId="8" applyBorder="true" applyNumberFormat="true" numFmtId="1" fillId="22" applyFill="true">
      <alignment horizontal="center" vertical="center"/>
    </xf>
    <xf fontId="25062" applyFont="true" borderId="8" applyBorder="true" applyNumberFormat="true" numFmtId="167" fillId="22" applyFill="true">
      <alignment horizontal="center" vertical="center"/>
    </xf>
    <xf fontId="25063" applyFont="true" borderId="8" applyBorder="true" applyNumberFormat="true" numFmtId="167" fillId="22" applyFill="true">
      <alignment horizontal="center" vertical="center"/>
    </xf>
    <xf fontId="25064" applyFont="true" borderId="8" applyBorder="true" applyNumberFormat="true" numFmtId="1" fillId="22" applyFill="true">
      <alignment horizontal="center" vertical="center"/>
    </xf>
    <xf fontId="25065" applyFont="true" borderId="8" applyBorder="true" applyNumberFormat="true" numFmtId="1" fillId="22" applyFill="true">
      <alignment horizontal="center" vertical="center"/>
    </xf>
    <xf fontId="25066" applyFont="true" borderId="8" applyBorder="true" applyNumberFormat="true" numFmtId="1" fillId="22" applyFill="true">
      <alignment horizontal="center" vertical="center"/>
    </xf>
    <xf fontId="25067" applyFont="true" borderId="8" applyBorder="true" applyNumberFormat="true" numFmtId="167" fillId="22" applyFill="true">
      <alignment horizontal="center" vertical="center"/>
    </xf>
    <xf fontId="25068" applyFont="true" borderId="8" applyBorder="true" applyNumberFormat="true" numFmtId="166" fillId="22" applyFill="true">
      <alignment horizontal="center" vertical="center"/>
    </xf>
    <xf fontId="25069" applyFont="true" borderId="8" applyBorder="true" applyNumberFormat="true" numFmtId="166" fillId="22" applyFill="true">
      <alignment horizontal="center" vertical="center"/>
    </xf>
    <xf fontId="25070" applyFont="true" borderId="8" applyBorder="true" applyNumberFormat="true" numFmtId="1" fillId="22" applyFill="true">
      <alignment horizontal="center" vertical="center"/>
    </xf>
    <xf fontId="25071" applyFont="true" borderId="8" applyBorder="true" applyNumberFormat="true" numFmtId="1" fillId="22" applyFill="true">
      <alignment horizontal="center" vertical="center"/>
    </xf>
    <xf fontId="25072" applyFont="true" borderId="8" applyBorder="true" applyNumberFormat="true" numFmtId="1" fillId="22" applyFill="true">
      <alignment horizontal="center" vertical="center"/>
    </xf>
    <xf fontId="25073" applyFont="true" borderId="8" applyBorder="true" applyNumberFormat="true" numFmtId="167" fillId="22" applyFill="true">
      <alignment horizontal="center" vertical="center"/>
    </xf>
    <xf fontId="25074" applyFont="true" borderId="8" applyBorder="true" applyNumberFormat="true" numFmtId="1" fillId="22" applyFill="true">
      <alignment horizontal="center" vertical="center"/>
    </xf>
    <xf fontId="25075" applyFont="true" borderId="8" applyBorder="true" applyNumberFormat="true" numFmtId="167" fillId="22" applyFill="true">
      <alignment horizontal="center" vertical="center"/>
    </xf>
    <xf fontId="25076" applyFont="true" borderId="8" applyBorder="true" applyNumberFormat="true" numFmtId="1" fillId="22" applyFill="true">
      <alignment horizontal="center" vertical="center"/>
    </xf>
    <xf fontId="25077" applyFont="true" borderId="8" applyBorder="true" applyNumberFormat="true" numFmtId="1" fillId="22" applyFill="true">
      <alignment horizontal="center" vertical="center"/>
    </xf>
    <xf fontId="25078" applyFont="true" borderId="8" applyBorder="true" applyNumberFormat="true" numFmtId="1" fillId="22" applyFill="true">
      <alignment horizontal="center" vertical="center"/>
    </xf>
    <xf fontId="25079" applyFont="true" borderId="8" applyBorder="true" applyNumberFormat="true" numFmtId="1" fillId="22" applyFill="true">
      <alignment horizontal="center" vertical="center"/>
    </xf>
    <xf fontId="25080" applyFont="true" borderId="8" applyBorder="true" applyNumberFormat="true" numFmtId="167" fillId="22" applyFill="true">
      <alignment horizontal="center" vertical="center"/>
    </xf>
    <xf fontId="25081" applyFont="true" borderId="8" applyBorder="true" applyNumberFormat="true" numFmtId="1" fillId="22" applyFill="true">
      <alignment horizontal="center" vertical="center"/>
    </xf>
    <xf fontId="25082" applyFont="true" borderId="8" applyBorder="true" applyNumberFormat="true" numFmtId="167" fillId="22" applyFill="true">
      <alignment horizontal="center" vertical="center"/>
    </xf>
    <xf fontId="25083" applyFont="true" borderId="8" applyBorder="true" applyNumberFormat="true" numFmtId="1" fillId="22" applyFill="true">
      <alignment horizontal="center" vertical="center"/>
    </xf>
    <xf fontId="25084" applyFont="true" borderId="8" applyBorder="true" applyNumberFormat="true" numFmtId="167" fillId="22" applyFill="true">
      <alignment horizontal="center" vertical="center"/>
    </xf>
    <xf fontId="25085" applyFont="true" borderId="8" applyBorder="true" applyNumberFormat="true" numFmtId="2" fillId="22" applyFill="true">
      <alignment horizontal="center" vertical="center"/>
    </xf>
    <xf fontId="25086" applyFont="true" borderId="8" applyBorder="true" applyNumberFormat="true" numFmtId="2" fillId="22" applyFill="true">
      <alignment horizontal="center" vertical="center"/>
    </xf>
    <xf fontId="25087" applyFont="true" borderId="8" applyBorder="true" applyNumberFormat="true" numFmtId="2" fillId="22" applyFill="true">
      <alignment horizontal="center" vertical="center"/>
    </xf>
    <xf fontId="25088" applyFont="true" borderId="8" applyBorder="true" applyNumberFormat="true" numFmtId="2" fillId="22" applyFill="true">
      <alignment horizontal="center" vertical="center"/>
    </xf>
    <xf fontId="25089" applyFont="true" borderId="8" applyBorder="true" applyNumberFormat="true" numFmtId="2" fillId="22" applyFill="true">
      <alignment horizontal="center" vertical="center"/>
    </xf>
    <xf fontId="25090" applyFont="true" borderId="8" applyBorder="true" applyNumberFormat="true" numFmtId="2" fillId="22" applyFill="true">
      <alignment horizontal="center" vertical="center"/>
    </xf>
    <xf fontId="25091" applyFont="true" borderId="8" applyBorder="true" applyNumberFormat="true" numFmtId="2" fillId="22" applyFill="true">
      <alignment horizontal="center" vertical="center"/>
    </xf>
    <xf fontId="25092" applyFont="true" borderId="8" applyBorder="true" applyNumberFormat="true" numFmtId="2" fillId="22" applyFill="true">
      <alignment horizontal="center" vertical="center"/>
    </xf>
    <xf fontId="25093" applyFont="true" borderId="8" applyBorder="true" applyNumberFormat="true" numFmtId="2" fillId="22" applyFill="true">
      <alignment horizontal="center" vertical="center"/>
    </xf>
    <xf fontId="25094" applyFont="true" borderId="8" applyBorder="true" applyNumberFormat="true" numFmtId="2" fillId="22" applyFill="true">
      <alignment horizontal="center" vertical="center"/>
    </xf>
    <xf fontId="25095" applyFont="true" borderId="8" applyBorder="true" applyNumberFormat="true" numFmtId="2" fillId="22" applyFill="true">
      <alignment horizontal="center" vertical="center"/>
    </xf>
    <xf fontId="25096" applyFont="true" borderId="8" applyBorder="true" applyNumberFormat="true" numFmtId="2" fillId="22" applyFill="true">
      <alignment horizontal="center" vertical="center"/>
    </xf>
    <xf fontId="25097" applyFont="true" borderId="8" applyBorder="true" applyNumberFormat="true" numFmtId="2" fillId="22" applyFill="true">
      <alignment horizontal="center" vertical="center"/>
    </xf>
    <xf fontId="25098" applyFont="true" borderId="8" applyBorder="true" applyNumberFormat="true" numFmtId="2" fillId="22" applyFill="true">
      <alignment horizontal="center" vertical="center"/>
    </xf>
    <xf fontId="25099" applyFont="true" borderId="8" applyBorder="true" applyNumberFormat="true" numFmtId="2" fillId="22" applyFill="true">
      <alignment horizontal="center" vertical="center"/>
    </xf>
    <xf fontId="25100" applyFont="true" borderId="8" applyBorder="true" applyNumberFormat="true" numFmtId="2" fillId="22" applyFill="true">
      <alignment horizontal="center" vertical="center"/>
    </xf>
    <xf fontId="25101" applyFont="true" borderId="8" applyBorder="true" applyNumberFormat="true" numFmtId="2" fillId="22" applyFill="true">
      <alignment horizontal="center" vertical="center"/>
    </xf>
    <xf fontId="25102" applyFont="true" borderId="8" applyBorder="true" applyNumberFormat="true" numFmtId="2" fillId="22" applyFill="true">
      <alignment horizontal="center" vertical="center"/>
    </xf>
    <xf fontId="25103" applyFont="true" borderId="8" applyBorder="true" applyNumberFormat="true" numFmtId="2" fillId="22" applyFill="true">
      <alignment horizontal="center" vertical="center"/>
    </xf>
    <xf fontId="25104" applyFont="true" borderId="8" applyBorder="true" applyNumberFormat="true" numFmtId="2" fillId="22" applyFill="true">
      <alignment horizontal="center" vertical="center"/>
    </xf>
    <xf fontId="25105" applyFont="true" borderId="8" applyBorder="true" applyNumberFormat="true" numFmtId="2" fillId="22" applyFill="true">
      <alignment horizontal="center" vertical="center"/>
    </xf>
    <xf fontId="25106" applyFont="true" borderId="8" applyBorder="true" applyNumberFormat="true" numFmtId="2" fillId="22" applyFill="true">
      <alignment horizontal="center" vertical="center"/>
    </xf>
    <xf fontId="25107" applyFont="true" borderId="8" applyBorder="true" applyNumberFormat="true" numFmtId="2" fillId="22" applyFill="true">
      <alignment horizontal="center" vertical="center"/>
    </xf>
    <xf fontId="25108" applyFont="true" borderId="8" applyBorder="true" applyNumberFormat="true" numFmtId="2" fillId="22" applyFill="true">
      <alignment horizontal="center" vertical="center"/>
    </xf>
    <xf fontId="25109" applyFont="true" borderId="8" applyBorder="true" applyNumberFormat="true" numFmtId="2" fillId="22" applyFill="true">
      <alignment horizontal="center" vertical="center"/>
    </xf>
    <xf fontId="25110" applyFont="true" borderId="8" applyBorder="true" applyNumberFormat="true" numFmtId="2" fillId="22" applyFill="true">
      <alignment horizontal="center" vertical="center"/>
    </xf>
    <xf fontId="25111" applyFont="true" borderId="8" applyBorder="true" applyNumberFormat="true" numFmtId="2" fillId="22" applyFill="true">
      <alignment horizontal="center" vertical="center"/>
    </xf>
    <xf fontId="25112" applyFont="true" borderId="8" applyBorder="true" applyNumberFormat="true" numFmtId="2" fillId="22" applyFill="true">
      <alignment horizontal="center" vertical="center"/>
    </xf>
    <xf fontId="25113" applyFont="true" borderId="8" applyBorder="true" applyNumberFormat="true" numFmtId="2" fillId="22" applyFill="true">
      <alignment horizontal="center" vertical="center"/>
    </xf>
    <xf fontId="25114" applyFont="true" borderId="8" applyBorder="true" applyNumberFormat="true" numFmtId="2" fillId="22" applyFill="true">
      <alignment horizontal="center" vertical="center"/>
    </xf>
    <xf fontId="25115" applyFont="true" borderId="8" applyBorder="true" applyNumberFormat="true" numFmtId="2" fillId="22" applyFill="true">
      <alignment horizontal="center" vertical="center"/>
    </xf>
    <xf fontId="25116" applyFont="true" borderId="8" applyBorder="true" applyNumberFormat="true" numFmtId="2" fillId="22" applyFill="true">
      <alignment horizontal="center" vertical="center"/>
    </xf>
    <xf fontId="25117" applyFont="true" borderId="8" applyBorder="true" applyNumberFormat="true" numFmtId="2" fillId="22" applyFill="true">
      <alignment horizontal="center" vertical="center"/>
    </xf>
    <xf fontId="25118" applyFont="true" borderId="8" applyBorder="true" applyNumberFormat="true" numFmtId="2" fillId="22" applyFill="true">
      <alignment horizontal="center" vertical="center"/>
    </xf>
    <xf fontId="25119" applyFont="true" borderId="8" applyBorder="true" applyNumberFormat="true" numFmtId="165" fillId="19" applyFill="true">
      <alignment horizontal="left" vertical="center"/>
    </xf>
    <xf fontId="25120" applyFont="true" borderId="8" applyBorder="true" applyNumberFormat="true" numFmtId="165" fillId="22" applyFill="true">
      <alignment horizontal="center" vertical="center"/>
    </xf>
    <xf fontId="25121" applyFont="true" borderId="8" applyBorder="true" applyNumberFormat="true" numFmtId="166" fillId="22" applyFill="true">
      <alignment horizontal="center" vertical="center"/>
    </xf>
    <xf fontId="25122" applyFont="true" borderId="8" applyBorder="true" applyNumberFormat="true" numFmtId="1" fillId="22" applyFill="true">
      <alignment horizontal="center" vertical="center"/>
    </xf>
    <xf fontId="25123" applyFont="true" borderId="8" applyBorder="true" applyNumberFormat="true" numFmtId="1" fillId="22" applyFill="true">
      <alignment horizontal="center" vertical="center"/>
    </xf>
    <xf fontId="25124" applyFont="true" borderId="8" applyBorder="true" applyNumberFormat="true" numFmtId="1" fillId="22" applyFill="true">
      <alignment horizontal="center" vertical="center"/>
    </xf>
    <xf fontId="25125" applyFont="true" borderId="8" applyBorder="true" applyNumberFormat="true" numFmtId="1" fillId="22" applyFill="true">
      <alignment horizontal="center" vertical="center"/>
    </xf>
    <xf fontId="25126" applyFont="true" borderId="8" applyBorder="true" applyNumberFormat="true" numFmtId="1" fillId="22" applyFill="true">
      <alignment horizontal="center" vertical="center"/>
    </xf>
    <xf fontId="25127" applyFont="true" borderId="8" applyBorder="true" applyNumberFormat="true" numFmtId="1" fillId="22" applyFill="true">
      <alignment horizontal="center" vertical="center"/>
    </xf>
    <xf fontId="25128" applyFont="true" borderId="8" applyBorder="true" applyNumberFormat="true" numFmtId="1" fillId="22" applyFill="true">
      <alignment horizontal="center" vertical="center"/>
    </xf>
    <xf fontId="25129" applyFont="true" borderId="8" applyBorder="true" applyNumberFormat="true" numFmtId="165" fillId="22" applyFill="true">
      <alignment horizontal="center" vertical="center"/>
    </xf>
    <xf fontId="25130" applyFont="true" borderId="8" applyBorder="true" applyNumberFormat="true" numFmtId="165" fillId="22" applyFill="true">
      <alignment horizontal="center" vertical="center"/>
    </xf>
    <xf fontId="25131" applyFont="true" borderId="8" applyBorder="true" applyNumberFormat="true" numFmtId="1" fillId="22" applyFill="true">
      <alignment horizontal="center" vertical="center"/>
    </xf>
    <xf fontId="25132" applyFont="true" borderId="8" applyBorder="true" applyNumberFormat="true" numFmtId="1" fillId="22" applyFill="true">
      <alignment horizontal="center" vertical="center"/>
    </xf>
    <xf fontId="25133" applyFont="true" borderId="8" applyBorder="true" applyNumberFormat="true" numFmtId="1" fillId="22" applyFill="true">
      <alignment horizontal="center" vertical="center"/>
    </xf>
    <xf fontId="25134" applyFont="true" borderId="8" applyBorder="true" applyNumberFormat="true" numFmtId="167" fillId="22" applyFill="true">
      <alignment horizontal="center" vertical="center"/>
    </xf>
    <xf fontId="25135" applyFont="true" borderId="8" applyBorder="true" applyNumberFormat="true" numFmtId="1" fillId="22" applyFill="true">
      <alignment horizontal="center" vertical="center"/>
    </xf>
    <xf fontId="25136" applyFont="true" borderId="8" applyBorder="true" applyNumberFormat="true" numFmtId="167" fillId="22" applyFill="true">
      <alignment horizontal="center" vertical="center"/>
    </xf>
    <xf fontId="25137" applyFont="true" borderId="8" applyBorder="true" applyNumberFormat="true" numFmtId="1" fillId="22" applyFill="true">
      <alignment horizontal="center" vertical="center"/>
    </xf>
    <xf fontId="25138" applyFont="true" borderId="8" applyBorder="true" applyNumberFormat="true" numFmtId="167" fillId="22" applyFill="true">
      <alignment horizontal="center" vertical="center"/>
    </xf>
    <xf fontId="25139" applyFont="true" borderId="8" applyBorder="true" applyNumberFormat="true" numFmtId="1" fillId="22" applyFill="true">
      <alignment horizontal="center" vertical="center"/>
    </xf>
    <xf fontId="25140" applyFont="true" borderId="8" applyBorder="true" applyNumberFormat="true" numFmtId="167" fillId="22" applyFill="true">
      <alignment horizontal="center" vertical="center"/>
    </xf>
    <xf fontId="25141" applyFont="true" borderId="8" applyBorder="true" applyNumberFormat="true" numFmtId="167" fillId="22" applyFill="true">
      <alignment horizontal="center" vertical="center"/>
    </xf>
    <xf fontId="25142" applyFont="true" borderId="8" applyBorder="true" applyNumberFormat="true" numFmtId="1" fillId="22" applyFill="true">
      <alignment horizontal="center" vertical="center"/>
    </xf>
    <xf fontId="25143" applyFont="true" borderId="8" applyBorder="true" applyNumberFormat="true" numFmtId="1" fillId="22" applyFill="true">
      <alignment horizontal="center" vertical="center"/>
    </xf>
    <xf fontId="25144" applyFont="true" borderId="8" applyBorder="true" applyNumberFormat="true" numFmtId="1" fillId="22" applyFill="true">
      <alignment horizontal="center" vertical="center"/>
    </xf>
    <xf fontId="25145" applyFont="true" borderId="8" applyBorder="true" applyNumberFormat="true" numFmtId="167" fillId="22" applyFill="true">
      <alignment horizontal="center" vertical="center"/>
    </xf>
    <xf fontId="25146" applyFont="true" borderId="8" applyBorder="true" applyNumberFormat="true" numFmtId="166" fillId="22" applyFill="true">
      <alignment horizontal="center" vertical="center"/>
    </xf>
    <xf fontId="25147" applyFont="true" borderId="8" applyBorder="true" applyNumberFormat="true" numFmtId="166" fillId="22" applyFill="true">
      <alignment horizontal="center" vertical="center"/>
    </xf>
    <xf fontId="25148" applyFont="true" borderId="8" applyBorder="true" applyNumberFormat="true" numFmtId="1" fillId="22" applyFill="true">
      <alignment horizontal="center" vertical="center"/>
    </xf>
    <xf fontId="25149" applyFont="true" borderId="8" applyBorder="true" applyNumberFormat="true" numFmtId="1" fillId="22" applyFill="true">
      <alignment horizontal="center" vertical="center"/>
    </xf>
    <xf fontId="25150" applyFont="true" borderId="8" applyBorder="true" applyNumberFormat="true" numFmtId="1" fillId="22" applyFill="true">
      <alignment horizontal="center" vertical="center"/>
    </xf>
    <xf fontId="25151" applyFont="true" borderId="8" applyBorder="true" applyNumberFormat="true" numFmtId="167" fillId="22" applyFill="true">
      <alignment horizontal="center" vertical="center"/>
    </xf>
    <xf fontId="25152" applyFont="true" borderId="8" applyBorder="true" applyNumberFormat="true" numFmtId="1" fillId="22" applyFill="true">
      <alignment horizontal="center" vertical="center"/>
    </xf>
    <xf fontId="25153" applyFont="true" borderId="8" applyBorder="true" applyNumberFormat="true" numFmtId="167" fillId="22" applyFill="true">
      <alignment horizontal="center" vertical="center"/>
    </xf>
    <xf fontId="25154" applyFont="true" borderId="8" applyBorder="true" applyNumberFormat="true" numFmtId="1" fillId="22" applyFill="true">
      <alignment horizontal="center" vertical="center"/>
    </xf>
    <xf fontId="25155" applyFont="true" borderId="8" applyBorder="true" applyNumberFormat="true" numFmtId="1" fillId="22" applyFill="true">
      <alignment horizontal="center" vertical="center"/>
    </xf>
    <xf fontId="25156" applyFont="true" borderId="8" applyBorder="true" applyNumberFormat="true" numFmtId="1" fillId="22" applyFill="true">
      <alignment horizontal="center" vertical="center"/>
    </xf>
    <xf fontId="25157" applyFont="true" borderId="8" applyBorder="true" applyNumberFormat="true" numFmtId="1" fillId="22" applyFill="true">
      <alignment horizontal="center" vertical="center"/>
    </xf>
    <xf fontId="25158" applyFont="true" borderId="8" applyBorder="true" applyNumberFormat="true" numFmtId="167" fillId="22" applyFill="true">
      <alignment horizontal="center" vertical="center"/>
    </xf>
    <xf fontId="25159" applyFont="true" borderId="8" applyBorder="true" applyNumberFormat="true" numFmtId="1" fillId="22" applyFill="true">
      <alignment horizontal="center" vertical="center"/>
    </xf>
    <xf fontId="25160" applyFont="true" borderId="8" applyBorder="true" applyNumberFormat="true" numFmtId="167" fillId="22" applyFill="true">
      <alignment horizontal="center" vertical="center"/>
    </xf>
    <xf fontId="25161" applyFont="true" borderId="8" applyBorder="true" applyNumberFormat="true" numFmtId="1" fillId="22" applyFill="true">
      <alignment horizontal="center" vertical="center"/>
    </xf>
    <xf fontId="25162" applyFont="true" borderId="8" applyBorder="true" applyNumberFormat="true" numFmtId="167" fillId="22" applyFill="true">
      <alignment horizontal="center" vertical="center"/>
    </xf>
    <xf fontId="25163" applyFont="true" borderId="8" applyBorder="true" applyNumberFormat="true" numFmtId="2" fillId="22" applyFill="true">
      <alignment horizontal="center" vertical="center"/>
    </xf>
    <xf fontId="25164" applyFont="true" borderId="8" applyBorder="true" applyNumberFormat="true" numFmtId="2" fillId="22" applyFill="true">
      <alignment horizontal="center" vertical="center"/>
    </xf>
    <xf fontId="25165" applyFont="true" borderId="8" applyBorder="true" applyNumberFormat="true" numFmtId="2" fillId="22" applyFill="true">
      <alignment horizontal="center" vertical="center"/>
    </xf>
    <xf fontId="25166" applyFont="true" borderId="8" applyBorder="true" applyNumberFormat="true" numFmtId="2" fillId="22" applyFill="true">
      <alignment horizontal="center" vertical="center"/>
    </xf>
    <xf fontId="25167" applyFont="true" borderId="8" applyBorder="true" applyNumberFormat="true" numFmtId="2" fillId="22" applyFill="true">
      <alignment horizontal="center" vertical="center"/>
    </xf>
    <xf fontId="25168" applyFont="true" borderId="8" applyBorder="true" applyNumberFormat="true" numFmtId="2" fillId="22" applyFill="true">
      <alignment horizontal="center" vertical="center"/>
    </xf>
    <xf fontId="25169" applyFont="true" borderId="8" applyBorder="true" applyNumberFormat="true" numFmtId="2" fillId="22" applyFill="true">
      <alignment horizontal="center" vertical="center"/>
    </xf>
    <xf fontId="25170" applyFont="true" borderId="8" applyBorder="true" applyNumberFormat="true" numFmtId="2" fillId="22" applyFill="true">
      <alignment horizontal="center" vertical="center"/>
    </xf>
    <xf fontId="25171" applyFont="true" borderId="8" applyBorder="true" applyNumberFormat="true" numFmtId="2" fillId="22" applyFill="true">
      <alignment horizontal="center" vertical="center"/>
    </xf>
    <xf fontId="25172" applyFont="true" borderId="8" applyBorder="true" applyNumberFormat="true" numFmtId="2" fillId="22" applyFill="true">
      <alignment horizontal="center" vertical="center"/>
    </xf>
    <xf fontId="25173" applyFont="true" borderId="8" applyBorder="true" applyNumberFormat="true" numFmtId="2" fillId="22" applyFill="true">
      <alignment horizontal="center" vertical="center"/>
    </xf>
    <xf fontId="25174" applyFont="true" borderId="8" applyBorder="true" applyNumberFormat="true" numFmtId="2" fillId="22" applyFill="true">
      <alignment horizontal="center" vertical="center"/>
    </xf>
    <xf fontId="25175" applyFont="true" borderId="8" applyBorder="true" applyNumberFormat="true" numFmtId="2" fillId="22" applyFill="true">
      <alignment horizontal="center" vertical="center"/>
    </xf>
    <xf fontId="25176" applyFont="true" borderId="8" applyBorder="true" applyNumberFormat="true" numFmtId="2" fillId="22" applyFill="true">
      <alignment horizontal="center" vertical="center"/>
    </xf>
    <xf fontId="25177" applyFont="true" borderId="8" applyBorder="true" applyNumberFormat="true" numFmtId="2" fillId="22" applyFill="true">
      <alignment horizontal="center" vertical="center"/>
    </xf>
    <xf fontId="25178" applyFont="true" borderId="8" applyBorder="true" applyNumberFormat="true" numFmtId="2" fillId="22" applyFill="true">
      <alignment horizontal="center" vertical="center"/>
    </xf>
    <xf fontId="25179" applyFont="true" borderId="8" applyBorder="true" applyNumberFormat="true" numFmtId="2" fillId="22" applyFill="true">
      <alignment horizontal="center" vertical="center"/>
    </xf>
    <xf fontId="25180" applyFont="true" borderId="8" applyBorder="true" applyNumberFormat="true" numFmtId="2" fillId="22" applyFill="true">
      <alignment horizontal="center" vertical="center"/>
    </xf>
    <xf fontId="25181" applyFont="true" borderId="8" applyBorder="true" applyNumberFormat="true" numFmtId="2" fillId="22" applyFill="true">
      <alignment horizontal="center" vertical="center"/>
    </xf>
    <xf fontId="25182" applyFont="true" borderId="8" applyBorder="true" applyNumberFormat="true" numFmtId="2" fillId="22" applyFill="true">
      <alignment horizontal="center" vertical="center"/>
    </xf>
    <xf fontId="25183" applyFont="true" borderId="8" applyBorder="true" applyNumberFormat="true" numFmtId="2" fillId="22" applyFill="true">
      <alignment horizontal="center" vertical="center"/>
    </xf>
    <xf fontId="25184" applyFont="true" borderId="8" applyBorder="true" applyNumberFormat="true" numFmtId="2" fillId="22" applyFill="true">
      <alignment horizontal="center" vertical="center"/>
    </xf>
    <xf fontId="25185" applyFont="true" borderId="8" applyBorder="true" applyNumberFormat="true" numFmtId="2" fillId="22" applyFill="true">
      <alignment horizontal="center" vertical="center"/>
    </xf>
    <xf fontId="25186" applyFont="true" borderId="8" applyBorder="true" applyNumberFormat="true" numFmtId="2" fillId="22" applyFill="true">
      <alignment horizontal="center" vertical="center"/>
    </xf>
    <xf fontId="25187" applyFont="true" borderId="8" applyBorder="true" applyNumberFormat="true" numFmtId="2" fillId="22" applyFill="true">
      <alignment horizontal="center" vertical="center"/>
    </xf>
    <xf fontId="25188" applyFont="true" borderId="8" applyBorder="true" applyNumberFormat="true" numFmtId="2" fillId="22" applyFill="true">
      <alignment horizontal="center" vertical="center"/>
    </xf>
    <xf fontId="25189" applyFont="true" borderId="8" applyBorder="true" applyNumberFormat="true" numFmtId="2" fillId="22" applyFill="true">
      <alignment horizontal="center" vertical="center"/>
    </xf>
    <xf fontId="25190" applyFont="true" borderId="8" applyBorder="true" applyNumberFormat="true" numFmtId="2" fillId="22" applyFill="true">
      <alignment horizontal="center" vertical="center"/>
    </xf>
    <xf fontId="25191" applyFont="true" borderId="8" applyBorder="true" applyNumberFormat="true" numFmtId="2" fillId="22" applyFill="true">
      <alignment horizontal="center" vertical="center"/>
    </xf>
    <xf fontId="25192" applyFont="true" borderId="8" applyBorder="true" applyNumberFormat="true" numFmtId="2" fillId="22" applyFill="true">
      <alignment horizontal="center" vertical="center"/>
    </xf>
    <xf fontId="25193" applyFont="true" borderId="8" applyBorder="true" applyNumberFormat="true" numFmtId="2" fillId="22" applyFill="true">
      <alignment horizontal="center" vertical="center"/>
    </xf>
    <xf fontId="25194" applyFont="true" borderId="8" applyBorder="true" applyNumberFormat="true" numFmtId="2" fillId="22" applyFill="true">
      <alignment horizontal="center" vertical="center"/>
    </xf>
    <xf fontId="25195" applyFont="true" borderId="8" applyBorder="true" applyNumberFormat="true" numFmtId="2" fillId="22" applyFill="true">
      <alignment horizontal="center" vertical="center"/>
    </xf>
    <xf fontId="25196" applyFont="true" borderId="8" applyBorder="true" applyNumberFormat="true" numFmtId="2" fillId="22" applyFill="true">
      <alignment horizontal="center" vertical="center"/>
    </xf>
    <xf fontId="25197" applyFont="true" borderId="8" applyBorder="true" applyNumberFormat="true" numFmtId="165" fillId="19" applyFill="true">
      <alignment horizontal="left" vertical="center"/>
    </xf>
    <xf fontId="25198" applyFont="true" borderId="8" applyBorder="true" applyNumberFormat="true" numFmtId="165" fillId="22" applyFill="true">
      <alignment horizontal="center" vertical="center"/>
    </xf>
    <xf fontId="25199" applyFont="true" borderId="8" applyBorder="true" applyNumberFormat="true" numFmtId="166" fillId="22" applyFill="true">
      <alignment horizontal="center" vertical="center"/>
    </xf>
    <xf fontId="25200" applyFont="true" borderId="8" applyBorder="true" applyNumberFormat="true" numFmtId="1" fillId="22" applyFill="true">
      <alignment horizontal="center" vertical="center"/>
    </xf>
    <xf fontId="25201" applyFont="true" borderId="8" applyBorder="true" applyNumberFormat="true" numFmtId="1" fillId="22" applyFill="true">
      <alignment horizontal="center" vertical="center"/>
    </xf>
    <xf fontId="25202" applyFont="true" borderId="8" applyBorder="true" applyNumberFormat="true" numFmtId="1" fillId="22" applyFill="true">
      <alignment horizontal="center" vertical="center"/>
    </xf>
    <xf fontId="25203" applyFont="true" borderId="8" applyBorder="true" applyNumberFormat="true" numFmtId="1" fillId="22" applyFill="true">
      <alignment horizontal="center" vertical="center"/>
    </xf>
    <xf fontId="25204" applyFont="true" borderId="8" applyBorder="true" applyNumberFormat="true" numFmtId="1" fillId="22" applyFill="true">
      <alignment horizontal="center" vertical="center"/>
    </xf>
    <xf fontId="25205" applyFont="true" borderId="8" applyBorder="true" applyNumberFormat="true" numFmtId="1" fillId="22" applyFill="true">
      <alignment horizontal="center" vertical="center"/>
    </xf>
    <xf fontId="25206" applyFont="true" borderId="8" applyBorder="true" applyNumberFormat="true" numFmtId="1" fillId="22" applyFill="true">
      <alignment horizontal="center" vertical="center"/>
    </xf>
    <xf fontId="25207" applyFont="true" borderId="8" applyBorder="true" applyNumberFormat="true" numFmtId="165" fillId="22" applyFill="true">
      <alignment horizontal="center" vertical="center"/>
    </xf>
    <xf fontId="25208" applyFont="true" borderId="8" applyBorder="true" applyNumberFormat="true" numFmtId="165" fillId="22" applyFill="true">
      <alignment horizontal="center" vertical="center"/>
    </xf>
    <xf fontId="25209" applyFont="true" borderId="8" applyBorder="true" applyNumberFormat="true" numFmtId="1" fillId="22" applyFill="true">
      <alignment horizontal="center" vertical="center"/>
    </xf>
    <xf fontId="25210" applyFont="true" borderId="8" applyBorder="true" applyNumberFormat="true" numFmtId="1" fillId="22" applyFill="true">
      <alignment horizontal="center" vertical="center"/>
    </xf>
    <xf fontId="25211" applyFont="true" borderId="8" applyBorder="true" applyNumberFormat="true" numFmtId="1" fillId="22" applyFill="true">
      <alignment horizontal="center" vertical="center"/>
    </xf>
    <xf fontId="25212" applyFont="true" borderId="8" applyBorder="true" applyNumberFormat="true" numFmtId="167" fillId="22" applyFill="true">
      <alignment horizontal="center" vertical="center"/>
    </xf>
    <xf fontId="25213" applyFont="true" borderId="8" applyBorder="true" applyNumberFormat="true" numFmtId="1" fillId="22" applyFill="true">
      <alignment horizontal="center" vertical="center"/>
    </xf>
    <xf fontId="25214" applyFont="true" borderId="8" applyBorder="true" applyNumberFormat="true" numFmtId="167" fillId="22" applyFill="true">
      <alignment horizontal="center" vertical="center"/>
    </xf>
    <xf fontId="25215" applyFont="true" borderId="8" applyBorder="true" applyNumberFormat="true" numFmtId="1" fillId="22" applyFill="true">
      <alignment horizontal="center" vertical="center"/>
    </xf>
    <xf fontId="25216" applyFont="true" borderId="8" applyBorder="true" applyNumberFormat="true" numFmtId="167" fillId="22" applyFill="true">
      <alignment horizontal="center" vertical="center"/>
    </xf>
    <xf fontId="25217" applyFont="true" borderId="8" applyBorder="true" applyNumberFormat="true" numFmtId="1" fillId="22" applyFill="true">
      <alignment horizontal="center" vertical="center"/>
    </xf>
    <xf fontId="25218" applyFont="true" borderId="8" applyBorder="true" applyNumberFormat="true" numFmtId="167" fillId="22" applyFill="true">
      <alignment horizontal="center" vertical="center"/>
    </xf>
    <xf fontId="25219" applyFont="true" borderId="8" applyBorder="true" applyNumberFormat="true" numFmtId="167" fillId="22" applyFill="true">
      <alignment horizontal="center" vertical="center"/>
    </xf>
    <xf fontId="25220" applyFont="true" borderId="8" applyBorder="true" applyNumberFormat="true" numFmtId="1" fillId="22" applyFill="true">
      <alignment horizontal="center" vertical="center"/>
    </xf>
    <xf fontId="25221" applyFont="true" borderId="8" applyBorder="true" applyNumberFormat="true" numFmtId="1" fillId="22" applyFill="true">
      <alignment horizontal="center" vertical="center"/>
    </xf>
    <xf fontId="25222" applyFont="true" borderId="8" applyBorder="true" applyNumberFormat="true" numFmtId="1" fillId="22" applyFill="true">
      <alignment horizontal="center" vertical="center"/>
    </xf>
    <xf fontId="25223" applyFont="true" borderId="8" applyBorder="true" applyNumberFormat="true" numFmtId="167" fillId="22" applyFill="true">
      <alignment horizontal="center" vertical="center"/>
    </xf>
    <xf fontId="25224" applyFont="true" borderId="8" applyBorder="true" applyNumberFormat="true" numFmtId="166" fillId="22" applyFill="true">
      <alignment horizontal="center" vertical="center"/>
    </xf>
    <xf fontId="25225" applyFont="true" borderId="8" applyBorder="true" applyNumberFormat="true" numFmtId="166" fillId="22" applyFill="true">
      <alignment horizontal="center" vertical="center"/>
    </xf>
    <xf fontId="25226" applyFont="true" borderId="8" applyBorder="true" applyNumberFormat="true" numFmtId="1" fillId="22" applyFill="true">
      <alignment horizontal="center" vertical="center"/>
    </xf>
    <xf fontId="25227" applyFont="true" borderId="8" applyBorder="true" applyNumberFormat="true" numFmtId="1" fillId="22" applyFill="true">
      <alignment horizontal="center" vertical="center"/>
    </xf>
    <xf fontId="25228" applyFont="true" borderId="8" applyBorder="true" applyNumberFormat="true" numFmtId="1" fillId="22" applyFill="true">
      <alignment horizontal="center" vertical="center"/>
    </xf>
    <xf fontId="25229" applyFont="true" borderId="8" applyBorder="true" applyNumberFormat="true" numFmtId="167" fillId="22" applyFill="true">
      <alignment horizontal="center" vertical="center"/>
    </xf>
    <xf fontId="25230" applyFont="true" borderId="8" applyBorder="true" applyNumberFormat="true" numFmtId="1" fillId="22" applyFill="true">
      <alignment horizontal="center" vertical="center"/>
    </xf>
    <xf fontId="25231" applyFont="true" borderId="8" applyBorder="true" applyNumberFormat="true" numFmtId="167" fillId="22" applyFill="true">
      <alignment horizontal="center" vertical="center"/>
    </xf>
    <xf fontId="25232" applyFont="true" borderId="8" applyBorder="true" applyNumberFormat="true" numFmtId="1" fillId="22" applyFill="true">
      <alignment horizontal="center" vertical="center"/>
    </xf>
    <xf fontId="25233" applyFont="true" borderId="8" applyBorder="true" applyNumberFormat="true" numFmtId="1" fillId="22" applyFill="true">
      <alignment horizontal="center" vertical="center"/>
    </xf>
    <xf fontId="25234" applyFont="true" borderId="8" applyBorder="true" applyNumberFormat="true" numFmtId="1" fillId="22" applyFill="true">
      <alignment horizontal="center" vertical="center"/>
    </xf>
    <xf fontId="25235" applyFont="true" borderId="8" applyBorder="true" applyNumberFormat="true" numFmtId="1" fillId="22" applyFill="true">
      <alignment horizontal="center" vertical="center"/>
    </xf>
    <xf fontId="25236" applyFont="true" borderId="8" applyBorder="true" applyNumberFormat="true" numFmtId="167" fillId="22" applyFill="true">
      <alignment horizontal="center" vertical="center"/>
    </xf>
    <xf fontId="25237" applyFont="true" borderId="8" applyBorder="true" applyNumberFormat="true" numFmtId="1" fillId="22" applyFill="true">
      <alignment horizontal="center" vertical="center"/>
    </xf>
    <xf fontId="25238" applyFont="true" borderId="8" applyBorder="true" applyNumberFormat="true" numFmtId="167" fillId="22" applyFill="true">
      <alignment horizontal="center" vertical="center"/>
    </xf>
    <xf fontId="25239" applyFont="true" borderId="8" applyBorder="true" applyNumberFormat="true" numFmtId="1" fillId="22" applyFill="true">
      <alignment horizontal="center" vertical="center"/>
    </xf>
    <xf fontId="25240" applyFont="true" borderId="8" applyBorder="true" applyNumberFormat="true" numFmtId="167" fillId="22" applyFill="true">
      <alignment horizontal="center" vertical="center"/>
    </xf>
    <xf fontId="25241" applyFont="true" borderId="8" applyBorder="true" applyNumberFormat="true" numFmtId="2" fillId="22" applyFill="true">
      <alignment horizontal="center" vertical="center"/>
    </xf>
    <xf fontId="25242" applyFont="true" borderId="8" applyBorder="true" applyNumberFormat="true" numFmtId="2" fillId="22" applyFill="true">
      <alignment horizontal="center" vertical="center"/>
    </xf>
    <xf fontId="25243" applyFont="true" borderId="8" applyBorder="true" applyNumberFormat="true" numFmtId="2" fillId="22" applyFill="true">
      <alignment horizontal="center" vertical="center"/>
    </xf>
    <xf fontId="25244" applyFont="true" borderId="8" applyBorder="true" applyNumberFormat="true" numFmtId="2" fillId="22" applyFill="true">
      <alignment horizontal="center" vertical="center"/>
    </xf>
    <xf fontId="25245" applyFont="true" borderId="8" applyBorder="true" applyNumberFormat="true" numFmtId="2" fillId="22" applyFill="true">
      <alignment horizontal="center" vertical="center"/>
    </xf>
    <xf fontId="25246" applyFont="true" borderId="8" applyBorder="true" applyNumberFormat="true" numFmtId="2" fillId="22" applyFill="true">
      <alignment horizontal="center" vertical="center"/>
    </xf>
    <xf fontId="25247" applyFont="true" borderId="8" applyBorder="true" applyNumberFormat="true" numFmtId="2" fillId="22" applyFill="true">
      <alignment horizontal="center" vertical="center"/>
    </xf>
    <xf fontId="25248" applyFont="true" borderId="8" applyBorder="true" applyNumberFormat="true" numFmtId="2" fillId="22" applyFill="true">
      <alignment horizontal="center" vertical="center"/>
    </xf>
    <xf fontId="25249" applyFont="true" borderId="8" applyBorder="true" applyNumberFormat="true" numFmtId="2" fillId="22" applyFill="true">
      <alignment horizontal="center" vertical="center"/>
    </xf>
    <xf fontId="25250" applyFont="true" borderId="8" applyBorder="true" applyNumberFormat="true" numFmtId="2" fillId="22" applyFill="true">
      <alignment horizontal="center" vertical="center"/>
    </xf>
    <xf fontId="25251" applyFont="true" borderId="8" applyBorder="true" applyNumberFormat="true" numFmtId="2" fillId="22" applyFill="true">
      <alignment horizontal="center" vertical="center"/>
    </xf>
    <xf fontId="25252" applyFont="true" borderId="8" applyBorder="true" applyNumberFormat="true" numFmtId="2" fillId="22" applyFill="true">
      <alignment horizontal="center" vertical="center"/>
    </xf>
    <xf fontId="25253" applyFont="true" borderId="8" applyBorder="true" applyNumberFormat="true" numFmtId="2" fillId="22" applyFill="true">
      <alignment horizontal="center" vertical="center"/>
    </xf>
    <xf fontId="25254" applyFont="true" borderId="8" applyBorder="true" applyNumberFormat="true" numFmtId="2" fillId="22" applyFill="true">
      <alignment horizontal="center" vertical="center"/>
    </xf>
    <xf fontId="25255" applyFont="true" borderId="8" applyBorder="true" applyNumberFormat="true" numFmtId="2" fillId="22" applyFill="true">
      <alignment horizontal="center" vertical="center"/>
    </xf>
    <xf fontId="25256" applyFont="true" borderId="8" applyBorder="true" applyNumberFormat="true" numFmtId="2" fillId="22" applyFill="true">
      <alignment horizontal="center" vertical="center"/>
    </xf>
    <xf fontId="25257" applyFont="true" borderId="8" applyBorder="true" applyNumberFormat="true" numFmtId="2" fillId="22" applyFill="true">
      <alignment horizontal="center" vertical="center"/>
    </xf>
    <xf fontId="25258" applyFont="true" borderId="8" applyBorder="true" applyNumberFormat="true" numFmtId="2" fillId="22" applyFill="true">
      <alignment horizontal="center" vertical="center"/>
    </xf>
    <xf fontId="25259" applyFont="true" borderId="8" applyBorder="true" applyNumberFormat="true" numFmtId="2" fillId="22" applyFill="true">
      <alignment horizontal="center" vertical="center"/>
    </xf>
    <xf fontId="25260" applyFont="true" borderId="8" applyBorder="true" applyNumberFormat="true" numFmtId="2" fillId="22" applyFill="true">
      <alignment horizontal="center" vertical="center"/>
    </xf>
    <xf fontId="25261" applyFont="true" borderId="8" applyBorder="true" applyNumberFormat="true" numFmtId="2" fillId="22" applyFill="true">
      <alignment horizontal="center" vertical="center"/>
    </xf>
    <xf fontId="25262" applyFont="true" borderId="8" applyBorder="true" applyNumberFormat="true" numFmtId="2" fillId="22" applyFill="true">
      <alignment horizontal="center" vertical="center"/>
    </xf>
    <xf fontId="25263" applyFont="true" borderId="8" applyBorder="true" applyNumberFormat="true" numFmtId="2" fillId="22" applyFill="true">
      <alignment horizontal="center" vertical="center"/>
    </xf>
    <xf fontId="25264" applyFont="true" borderId="8" applyBorder="true" applyNumberFormat="true" numFmtId="2" fillId="22" applyFill="true">
      <alignment horizontal="center" vertical="center"/>
    </xf>
    <xf fontId="25265" applyFont="true" borderId="8" applyBorder="true" applyNumberFormat="true" numFmtId="2" fillId="22" applyFill="true">
      <alignment horizontal="center" vertical="center"/>
    </xf>
    <xf fontId="25266" applyFont="true" borderId="8" applyBorder="true" applyNumberFormat="true" numFmtId="2" fillId="22" applyFill="true">
      <alignment horizontal="center" vertical="center"/>
    </xf>
    <xf fontId="25267" applyFont="true" borderId="8" applyBorder="true" applyNumberFormat="true" numFmtId="2" fillId="22" applyFill="true">
      <alignment horizontal="center" vertical="center"/>
    </xf>
    <xf fontId="25268" applyFont="true" borderId="8" applyBorder="true" applyNumberFormat="true" numFmtId="2" fillId="22" applyFill="true">
      <alignment horizontal="center" vertical="center"/>
    </xf>
    <xf fontId="25269" applyFont="true" borderId="8" applyBorder="true" applyNumberFormat="true" numFmtId="2" fillId="22" applyFill="true">
      <alignment horizontal="center" vertical="center"/>
    </xf>
    <xf fontId="25270" applyFont="true" borderId="8" applyBorder="true" applyNumberFormat="true" numFmtId="2" fillId="22" applyFill="true">
      <alignment horizontal="center" vertical="center"/>
    </xf>
    <xf fontId="25271" applyFont="true" borderId="8" applyBorder="true" applyNumberFormat="true" numFmtId="2" fillId="22" applyFill="true">
      <alignment horizontal="center" vertical="center"/>
    </xf>
    <xf fontId="25272" applyFont="true" borderId="8" applyBorder="true" applyNumberFormat="true" numFmtId="2" fillId="22" applyFill="true">
      <alignment horizontal="center" vertical="center"/>
    </xf>
    <xf fontId="25273" applyFont="true" borderId="8" applyBorder="true" applyNumberFormat="true" numFmtId="2" fillId="22" applyFill="true">
      <alignment horizontal="center" vertical="center"/>
    </xf>
    <xf fontId="25274" applyFont="true" borderId="8" applyBorder="true" applyNumberFormat="true" numFmtId="2" fillId="22" applyFill="true">
      <alignment horizontal="center" vertical="center"/>
    </xf>
    <xf fontId="25275" applyFont="true" borderId="8" applyBorder="true" applyNumberFormat="true" numFmtId="165" fillId="19" applyFill="true">
      <alignment horizontal="left" vertical="center"/>
    </xf>
    <xf fontId="25276" applyFont="true" borderId="8" applyBorder="true" applyNumberFormat="true" numFmtId="165" fillId="22" applyFill="true">
      <alignment horizontal="center" vertical="center"/>
    </xf>
    <xf fontId="25277" applyFont="true" borderId="8" applyBorder="true" applyNumberFormat="true" numFmtId="166" fillId="22" applyFill="true">
      <alignment horizontal="center" vertical="center"/>
    </xf>
    <xf fontId="25278" applyFont="true" borderId="8" applyBorder="true" applyNumberFormat="true" numFmtId="1" fillId="22" applyFill="true">
      <alignment horizontal="center" vertical="center"/>
    </xf>
    <xf fontId="25279" applyFont="true" borderId="8" applyBorder="true" applyNumberFormat="true" numFmtId="1" fillId="22" applyFill="true">
      <alignment horizontal="center" vertical="center"/>
    </xf>
    <xf fontId="25280" applyFont="true" borderId="8" applyBorder="true" applyNumberFormat="true" numFmtId="1" fillId="22" applyFill="true">
      <alignment horizontal="center" vertical="center"/>
    </xf>
    <xf fontId="25281" applyFont="true" borderId="8" applyBorder="true" applyNumberFormat="true" numFmtId="1" fillId="22" applyFill="true">
      <alignment horizontal="center" vertical="center"/>
    </xf>
    <xf fontId="25282" applyFont="true" borderId="8" applyBorder="true" applyNumberFormat="true" numFmtId="1" fillId="22" applyFill="true">
      <alignment horizontal="center" vertical="center"/>
    </xf>
    <xf fontId="25283" applyFont="true" borderId="8" applyBorder="true" applyNumberFormat="true" numFmtId="1" fillId="22" applyFill="true">
      <alignment horizontal="center" vertical="center"/>
    </xf>
    <xf fontId="25284" applyFont="true" borderId="8" applyBorder="true" applyNumberFormat="true" numFmtId="1" fillId="22" applyFill="true">
      <alignment horizontal="center" vertical="center"/>
    </xf>
    <xf fontId="25285" applyFont="true" borderId="8" applyBorder="true" applyNumberFormat="true" numFmtId="165" fillId="22" applyFill="true">
      <alignment horizontal="center" vertical="center"/>
    </xf>
    <xf fontId="25286" applyFont="true" borderId="8" applyBorder="true" applyNumberFormat="true" numFmtId="165" fillId="22" applyFill="true">
      <alignment horizontal="center" vertical="center"/>
    </xf>
    <xf fontId="25287" applyFont="true" borderId="8" applyBorder="true" applyNumberFormat="true" numFmtId="1" fillId="22" applyFill="true">
      <alignment horizontal="center" vertical="center"/>
    </xf>
    <xf fontId="25288" applyFont="true" borderId="8" applyBorder="true" applyNumberFormat="true" numFmtId="1" fillId="22" applyFill="true">
      <alignment horizontal="center" vertical="center"/>
    </xf>
    <xf fontId="25289" applyFont="true" borderId="8" applyBorder="true" applyNumberFormat="true" numFmtId="1" fillId="22" applyFill="true">
      <alignment horizontal="center" vertical="center"/>
    </xf>
    <xf fontId="25290" applyFont="true" borderId="8" applyBorder="true" applyNumberFormat="true" numFmtId="167" fillId="22" applyFill="true">
      <alignment horizontal="center" vertical="center"/>
    </xf>
    <xf fontId="25291" applyFont="true" borderId="8" applyBorder="true" applyNumberFormat="true" numFmtId="1" fillId="22" applyFill="true">
      <alignment horizontal="center" vertical="center"/>
    </xf>
    <xf fontId="25292" applyFont="true" borderId="8" applyBorder="true" applyNumberFormat="true" numFmtId="167" fillId="22" applyFill="true">
      <alignment horizontal="center" vertical="center"/>
    </xf>
    <xf fontId="25293" applyFont="true" borderId="8" applyBorder="true" applyNumberFormat="true" numFmtId="1" fillId="22" applyFill="true">
      <alignment horizontal="center" vertical="center"/>
    </xf>
    <xf fontId="25294" applyFont="true" borderId="8" applyBorder="true" applyNumberFormat="true" numFmtId="167" fillId="22" applyFill="true">
      <alignment horizontal="center" vertical="center"/>
    </xf>
    <xf fontId="25295" applyFont="true" borderId="8" applyBorder="true" applyNumberFormat="true" numFmtId="1" fillId="22" applyFill="true">
      <alignment horizontal="center" vertical="center"/>
    </xf>
    <xf fontId="25296" applyFont="true" borderId="8" applyBorder="true" applyNumberFormat="true" numFmtId="167" fillId="22" applyFill="true">
      <alignment horizontal="center" vertical="center"/>
    </xf>
    <xf fontId="25297" applyFont="true" borderId="8" applyBorder="true" applyNumberFormat="true" numFmtId="167" fillId="22" applyFill="true">
      <alignment horizontal="center" vertical="center"/>
    </xf>
    <xf fontId="25298" applyFont="true" borderId="8" applyBorder="true" applyNumberFormat="true" numFmtId="1" fillId="22" applyFill="true">
      <alignment horizontal="center" vertical="center"/>
    </xf>
    <xf fontId="25299" applyFont="true" borderId="8" applyBorder="true" applyNumberFormat="true" numFmtId="1" fillId="22" applyFill="true">
      <alignment horizontal="center" vertical="center"/>
    </xf>
    <xf fontId="25300" applyFont="true" borderId="8" applyBorder="true" applyNumberFormat="true" numFmtId="1" fillId="22" applyFill="true">
      <alignment horizontal="center" vertical="center"/>
    </xf>
    <xf fontId="25301" applyFont="true" borderId="8" applyBorder="true" applyNumberFormat="true" numFmtId="167" fillId="22" applyFill="true">
      <alignment horizontal="center" vertical="center"/>
    </xf>
    <xf fontId="25302" applyFont="true" borderId="8" applyBorder="true" applyNumberFormat="true" numFmtId="166" fillId="22" applyFill="true">
      <alignment horizontal="center" vertical="center"/>
    </xf>
    <xf fontId="25303" applyFont="true" borderId="8" applyBorder="true" applyNumberFormat="true" numFmtId="166" fillId="22" applyFill="true">
      <alignment horizontal="center" vertical="center"/>
    </xf>
    <xf fontId="25304" applyFont="true" borderId="8" applyBorder="true" applyNumberFormat="true" numFmtId="1" fillId="22" applyFill="true">
      <alignment horizontal="center" vertical="center"/>
    </xf>
    <xf fontId="25305" applyFont="true" borderId="8" applyBorder="true" applyNumberFormat="true" numFmtId="1" fillId="22" applyFill="true">
      <alignment horizontal="center" vertical="center"/>
    </xf>
    <xf fontId="25306" applyFont="true" borderId="8" applyBorder="true" applyNumberFormat="true" numFmtId="1" fillId="22" applyFill="true">
      <alignment horizontal="center" vertical="center"/>
    </xf>
    <xf fontId="25307" applyFont="true" borderId="8" applyBorder="true" applyNumberFormat="true" numFmtId="167" fillId="22" applyFill="true">
      <alignment horizontal="center" vertical="center"/>
    </xf>
    <xf fontId="25308" applyFont="true" borderId="8" applyBorder="true" applyNumberFormat="true" numFmtId="1" fillId="22" applyFill="true">
      <alignment horizontal="center" vertical="center"/>
    </xf>
    <xf fontId="25309" applyFont="true" borderId="8" applyBorder="true" applyNumberFormat="true" numFmtId="167" fillId="22" applyFill="true">
      <alignment horizontal="center" vertical="center"/>
    </xf>
    <xf fontId="25310" applyFont="true" borderId="8" applyBorder="true" applyNumberFormat="true" numFmtId="1" fillId="22" applyFill="true">
      <alignment horizontal="center" vertical="center"/>
    </xf>
    <xf fontId="25311" applyFont="true" borderId="8" applyBorder="true" applyNumberFormat="true" numFmtId="1" fillId="22" applyFill="true">
      <alignment horizontal="center" vertical="center"/>
    </xf>
    <xf fontId="25312" applyFont="true" borderId="8" applyBorder="true" applyNumberFormat="true" numFmtId="1" fillId="22" applyFill="true">
      <alignment horizontal="center" vertical="center"/>
    </xf>
    <xf fontId="25313" applyFont="true" borderId="8" applyBorder="true" applyNumberFormat="true" numFmtId="1" fillId="22" applyFill="true">
      <alignment horizontal="center" vertical="center"/>
    </xf>
    <xf fontId="25314" applyFont="true" borderId="8" applyBorder="true" applyNumberFormat="true" numFmtId="167" fillId="22" applyFill="true">
      <alignment horizontal="center" vertical="center"/>
    </xf>
    <xf fontId="25315" applyFont="true" borderId="8" applyBorder="true" applyNumberFormat="true" numFmtId="1" fillId="22" applyFill="true">
      <alignment horizontal="center" vertical="center"/>
    </xf>
    <xf fontId="25316" applyFont="true" borderId="8" applyBorder="true" applyNumberFormat="true" numFmtId="167" fillId="22" applyFill="true">
      <alignment horizontal="center" vertical="center"/>
    </xf>
    <xf fontId="25317" applyFont="true" borderId="8" applyBorder="true" applyNumberFormat="true" numFmtId="1" fillId="22" applyFill="true">
      <alignment horizontal="center" vertical="center"/>
    </xf>
    <xf fontId="25318" applyFont="true" borderId="8" applyBorder="true" applyNumberFormat="true" numFmtId="167" fillId="22" applyFill="true">
      <alignment horizontal="center" vertical="center"/>
    </xf>
    <xf fontId="25319" applyFont="true" borderId="8" applyBorder="true" applyNumberFormat="true" numFmtId="2" fillId="22" applyFill="true">
      <alignment horizontal="center" vertical="center"/>
    </xf>
    <xf fontId="25320" applyFont="true" borderId="8" applyBorder="true" applyNumberFormat="true" numFmtId="2" fillId="22" applyFill="true">
      <alignment horizontal="center" vertical="center"/>
    </xf>
    <xf fontId="25321" applyFont="true" borderId="8" applyBorder="true" applyNumberFormat="true" numFmtId="2" fillId="22" applyFill="true">
      <alignment horizontal="center" vertical="center"/>
    </xf>
    <xf fontId="25322" applyFont="true" borderId="8" applyBorder="true" applyNumberFormat="true" numFmtId="2" fillId="22" applyFill="true">
      <alignment horizontal="center" vertical="center"/>
    </xf>
    <xf fontId="25323" applyFont="true" borderId="8" applyBorder="true" applyNumberFormat="true" numFmtId="2" fillId="22" applyFill="true">
      <alignment horizontal="center" vertical="center"/>
    </xf>
    <xf fontId="25324" applyFont="true" borderId="8" applyBorder="true" applyNumberFormat="true" numFmtId="2" fillId="22" applyFill="true">
      <alignment horizontal="center" vertical="center"/>
    </xf>
    <xf fontId="25325" applyFont="true" borderId="8" applyBorder="true" applyNumberFormat="true" numFmtId="2" fillId="22" applyFill="true">
      <alignment horizontal="center" vertical="center"/>
    </xf>
    <xf fontId="25326" applyFont="true" borderId="8" applyBorder="true" applyNumberFormat="true" numFmtId="2" fillId="22" applyFill="true">
      <alignment horizontal="center" vertical="center"/>
    </xf>
    <xf fontId="25327" applyFont="true" borderId="8" applyBorder="true" applyNumberFormat="true" numFmtId="2" fillId="22" applyFill="true">
      <alignment horizontal="center" vertical="center"/>
    </xf>
    <xf fontId="25328" applyFont="true" borderId="8" applyBorder="true" applyNumberFormat="true" numFmtId="2" fillId="22" applyFill="true">
      <alignment horizontal="center" vertical="center"/>
    </xf>
    <xf fontId="25329" applyFont="true" borderId="8" applyBorder="true" applyNumberFormat="true" numFmtId="2" fillId="22" applyFill="true">
      <alignment horizontal="center" vertical="center"/>
    </xf>
    <xf fontId="25330" applyFont="true" borderId="8" applyBorder="true" applyNumberFormat="true" numFmtId="2" fillId="22" applyFill="true">
      <alignment horizontal="center" vertical="center"/>
    </xf>
    <xf fontId="25331" applyFont="true" borderId="8" applyBorder="true" applyNumberFormat="true" numFmtId="2" fillId="22" applyFill="true">
      <alignment horizontal="center" vertical="center"/>
    </xf>
    <xf fontId="25332" applyFont="true" borderId="8" applyBorder="true" applyNumberFormat="true" numFmtId="2" fillId="22" applyFill="true">
      <alignment horizontal="center" vertical="center"/>
    </xf>
    <xf fontId="25333" applyFont="true" borderId="8" applyBorder="true" applyNumberFormat="true" numFmtId="2" fillId="22" applyFill="true">
      <alignment horizontal="center" vertical="center"/>
    </xf>
    <xf fontId="25334" applyFont="true" borderId="8" applyBorder="true" applyNumberFormat="true" numFmtId="2" fillId="22" applyFill="true">
      <alignment horizontal="center" vertical="center"/>
    </xf>
    <xf fontId="25335" applyFont="true" borderId="8" applyBorder="true" applyNumberFormat="true" numFmtId="2" fillId="22" applyFill="true">
      <alignment horizontal="center" vertical="center"/>
    </xf>
    <xf fontId="25336" applyFont="true" borderId="8" applyBorder="true" applyNumberFormat="true" numFmtId="2" fillId="22" applyFill="true">
      <alignment horizontal="center" vertical="center"/>
    </xf>
    <xf fontId="25337" applyFont="true" borderId="8" applyBorder="true" applyNumberFormat="true" numFmtId="2" fillId="22" applyFill="true">
      <alignment horizontal="center" vertical="center"/>
    </xf>
    <xf fontId="25338" applyFont="true" borderId="8" applyBorder="true" applyNumberFormat="true" numFmtId="2" fillId="22" applyFill="true">
      <alignment horizontal="center" vertical="center"/>
    </xf>
    <xf fontId="25339" applyFont="true" borderId="8" applyBorder="true" applyNumberFormat="true" numFmtId="2" fillId="22" applyFill="true">
      <alignment horizontal="center" vertical="center"/>
    </xf>
    <xf fontId="25340" applyFont="true" borderId="8" applyBorder="true" applyNumberFormat="true" numFmtId="2" fillId="22" applyFill="true">
      <alignment horizontal="center" vertical="center"/>
    </xf>
    <xf fontId="25341" applyFont="true" borderId="8" applyBorder="true" applyNumberFormat="true" numFmtId="2" fillId="22" applyFill="true">
      <alignment horizontal="center" vertical="center"/>
    </xf>
    <xf fontId="25342" applyFont="true" borderId="8" applyBorder="true" applyNumberFormat="true" numFmtId="2" fillId="22" applyFill="true">
      <alignment horizontal="center" vertical="center"/>
    </xf>
    <xf fontId="25343" applyFont="true" borderId="8" applyBorder="true" applyNumberFormat="true" numFmtId="2" fillId="22" applyFill="true">
      <alignment horizontal="center" vertical="center"/>
    </xf>
    <xf fontId="25344" applyFont="true" borderId="8" applyBorder="true" applyNumberFormat="true" numFmtId="2" fillId="22" applyFill="true">
      <alignment horizontal="center" vertical="center"/>
    </xf>
    <xf fontId="25345" applyFont="true" borderId="8" applyBorder="true" applyNumberFormat="true" numFmtId="2" fillId="22" applyFill="true">
      <alignment horizontal="center" vertical="center"/>
    </xf>
    <xf fontId="25346" applyFont="true" borderId="8" applyBorder="true" applyNumberFormat="true" numFmtId="2" fillId="22" applyFill="true">
      <alignment horizontal="center" vertical="center"/>
    </xf>
    <xf fontId="25347" applyFont="true" borderId="8" applyBorder="true" applyNumberFormat="true" numFmtId="2" fillId="22" applyFill="true">
      <alignment horizontal="center" vertical="center"/>
    </xf>
    <xf fontId="25348" applyFont="true" borderId="8" applyBorder="true" applyNumberFormat="true" numFmtId="2" fillId="22" applyFill="true">
      <alignment horizontal="center" vertical="center"/>
    </xf>
    <xf fontId="25349" applyFont="true" borderId="8" applyBorder="true" applyNumberFormat="true" numFmtId="2" fillId="22" applyFill="true">
      <alignment horizontal="center" vertical="center"/>
    </xf>
    <xf fontId="25350" applyFont="true" borderId="8" applyBorder="true" applyNumberFormat="true" numFmtId="2" fillId="22" applyFill="true">
      <alignment horizontal="center" vertical="center"/>
    </xf>
    <xf fontId="25351" applyFont="true" borderId="8" applyBorder="true" applyNumberFormat="true" numFmtId="2" fillId="22" applyFill="true">
      <alignment horizontal="center" vertical="center"/>
    </xf>
    <xf fontId="25352" applyFont="true" borderId="8" applyBorder="true" applyNumberFormat="true" numFmtId="2" fillId="22" applyFill="true">
      <alignment horizontal="center" vertical="center"/>
    </xf>
    <xf fontId="25353" applyFont="true" borderId="8" applyBorder="true" applyNumberFormat="true" numFmtId="165" fillId="19" applyFill="true">
      <alignment horizontal="left" vertical="center"/>
    </xf>
    <xf fontId="25354" applyFont="true" borderId="8" applyBorder="true" applyNumberFormat="true" numFmtId="165" fillId="22" applyFill="true">
      <alignment horizontal="center" vertical="center"/>
    </xf>
    <xf fontId="25355" applyFont="true" borderId="8" applyBorder="true" applyNumberFormat="true" numFmtId="166" fillId="22" applyFill="true">
      <alignment horizontal="center" vertical="center"/>
    </xf>
    <xf fontId="25356" applyFont="true" borderId="8" applyBorder="true" applyNumberFormat="true" numFmtId="1" fillId="22" applyFill="true">
      <alignment horizontal="center" vertical="center"/>
    </xf>
    <xf fontId="25357" applyFont="true" borderId="8" applyBorder="true" applyNumberFormat="true" numFmtId="1" fillId="22" applyFill="true">
      <alignment horizontal="center" vertical="center"/>
    </xf>
    <xf fontId="25358" applyFont="true" borderId="8" applyBorder="true" applyNumberFormat="true" numFmtId="1" fillId="22" applyFill="true">
      <alignment horizontal="center" vertical="center"/>
    </xf>
    <xf fontId="25359" applyFont="true" borderId="8" applyBorder="true" applyNumberFormat="true" numFmtId="1" fillId="22" applyFill="true">
      <alignment horizontal="center" vertical="center"/>
    </xf>
    <xf fontId="25360" applyFont="true" borderId="8" applyBorder="true" applyNumberFormat="true" numFmtId="1" fillId="22" applyFill="true">
      <alignment horizontal="center" vertical="center"/>
    </xf>
    <xf fontId="25361" applyFont="true" borderId="8" applyBorder="true" applyNumberFormat="true" numFmtId="1" fillId="22" applyFill="true">
      <alignment horizontal="center" vertical="center"/>
    </xf>
    <xf fontId="25362" applyFont="true" borderId="8" applyBorder="true" applyNumberFormat="true" numFmtId="1" fillId="22" applyFill="true">
      <alignment horizontal="center" vertical="center"/>
    </xf>
    <xf fontId="25363" applyFont="true" borderId="8" applyBorder="true" applyNumberFormat="true" numFmtId="165" fillId="22" applyFill="true">
      <alignment horizontal="center" vertical="center"/>
    </xf>
    <xf fontId="25364" applyFont="true" borderId="8" applyBorder="true" applyNumberFormat="true" numFmtId="165" fillId="22" applyFill="true">
      <alignment horizontal="center" vertical="center"/>
    </xf>
    <xf fontId="25365" applyFont="true" borderId="8" applyBorder="true" applyNumberFormat="true" numFmtId="1" fillId="22" applyFill="true">
      <alignment horizontal="center" vertical="center"/>
    </xf>
    <xf fontId="25366" applyFont="true" borderId="8" applyBorder="true" applyNumberFormat="true" numFmtId="1" fillId="22" applyFill="true">
      <alignment horizontal="center" vertical="center"/>
    </xf>
    <xf fontId="25367" applyFont="true" borderId="8" applyBorder="true" applyNumberFormat="true" numFmtId="1" fillId="22" applyFill="true">
      <alignment horizontal="center" vertical="center"/>
    </xf>
    <xf fontId="25368" applyFont="true" borderId="8" applyBorder="true" applyNumberFormat="true" numFmtId="167" fillId="22" applyFill="true">
      <alignment horizontal="center" vertical="center"/>
    </xf>
    <xf fontId="25369" applyFont="true" borderId="8" applyBorder="true" applyNumberFormat="true" numFmtId="1" fillId="22" applyFill="true">
      <alignment horizontal="center" vertical="center"/>
    </xf>
    <xf fontId="25370" applyFont="true" borderId="8" applyBorder="true" applyNumberFormat="true" numFmtId="167" fillId="22" applyFill="true">
      <alignment horizontal="center" vertical="center"/>
    </xf>
    <xf fontId="25371" applyFont="true" borderId="8" applyBorder="true" applyNumberFormat="true" numFmtId="1" fillId="22" applyFill="true">
      <alignment horizontal="center" vertical="center"/>
    </xf>
    <xf fontId="25372" applyFont="true" borderId="8" applyBorder="true" applyNumberFormat="true" numFmtId="167" fillId="22" applyFill="true">
      <alignment horizontal="center" vertical="center"/>
    </xf>
    <xf fontId="25373" applyFont="true" borderId="8" applyBorder="true" applyNumberFormat="true" numFmtId="1" fillId="22" applyFill="true">
      <alignment horizontal="center" vertical="center"/>
    </xf>
    <xf fontId="25374" applyFont="true" borderId="8" applyBorder="true" applyNumberFormat="true" numFmtId="167" fillId="22" applyFill="true">
      <alignment horizontal="center" vertical="center"/>
    </xf>
    <xf fontId="25375" applyFont="true" borderId="8" applyBorder="true" applyNumberFormat="true" numFmtId="167" fillId="22" applyFill="true">
      <alignment horizontal="center" vertical="center"/>
    </xf>
    <xf fontId="25376" applyFont="true" borderId="8" applyBorder="true" applyNumberFormat="true" numFmtId="1" fillId="22" applyFill="true">
      <alignment horizontal="center" vertical="center"/>
    </xf>
    <xf fontId="25377" applyFont="true" borderId="8" applyBorder="true" applyNumberFormat="true" numFmtId="1" fillId="22" applyFill="true">
      <alignment horizontal="center" vertical="center"/>
    </xf>
    <xf fontId="25378" applyFont="true" borderId="8" applyBorder="true" applyNumberFormat="true" numFmtId="1" fillId="22" applyFill="true">
      <alignment horizontal="center" vertical="center"/>
    </xf>
    <xf fontId="25379" applyFont="true" borderId="8" applyBorder="true" applyNumberFormat="true" numFmtId="167" fillId="22" applyFill="true">
      <alignment horizontal="center" vertical="center"/>
    </xf>
    <xf fontId="25380" applyFont="true" borderId="8" applyBorder="true" applyNumberFormat="true" numFmtId="166" fillId="22" applyFill="true">
      <alignment horizontal="center" vertical="center"/>
    </xf>
    <xf fontId="25381" applyFont="true" borderId="8" applyBorder="true" applyNumberFormat="true" numFmtId="166" fillId="22" applyFill="true">
      <alignment horizontal="center" vertical="center"/>
    </xf>
    <xf fontId="25382" applyFont="true" borderId="8" applyBorder="true" applyNumberFormat="true" numFmtId="1" fillId="22" applyFill="true">
      <alignment horizontal="center" vertical="center"/>
    </xf>
    <xf fontId="25383" applyFont="true" borderId="8" applyBorder="true" applyNumberFormat="true" numFmtId="1" fillId="22" applyFill="true">
      <alignment horizontal="center" vertical="center"/>
    </xf>
    <xf fontId="25384" applyFont="true" borderId="8" applyBorder="true" applyNumberFormat="true" numFmtId="1" fillId="22" applyFill="true">
      <alignment horizontal="center" vertical="center"/>
    </xf>
    <xf fontId="25385" applyFont="true" borderId="8" applyBorder="true" applyNumberFormat="true" numFmtId="167" fillId="22" applyFill="true">
      <alignment horizontal="center" vertical="center"/>
    </xf>
    <xf fontId="25386" applyFont="true" borderId="8" applyBorder="true" applyNumberFormat="true" numFmtId="1" fillId="22" applyFill="true">
      <alignment horizontal="center" vertical="center"/>
    </xf>
    <xf fontId="25387" applyFont="true" borderId="8" applyBorder="true" applyNumberFormat="true" numFmtId="167" fillId="22" applyFill="true">
      <alignment horizontal="center" vertical="center"/>
    </xf>
    <xf fontId="25388" applyFont="true" borderId="8" applyBorder="true" applyNumberFormat="true" numFmtId="1" fillId="22" applyFill="true">
      <alignment horizontal="center" vertical="center"/>
    </xf>
    <xf fontId="25389" applyFont="true" borderId="8" applyBorder="true" applyNumberFormat="true" numFmtId="1" fillId="22" applyFill="true">
      <alignment horizontal="center" vertical="center"/>
    </xf>
    <xf fontId="25390" applyFont="true" borderId="8" applyBorder="true" applyNumberFormat="true" numFmtId="1" fillId="22" applyFill="true">
      <alignment horizontal="center" vertical="center"/>
    </xf>
    <xf fontId="25391" applyFont="true" borderId="8" applyBorder="true" applyNumberFormat="true" numFmtId="1" fillId="22" applyFill="true">
      <alignment horizontal="center" vertical="center"/>
    </xf>
    <xf fontId="25392" applyFont="true" borderId="8" applyBorder="true" applyNumberFormat="true" numFmtId="167" fillId="22" applyFill="true">
      <alignment horizontal="center" vertical="center"/>
    </xf>
    <xf fontId="25393" applyFont="true" borderId="8" applyBorder="true" applyNumberFormat="true" numFmtId="1" fillId="22" applyFill="true">
      <alignment horizontal="center" vertical="center"/>
    </xf>
    <xf fontId="25394" applyFont="true" borderId="8" applyBorder="true" applyNumberFormat="true" numFmtId="167" fillId="22" applyFill="true">
      <alignment horizontal="center" vertical="center"/>
    </xf>
    <xf fontId="25395" applyFont="true" borderId="8" applyBorder="true" applyNumberFormat="true" numFmtId="1" fillId="22" applyFill="true">
      <alignment horizontal="center" vertical="center"/>
    </xf>
    <xf fontId="25396" applyFont="true" borderId="8" applyBorder="true" applyNumberFormat="true" numFmtId="167" fillId="22" applyFill="true">
      <alignment horizontal="center" vertical="center"/>
    </xf>
    <xf fontId="25397" applyFont="true" borderId="8" applyBorder="true" applyNumberFormat="true" numFmtId="2" fillId="22" applyFill="true">
      <alignment horizontal="center" vertical="center"/>
    </xf>
    <xf fontId="25398" applyFont="true" borderId="8" applyBorder="true" applyNumberFormat="true" numFmtId="2" fillId="22" applyFill="true">
      <alignment horizontal="center" vertical="center"/>
    </xf>
    <xf fontId="25399" applyFont="true" borderId="8" applyBorder="true" applyNumberFormat="true" numFmtId="2" fillId="22" applyFill="true">
      <alignment horizontal="center" vertical="center"/>
    </xf>
    <xf fontId="25400" applyFont="true" borderId="8" applyBorder="true" applyNumberFormat="true" numFmtId="2" fillId="22" applyFill="true">
      <alignment horizontal="center" vertical="center"/>
    </xf>
    <xf fontId="25401" applyFont="true" borderId="8" applyBorder="true" applyNumberFormat="true" numFmtId="2" fillId="22" applyFill="true">
      <alignment horizontal="center" vertical="center"/>
    </xf>
    <xf fontId="25402" applyFont="true" borderId="8" applyBorder="true" applyNumberFormat="true" numFmtId="2" fillId="22" applyFill="true">
      <alignment horizontal="center" vertical="center"/>
    </xf>
    <xf fontId="25403" applyFont="true" borderId="8" applyBorder="true" applyNumberFormat="true" numFmtId="2" fillId="22" applyFill="true">
      <alignment horizontal="center" vertical="center"/>
    </xf>
    <xf fontId="25404" applyFont="true" borderId="8" applyBorder="true" applyNumberFormat="true" numFmtId="2" fillId="22" applyFill="true">
      <alignment horizontal="center" vertical="center"/>
    </xf>
    <xf fontId="25405" applyFont="true" borderId="8" applyBorder="true" applyNumberFormat="true" numFmtId="2" fillId="22" applyFill="true">
      <alignment horizontal="center" vertical="center"/>
    </xf>
    <xf fontId="25406" applyFont="true" borderId="8" applyBorder="true" applyNumberFormat="true" numFmtId="2" fillId="22" applyFill="true">
      <alignment horizontal="center" vertical="center"/>
    </xf>
    <xf fontId="25407" applyFont="true" borderId="8" applyBorder="true" applyNumberFormat="true" numFmtId="2" fillId="22" applyFill="true">
      <alignment horizontal="center" vertical="center"/>
    </xf>
    <xf fontId="25408" applyFont="true" borderId="8" applyBorder="true" applyNumberFormat="true" numFmtId="2" fillId="22" applyFill="true">
      <alignment horizontal="center" vertical="center"/>
    </xf>
    <xf fontId="25409" applyFont="true" borderId="8" applyBorder="true" applyNumberFormat="true" numFmtId="2" fillId="22" applyFill="true">
      <alignment horizontal="center" vertical="center"/>
    </xf>
    <xf fontId="25410" applyFont="true" borderId="8" applyBorder="true" applyNumberFormat="true" numFmtId="2" fillId="22" applyFill="true">
      <alignment horizontal="center" vertical="center"/>
    </xf>
    <xf fontId="25411" applyFont="true" borderId="8" applyBorder="true" applyNumberFormat="true" numFmtId="2" fillId="22" applyFill="true">
      <alignment horizontal="center" vertical="center"/>
    </xf>
    <xf fontId="25412" applyFont="true" borderId="8" applyBorder="true" applyNumberFormat="true" numFmtId="2" fillId="22" applyFill="true">
      <alignment horizontal="center" vertical="center"/>
    </xf>
    <xf fontId="25413" applyFont="true" borderId="8" applyBorder="true" applyNumberFormat="true" numFmtId="2" fillId="22" applyFill="true">
      <alignment horizontal="center" vertical="center"/>
    </xf>
    <xf fontId="25414" applyFont="true" borderId="8" applyBorder="true" applyNumberFormat="true" numFmtId="2" fillId="22" applyFill="true">
      <alignment horizontal="center" vertical="center"/>
    </xf>
    <xf fontId="25415" applyFont="true" borderId="8" applyBorder="true" applyNumberFormat="true" numFmtId="2" fillId="22" applyFill="true">
      <alignment horizontal="center" vertical="center"/>
    </xf>
    <xf fontId="25416" applyFont="true" borderId="8" applyBorder="true" applyNumberFormat="true" numFmtId="2" fillId="22" applyFill="true">
      <alignment horizontal="center" vertical="center"/>
    </xf>
    <xf fontId="25417" applyFont="true" borderId="8" applyBorder="true" applyNumberFormat="true" numFmtId="2" fillId="22" applyFill="true">
      <alignment horizontal="center" vertical="center"/>
    </xf>
    <xf fontId="25418" applyFont="true" borderId="8" applyBorder="true" applyNumberFormat="true" numFmtId="2" fillId="22" applyFill="true">
      <alignment horizontal="center" vertical="center"/>
    </xf>
    <xf fontId="25419" applyFont="true" borderId="8" applyBorder="true" applyNumberFormat="true" numFmtId="2" fillId="22" applyFill="true">
      <alignment horizontal="center" vertical="center"/>
    </xf>
    <xf fontId="25420" applyFont="true" borderId="8" applyBorder="true" applyNumberFormat="true" numFmtId="2" fillId="22" applyFill="true">
      <alignment horizontal="center" vertical="center"/>
    </xf>
    <xf fontId="25421" applyFont="true" borderId="8" applyBorder="true" applyNumberFormat="true" numFmtId="2" fillId="22" applyFill="true">
      <alignment horizontal="center" vertical="center"/>
    </xf>
    <xf fontId="25422" applyFont="true" borderId="8" applyBorder="true" applyNumberFormat="true" numFmtId="2" fillId="22" applyFill="true">
      <alignment horizontal="center" vertical="center"/>
    </xf>
    <xf fontId="25423" applyFont="true" borderId="8" applyBorder="true" applyNumberFormat="true" numFmtId="2" fillId="22" applyFill="true">
      <alignment horizontal="center" vertical="center"/>
    </xf>
    <xf fontId="25424" applyFont="true" borderId="8" applyBorder="true" applyNumberFormat="true" numFmtId="2" fillId="22" applyFill="true">
      <alignment horizontal="center" vertical="center"/>
    </xf>
    <xf fontId="25425" applyFont="true" borderId="8" applyBorder="true" applyNumberFormat="true" numFmtId="2" fillId="22" applyFill="true">
      <alignment horizontal="center" vertical="center"/>
    </xf>
    <xf fontId="25426" applyFont="true" borderId="8" applyBorder="true" applyNumberFormat="true" numFmtId="2" fillId="22" applyFill="true">
      <alignment horizontal="center" vertical="center"/>
    </xf>
    <xf fontId="25427" applyFont="true" borderId="8" applyBorder="true" applyNumberFormat="true" numFmtId="2" fillId="22" applyFill="true">
      <alignment horizontal="center" vertical="center"/>
    </xf>
    <xf fontId="25428" applyFont="true" borderId="8" applyBorder="true" applyNumberFormat="true" numFmtId="2" fillId="22" applyFill="true">
      <alignment horizontal="center" vertical="center"/>
    </xf>
    <xf fontId="25429" applyFont="true" borderId="8" applyBorder="true" applyNumberFormat="true" numFmtId="2" fillId="22" applyFill="true">
      <alignment horizontal="center" vertical="center"/>
    </xf>
    <xf fontId="25430" applyFont="true" borderId="8" applyBorder="true" applyNumberFormat="true" numFmtId="2" fillId="22" applyFill="true">
      <alignment horizontal="center" vertical="center"/>
    </xf>
    <xf fontId="25431" applyFont="true" borderId="8" applyBorder="true" applyNumberFormat="true" numFmtId="165" fillId="19" applyFill="true">
      <alignment horizontal="left" vertical="center"/>
    </xf>
    <xf fontId="25432" applyFont="true" borderId="8" applyBorder="true" applyNumberFormat="true" numFmtId="165" fillId="22" applyFill="true">
      <alignment horizontal="center" vertical="center"/>
    </xf>
    <xf fontId="25433" applyFont="true" borderId="8" applyBorder="true" applyNumberFormat="true" numFmtId="166" fillId="22" applyFill="true">
      <alignment horizontal="center" vertical="center"/>
    </xf>
    <xf fontId="25434" applyFont="true" borderId="8" applyBorder="true" applyNumberFormat="true" numFmtId="1" fillId="22" applyFill="true">
      <alignment horizontal="center" vertical="center"/>
    </xf>
    <xf fontId="25435" applyFont="true" borderId="8" applyBorder="true" applyNumberFormat="true" numFmtId="1" fillId="22" applyFill="true">
      <alignment horizontal="center" vertical="center"/>
    </xf>
    <xf fontId="25436" applyFont="true" borderId="8" applyBorder="true" applyNumberFormat="true" numFmtId="1" fillId="22" applyFill="true">
      <alignment horizontal="center" vertical="center"/>
    </xf>
    <xf fontId="25437" applyFont="true" borderId="8" applyBorder="true" applyNumberFormat="true" numFmtId="1" fillId="22" applyFill="true">
      <alignment horizontal="center" vertical="center"/>
    </xf>
    <xf fontId="25438" applyFont="true" borderId="8" applyBorder="true" applyNumberFormat="true" numFmtId="1" fillId="22" applyFill="true">
      <alignment horizontal="center" vertical="center"/>
    </xf>
    <xf fontId="25439" applyFont="true" borderId="8" applyBorder="true" applyNumberFormat="true" numFmtId="1" fillId="22" applyFill="true">
      <alignment horizontal="center" vertical="center"/>
    </xf>
    <xf fontId="25440" applyFont="true" borderId="8" applyBorder="true" applyNumberFormat="true" numFmtId="1" fillId="22" applyFill="true">
      <alignment horizontal="center" vertical="center"/>
    </xf>
    <xf fontId="25441" applyFont="true" borderId="8" applyBorder="true" applyNumberFormat="true" numFmtId="165" fillId="22" applyFill="true">
      <alignment horizontal="center" vertical="center"/>
    </xf>
    <xf fontId="25442" applyFont="true" borderId="8" applyBorder="true" applyNumberFormat="true" numFmtId="165" fillId="22" applyFill="true">
      <alignment horizontal="center" vertical="center"/>
    </xf>
    <xf fontId="25443" applyFont="true" borderId="8" applyBorder="true" applyNumberFormat="true" numFmtId="1" fillId="22" applyFill="true">
      <alignment horizontal="center" vertical="center"/>
    </xf>
    <xf fontId="25444" applyFont="true" borderId="8" applyBorder="true" applyNumberFormat="true" numFmtId="1" fillId="22" applyFill="true">
      <alignment horizontal="center" vertical="center"/>
    </xf>
    <xf fontId="25445" applyFont="true" borderId="8" applyBorder="true" applyNumberFormat="true" numFmtId="1" fillId="22" applyFill="true">
      <alignment horizontal="center" vertical="center"/>
    </xf>
    <xf fontId="25446" applyFont="true" borderId="8" applyBorder="true" applyNumberFormat="true" numFmtId="167" fillId="22" applyFill="true">
      <alignment horizontal="center" vertical="center"/>
    </xf>
    <xf fontId="25447" applyFont="true" borderId="8" applyBorder="true" applyNumberFormat="true" numFmtId="1" fillId="22" applyFill="true">
      <alignment horizontal="center" vertical="center"/>
    </xf>
    <xf fontId="25448" applyFont="true" borderId="8" applyBorder="true" applyNumberFormat="true" numFmtId="167" fillId="22" applyFill="true">
      <alignment horizontal="center" vertical="center"/>
    </xf>
    <xf fontId="25449" applyFont="true" borderId="8" applyBorder="true" applyNumberFormat="true" numFmtId="1" fillId="22" applyFill="true">
      <alignment horizontal="center" vertical="center"/>
    </xf>
    <xf fontId="25450" applyFont="true" borderId="8" applyBorder="true" applyNumberFormat="true" numFmtId="167" fillId="22" applyFill="true">
      <alignment horizontal="center" vertical="center"/>
    </xf>
    <xf fontId="25451" applyFont="true" borderId="8" applyBorder="true" applyNumberFormat="true" numFmtId="1" fillId="22" applyFill="true">
      <alignment horizontal="center" vertical="center"/>
    </xf>
    <xf fontId="25452" applyFont="true" borderId="8" applyBorder="true" applyNumberFormat="true" numFmtId="167" fillId="22" applyFill="true">
      <alignment horizontal="center" vertical="center"/>
    </xf>
    <xf fontId="25453" applyFont="true" borderId="8" applyBorder="true" applyNumberFormat="true" numFmtId="167" fillId="22" applyFill="true">
      <alignment horizontal="center" vertical="center"/>
    </xf>
    <xf fontId="25454" applyFont="true" borderId="8" applyBorder="true" applyNumberFormat="true" numFmtId="1" fillId="22" applyFill="true">
      <alignment horizontal="center" vertical="center"/>
    </xf>
    <xf fontId="25455" applyFont="true" borderId="8" applyBorder="true" applyNumberFormat="true" numFmtId="1" fillId="22" applyFill="true">
      <alignment horizontal="center" vertical="center"/>
    </xf>
    <xf fontId="25456" applyFont="true" borderId="8" applyBorder="true" applyNumberFormat="true" numFmtId="1" fillId="22" applyFill="true">
      <alignment horizontal="center" vertical="center"/>
    </xf>
    <xf fontId="25457" applyFont="true" borderId="8" applyBorder="true" applyNumberFormat="true" numFmtId="167" fillId="22" applyFill="true">
      <alignment horizontal="center" vertical="center"/>
    </xf>
    <xf fontId="25458" applyFont="true" borderId="8" applyBorder="true" applyNumberFormat="true" numFmtId="166" fillId="22" applyFill="true">
      <alignment horizontal="center" vertical="center"/>
    </xf>
    <xf fontId="25459" applyFont="true" borderId="8" applyBorder="true" applyNumberFormat="true" numFmtId="166" fillId="22" applyFill="true">
      <alignment horizontal="center" vertical="center"/>
    </xf>
    <xf fontId="25460" applyFont="true" borderId="8" applyBorder="true" applyNumberFormat="true" numFmtId="1" fillId="22" applyFill="true">
      <alignment horizontal="center" vertical="center"/>
    </xf>
    <xf fontId="25461" applyFont="true" borderId="8" applyBorder="true" applyNumberFormat="true" numFmtId="1" fillId="22" applyFill="true">
      <alignment horizontal="center" vertical="center"/>
    </xf>
    <xf fontId="25462" applyFont="true" borderId="8" applyBorder="true" applyNumberFormat="true" numFmtId="1" fillId="22" applyFill="true">
      <alignment horizontal="center" vertical="center"/>
    </xf>
    <xf fontId="25463" applyFont="true" borderId="8" applyBorder="true" applyNumberFormat="true" numFmtId="167" fillId="22" applyFill="true">
      <alignment horizontal="center" vertical="center"/>
    </xf>
    <xf fontId="25464" applyFont="true" borderId="8" applyBorder="true" applyNumberFormat="true" numFmtId="1" fillId="22" applyFill="true">
      <alignment horizontal="center" vertical="center"/>
    </xf>
    <xf fontId="25465" applyFont="true" borderId="8" applyBorder="true" applyNumberFormat="true" numFmtId="167" fillId="22" applyFill="true">
      <alignment horizontal="center" vertical="center"/>
    </xf>
    <xf fontId="25466" applyFont="true" borderId="8" applyBorder="true" applyNumberFormat="true" numFmtId="1" fillId="22" applyFill="true">
      <alignment horizontal="center" vertical="center"/>
    </xf>
    <xf fontId="25467" applyFont="true" borderId="8" applyBorder="true" applyNumberFormat="true" numFmtId="1" fillId="22" applyFill="true">
      <alignment horizontal="center" vertical="center"/>
    </xf>
    <xf fontId="25468" applyFont="true" borderId="8" applyBorder="true" applyNumberFormat="true" numFmtId="1" fillId="22" applyFill="true">
      <alignment horizontal="center" vertical="center"/>
    </xf>
    <xf fontId="25469" applyFont="true" borderId="8" applyBorder="true" applyNumberFormat="true" numFmtId="1" fillId="22" applyFill="true">
      <alignment horizontal="center" vertical="center"/>
    </xf>
    <xf fontId="25470" applyFont="true" borderId="8" applyBorder="true" applyNumberFormat="true" numFmtId="167" fillId="22" applyFill="true">
      <alignment horizontal="center" vertical="center"/>
    </xf>
    <xf fontId="25471" applyFont="true" borderId="8" applyBorder="true" applyNumberFormat="true" numFmtId="1" fillId="22" applyFill="true">
      <alignment horizontal="center" vertical="center"/>
    </xf>
    <xf fontId="25472" applyFont="true" borderId="8" applyBorder="true" applyNumberFormat="true" numFmtId="167" fillId="22" applyFill="true">
      <alignment horizontal="center" vertical="center"/>
    </xf>
    <xf fontId="25473" applyFont="true" borderId="8" applyBorder="true" applyNumberFormat="true" numFmtId="1" fillId="22" applyFill="true">
      <alignment horizontal="center" vertical="center"/>
    </xf>
    <xf fontId="25474" applyFont="true" borderId="8" applyBorder="true" applyNumberFormat="true" numFmtId="167" fillId="22" applyFill="true">
      <alignment horizontal="center" vertical="center"/>
    </xf>
    <xf fontId="25475" applyFont="true" borderId="8" applyBorder="true" applyNumberFormat="true" numFmtId="2" fillId="22" applyFill="true">
      <alignment horizontal="center" vertical="center"/>
    </xf>
    <xf fontId="25476" applyFont="true" borderId="8" applyBorder="true" applyNumberFormat="true" numFmtId="2" fillId="22" applyFill="true">
      <alignment horizontal="center" vertical="center"/>
    </xf>
    <xf fontId="25477" applyFont="true" borderId="8" applyBorder="true" applyNumberFormat="true" numFmtId="2" fillId="22" applyFill="true">
      <alignment horizontal="center" vertical="center"/>
    </xf>
    <xf fontId="25478" applyFont="true" borderId="8" applyBorder="true" applyNumberFormat="true" numFmtId="2" fillId="22" applyFill="true">
      <alignment horizontal="center" vertical="center"/>
    </xf>
    <xf fontId="25479" applyFont="true" borderId="8" applyBorder="true" applyNumberFormat="true" numFmtId="2" fillId="22" applyFill="true">
      <alignment horizontal="center" vertical="center"/>
    </xf>
    <xf fontId="25480" applyFont="true" borderId="8" applyBorder="true" applyNumberFormat="true" numFmtId="2" fillId="22" applyFill="true">
      <alignment horizontal="center" vertical="center"/>
    </xf>
    <xf fontId="25481" applyFont="true" borderId="8" applyBorder="true" applyNumberFormat="true" numFmtId="2" fillId="22" applyFill="true">
      <alignment horizontal="center" vertical="center"/>
    </xf>
    <xf fontId="25482" applyFont="true" borderId="8" applyBorder="true" applyNumberFormat="true" numFmtId="2" fillId="22" applyFill="true">
      <alignment horizontal="center" vertical="center"/>
    </xf>
    <xf fontId="25483" applyFont="true" borderId="8" applyBorder="true" applyNumberFormat="true" numFmtId="2" fillId="22" applyFill="true">
      <alignment horizontal="center" vertical="center"/>
    </xf>
    <xf fontId="25484" applyFont="true" borderId="8" applyBorder="true" applyNumberFormat="true" numFmtId="2" fillId="22" applyFill="true">
      <alignment horizontal="center" vertical="center"/>
    </xf>
    <xf fontId="25485" applyFont="true" borderId="8" applyBorder="true" applyNumberFormat="true" numFmtId="2" fillId="22" applyFill="true">
      <alignment horizontal="center" vertical="center"/>
    </xf>
    <xf fontId="25486" applyFont="true" borderId="8" applyBorder="true" applyNumberFormat="true" numFmtId="2" fillId="22" applyFill="true">
      <alignment horizontal="center" vertical="center"/>
    </xf>
    <xf fontId="25487" applyFont="true" borderId="8" applyBorder="true" applyNumberFormat="true" numFmtId="2" fillId="22" applyFill="true">
      <alignment horizontal="center" vertical="center"/>
    </xf>
    <xf fontId="25488" applyFont="true" borderId="8" applyBorder="true" applyNumberFormat="true" numFmtId="2" fillId="22" applyFill="true">
      <alignment horizontal="center" vertical="center"/>
    </xf>
    <xf fontId="25489" applyFont="true" borderId="8" applyBorder="true" applyNumberFormat="true" numFmtId="2" fillId="22" applyFill="true">
      <alignment horizontal="center" vertical="center"/>
    </xf>
    <xf fontId="25490" applyFont="true" borderId="8" applyBorder="true" applyNumberFormat="true" numFmtId="2" fillId="22" applyFill="true">
      <alignment horizontal="center" vertical="center"/>
    </xf>
    <xf fontId="25491" applyFont="true" borderId="8" applyBorder="true" applyNumberFormat="true" numFmtId="2" fillId="22" applyFill="true">
      <alignment horizontal="center" vertical="center"/>
    </xf>
    <xf fontId="25492" applyFont="true" borderId="8" applyBorder="true" applyNumberFormat="true" numFmtId="2" fillId="22" applyFill="true">
      <alignment horizontal="center" vertical="center"/>
    </xf>
    <xf fontId="25493" applyFont="true" borderId="8" applyBorder="true" applyNumberFormat="true" numFmtId="2" fillId="22" applyFill="true">
      <alignment horizontal="center" vertical="center"/>
    </xf>
    <xf fontId="25494" applyFont="true" borderId="8" applyBorder="true" applyNumberFormat="true" numFmtId="2" fillId="22" applyFill="true">
      <alignment horizontal="center" vertical="center"/>
    </xf>
    <xf fontId="25495" applyFont="true" borderId="8" applyBorder="true" applyNumberFormat="true" numFmtId="2" fillId="22" applyFill="true">
      <alignment horizontal="center" vertical="center"/>
    </xf>
    <xf fontId="25496" applyFont="true" borderId="8" applyBorder="true" applyNumberFormat="true" numFmtId="2" fillId="22" applyFill="true">
      <alignment horizontal="center" vertical="center"/>
    </xf>
    <xf fontId="25497" applyFont="true" borderId="8" applyBorder="true" applyNumberFormat="true" numFmtId="2" fillId="22" applyFill="true">
      <alignment horizontal="center" vertical="center"/>
    </xf>
    <xf fontId="25498" applyFont="true" borderId="8" applyBorder="true" applyNumberFormat="true" numFmtId="2" fillId="22" applyFill="true">
      <alignment horizontal="center" vertical="center"/>
    </xf>
    <xf fontId="25499" applyFont="true" borderId="8" applyBorder="true" applyNumberFormat="true" numFmtId="2" fillId="22" applyFill="true">
      <alignment horizontal="center" vertical="center"/>
    </xf>
    <xf fontId="25500" applyFont="true" borderId="8" applyBorder="true" applyNumberFormat="true" numFmtId="2" fillId="22" applyFill="true">
      <alignment horizontal="center" vertical="center"/>
    </xf>
    <xf fontId="25501" applyFont="true" borderId="8" applyBorder="true" applyNumberFormat="true" numFmtId="2" fillId="22" applyFill="true">
      <alignment horizontal="center" vertical="center"/>
    </xf>
    <xf fontId="25502" applyFont="true" borderId="8" applyBorder="true" applyNumberFormat="true" numFmtId="2" fillId="22" applyFill="true">
      <alignment horizontal="center" vertical="center"/>
    </xf>
    <xf fontId="25503" applyFont="true" borderId="8" applyBorder="true" applyNumberFormat="true" numFmtId="2" fillId="22" applyFill="true">
      <alignment horizontal="center" vertical="center"/>
    </xf>
    <xf fontId="25504" applyFont="true" borderId="8" applyBorder="true" applyNumberFormat="true" numFmtId="2" fillId="22" applyFill="true">
      <alignment horizontal="center" vertical="center"/>
    </xf>
    <xf fontId="25505" applyFont="true" borderId="8" applyBorder="true" applyNumberFormat="true" numFmtId="2" fillId="22" applyFill="true">
      <alignment horizontal="center" vertical="center"/>
    </xf>
    <xf fontId="25506" applyFont="true" borderId="8" applyBorder="true" applyNumberFormat="true" numFmtId="2" fillId="22" applyFill="true">
      <alignment horizontal="center" vertical="center"/>
    </xf>
    <xf fontId="25507" applyFont="true" borderId="8" applyBorder="true" applyNumberFormat="true" numFmtId="2" fillId="22" applyFill="true">
      <alignment horizontal="center" vertical="center"/>
    </xf>
    <xf fontId="25508" applyFont="true" borderId="8" applyBorder="true" applyNumberFormat="true" numFmtId="2" fillId="22" applyFill="true">
      <alignment horizontal="center" vertical="center"/>
    </xf>
    <xf fontId="25509" applyFont="true" borderId="8" applyBorder="true" applyNumberFormat="true" numFmtId="165" fillId="19" applyFill="true">
      <alignment horizontal="left" vertical="center"/>
    </xf>
    <xf fontId="25510" applyFont="true" borderId="8" applyBorder="true" applyNumberFormat="true" numFmtId="165" fillId="22" applyFill="true">
      <alignment horizontal="center" vertical="center"/>
    </xf>
    <xf fontId="25511" applyFont="true" borderId="8" applyBorder="true" applyNumberFormat="true" numFmtId="166" fillId="22" applyFill="true">
      <alignment horizontal="center" vertical="center"/>
    </xf>
    <xf fontId="25512" applyFont="true" borderId="8" applyBorder="true" applyNumberFormat="true" numFmtId="1" fillId="22" applyFill="true">
      <alignment horizontal="center" vertical="center"/>
    </xf>
    <xf fontId="25513" applyFont="true" borderId="8" applyBorder="true" applyNumberFormat="true" numFmtId="1" fillId="22" applyFill="true">
      <alignment horizontal="center" vertical="center"/>
    </xf>
    <xf fontId="25514" applyFont="true" borderId="8" applyBorder="true" applyNumberFormat="true" numFmtId="1" fillId="22" applyFill="true">
      <alignment horizontal="center" vertical="center"/>
    </xf>
    <xf fontId="25515" applyFont="true" borderId="8" applyBorder="true" applyNumberFormat="true" numFmtId="1" fillId="22" applyFill="true">
      <alignment horizontal="center" vertical="center"/>
    </xf>
    <xf fontId="25516" applyFont="true" borderId="8" applyBorder="true" applyNumberFormat="true" numFmtId="1" fillId="22" applyFill="true">
      <alignment horizontal="center" vertical="center"/>
    </xf>
    <xf fontId="25517" applyFont="true" borderId="8" applyBorder="true" applyNumberFormat="true" numFmtId="1" fillId="22" applyFill="true">
      <alignment horizontal="center" vertical="center"/>
    </xf>
    <xf fontId="25518" applyFont="true" borderId="8" applyBorder="true" applyNumberFormat="true" numFmtId="1" fillId="22" applyFill="true">
      <alignment horizontal="center" vertical="center"/>
    </xf>
    <xf fontId="25519" applyFont="true" borderId="8" applyBorder="true" applyNumberFormat="true" numFmtId="165" fillId="22" applyFill="true">
      <alignment horizontal="center" vertical="center"/>
    </xf>
    <xf fontId="25520" applyFont="true" borderId="8" applyBorder="true" applyNumberFormat="true" numFmtId="165" fillId="22" applyFill="true">
      <alignment horizontal="center" vertical="center"/>
    </xf>
    <xf fontId="25521" applyFont="true" borderId="8" applyBorder="true" applyNumberFormat="true" numFmtId="1" fillId="22" applyFill="true">
      <alignment horizontal="center" vertical="center"/>
    </xf>
    <xf fontId="25522" applyFont="true" borderId="8" applyBorder="true" applyNumberFormat="true" numFmtId="1" fillId="22" applyFill="true">
      <alignment horizontal="center" vertical="center"/>
    </xf>
    <xf fontId="25523" applyFont="true" borderId="8" applyBorder="true" applyNumberFormat="true" numFmtId="1" fillId="22" applyFill="true">
      <alignment horizontal="center" vertical="center"/>
    </xf>
    <xf fontId="25524" applyFont="true" borderId="8" applyBorder="true" applyNumberFormat="true" numFmtId="167" fillId="22" applyFill="true">
      <alignment horizontal="center" vertical="center"/>
    </xf>
    <xf fontId="25525" applyFont="true" borderId="8" applyBorder="true" applyNumberFormat="true" numFmtId="1" fillId="22" applyFill="true">
      <alignment horizontal="center" vertical="center"/>
    </xf>
    <xf fontId="25526" applyFont="true" borderId="8" applyBorder="true" applyNumberFormat="true" numFmtId="167" fillId="22" applyFill="true">
      <alignment horizontal="center" vertical="center"/>
    </xf>
    <xf fontId="25527" applyFont="true" borderId="8" applyBorder="true" applyNumberFormat="true" numFmtId="1" fillId="22" applyFill="true">
      <alignment horizontal="center" vertical="center"/>
    </xf>
    <xf fontId="25528" applyFont="true" borderId="8" applyBorder="true" applyNumberFormat="true" numFmtId="167" fillId="22" applyFill="true">
      <alignment horizontal="center" vertical="center"/>
    </xf>
    <xf fontId="25529" applyFont="true" borderId="8" applyBorder="true" applyNumberFormat="true" numFmtId="1" fillId="22" applyFill="true">
      <alignment horizontal="center" vertical="center"/>
    </xf>
    <xf fontId="25530" applyFont="true" borderId="8" applyBorder="true" applyNumberFormat="true" numFmtId="167" fillId="22" applyFill="true">
      <alignment horizontal="center" vertical="center"/>
    </xf>
    <xf fontId="25531" applyFont="true" borderId="8" applyBorder="true" applyNumberFormat="true" numFmtId="167" fillId="22" applyFill="true">
      <alignment horizontal="center" vertical="center"/>
    </xf>
    <xf fontId="25532" applyFont="true" borderId="8" applyBorder="true" applyNumberFormat="true" numFmtId="1" fillId="22" applyFill="true">
      <alignment horizontal="center" vertical="center"/>
    </xf>
    <xf fontId="25533" applyFont="true" borderId="8" applyBorder="true" applyNumberFormat="true" numFmtId="1" fillId="22" applyFill="true">
      <alignment horizontal="center" vertical="center"/>
    </xf>
    <xf fontId="25534" applyFont="true" borderId="8" applyBorder="true" applyNumberFormat="true" numFmtId="1" fillId="22" applyFill="true">
      <alignment horizontal="center" vertical="center"/>
    </xf>
    <xf fontId="25535" applyFont="true" borderId="8" applyBorder="true" applyNumberFormat="true" numFmtId="167" fillId="22" applyFill="true">
      <alignment horizontal="center" vertical="center"/>
    </xf>
    <xf fontId="25536" applyFont="true" borderId="8" applyBorder="true" applyNumberFormat="true" numFmtId="166" fillId="22" applyFill="true">
      <alignment horizontal="center" vertical="center"/>
    </xf>
    <xf fontId="25537" applyFont="true" borderId="8" applyBorder="true" applyNumberFormat="true" numFmtId="166" fillId="22" applyFill="true">
      <alignment horizontal="center" vertical="center"/>
    </xf>
    <xf fontId="25538" applyFont="true" borderId="8" applyBorder="true" applyNumberFormat="true" numFmtId="1" fillId="22" applyFill="true">
      <alignment horizontal="center" vertical="center"/>
    </xf>
    <xf fontId="25539" applyFont="true" borderId="8" applyBorder="true" applyNumberFormat="true" numFmtId="1" fillId="22" applyFill="true">
      <alignment horizontal="center" vertical="center"/>
    </xf>
    <xf fontId="25540" applyFont="true" borderId="8" applyBorder="true" applyNumberFormat="true" numFmtId="1" fillId="22" applyFill="true">
      <alignment horizontal="center" vertical="center"/>
    </xf>
    <xf fontId="25541" applyFont="true" borderId="8" applyBorder="true" applyNumberFormat="true" numFmtId="167" fillId="22" applyFill="true">
      <alignment horizontal="center" vertical="center"/>
    </xf>
    <xf fontId="25542" applyFont="true" borderId="8" applyBorder="true" applyNumberFormat="true" numFmtId="1" fillId="22" applyFill="true">
      <alignment horizontal="center" vertical="center"/>
    </xf>
    <xf fontId="25543" applyFont="true" borderId="8" applyBorder="true" applyNumberFormat="true" numFmtId="167" fillId="22" applyFill="true">
      <alignment horizontal="center" vertical="center"/>
    </xf>
    <xf fontId="25544" applyFont="true" borderId="8" applyBorder="true" applyNumberFormat="true" numFmtId="1" fillId="22" applyFill="true">
      <alignment horizontal="center" vertical="center"/>
    </xf>
    <xf fontId="25545" applyFont="true" borderId="8" applyBorder="true" applyNumberFormat="true" numFmtId="1" fillId="22" applyFill="true">
      <alignment horizontal="center" vertical="center"/>
    </xf>
    <xf fontId="25546" applyFont="true" borderId="8" applyBorder="true" applyNumberFormat="true" numFmtId="1" fillId="22" applyFill="true">
      <alignment horizontal="center" vertical="center"/>
    </xf>
    <xf fontId="25547" applyFont="true" borderId="8" applyBorder="true" applyNumberFormat="true" numFmtId="1" fillId="22" applyFill="true">
      <alignment horizontal="center" vertical="center"/>
    </xf>
    <xf fontId="25548" applyFont="true" borderId="8" applyBorder="true" applyNumberFormat="true" numFmtId="167" fillId="22" applyFill="true">
      <alignment horizontal="center" vertical="center"/>
    </xf>
    <xf fontId="25549" applyFont="true" borderId="8" applyBorder="true" applyNumberFormat="true" numFmtId="1" fillId="22" applyFill="true">
      <alignment horizontal="center" vertical="center"/>
    </xf>
    <xf fontId="25550" applyFont="true" borderId="8" applyBorder="true" applyNumberFormat="true" numFmtId="167" fillId="22" applyFill="true">
      <alignment horizontal="center" vertical="center"/>
    </xf>
    <xf fontId="25551" applyFont="true" borderId="8" applyBorder="true" applyNumberFormat="true" numFmtId="1" fillId="22" applyFill="true">
      <alignment horizontal="center" vertical="center"/>
    </xf>
    <xf fontId="25552" applyFont="true" borderId="8" applyBorder="true" applyNumberFormat="true" numFmtId="167" fillId="22" applyFill="true">
      <alignment horizontal="center" vertical="center"/>
    </xf>
    <xf fontId="25553" applyFont="true" borderId="8" applyBorder="true" applyNumberFormat="true" numFmtId="2" fillId="22" applyFill="true">
      <alignment horizontal="center" vertical="center"/>
    </xf>
    <xf fontId="25554" applyFont="true" borderId="8" applyBorder="true" applyNumberFormat="true" numFmtId="2" fillId="22" applyFill="true">
      <alignment horizontal="center" vertical="center"/>
    </xf>
    <xf fontId="25555" applyFont="true" borderId="8" applyBorder="true" applyNumberFormat="true" numFmtId="2" fillId="22" applyFill="true">
      <alignment horizontal="center" vertical="center"/>
    </xf>
    <xf fontId="25556" applyFont="true" borderId="8" applyBorder="true" applyNumberFormat="true" numFmtId="2" fillId="22" applyFill="true">
      <alignment horizontal="center" vertical="center"/>
    </xf>
    <xf fontId="25557" applyFont="true" borderId="8" applyBorder="true" applyNumberFormat="true" numFmtId="2" fillId="22" applyFill="true">
      <alignment horizontal="center" vertical="center"/>
    </xf>
    <xf fontId="25558" applyFont="true" borderId="8" applyBorder="true" applyNumberFormat="true" numFmtId="2" fillId="22" applyFill="true">
      <alignment horizontal="center" vertical="center"/>
    </xf>
    <xf fontId="25559" applyFont="true" borderId="8" applyBorder="true" applyNumberFormat="true" numFmtId="2" fillId="22" applyFill="true">
      <alignment horizontal="center" vertical="center"/>
    </xf>
    <xf fontId="25560" applyFont="true" borderId="8" applyBorder="true" applyNumberFormat="true" numFmtId="2" fillId="22" applyFill="true">
      <alignment horizontal="center" vertical="center"/>
    </xf>
    <xf fontId="25561" applyFont="true" borderId="8" applyBorder="true" applyNumberFormat="true" numFmtId="2" fillId="22" applyFill="true">
      <alignment horizontal="center" vertical="center"/>
    </xf>
    <xf fontId="25562" applyFont="true" borderId="8" applyBorder="true" applyNumberFormat="true" numFmtId="2" fillId="22" applyFill="true">
      <alignment horizontal="center" vertical="center"/>
    </xf>
    <xf fontId="25563" applyFont="true" borderId="8" applyBorder="true" applyNumberFormat="true" numFmtId="2" fillId="22" applyFill="true">
      <alignment horizontal="center" vertical="center"/>
    </xf>
    <xf fontId="25564" applyFont="true" borderId="8" applyBorder="true" applyNumberFormat="true" numFmtId="2" fillId="22" applyFill="true">
      <alignment horizontal="center" vertical="center"/>
    </xf>
    <xf fontId="25565" applyFont="true" borderId="8" applyBorder="true" applyNumberFormat="true" numFmtId="2" fillId="22" applyFill="true">
      <alignment horizontal="center" vertical="center"/>
    </xf>
    <xf fontId="25566" applyFont="true" borderId="8" applyBorder="true" applyNumberFormat="true" numFmtId="2" fillId="22" applyFill="true">
      <alignment horizontal="center" vertical="center"/>
    </xf>
    <xf fontId="25567" applyFont="true" borderId="8" applyBorder="true" applyNumberFormat="true" numFmtId="2" fillId="22" applyFill="true">
      <alignment horizontal="center" vertical="center"/>
    </xf>
    <xf fontId="25568" applyFont="true" borderId="8" applyBorder="true" applyNumberFormat="true" numFmtId="2" fillId="22" applyFill="true">
      <alignment horizontal="center" vertical="center"/>
    </xf>
    <xf fontId="25569" applyFont="true" borderId="8" applyBorder="true" applyNumberFormat="true" numFmtId="2" fillId="22" applyFill="true">
      <alignment horizontal="center" vertical="center"/>
    </xf>
    <xf fontId="25570" applyFont="true" borderId="8" applyBorder="true" applyNumberFormat="true" numFmtId="2" fillId="22" applyFill="true">
      <alignment horizontal="center" vertical="center"/>
    </xf>
    <xf fontId="25571" applyFont="true" borderId="8" applyBorder="true" applyNumberFormat="true" numFmtId="2" fillId="22" applyFill="true">
      <alignment horizontal="center" vertical="center"/>
    </xf>
    <xf fontId="25572" applyFont="true" borderId="8" applyBorder="true" applyNumberFormat="true" numFmtId="2" fillId="22" applyFill="true">
      <alignment horizontal="center" vertical="center"/>
    </xf>
    <xf fontId="25573" applyFont="true" borderId="8" applyBorder="true" applyNumberFormat="true" numFmtId="2" fillId="22" applyFill="true">
      <alignment horizontal="center" vertical="center"/>
    </xf>
    <xf fontId="25574" applyFont="true" borderId="8" applyBorder="true" applyNumberFormat="true" numFmtId="2" fillId="22" applyFill="true">
      <alignment horizontal="center" vertical="center"/>
    </xf>
    <xf fontId="25575" applyFont="true" borderId="8" applyBorder="true" applyNumberFormat="true" numFmtId="2" fillId="22" applyFill="true">
      <alignment horizontal="center" vertical="center"/>
    </xf>
    <xf fontId="25576" applyFont="true" borderId="8" applyBorder="true" applyNumberFormat="true" numFmtId="2" fillId="22" applyFill="true">
      <alignment horizontal="center" vertical="center"/>
    </xf>
    <xf fontId="25577" applyFont="true" borderId="8" applyBorder="true" applyNumberFormat="true" numFmtId="2" fillId="22" applyFill="true">
      <alignment horizontal="center" vertical="center"/>
    </xf>
    <xf fontId="25578" applyFont="true" borderId="8" applyBorder="true" applyNumberFormat="true" numFmtId="2" fillId="22" applyFill="true">
      <alignment horizontal="center" vertical="center"/>
    </xf>
    <xf fontId="25579" applyFont="true" borderId="8" applyBorder="true" applyNumberFormat="true" numFmtId="2" fillId="22" applyFill="true">
      <alignment horizontal="center" vertical="center"/>
    </xf>
    <xf fontId="25580" applyFont="true" borderId="8" applyBorder="true" applyNumberFormat="true" numFmtId="2" fillId="22" applyFill="true">
      <alignment horizontal="center" vertical="center"/>
    </xf>
    <xf fontId="25581" applyFont="true" borderId="8" applyBorder="true" applyNumberFormat="true" numFmtId="2" fillId="22" applyFill="true">
      <alignment horizontal="center" vertical="center"/>
    </xf>
    <xf fontId="25582" applyFont="true" borderId="8" applyBorder="true" applyNumberFormat="true" numFmtId="2" fillId="22" applyFill="true">
      <alignment horizontal="center" vertical="center"/>
    </xf>
    <xf fontId="25583" applyFont="true" borderId="8" applyBorder="true" applyNumberFormat="true" numFmtId="2" fillId="22" applyFill="true">
      <alignment horizontal="center" vertical="center"/>
    </xf>
    <xf fontId="25584" applyFont="true" borderId="8" applyBorder="true" applyNumberFormat="true" numFmtId="2" fillId="22" applyFill="true">
      <alignment horizontal="center" vertical="center"/>
    </xf>
    <xf fontId="25585" applyFont="true" borderId="8" applyBorder="true" applyNumberFormat="true" numFmtId="2" fillId="22" applyFill="true">
      <alignment horizontal="center" vertical="center"/>
    </xf>
    <xf fontId="25586" applyFont="true" borderId="8" applyBorder="true" applyNumberFormat="true" numFmtId="2" fillId="22" applyFill="true">
      <alignment horizontal="center" vertical="center"/>
    </xf>
    <xf fontId="25587" applyFont="true" borderId="8" applyBorder="true" applyNumberFormat="true" numFmtId="165" fillId="19" applyFill="true">
      <alignment horizontal="left" vertical="center"/>
    </xf>
    <xf fontId="25588" applyFont="true" borderId="8" applyBorder="true" applyNumberFormat="true" numFmtId="165" fillId="22" applyFill="true">
      <alignment horizontal="center" vertical="center"/>
    </xf>
    <xf fontId="25589" applyFont="true" borderId="8" applyBorder="true" applyNumberFormat="true" numFmtId="166" fillId="22" applyFill="true">
      <alignment horizontal="center" vertical="center"/>
    </xf>
    <xf fontId="25590" applyFont="true" borderId="8" applyBorder="true" applyNumberFormat="true" numFmtId="1" fillId="22" applyFill="true">
      <alignment horizontal="center" vertical="center"/>
    </xf>
    <xf fontId="25591" applyFont="true" borderId="8" applyBorder="true" applyNumberFormat="true" numFmtId="1" fillId="22" applyFill="true">
      <alignment horizontal="center" vertical="center"/>
    </xf>
    <xf fontId="25592" applyFont="true" borderId="8" applyBorder="true" applyNumberFormat="true" numFmtId="1" fillId="22" applyFill="true">
      <alignment horizontal="center" vertical="center"/>
    </xf>
    <xf fontId="25593" applyFont="true" borderId="8" applyBorder="true" applyNumberFormat="true" numFmtId="1" fillId="22" applyFill="true">
      <alignment horizontal="center" vertical="center"/>
    </xf>
    <xf fontId="25594" applyFont="true" borderId="8" applyBorder="true" applyNumberFormat="true" numFmtId="1" fillId="22" applyFill="true">
      <alignment horizontal="center" vertical="center"/>
    </xf>
    <xf fontId="25595" applyFont="true" borderId="8" applyBorder="true" applyNumberFormat="true" numFmtId="1" fillId="22" applyFill="true">
      <alignment horizontal="center" vertical="center"/>
    </xf>
    <xf fontId="25596" applyFont="true" borderId="8" applyBorder="true" applyNumberFormat="true" numFmtId="1" fillId="22" applyFill="true">
      <alignment horizontal="center" vertical="center"/>
    </xf>
    <xf fontId="25597" applyFont="true" borderId="8" applyBorder="true" applyNumberFormat="true" numFmtId="165" fillId="22" applyFill="true">
      <alignment horizontal="center" vertical="center"/>
    </xf>
    <xf fontId="25598" applyFont="true" borderId="8" applyBorder="true" applyNumberFormat="true" numFmtId="165" fillId="22" applyFill="true">
      <alignment horizontal="center" vertical="center"/>
    </xf>
    <xf fontId="25599" applyFont="true" borderId="8" applyBorder="true" applyNumberFormat="true" numFmtId="1" fillId="22" applyFill="true">
      <alignment horizontal="center" vertical="center"/>
    </xf>
    <xf fontId="25600" applyFont="true" borderId="8" applyBorder="true" applyNumberFormat="true" numFmtId="1" fillId="22" applyFill="true">
      <alignment horizontal="center" vertical="center"/>
    </xf>
    <xf fontId="25601" applyFont="true" borderId="8" applyBorder="true" applyNumberFormat="true" numFmtId="1" fillId="22" applyFill="true">
      <alignment horizontal="center" vertical="center"/>
    </xf>
    <xf fontId="25602" applyFont="true" borderId="8" applyBorder="true" applyNumberFormat="true" numFmtId="167" fillId="22" applyFill="true">
      <alignment horizontal="center" vertical="center"/>
    </xf>
    <xf fontId="25603" applyFont="true" borderId="8" applyBorder="true" applyNumberFormat="true" numFmtId="1" fillId="22" applyFill="true">
      <alignment horizontal="center" vertical="center"/>
    </xf>
    <xf fontId="25604" applyFont="true" borderId="8" applyBorder="true" applyNumberFormat="true" numFmtId="167" fillId="22" applyFill="true">
      <alignment horizontal="center" vertical="center"/>
    </xf>
    <xf fontId="25605" applyFont="true" borderId="8" applyBorder="true" applyNumberFormat="true" numFmtId="1" fillId="22" applyFill="true">
      <alignment horizontal="center" vertical="center"/>
    </xf>
    <xf fontId="25606" applyFont="true" borderId="8" applyBorder="true" applyNumberFormat="true" numFmtId="167" fillId="22" applyFill="true">
      <alignment horizontal="center" vertical="center"/>
    </xf>
    <xf fontId="25607" applyFont="true" borderId="8" applyBorder="true" applyNumberFormat="true" numFmtId="1" fillId="22" applyFill="true">
      <alignment horizontal="center" vertical="center"/>
    </xf>
    <xf fontId="25608" applyFont="true" borderId="8" applyBorder="true" applyNumberFormat="true" numFmtId="167" fillId="22" applyFill="true">
      <alignment horizontal="center" vertical="center"/>
    </xf>
    <xf fontId="25609" applyFont="true" borderId="8" applyBorder="true" applyNumberFormat="true" numFmtId="167" fillId="22" applyFill="true">
      <alignment horizontal="center" vertical="center"/>
    </xf>
    <xf fontId="25610" applyFont="true" borderId="8" applyBorder="true" applyNumberFormat="true" numFmtId="1" fillId="22" applyFill="true">
      <alignment horizontal="center" vertical="center"/>
    </xf>
    <xf fontId="25611" applyFont="true" borderId="8" applyBorder="true" applyNumberFormat="true" numFmtId="1" fillId="22" applyFill="true">
      <alignment horizontal="center" vertical="center"/>
    </xf>
    <xf fontId="25612" applyFont="true" borderId="8" applyBorder="true" applyNumberFormat="true" numFmtId="1" fillId="22" applyFill="true">
      <alignment horizontal="center" vertical="center"/>
    </xf>
    <xf fontId="25613" applyFont="true" borderId="8" applyBorder="true" applyNumberFormat="true" numFmtId="167" fillId="22" applyFill="true">
      <alignment horizontal="center" vertical="center"/>
    </xf>
    <xf fontId="25614" applyFont="true" borderId="8" applyBorder="true" applyNumberFormat="true" numFmtId="166" fillId="22" applyFill="true">
      <alignment horizontal="center" vertical="center"/>
    </xf>
    <xf fontId="25615" applyFont="true" borderId="8" applyBorder="true" applyNumberFormat="true" numFmtId="166" fillId="22" applyFill="true">
      <alignment horizontal="center" vertical="center"/>
    </xf>
    <xf fontId="25616" applyFont="true" borderId="8" applyBorder="true" applyNumberFormat="true" numFmtId="1" fillId="22" applyFill="true">
      <alignment horizontal="center" vertical="center"/>
    </xf>
    <xf fontId="25617" applyFont="true" borderId="8" applyBorder="true" applyNumberFormat="true" numFmtId="1" fillId="22" applyFill="true">
      <alignment horizontal="center" vertical="center"/>
    </xf>
    <xf fontId="25618" applyFont="true" borderId="8" applyBorder="true" applyNumberFormat="true" numFmtId="1" fillId="22" applyFill="true">
      <alignment horizontal="center" vertical="center"/>
    </xf>
    <xf fontId="25619" applyFont="true" borderId="8" applyBorder="true" applyNumberFormat="true" numFmtId="167" fillId="22" applyFill="true">
      <alignment horizontal="center" vertical="center"/>
    </xf>
    <xf fontId="25620" applyFont="true" borderId="8" applyBorder="true" applyNumberFormat="true" numFmtId="1" fillId="22" applyFill="true">
      <alignment horizontal="center" vertical="center"/>
    </xf>
    <xf fontId="25621" applyFont="true" borderId="8" applyBorder="true" applyNumberFormat="true" numFmtId="167" fillId="22" applyFill="true">
      <alignment horizontal="center" vertical="center"/>
    </xf>
    <xf fontId="25622" applyFont="true" borderId="8" applyBorder="true" applyNumberFormat="true" numFmtId="1" fillId="22" applyFill="true">
      <alignment horizontal="center" vertical="center"/>
    </xf>
    <xf fontId="25623" applyFont="true" borderId="8" applyBorder="true" applyNumberFormat="true" numFmtId="1" fillId="22" applyFill="true">
      <alignment horizontal="center" vertical="center"/>
    </xf>
    <xf fontId="25624" applyFont="true" borderId="8" applyBorder="true" applyNumberFormat="true" numFmtId="1" fillId="22" applyFill="true">
      <alignment horizontal="center" vertical="center"/>
    </xf>
    <xf fontId="25625" applyFont="true" borderId="8" applyBorder="true" applyNumberFormat="true" numFmtId="1" fillId="22" applyFill="true">
      <alignment horizontal="center" vertical="center"/>
    </xf>
    <xf fontId="25626" applyFont="true" borderId="8" applyBorder="true" applyNumberFormat="true" numFmtId="167" fillId="22" applyFill="true">
      <alignment horizontal="center" vertical="center"/>
    </xf>
    <xf fontId="25627" applyFont="true" borderId="8" applyBorder="true" applyNumberFormat="true" numFmtId="1" fillId="22" applyFill="true">
      <alignment horizontal="center" vertical="center"/>
    </xf>
    <xf fontId="25628" applyFont="true" borderId="8" applyBorder="true" applyNumberFormat="true" numFmtId="167" fillId="22" applyFill="true">
      <alignment horizontal="center" vertical="center"/>
    </xf>
    <xf fontId="25629" applyFont="true" borderId="8" applyBorder="true" applyNumberFormat="true" numFmtId="1" fillId="22" applyFill="true">
      <alignment horizontal="center" vertical="center"/>
    </xf>
    <xf fontId="25630" applyFont="true" borderId="8" applyBorder="true" applyNumberFormat="true" numFmtId="167" fillId="22" applyFill="true">
      <alignment horizontal="center" vertical="center"/>
    </xf>
    <xf fontId="25631" applyFont="true" borderId="8" applyBorder="true" applyNumberFormat="true" numFmtId="2" fillId="22" applyFill="true">
      <alignment horizontal="center" vertical="center"/>
    </xf>
    <xf fontId="25632" applyFont="true" borderId="8" applyBorder="true" applyNumberFormat="true" numFmtId="2" fillId="22" applyFill="true">
      <alignment horizontal="center" vertical="center"/>
    </xf>
    <xf fontId="25633" applyFont="true" borderId="8" applyBorder="true" applyNumberFormat="true" numFmtId="2" fillId="22" applyFill="true">
      <alignment horizontal="center" vertical="center"/>
    </xf>
    <xf fontId="25634" applyFont="true" borderId="8" applyBorder="true" applyNumberFormat="true" numFmtId="2" fillId="22" applyFill="true">
      <alignment horizontal="center" vertical="center"/>
    </xf>
    <xf fontId="25635" applyFont="true" borderId="8" applyBorder="true" applyNumberFormat="true" numFmtId="2" fillId="22" applyFill="true">
      <alignment horizontal="center" vertical="center"/>
    </xf>
    <xf fontId="25636" applyFont="true" borderId="8" applyBorder="true" applyNumberFormat="true" numFmtId="2" fillId="22" applyFill="true">
      <alignment horizontal="center" vertical="center"/>
    </xf>
    <xf fontId="25637" applyFont="true" borderId="8" applyBorder="true" applyNumberFormat="true" numFmtId="2" fillId="22" applyFill="true">
      <alignment horizontal="center" vertical="center"/>
    </xf>
    <xf fontId="25638" applyFont="true" borderId="8" applyBorder="true" applyNumberFormat="true" numFmtId="2" fillId="22" applyFill="true">
      <alignment horizontal="center" vertical="center"/>
    </xf>
    <xf fontId="25639" applyFont="true" borderId="8" applyBorder="true" applyNumberFormat="true" numFmtId="2" fillId="22" applyFill="true">
      <alignment horizontal="center" vertical="center"/>
    </xf>
    <xf fontId="25640" applyFont="true" borderId="8" applyBorder="true" applyNumberFormat="true" numFmtId="2" fillId="22" applyFill="true">
      <alignment horizontal="center" vertical="center"/>
    </xf>
    <xf fontId="25641" applyFont="true" borderId="8" applyBorder="true" applyNumberFormat="true" numFmtId="2" fillId="22" applyFill="true">
      <alignment horizontal="center" vertical="center"/>
    </xf>
    <xf fontId="25642" applyFont="true" borderId="8" applyBorder="true" applyNumberFormat="true" numFmtId="2" fillId="22" applyFill="true">
      <alignment horizontal="center" vertical="center"/>
    </xf>
    <xf fontId="25643" applyFont="true" borderId="8" applyBorder="true" applyNumberFormat="true" numFmtId="2" fillId="22" applyFill="true">
      <alignment horizontal="center" vertical="center"/>
    </xf>
    <xf fontId="25644" applyFont="true" borderId="8" applyBorder="true" applyNumberFormat="true" numFmtId="2" fillId="22" applyFill="true">
      <alignment horizontal="center" vertical="center"/>
    </xf>
    <xf fontId="25645" applyFont="true" borderId="8" applyBorder="true" applyNumberFormat="true" numFmtId="2" fillId="22" applyFill="true">
      <alignment horizontal="center" vertical="center"/>
    </xf>
    <xf fontId="25646" applyFont="true" borderId="8" applyBorder="true" applyNumberFormat="true" numFmtId="2" fillId="22" applyFill="true">
      <alignment horizontal="center" vertical="center"/>
    </xf>
    <xf fontId="25647" applyFont="true" borderId="8" applyBorder="true" applyNumberFormat="true" numFmtId="2" fillId="22" applyFill="true">
      <alignment horizontal="center" vertical="center"/>
    </xf>
    <xf fontId="25648" applyFont="true" borderId="8" applyBorder="true" applyNumberFormat="true" numFmtId="2" fillId="22" applyFill="true">
      <alignment horizontal="center" vertical="center"/>
    </xf>
    <xf fontId="25649" applyFont="true" borderId="8" applyBorder="true" applyNumberFormat="true" numFmtId="2" fillId="22" applyFill="true">
      <alignment horizontal="center" vertical="center"/>
    </xf>
    <xf fontId="25650" applyFont="true" borderId="8" applyBorder="true" applyNumberFormat="true" numFmtId="2" fillId="22" applyFill="true">
      <alignment horizontal="center" vertical="center"/>
    </xf>
    <xf fontId="25651" applyFont="true" borderId="8" applyBorder="true" applyNumberFormat="true" numFmtId="2" fillId="22" applyFill="true">
      <alignment horizontal="center" vertical="center"/>
    </xf>
    <xf fontId="25652" applyFont="true" borderId="8" applyBorder="true" applyNumberFormat="true" numFmtId="2" fillId="22" applyFill="true">
      <alignment horizontal="center" vertical="center"/>
    </xf>
    <xf fontId="25653" applyFont="true" borderId="8" applyBorder="true" applyNumberFormat="true" numFmtId="2" fillId="22" applyFill="true">
      <alignment horizontal="center" vertical="center"/>
    </xf>
    <xf fontId="25654" applyFont="true" borderId="8" applyBorder="true" applyNumberFormat="true" numFmtId="2" fillId="22" applyFill="true">
      <alignment horizontal="center" vertical="center"/>
    </xf>
    <xf fontId="25655" applyFont="true" borderId="8" applyBorder="true" applyNumberFormat="true" numFmtId="2" fillId="22" applyFill="true">
      <alignment horizontal="center" vertical="center"/>
    </xf>
    <xf fontId="25656" applyFont="true" borderId="8" applyBorder="true" applyNumberFormat="true" numFmtId="2" fillId="22" applyFill="true">
      <alignment horizontal="center" vertical="center"/>
    </xf>
    <xf fontId="25657" applyFont="true" borderId="8" applyBorder="true" applyNumberFormat="true" numFmtId="2" fillId="22" applyFill="true">
      <alignment horizontal="center" vertical="center"/>
    </xf>
    <xf fontId="25658" applyFont="true" borderId="8" applyBorder="true" applyNumberFormat="true" numFmtId="2" fillId="22" applyFill="true">
      <alignment horizontal="center" vertical="center"/>
    </xf>
    <xf fontId="25659" applyFont="true" borderId="8" applyBorder="true" applyNumberFormat="true" numFmtId="2" fillId="22" applyFill="true">
      <alignment horizontal="center" vertical="center"/>
    </xf>
    <xf fontId="25660" applyFont="true" borderId="8" applyBorder="true" applyNumberFormat="true" numFmtId="2" fillId="22" applyFill="true">
      <alignment horizontal="center" vertical="center"/>
    </xf>
    <xf fontId="25661" applyFont="true" borderId="8" applyBorder="true" applyNumberFormat="true" numFmtId="2" fillId="22" applyFill="true">
      <alignment horizontal="center" vertical="center"/>
    </xf>
    <xf fontId="25662" applyFont="true" borderId="8" applyBorder="true" applyNumberFormat="true" numFmtId="2" fillId="22" applyFill="true">
      <alignment horizontal="center" vertical="center"/>
    </xf>
    <xf fontId="25663" applyFont="true" borderId="8" applyBorder="true" applyNumberFormat="true" numFmtId="2" fillId="22" applyFill="true">
      <alignment horizontal="center" vertical="center"/>
    </xf>
    <xf fontId="25664" applyFont="true" borderId="8" applyBorder="true" applyNumberFormat="true" numFmtId="2" fillId="22" applyFill="true">
      <alignment horizontal="center" vertical="center"/>
    </xf>
    <xf fontId="25665" applyFont="true" borderId="8" applyBorder="true" applyNumberFormat="true" numFmtId="165" fillId="19" applyFill="true">
      <alignment horizontal="left" vertical="center"/>
    </xf>
    <xf fontId="25666" applyFont="true" borderId="8" applyBorder="true" applyNumberFormat="true" numFmtId="165" fillId="22" applyFill="true">
      <alignment horizontal="center" vertical="center"/>
    </xf>
    <xf fontId="25667" applyFont="true" borderId="8" applyBorder="true" applyNumberFormat="true" numFmtId="166" fillId="22" applyFill="true">
      <alignment horizontal="center" vertical="center"/>
    </xf>
    <xf fontId="25668" applyFont="true" borderId="8" applyBorder="true" applyNumberFormat="true" numFmtId="1" fillId="22" applyFill="true">
      <alignment horizontal="center" vertical="center"/>
    </xf>
    <xf fontId="25669" applyFont="true" borderId="8" applyBorder="true" applyNumberFormat="true" numFmtId="1" fillId="22" applyFill="true">
      <alignment horizontal="center" vertical="center"/>
    </xf>
    <xf fontId="25670" applyFont="true" borderId="8" applyBorder="true" applyNumberFormat="true" numFmtId="1" fillId="22" applyFill="true">
      <alignment horizontal="center" vertical="center"/>
    </xf>
    <xf fontId="25671" applyFont="true" borderId="8" applyBorder="true" applyNumberFormat="true" numFmtId="1" fillId="22" applyFill="true">
      <alignment horizontal="center" vertical="center"/>
    </xf>
    <xf fontId="25672" applyFont="true" borderId="8" applyBorder="true" applyNumberFormat="true" numFmtId="1" fillId="22" applyFill="true">
      <alignment horizontal="center" vertical="center"/>
    </xf>
    <xf fontId="25673" applyFont="true" borderId="8" applyBorder="true" applyNumberFormat="true" numFmtId="1" fillId="22" applyFill="true">
      <alignment horizontal="center" vertical="center"/>
    </xf>
    <xf fontId="25674" applyFont="true" borderId="8" applyBorder="true" applyNumberFormat="true" numFmtId="1" fillId="22" applyFill="true">
      <alignment horizontal="center" vertical="center"/>
    </xf>
    <xf fontId="25675" applyFont="true" borderId="8" applyBorder="true" applyNumberFormat="true" numFmtId="165" fillId="22" applyFill="true">
      <alignment horizontal="center" vertical="center"/>
    </xf>
    <xf fontId="25676" applyFont="true" borderId="8" applyBorder="true" applyNumberFormat="true" numFmtId="165" fillId="22" applyFill="true">
      <alignment horizontal="center" vertical="center"/>
    </xf>
    <xf fontId="25677" applyFont="true" borderId="8" applyBorder="true" applyNumberFormat="true" numFmtId="1" fillId="22" applyFill="true">
      <alignment horizontal="center" vertical="center"/>
    </xf>
    <xf fontId="25678" applyFont="true" borderId="8" applyBorder="true" applyNumberFormat="true" numFmtId="1" fillId="22" applyFill="true">
      <alignment horizontal="center" vertical="center"/>
    </xf>
    <xf fontId="25679" applyFont="true" borderId="8" applyBorder="true" applyNumberFormat="true" numFmtId="1" fillId="22" applyFill="true">
      <alignment horizontal="center" vertical="center"/>
    </xf>
    <xf fontId="25680" applyFont="true" borderId="8" applyBorder="true" applyNumberFormat="true" numFmtId="167" fillId="22" applyFill="true">
      <alignment horizontal="center" vertical="center"/>
    </xf>
    <xf fontId="25681" applyFont="true" borderId="8" applyBorder="true" applyNumberFormat="true" numFmtId="1" fillId="22" applyFill="true">
      <alignment horizontal="center" vertical="center"/>
    </xf>
    <xf fontId="25682" applyFont="true" borderId="8" applyBorder="true" applyNumberFormat="true" numFmtId="167" fillId="22" applyFill="true">
      <alignment horizontal="center" vertical="center"/>
    </xf>
    <xf fontId="25683" applyFont="true" borderId="8" applyBorder="true" applyNumberFormat="true" numFmtId="1" fillId="22" applyFill="true">
      <alignment horizontal="center" vertical="center"/>
    </xf>
    <xf fontId="25684" applyFont="true" borderId="8" applyBorder="true" applyNumberFormat="true" numFmtId="167" fillId="22" applyFill="true">
      <alignment horizontal="center" vertical="center"/>
    </xf>
    <xf fontId="25685" applyFont="true" borderId="8" applyBorder="true" applyNumberFormat="true" numFmtId="1" fillId="22" applyFill="true">
      <alignment horizontal="center" vertical="center"/>
    </xf>
    <xf fontId="25686" applyFont="true" borderId="8" applyBorder="true" applyNumberFormat="true" numFmtId="167" fillId="22" applyFill="true">
      <alignment horizontal="center" vertical="center"/>
    </xf>
    <xf fontId="25687" applyFont="true" borderId="8" applyBorder="true" applyNumberFormat="true" numFmtId="167" fillId="22" applyFill="true">
      <alignment horizontal="center" vertical="center"/>
    </xf>
    <xf fontId="25688" applyFont="true" borderId="8" applyBorder="true" applyNumberFormat="true" numFmtId="1" fillId="22" applyFill="true">
      <alignment horizontal="center" vertical="center"/>
    </xf>
    <xf fontId="25689" applyFont="true" borderId="8" applyBorder="true" applyNumberFormat="true" numFmtId="1" fillId="22" applyFill="true">
      <alignment horizontal="center" vertical="center"/>
    </xf>
    <xf fontId="25690" applyFont="true" borderId="8" applyBorder="true" applyNumberFormat="true" numFmtId="1" fillId="22" applyFill="true">
      <alignment horizontal="center" vertical="center"/>
    </xf>
    <xf fontId="25691" applyFont="true" borderId="8" applyBorder="true" applyNumberFormat="true" numFmtId="167" fillId="22" applyFill="true">
      <alignment horizontal="center" vertical="center"/>
    </xf>
    <xf fontId="25692" applyFont="true" borderId="8" applyBorder="true" applyNumberFormat="true" numFmtId="166" fillId="22" applyFill="true">
      <alignment horizontal="center" vertical="center"/>
    </xf>
    <xf fontId="25693" applyFont="true" borderId="8" applyBorder="true" applyNumberFormat="true" numFmtId="166" fillId="22" applyFill="true">
      <alignment horizontal="center" vertical="center"/>
    </xf>
    <xf fontId="25694" applyFont="true" borderId="8" applyBorder="true" applyNumberFormat="true" numFmtId="1" fillId="22" applyFill="true">
      <alignment horizontal="center" vertical="center"/>
    </xf>
    <xf fontId="25695" applyFont="true" borderId="8" applyBorder="true" applyNumberFormat="true" numFmtId="1" fillId="22" applyFill="true">
      <alignment horizontal="center" vertical="center"/>
    </xf>
    <xf fontId="25696" applyFont="true" borderId="8" applyBorder="true" applyNumberFormat="true" numFmtId="1" fillId="22" applyFill="true">
      <alignment horizontal="center" vertical="center"/>
    </xf>
    <xf fontId="25697" applyFont="true" borderId="8" applyBorder="true" applyNumberFormat="true" numFmtId="167" fillId="22" applyFill="true">
      <alignment horizontal="center" vertical="center"/>
    </xf>
    <xf fontId="25698" applyFont="true" borderId="8" applyBorder="true" applyNumberFormat="true" numFmtId="1" fillId="22" applyFill="true">
      <alignment horizontal="center" vertical="center"/>
    </xf>
    <xf fontId="25699" applyFont="true" borderId="8" applyBorder="true" applyNumberFormat="true" numFmtId="167" fillId="22" applyFill="true">
      <alignment horizontal="center" vertical="center"/>
    </xf>
    <xf fontId="25700" applyFont="true" borderId="8" applyBorder="true" applyNumberFormat="true" numFmtId="1" fillId="22" applyFill="true">
      <alignment horizontal="center" vertical="center"/>
    </xf>
    <xf fontId="25701" applyFont="true" borderId="8" applyBorder="true" applyNumberFormat="true" numFmtId="1" fillId="22" applyFill="true">
      <alignment horizontal="center" vertical="center"/>
    </xf>
    <xf fontId="25702" applyFont="true" borderId="8" applyBorder="true" applyNumberFormat="true" numFmtId="1" fillId="22" applyFill="true">
      <alignment horizontal="center" vertical="center"/>
    </xf>
    <xf fontId="25703" applyFont="true" borderId="8" applyBorder="true" applyNumberFormat="true" numFmtId="1" fillId="22" applyFill="true">
      <alignment horizontal="center" vertical="center"/>
    </xf>
    <xf fontId="25704" applyFont="true" borderId="8" applyBorder="true" applyNumberFormat="true" numFmtId="167" fillId="22" applyFill="true">
      <alignment horizontal="center" vertical="center"/>
    </xf>
    <xf fontId="25705" applyFont="true" borderId="8" applyBorder="true" applyNumberFormat="true" numFmtId="1" fillId="22" applyFill="true">
      <alignment horizontal="center" vertical="center"/>
    </xf>
    <xf fontId="25706" applyFont="true" borderId="8" applyBorder="true" applyNumberFormat="true" numFmtId="167" fillId="22" applyFill="true">
      <alignment horizontal="center" vertical="center"/>
    </xf>
    <xf fontId="25707" applyFont="true" borderId="8" applyBorder="true" applyNumberFormat="true" numFmtId="1" fillId="22" applyFill="true">
      <alignment horizontal="center" vertical="center"/>
    </xf>
    <xf fontId="25708" applyFont="true" borderId="8" applyBorder="true" applyNumberFormat="true" numFmtId="167" fillId="22" applyFill="true">
      <alignment horizontal="center" vertical="center"/>
    </xf>
    <xf fontId="25709" applyFont="true" borderId="8" applyBorder="true" applyNumberFormat="true" numFmtId="2" fillId="22" applyFill="true">
      <alignment horizontal="center" vertical="center"/>
    </xf>
    <xf fontId="25710" applyFont="true" borderId="8" applyBorder="true" applyNumberFormat="true" numFmtId="2" fillId="22" applyFill="true">
      <alignment horizontal="center" vertical="center"/>
    </xf>
    <xf fontId="25711" applyFont="true" borderId="8" applyBorder="true" applyNumberFormat="true" numFmtId="2" fillId="22" applyFill="true">
      <alignment horizontal="center" vertical="center"/>
    </xf>
    <xf fontId="25712" applyFont="true" borderId="8" applyBorder="true" applyNumberFormat="true" numFmtId="2" fillId="22" applyFill="true">
      <alignment horizontal="center" vertical="center"/>
    </xf>
    <xf fontId="25713" applyFont="true" borderId="8" applyBorder="true" applyNumberFormat="true" numFmtId="2" fillId="22" applyFill="true">
      <alignment horizontal="center" vertical="center"/>
    </xf>
    <xf fontId="25714" applyFont="true" borderId="8" applyBorder="true" applyNumberFormat="true" numFmtId="2" fillId="22" applyFill="true">
      <alignment horizontal="center" vertical="center"/>
    </xf>
    <xf fontId="25715" applyFont="true" borderId="8" applyBorder="true" applyNumberFormat="true" numFmtId="2" fillId="22" applyFill="true">
      <alignment horizontal="center" vertical="center"/>
    </xf>
    <xf fontId="25716" applyFont="true" borderId="8" applyBorder="true" applyNumberFormat="true" numFmtId="2" fillId="22" applyFill="true">
      <alignment horizontal="center" vertical="center"/>
    </xf>
    <xf fontId="25717" applyFont="true" borderId="8" applyBorder="true" applyNumberFormat="true" numFmtId="2" fillId="22" applyFill="true">
      <alignment horizontal="center" vertical="center"/>
    </xf>
    <xf fontId="25718" applyFont="true" borderId="8" applyBorder="true" applyNumberFormat="true" numFmtId="2" fillId="22" applyFill="true">
      <alignment horizontal="center" vertical="center"/>
    </xf>
    <xf fontId="25719" applyFont="true" borderId="8" applyBorder="true" applyNumberFormat="true" numFmtId="2" fillId="22" applyFill="true">
      <alignment horizontal="center" vertical="center"/>
    </xf>
    <xf fontId="25720" applyFont="true" borderId="8" applyBorder="true" applyNumberFormat="true" numFmtId="2" fillId="22" applyFill="true">
      <alignment horizontal="center" vertical="center"/>
    </xf>
    <xf fontId="25721" applyFont="true" borderId="8" applyBorder="true" applyNumberFormat="true" numFmtId="2" fillId="22" applyFill="true">
      <alignment horizontal="center" vertical="center"/>
    </xf>
    <xf fontId="25722" applyFont="true" borderId="8" applyBorder="true" applyNumberFormat="true" numFmtId="2" fillId="22" applyFill="true">
      <alignment horizontal="center" vertical="center"/>
    </xf>
    <xf fontId="25723" applyFont="true" borderId="8" applyBorder="true" applyNumberFormat="true" numFmtId="2" fillId="22" applyFill="true">
      <alignment horizontal="center" vertical="center"/>
    </xf>
    <xf fontId="25724" applyFont="true" borderId="8" applyBorder="true" applyNumberFormat="true" numFmtId="2" fillId="22" applyFill="true">
      <alignment horizontal="center" vertical="center"/>
    </xf>
    <xf fontId="25725" applyFont="true" borderId="8" applyBorder="true" applyNumberFormat="true" numFmtId="2" fillId="22" applyFill="true">
      <alignment horizontal="center" vertical="center"/>
    </xf>
    <xf fontId="25726" applyFont="true" borderId="8" applyBorder="true" applyNumberFormat="true" numFmtId="2" fillId="22" applyFill="true">
      <alignment horizontal="center" vertical="center"/>
    </xf>
    <xf fontId="25727" applyFont="true" borderId="8" applyBorder="true" applyNumberFormat="true" numFmtId="2" fillId="22" applyFill="true">
      <alignment horizontal="center" vertical="center"/>
    </xf>
    <xf fontId="25728" applyFont="true" borderId="8" applyBorder="true" applyNumberFormat="true" numFmtId="2" fillId="22" applyFill="true">
      <alignment horizontal="center" vertical="center"/>
    </xf>
    <xf fontId="25729" applyFont="true" borderId="8" applyBorder="true" applyNumberFormat="true" numFmtId="2" fillId="22" applyFill="true">
      <alignment horizontal="center" vertical="center"/>
    </xf>
    <xf fontId="25730" applyFont="true" borderId="8" applyBorder="true" applyNumberFormat="true" numFmtId="2" fillId="22" applyFill="true">
      <alignment horizontal="center" vertical="center"/>
    </xf>
    <xf fontId="25731" applyFont="true" borderId="8" applyBorder="true" applyNumberFormat="true" numFmtId="2" fillId="22" applyFill="true">
      <alignment horizontal="center" vertical="center"/>
    </xf>
    <xf fontId="25732" applyFont="true" borderId="8" applyBorder="true" applyNumberFormat="true" numFmtId="2" fillId="22" applyFill="true">
      <alignment horizontal="center" vertical="center"/>
    </xf>
    <xf fontId="25733" applyFont="true" borderId="8" applyBorder="true" applyNumberFormat="true" numFmtId="2" fillId="22" applyFill="true">
      <alignment horizontal="center" vertical="center"/>
    </xf>
    <xf fontId="25734" applyFont="true" borderId="8" applyBorder="true" applyNumberFormat="true" numFmtId="2" fillId="22" applyFill="true">
      <alignment horizontal="center" vertical="center"/>
    </xf>
    <xf fontId="25735" applyFont="true" borderId="8" applyBorder="true" applyNumberFormat="true" numFmtId="2" fillId="22" applyFill="true">
      <alignment horizontal="center" vertical="center"/>
    </xf>
    <xf fontId="25736" applyFont="true" borderId="8" applyBorder="true" applyNumberFormat="true" numFmtId="2" fillId="22" applyFill="true">
      <alignment horizontal="center" vertical="center"/>
    </xf>
    <xf fontId="25737" applyFont="true" borderId="8" applyBorder="true" applyNumberFormat="true" numFmtId="2" fillId="22" applyFill="true">
      <alignment horizontal="center" vertical="center"/>
    </xf>
    <xf fontId="25738" applyFont="true" borderId="8" applyBorder="true" applyNumberFormat="true" numFmtId="2" fillId="22" applyFill="true">
      <alignment horizontal="center" vertical="center"/>
    </xf>
    <xf fontId="25739" applyFont="true" borderId="8" applyBorder="true" applyNumberFormat="true" numFmtId="2" fillId="22" applyFill="true">
      <alignment horizontal="center" vertical="center"/>
    </xf>
    <xf fontId="25740" applyFont="true" borderId="8" applyBorder="true" applyNumberFormat="true" numFmtId="2" fillId="22" applyFill="true">
      <alignment horizontal="center" vertical="center"/>
    </xf>
    <xf fontId="25741" applyFont="true" borderId="8" applyBorder="true" applyNumberFormat="true" numFmtId="2" fillId="22" applyFill="true">
      <alignment horizontal="center" vertical="center"/>
    </xf>
    <xf fontId="25742" applyFont="true" borderId="8" applyBorder="true" applyNumberFormat="true" numFmtId="2" fillId="22" applyFill="true">
      <alignment horizontal="center" vertical="center"/>
    </xf>
    <xf fontId="25743" applyFont="true" borderId="8" applyBorder="true" applyNumberFormat="true" numFmtId="165" fillId="19" applyFill="true">
      <alignment horizontal="left" vertical="center"/>
    </xf>
    <xf fontId="25744" applyFont="true" borderId="8" applyBorder="true" applyNumberFormat="true" numFmtId="165" fillId="22" applyFill="true">
      <alignment horizontal="center" vertical="center"/>
    </xf>
    <xf fontId="25745" applyFont="true" borderId="8" applyBorder="true" applyNumberFormat="true" numFmtId="166" fillId="22" applyFill="true">
      <alignment horizontal="center" vertical="center"/>
    </xf>
    <xf fontId="25746" applyFont="true" borderId="8" applyBorder="true" applyNumberFormat="true" numFmtId="1" fillId="22" applyFill="true">
      <alignment horizontal="center" vertical="center"/>
    </xf>
    <xf fontId="25747" applyFont="true" borderId="8" applyBorder="true" applyNumberFormat="true" numFmtId="1" fillId="22" applyFill="true">
      <alignment horizontal="center" vertical="center"/>
    </xf>
    <xf fontId="25748" applyFont="true" borderId="8" applyBorder="true" applyNumberFormat="true" numFmtId="1" fillId="22" applyFill="true">
      <alignment horizontal="center" vertical="center"/>
    </xf>
    <xf fontId="25749" applyFont="true" borderId="8" applyBorder="true" applyNumberFormat="true" numFmtId="1" fillId="22" applyFill="true">
      <alignment horizontal="center" vertical="center"/>
    </xf>
    <xf fontId="25750" applyFont="true" borderId="8" applyBorder="true" applyNumberFormat="true" numFmtId="1" fillId="22" applyFill="true">
      <alignment horizontal="center" vertical="center"/>
    </xf>
    <xf fontId="25751" applyFont="true" borderId="8" applyBorder="true" applyNumberFormat="true" numFmtId="1" fillId="22" applyFill="true">
      <alignment horizontal="center" vertical="center"/>
    </xf>
    <xf fontId="25752" applyFont="true" borderId="8" applyBorder="true" applyNumberFormat="true" numFmtId="1" fillId="22" applyFill="true">
      <alignment horizontal="center" vertical="center"/>
    </xf>
    <xf fontId="25753" applyFont="true" borderId="8" applyBorder="true" applyNumberFormat="true" numFmtId="165" fillId="22" applyFill="true">
      <alignment horizontal="center" vertical="center"/>
    </xf>
    <xf fontId="25754" applyFont="true" borderId="8" applyBorder="true" applyNumberFormat="true" numFmtId="165" fillId="22" applyFill="true">
      <alignment horizontal="center" vertical="center"/>
    </xf>
    <xf fontId="25755" applyFont="true" borderId="8" applyBorder="true" applyNumberFormat="true" numFmtId="1" fillId="22" applyFill="true">
      <alignment horizontal="center" vertical="center"/>
    </xf>
    <xf fontId="25756" applyFont="true" borderId="8" applyBorder="true" applyNumberFormat="true" numFmtId="1" fillId="22" applyFill="true">
      <alignment horizontal="center" vertical="center"/>
    </xf>
    <xf fontId="25757" applyFont="true" borderId="8" applyBorder="true" applyNumberFormat="true" numFmtId="1" fillId="22" applyFill="true">
      <alignment horizontal="center" vertical="center"/>
    </xf>
    <xf fontId="25758" applyFont="true" borderId="8" applyBorder="true" applyNumberFormat="true" numFmtId="167" fillId="22" applyFill="true">
      <alignment horizontal="center" vertical="center"/>
    </xf>
    <xf fontId="25759" applyFont="true" borderId="8" applyBorder="true" applyNumberFormat="true" numFmtId="1" fillId="22" applyFill="true">
      <alignment horizontal="center" vertical="center"/>
    </xf>
    <xf fontId="25760" applyFont="true" borderId="8" applyBorder="true" applyNumberFormat="true" numFmtId="167" fillId="22" applyFill="true">
      <alignment horizontal="center" vertical="center"/>
    </xf>
    <xf fontId="25761" applyFont="true" borderId="8" applyBorder="true" applyNumberFormat="true" numFmtId="1" fillId="22" applyFill="true">
      <alignment horizontal="center" vertical="center"/>
    </xf>
    <xf fontId="25762" applyFont="true" borderId="8" applyBorder="true" applyNumberFormat="true" numFmtId="167" fillId="22" applyFill="true">
      <alignment horizontal="center" vertical="center"/>
    </xf>
    <xf fontId="25763" applyFont="true" borderId="8" applyBorder="true" applyNumberFormat="true" numFmtId="1" fillId="22" applyFill="true">
      <alignment horizontal="center" vertical="center"/>
    </xf>
    <xf fontId="25764" applyFont="true" borderId="8" applyBorder="true" applyNumberFormat="true" numFmtId="167" fillId="22" applyFill="true">
      <alignment horizontal="center" vertical="center"/>
    </xf>
    <xf fontId="25765" applyFont="true" borderId="8" applyBorder="true" applyNumberFormat="true" numFmtId="167" fillId="22" applyFill="true">
      <alignment horizontal="center" vertical="center"/>
    </xf>
    <xf fontId="25766" applyFont="true" borderId="8" applyBorder="true" applyNumberFormat="true" numFmtId="1" fillId="22" applyFill="true">
      <alignment horizontal="center" vertical="center"/>
    </xf>
    <xf fontId="25767" applyFont="true" borderId="8" applyBorder="true" applyNumberFormat="true" numFmtId="1" fillId="22" applyFill="true">
      <alignment horizontal="center" vertical="center"/>
    </xf>
    <xf fontId="25768" applyFont="true" borderId="8" applyBorder="true" applyNumberFormat="true" numFmtId="1" fillId="22" applyFill="true">
      <alignment horizontal="center" vertical="center"/>
    </xf>
    <xf fontId="25769" applyFont="true" borderId="8" applyBorder="true" applyNumberFormat="true" numFmtId="167" fillId="22" applyFill="true">
      <alignment horizontal="center" vertical="center"/>
    </xf>
    <xf fontId="25770" applyFont="true" borderId="8" applyBorder="true" applyNumberFormat="true" numFmtId="166" fillId="22" applyFill="true">
      <alignment horizontal="center" vertical="center"/>
    </xf>
    <xf fontId="25771" applyFont="true" borderId="8" applyBorder="true" applyNumberFormat="true" numFmtId="166" fillId="22" applyFill="true">
      <alignment horizontal="center" vertical="center"/>
    </xf>
    <xf fontId="25772" applyFont="true" borderId="8" applyBorder="true" applyNumberFormat="true" numFmtId="1" fillId="22" applyFill="true">
      <alignment horizontal="center" vertical="center"/>
    </xf>
    <xf fontId="25773" applyFont="true" borderId="8" applyBorder="true" applyNumberFormat="true" numFmtId="1" fillId="22" applyFill="true">
      <alignment horizontal="center" vertical="center"/>
    </xf>
    <xf fontId="25774" applyFont="true" borderId="8" applyBorder="true" applyNumberFormat="true" numFmtId="1" fillId="22" applyFill="true">
      <alignment horizontal="center" vertical="center"/>
    </xf>
    <xf fontId="25775" applyFont="true" borderId="8" applyBorder="true" applyNumberFormat="true" numFmtId="167" fillId="22" applyFill="true">
      <alignment horizontal="center" vertical="center"/>
    </xf>
    <xf fontId="25776" applyFont="true" borderId="8" applyBorder="true" applyNumberFormat="true" numFmtId="1" fillId="22" applyFill="true">
      <alignment horizontal="center" vertical="center"/>
    </xf>
    <xf fontId="25777" applyFont="true" borderId="8" applyBorder="true" applyNumberFormat="true" numFmtId="167" fillId="22" applyFill="true">
      <alignment horizontal="center" vertical="center"/>
    </xf>
    <xf fontId="25778" applyFont="true" borderId="8" applyBorder="true" applyNumberFormat="true" numFmtId="1" fillId="22" applyFill="true">
      <alignment horizontal="center" vertical="center"/>
    </xf>
    <xf fontId="25779" applyFont="true" borderId="8" applyBorder="true" applyNumberFormat="true" numFmtId="1" fillId="22" applyFill="true">
      <alignment horizontal="center" vertical="center"/>
    </xf>
    <xf fontId="25780" applyFont="true" borderId="8" applyBorder="true" applyNumberFormat="true" numFmtId="1" fillId="22" applyFill="true">
      <alignment horizontal="center" vertical="center"/>
    </xf>
    <xf fontId="25781" applyFont="true" borderId="8" applyBorder="true" applyNumberFormat="true" numFmtId="1" fillId="22" applyFill="true">
      <alignment horizontal="center" vertical="center"/>
    </xf>
    <xf fontId="25782" applyFont="true" borderId="8" applyBorder="true" applyNumberFormat="true" numFmtId="167" fillId="22" applyFill="true">
      <alignment horizontal="center" vertical="center"/>
    </xf>
    <xf fontId="25783" applyFont="true" borderId="8" applyBorder="true" applyNumberFormat="true" numFmtId="1" fillId="22" applyFill="true">
      <alignment horizontal="center" vertical="center"/>
    </xf>
    <xf fontId="25784" applyFont="true" borderId="8" applyBorder="true" applyNumberFormat="true" numFmtId="167" fillId="22" applyFill="true">
      <alignment horizontal="center" vertical="center"/>
    </xf>
    <xf fontId="25785" applyFont="true" borderId="8" applyBorder="true" applyNumberFormat="true" numFmtId="1" fillId="22" applyFill="true">
      <alignment horizontal="center" vertical="center"/>
    </xf>
    <xf fontId="25786" applyFont="true" borderId="8" applyBorder="true" applyNumberFormat="true" numFmtId="167" fillId="22" applyFill="true">
      <alignment horizontal="center" vertical="center"/>
    </xf>
    <xf fontId="25787" applyFont="true" borderId="8" applyBorder="true" applyNumberFormat="true" numFmtId="2" fillId="22" applyFill="true">
      <alignment horizontal="center" vertical="center"/>
    </xf>
    <xf fontId="25788" applyFont="true" borderId="8" applyBorder="true" applyNumberFormat="true" numFmtId="2" fillId="22" applyFill="true">
      <alignment horizontal="center" vertical="center"/>
    </xf>
    <xf fontId="25789" applyFont="true" borderId="8" applyBorder="true" applyNumberFormat="true" numFmtId="2" fillId="22" applyFill="true">
      <alignment horizontal="center" vertical="center"/>
    </xf>
    <xf fontId="25790" applyFont="true" borderId="8" applyBorder="true" applyNumberFormat="true" numFmtId="2" fillId="22" applyFill="true">
      <alignment horizontal="center" vertical="center"/>
    </xf>
    <xf fontId="25791" applyFont="true" borderId="8" applyBorder="true" applyNumberFormat="true" numFmtId="2" fillId="22" applyFill="true">
      <alignment horizontal="center" vertical="center"/>
    </xf>
    <xf fontId="25792" applyFont="true" borderId="8" applyBorder="true" applyNumberFormat="true" numFmtId="2" fillId="22" applyFill="true">
      <alignment horizontal="center" vertical="center"/>
    </xf>
    <xf fontId="25793" applyFont="true" borderId="8" applyBorder="true" applyNumberFormat="true" numFmtId="2" fillId="22" applyFill="true">
      <alignment horizontal="center" vertical="center"/>
    </xf>
    <xf fontId="25794" applyFont="true" borderId="8" applyBorder="true" applyNumberFormat="true" numFmtId="2" fillId="22" applyFill="true">
      <alignment horizontal="center" vertical="center"/>
    </xf>
    <xf fontId="25795" applyFont="true" borderId="8" applyBorder="true" applyNumberFormat="true" numFmtId="2" fillId="22" applyFill="true">
      <alignment horizontal="center" vertical="center"/>
    </xf>
    <xf fontId="25796" applyFont="true" borderId="8" applyBorder="true" applyNumberFormat="true" numFmtId="2" fillId="22" applyFill="true">
      <alignment horizontal="center" vertical="center"/>
    </xf>
    <xf fontId="25797" applyFont="true" borderId="8" applyBorder="true" applyNumberFormat="true" numFmtId="2" fillId="22" applyFill="true">
      <alignment horizontal="center" vertical="center"/>
    </xf>
    <xf fontId="25798" applyFont="true" borderId="8" applyBorder="true" applyNumberFormat="true" numFmtId="2" fillId="22" applyFill="true">
      <alignment horizontal="center" vertical="center"/>
    </xf>
    <xf fontId="25799" applyFont="true" borderId="8" applyBorder="true" applyNumberFormat="true" numFmtId="2" fillId="22" applyFill="true">
      <alignment horizontal="center" vertical="center"/>
    </xf>
    <xf fontId="25800" applyFont="true" borderId="8" applyBorder="true" applyNumberFormat="true" numFmtId="2" fillId="22" applyFill="true">
      <alignment horizontal="center" vertical="center"/>
    </xf>
    <xf fontId="25801" applyFont="true" borderId="8" applyBorder="true" applyNumberFormat="true" numFmtId="2" fillId="22" applyFill="true">
      <alignment horizontal="center" vertical="center"/>
    </xf>
    <xf fontId="25802" applyFont="true" borderId="8" applyBorder="true" applyNumberFormat="true" numFmtId="2" fillId="22" applyFill="true">
      <alignment horizontal="center" vertical="center"/>
    </xf>
    <xf fontId="25803" applyFont="true" borderId="8" applyBorder="true" applyNumberFormat="true" numFmtId="2" fillId="22" applyFill="true">
      <alignment horizontal="center" vertical="center"/>
    </xf>
    <xf fontId="25804" applyFont="true" borderId="8" applyBorder="true" applyNumberFormat="true" numFmtId="2" fillId="22" applyFill="true">
      <alignment horizontal="center" vertical="center"/>
    </xf>
    <xf fontId="25805" applyFont="true" borderId="8" applyBorder="true" applyNumberFormat="true" numFmtId="2" fillId="22" applyFill="true">
      <alignment horizontal="center" vertical="center"/>
    </xf>
    <xf fontId="25806" applyFont="true" borderId="8" applyBorder="true" applyNumberFormat="true" numFmtId="2" fillId="22" applyFill="true">
      <alignment horizontal="center" vertical="center"/>
    </xf>
    <xf fontId="25807" applyFont="true" borderId="8" applyBorder="true" applyNumberFormat="true" numFmtId="2" fillId="22" applyFill="true">
      <alignment horizontal="center" vertical="center"/>
    </xf>
    <xf fontId="25808" applyFont="true" borderId="8" applyBorder="true" applyNumberFormat="true" numFmtId="2" fillId="22" applyFill="true">
      <alignment horizontal="center" vertical="center"/>
    </xf>
    <xf fontId="25809" applyFont="true" borderId="8" applyBorder="true" applyNumberFormat="true" numFmtId="2" fillId="22" applyFill="true">
      <alignment horizontal="center" vertical="center"/>
    </xf>
    <xf fontId="25810" applyFont="true" borderId="8" applyBorder="true" applyNumberFormat="true" numFmtId="2" fillId="22" applyFill="true">
      <alignment horizontal="center" vertical="center"/>
    </xf>
    <xf fontId="25811" applyFont="true" borderId="8" applyBorder="true" applyNumberFormat="true" numFmtId="2" fillId="22" applyFill="true">
      <alignment horizontal="center" vertical="center"/>
    </xf>
    <xf fontId="25812" applyFont="true" borderId="8" applyBorder="true" applyNumberFormat="true" numFmtId="2" fillId="22" applyFill="true">
      <alignment horizontal="center" vertical="center"/>
    </xf>
    <xf fontId="25813" applyFont="true" borderId="8" applyBorder="true" applyNumberFormat="true" numFmtId="2" fillId="22" applyFill="true">
      <alignment horizontal="center" vertical="center"/>
    </xf>
    <xf fontId="25814" applyFont="true" borderId="8" applyBorder="true" applyNumberFormat="true" numFmtId="2" fillId="22" applyFill="true">
      <alignment horizontal="center" vertical="center"/>
    </xf>
    <xf fontId="25815" applyFont="true" borderId="8" applyBorder="true" applyNumberFormat="true" numFmtId="2" fillId="22" applyFill="true">
      <alignment horizontal="center" vertical="center"/>
    </xf>
    <xf fontId="25816" applyFont="true" borderId="8" applyBorder="true" applyNumberFormat="true" numFmtId="2" fillId="22" applyFill="true">
      <alignment horizontal="center" vertical="center"/>
    </xf>
    <xf fontId="25817" applyFont="true" borderId="8" applyBorder="true" applyNumberFormat="true" numFmtId="2" fillId="22" applyFill="true">
      <alignment horizontal="center" vertical="center"/>
    </xf>
    <xf fontId="25818" applyFont="true" borderId="8" applyBorder="true" applyNumberFormat="true" numFmtId="2" fillId="22" applyFill="true">
      <alignment horizontal="center" vertical="center"/>
    </xf>
    <xf fontId="25819" applyFont="true" borderId="8" applyBorder="true" applyNumberFormat="true" numFmtId="2" fillId="22" applyFill="true">
      <alignment horizontal="center" vertical="center"/>
    </xf>
    <xf fontId="25820" applyFont="true" borderId="8" applyBorder="true" applyNumberFormat="true" numFmtId="2" fillId="22" applyFill="true">
      <alignment horizontal="center" vertical="center"/>
    </xf>
    <xf fontId="25821" applyFont="true" borderId="8" applyBorder="true" applyNumberFormat="true" numFmtId="165" fillId="19" applyFill="true">
      <alignment horizontal="left" vertical="center"/>
    </xf>
    <xf fontId="25822" applyFont="true" borderId="8" applyBorder="true" applyNumberFormat="true" numFmtId="165" fillId="22" applyFill="true">
      <alignment horizontal="center" vertical="center"/>
    </xf>
    <xf fontId="25823" applyFont="true" borderId="8" applyBorder="true" applyNumberFormat="true" numFmtId="166" fillId="22" applyFill="true">
      <alignment horizontal="center" vertical="center"/>
    </xf>
    <xf fontId="25824" applyFont="true" borderId="8" applyBorder="true" applyNumberFormat="true" numFmtId="1" fillId="22" applyFill="true">
      <alignment horizontal="center" vertical="center"/>
    </xf>
    <xf fontId="25825" applyFont="true" borderId="8" applyBorder="true" applyNumberFormat="true" numFmtId="1" fillId="22" applyFill="true">
      <alignment horizontal="center" vertical="center"/>
    </xf>
    <xf fontId="25826" applyFont="true" borderId="8" applyBorder="true" applyNumberFormat="true" numFmtId="1" fillId="22" applyFill="true">
      <alignment horizontal="center" vertical="center"/>
    </xf>
    <xf fontId="25827" applyFont="true" borderId="8" applyBorder="true" applyNumberFormat="true" numFmtId="1" fillId="22" applyFill="true">
      <alignment horizontal="center" vertical="center"/>
    </xf>
    <xf fontId="25828" applyFont="true" borderId="8" applyBorder="true" applyNumberFormat="true" numFmtId="1" fillId="22" applyFill="true">
      <alignment horizontal="center" vertical="center"/>
    </xf>
    <xf fontId="25829" applyFont="true" borderId="8" applyBorder="true" applyNumberFormat="true" numFmtId="1" fillId="22" applyFill="true">
      <alignment horizontal="center" vertical="center"/>
    </xf>
    <xf fontId="25830" applyFont="true" borderId="8" applyBorder="true" applyNumberFormat="true" numFmtId="1" fillId="22" applyFill="true">
      <alignment horizontal="center" vertical="center"/>
    </xf>
    <xf fontId="25831" applyFont="true" borderId="8" applyBorder="true" applyNumberFormat="true" numFmtId="165" fillId="22" applyFill="true">
      <alignment horizontal="center" vertical="center"/>
    </xf>
    <xf fontId="25832" applyFont="true" borderId="8" applyBorder="true" applyNumberFormat="true" numFmtId="165" fillId="22" applyFill="true">
      <alignment horizontal="center" vertical="center"/>
    </xf>
    <xf fontId="25833" applyFont="true" borderId="8" applyBorder="true" applyNumberFormat="true" numFmtId="1" fillId="22" applyFill="true">
      <alignment horizontal="center" vertical="center"/>
    </xf>
    <xf fontId="25834" applyFont="true" borderId="8" applyBorder="true" applyNumberFormat="true" numFmtId="1" fillId="22" applyFill="true">
      <alignment horizontal="center" vertical="center"/>
    </xf>
    <xf fontId="25835" applyFont="true" borderId="8" applyBorder="true" applyNumberFormat="true" numFmtId="1" fillId="22" applyFill="true">
      <alignment horizontal="center" vertical="center"/>
    </xf>
    <xf fontId="25836" applyFont="true" borderId="8" applyBorder="true" applyNumberFormat="true" numFmtId="167" fillId="22" applyFill="true">
      <alignment horizontal="center" vertical="center"/>
    </xf>
    <xf fontId="25837" applyFont="true" borderId="8" applyBorder="true" applyNumberFormat="true" numFmtId="1" fillId="22" applyFill="true">
      <alignment horizontal="center" vertical="center"/>
    </xf>
    <xf fontId="25838" applyFont="true" borderId="8" applyBorder="true" applyNumberFormat="true" numFmtId="167" fillId="22" applyFill="true">
      <alignment horizontal="center" vertical="center"/>
    </xf>
    <xf fontId="25839" applyFont="true" borderId="8" applyBorder="true" applyNumberFormat="true" numFmtId="1" fillId="22" applyFill="true">
      <alignment horizontal="center" vertical="center"/>
    </xf>
    <xf fontId="25840" applyFont="true" borderId="8" applyBorder="true" applyNumberFormat="true" numFmtId="167" fillId="22" applyFill="true">
      <alignment horizontal="center" vertical="center"/>
    </xf>
    <xf fontId="25841" applyFont="true" borderId="8" applyBorder="true" applyNumberFormat="true" numFmtId="1" fillId="22" applyFill="true">
      <alignment horizontal="center" vertical="center"/>
    </xf>
    <xf fontId="25842" applyFont="true" borderId="8" applyBorder="true" applyNumberFormat="true" numFmtId="167" fillId="22" applyFill="true">
      <alignment horizontal="center" vertical="center"/>
    </xf>
    <xf fontId="25843" applyFont="true" borderId="8" applyBorder="true" applyNumberFormat="true" numFmtId="167" fillId="22" applyFill="true">
      <alignment horizontal="center" vertical="center"/>
    </xf>
    <xf fontId="25844" applyFont="true" borderId="8" applyBorder="true" applyNumberFormat="true" numFmtId="1" fillId="22" applyFill="true">
      <alignment horizontal="center" vertical="center"/>
    </xf>
    <xf fontId="25845" applyFont="true" borderId="8" applyBorder="true" applyNumberFormat="true" numFmtId="1" fillId="22" applyFill="true">
      <alignment horizontal="center" vertical="center"/>
    </xf>
    <xf fontId="25846" applyFont="true" borderId="8" applyBorder="true" applyNumberFormat="true" numFmtId="1" fillId="22" applyFill="true">
      <alignment horizontal="center" vertical="center"/>
    </xf>
    <xf fontId="25847" applyFont="true" borderId="8" applyBorder="true" applyNumberFormat="true" numFmtId="167" fillId="22" applyFill="true">
      <alignment horizontal="center" vertical="center"/>
    </xf>
    <xf fontId="25848" applyFont="true" borderId="8" applyBorder="true" applyNumberFormat="true" numFmtId="166" fillId="22" applyFill="true">
      <alignment horizontal="center" vertical="center"/>
    </xf>
    <xf fontId="25849" applyFont="true" borderId="8" applyBorder="true" applyNumberFormat="true" numFmtId="166" fillId="22" applyFill="true">
      <alignment horizontal="center" vertical="center"/>
    </xf>
    <xf fontId="25850" applyFont="true" borderId="8" applyBorder="true" applyNumberFormat="true" numFmtId="1" fillId="22" applyFill="true">
      <alignment horizontal="center" vertical="center"/>
    </xf>
    <xf fontId="25851" applyFont="true" borderId="8" applyBorder="true" applyNumberFormat="true" numFmtId="1" fillId="22" applyFill="true">
      <alignment horizontal="center" vertical="center"/>
    </xf>
    <xf fontId="25852" applyFont="true" borderId="8" applyBorder="true" applyNumberFormat="true" numFmtId="1" fillId="22" applyFill="true">
      <alignment horizontal="center" vertical="center"/>
    </xf>
    <xf fontId="25853" applyFont="true" borderId="8" applyBorder="true" applyNumberFormat="true" numFmtId="167" fillId="22" applyFill="true">
      <alignment horizontal="center" vertical="center"/>
    </xf>
    <xf fontId="25854" applyFont="true" borderId="8" applyBorder="true" applyNumberFormat="true" numFmtId="1" fillId="22" applyFill="true">
      <alignment horizontal="center" vertical="center"/>
    </xf>
    <xf fontId="25855" applyFont="true" borderId="8" applyBorder="true" applyNumberFormat="true" numFmtId="167" fillId="22" applyFill="true">
      <alignment horizontal="center" vertical="center"/>
    </xf>
    <xf fontId="25856" applyFont="true" borderId="8" applyBorder="true" applyNumberFormat="true" numFmtId="1" fillId="22" applyFill="true">
      <alignment horizontal="center" vertical="center"/>
    </xf>
    <xf fontId="25857" applyFont="true" borderId="8" applyBorder="true" applyNumberFormat="true" numFmtId="1" fillId="22" applyFill="true">
      <alignment horizontal="center" vertical="center"/>
    </xf>
    <xf fontId="25858" applyFont="true" borderId="8" applyBorder="true" applyNumberFormat="true" numFmtId="1" fillId="22" applyFill="true">
      <alignment horizontal="center" vertical="center"/>
    </xf>
    <xf fontId="25859" applyFont="true" borderId="8" applyBorder="true" applyNumberFormat="true" numFmtId="1" fillId="22" applyFill="true">
      <alignment horizontal="center" vertical="center"/>
    </xf>
    <xf fontId="25860" applyFont="true" borderId="8" applyBorder="true" applyNumberFormat="true" numFmtId="167" fillId="22" applyFill="true">
      <alignment horizontal="center" vertical="center"/>
    </xf>
    <xf fontId="25861" applyFont="true" borderId="8" applyBorder="true" applyNumberFormat="true" numFmtId="1" fillId="22" applyFill="true">
      <alignment horizontal="center" vertical="center"/>
    </xf>
    <xf fontId="25862" applyFont="true" borderId="8" applyBorder="true" applyNumberFormat="true" numFmtId="167" fillId="22" applyFill="true">
      <alignment horizontal="center" vertical="center"/>
    </xf>
    <xf fontId="25863" applyFont="true" borderId="8" applyBorder="true" applyNumberFormat="true" numFmtId="1" fillId="22" applyFill="true">
      <alignment horizontal="center" vertical="center"/>
    </xf>
    <xf fontId="25864" applyFont="true" borderId="8" applyBorder="true" applyNumberFormat="true" numFmtId="167" fillId="22" applyFill="true">
      <alignment horizontal="center" vertical="center"/>
    </xf>
    <xf fontId="25865" applyFont="true" borderId="8" applyBorder="true" applyNumberFormat="true" numFmtId="2" fillId="22" applyFill="true">
      <alignment horizontal="center" vertical="center"/>
    </xf>
    <xf fontId="25866" applyFont="true" borderId="8" applyBorder="true" applyNumberFormat="true" numFmtId="2" fillId="22" applyFill="true">
      <alignment horizontal="center" vertical="center"/>
    </xf>
    <xf fontId="25867" applyFont="true" borderId="8" applyBorder="true" applyNumberFormat="true" numFmtId="2" fillId="22" applyFill="true">
      <alignment horizontal="center" vertical="center"/>
    </xf>
    <xf fontId="25868" applyFont="true" borderId="8" applyBorder="true" applyNumberFormat="true" numFmtId="2" fillId="22" applyFill="true">
      <alignment horizontal="center" vertical="center"/>
    </xf>
    <xf fontId="25869" applyFont="true" borderId="8" applyBorder="true" applyNumberFormat="true" numFmtId="2" fillId="22" applyFill="true">
      <alignment horizontal="center" vertical="center"/>
    </xf>
    <xf fontId="25870" applyFont="true" borderId="8" applyBorder="true" applyNumberFormat="true" numFmtId="2" fillId="22" applyFill="true">
      <alignment horizontal="center" vertical="center"/>
    </xf>
    <xf fontId="25871" applyFont="true" borderId="8" applyBorder="true" applyNumberFormat="true" numFmtId="2" fillId="22" applyFill="true">
      <alignment horizontal="center" vertical="center"/>
    </xf>
    <xf fontId="25872" applyFont="true" borderId="8" applyBorder="true" applyNumberFormat="true" numFmtId="2" fillId="22" applyFill="true">
      <alignment horizontal="center" vertical="center"/>
    </xf>
    <xf fontId="25873" applyFont="true" borderId="8" applyBorder="true" applyNumberFormat="true" numFmtId="2" fillId="22" applyFill="true">
      <alignment horizontal="center" vertical="center"/>
    </xf>
    <xf fontId="25874" applyFont="true" borderId="8" applyBorder="true" applyNumberFormat="true" numFmtId="2" fillId="22" applyFill="true">
      <alignment horizontal="center" vertical="center"/>
    </xf>
    <xf fontId="25875" applyFont="true" borderId="8" applyBorder="true" applyNumberFormat="true" numFmtId="2" fillId="22" applyFill="true">
      <alignment horizontal="center" vertical="center"/>
    </xf>
    <xf fontId="25876" applyFont="true" borderId="8" applyBorder="true" applyNumberFormat="true" numFmtId="2" fillId="22" applyFill="true">
      <alignment horizontal="center" vertical="center"/>
    </xf>
    <xf fontId="25877" applyFont="true" borderId="8" applyBorder="true" applyNumberFormat="true" numFmtId="2" fillId="22" applyFill="true">
      <alignment horizontal="center" vertical="center"/>
    </xf>
    <xf fontId="25878" applyFont="true" borderId="8" applyBorder="true" applyNumberFormat="true" numFmtId="2" fillId="22" applyFill="true">
      <alignment horizontal="center" vertical="center"/>
    </xf>
    <xf fontId="25879" applyFont="true" borderId="8" applyBorder="true" applyNumberFormat="true" numFmtId="2" fillId="22" applyFill="true">
      <alignment horizontal="center" vertical="center"/>
    </xf>
    <xf fontId="25880" applyFont="true" borderId="8" applyBorder="true" applyNumberFormat="true" numFmtId="2" fillId="22" applyFill="true">
      <alignment horizontal="center" vertical="center"/>
    </xf>
    <xf fontId="25881" applyFont="true" borderId="8" applyBorder="true" applyNumberFormat="true" numFmtId="2" fillId="22" applyFill="true">
      <alignment horizontal="center" vertical="center"/>
    </xf>
    <xf fontId="25882" applyFont="true" borderId="8" applyBorder="true" applyNumberFormat="true" numFmtId="2" fillId="22" applyFill="true">
      <alignment horizontal="center" vertical="center"/>
    </xf>
    <xf fontId="25883" applyFont="true" borderId="8" applyBorder="true" applyNumberFormat="true" numFmtId="2" fillId="22" applyFill="true">
      <alignment horizontal="center" vertical="center"/>
    </xf>
    <xf fontId="25884" applyFont="true" borderId="8" applyBorder="true" applyNumberFormat="true" numFmtId="2" fillId="22" applyFill="true">
      <alignment horizontal="center" vertical="center"/>
    </xf>
    <xf fontId="25885" applyFont="true" borderId="8" applyBorder="true" applyNumberFormat="true" numFmtId="2" fillId="22" applyFill="true">
      <alignment horizontal="center" vertical="center"/>
    </xf>
    <xf fontId="25886" applyFont="true" borderId="8" applyBorder="true" applyNumberFormat="true" numFmtId="2" fillId="22" applyFill="true">
      <alignment horizontal="center" vertical="center"/>
    </xf>
    <xf fontId="25887" applyFont="true" borderId="8" applyBorder="true" applyNumberFormat="true" numFmtId="2" fillId="22" applyFill="true">
      <alignment horizontal="center" vertical="center"/>
    </xf>
    <xf fontId="25888" applyFont="true" borderId="8" applyBorder="true" applyNumberFormat="true" numFmtId="2" fillId="22" applyFill="true">
      <alignment horizontal="center" vertical="center"/>
    </xf>
    <xf fontId="25889" applyFont="true" borderId="8" applyBorder="true" applyNumberFormat="true" numFmtId="2" fillId="22" applyFill="true">
      <alignment horizontal="center" vertical="center"/>
    </xf>
    <xf fontId="25890" applyFont="true" borderId="8" applyBorder="true" applyNumberFormat="true" numFmtId="2" fillId="22" applyFill="true">
      <alignment horizontal="center" vertical="center"/>
    </xf>
    <xf fontId="25891" applyFont="true" borderId="8" applyBorder="true" applyNumberFormat="true" numFmtId="2" fillId="22" applyFill="true">
      <alignment horizontal="center" vertical="center"/>
    </xf>
    <xf fontId="25892" applyFont="true" borderId="8" applyBorder="true" applyNumberFormat="true" numFmtId="2" fillId="22" applyFill="true">
      <alignment horizontal="center" vertical="center"/>
    </xf>
    <xf fontId="25893" applyFont="true" borderId="8" applyBorder="true" applyNumberFormat="true" numFmtId="2" fillId="22" applyFill="true">
      <alignment horizontal="center" vertical="center"/>
    </xf>
    <xf fontId="25894" applyFont="true" borderId="8" applyBorder="true" applyNumberFormat="true" numFmtId="2" fillId="22" applyFill="true">
      <alignment horizontal="center" vertical="center"/>
    </xf>
    <xf fontId="25895" applyFont="true" borderId="8" applyBorder="true" applyNumberFormat="true" numFmtId="2" fillId="22" applyFill="true">
      <alignment horizontal="center" vertical="center"/>
    </xf>
    <xf fontId="25896" applyFont="true" borderId="8" applyBorder="true" applyNumberFormat="true" numFmtId="2" fillId="22" applyFill="true">
      <alignment horizontal="center" vertical="center"/>
    </xf>
    <xf fontId="25897" applyFont="true" borderId="8" applyBorder="true" applyNumberFormat="true" numFmtId="2" fillId="22" applyFill="true">
      <alignment horizontal="center" vertical="center"/>
    </xf>
    <xf fontId="25898" applyFont="true" borderId="8" applyBorder="true" applyNumberFormat="true" numFmtId="2" fillId="22" applyFill="true">
      <alignment horizontal="center" vertical="center"/>
    </xf>
    <xf fontId="25899" applyFont="true" borderId="8" applyBorder="true" applyNumberFormat="true" numFmtId="165" fillId="19" applyFill="true">
      <alignment horizontal="left" vertical="center"/>
    </xf>
    <xf fontId="25900" applyFont="true" borderId="8" applyBorder="true" applyNumberFormat="true" numFmtId="165" fillId="22" applyFill="true">
      <alignment horizontal="center" vertical="center"/>
    </xf>
    <xf fontId="25901" applyFont="true" borderId="8" applyBorder="true" applyNumberFormat="true" numFmtId="166" fillId="22" applyFill="true">
      <alignment horizontal="center" vertical="center"/>
    </xf>
    <xf fontId="25902" applyFont="true" borderId="8" applyBorder="true" applyNumberFormat="true" numFmtId="1" fillId="22" applyFill="true">
      <alignment horizontal="center" vertical="center"/>
    </xf>
    <xf fontId="25903" applyFont="true" borderId="8" applyBorder="true" applyNumberFormat="true" numFmtId="1" fillId="22" applyFill="true">
      <alignment horizontal="center" vertical="center"/>
    </xf>
    <xf fontId="25904" applyFont="true" borderId="8" applyBorder="true" applyNumberFormat="true" numFmtId="1" fillId="22" applyFill="true">
      <alignment horizontal="center" vertical="center"/>
    </xf>
    <xf fontId="25905" applyFont="true" borderId="8" applyBorder="true" applyNumberFormat="true" numFmtId="1" fillId="22" applyFill="true">
      <alignment horizontal="center" vertical="center"/>
    </xf>
    <xf fontId="25906" applyFont="true" borderId="8" applyBorder="true" applyNumberFormat="true" numFmtId="1" fillId="22" applyFill="true">
      <alignment horizontal="center" vertical="center"/>
    </xf>
    <xf fontId="25907" applyFont="true" borderId="8" applyBorder="true" applyNumberFormat="true" numFmtId="1" fillId="22" applyFill="true">
      <alignment horizontal="center" vertical="center"/>
    </xf>
    <xf fontId="25908" applyFont="true" borderId="8" applyBorder="true" applyNumberFormat="true" numFmtId="1" fillId="22" applyFill="true">
      <alignment horizontal="center" vertical="center"/>
    </xf>
    <xf fontId="25909" applyFont="true" borderId="8" applyBorder="true" applyNumberFormat="true" numFmtId="165" fillId="22" applyFill="true">
      <alignment horizontal="center" vertical="center"/>
    </xf>
    <xf fontId="25910" applyFont="true" borderId="8" applyBorder="true" applyNumberFormat="true" numFmtId="165" fillId="22" applyFill="true">
      <alignment horizontal="center" vertical="center"/>
    </xf>
    <xf fontId="25911" applyFont="true" borderId="8" applyBorder="true" applyNumberFormat="true" numFmtId="1" fillId="22" applyFill="true">
      <alignment horizontal="center" vertical="center"/>
    </xf>
    <xf fontId="25912" applyFont="true" borderId="8" applyBorder="true" applyNumberFormat="true" numFmtId="1" fillId="22" applyFill="true">
      <alignment horizontal="center" vertical="center"/>
    </xf>
    <xf fontId="25913" applyFont="true" borderId="8" applyBorder="true" applyNumberFormat="true" numFmtId="1" fillId="22" applyFill="true">
      <alignment horizontal="center" vertical="center"/>
    </xf>
    <xf fontId="25914" applyFont="true" borderId="8" applyBorder="true" applyNumberFormat="true" numFmtId="167" fillId="22" applyFill="true">
      <alignment horizontal="center" vertical="center"/>
    </xf>
    <xf fontId="25915" applyFont="true" borderId="8" applyBorder="true" applyNumberFormat="true" numFmtId="1" fillId="22" applyFill="true">
      <alignment horizontal="center" vertical="center"/>
    </xf>
    <xf fontId="25916" applyFont="true" borderId="8" applyBorder="true" applyNumberFormat="true" numFmtId="167" fillId="22" applyFill="true">
      <alignment horizontal="center" vertical="center"/>
    </xf>
    <xf fontId="25917" applyFont="true" borderId="8" applyBorder="true" applyNumberFormat="true" numFmtId="1" fillId="22" applyFill="true">
      <alignment horizontal="center" vertical="center"/>
    </xf>
    <xf fontId="25918" applyFont="true" borderId="8" applyBorder="true" applyNumberFormat="true" numFmtId="167" fillId="22" applyFill="true">
      <alignment horizontal="center" vertical="center"/>
    </xf>
    <xf fontId="25919" applyFont="true" borderId="8" applyBorder="true" applyNumberFormat="true" numFmtId="1" fillId="22" applyFill="true">
      <alignment horizontal="center" vertical="center"/>
    </xf>
    <xf fontId="25920" applyFont="true" borderId="8" applyBorder="true" applyNumberFormat="true" numFmtId="167" fillId="22" applyFill="true">
      <alignment horizontal="center" vertical="center"/>
    </xf>
    <xf fontId="25921" applyFont="true" borderId="8" applyBorder="true" applyNumberFormat="true" numFmtId="167" fillId="22" applyFill="true">
      <alignment horizontal="center" vertical="center"/>
    </xf>
    <xf fontId="25922" applyFont="true" borderId="8" applyBorder="true" applyNumberFormat="true" numFmtId="1" fillId="22" applyFill="true">
      <alignment horizontal="center" vertical="center"/>
    </xf>
    <xf fontId="25923" applyFont="true" borderId="8" applyBorder="true" applyNumberFormat="true" numFmtId="1" fillId="22" applyFill="true">
      <alignment horizontal="center" vertical="center"/>
    </xf>
    <xf fontId="25924" applyFont="true" borderId="8" applyBorder="true" applyNumberFormat="true" numFmtId="1" fillId="22" applyFill="true">
      <alignment horizontal="center" vertical="center"/>
    </xf>
    <xf fontId="25925" applyFont="true" borderId="8" applyBorder="true" applyNumberFormat="true" numFmtId="167" fillId="22" applyFill="true">
      <alignment horizontal="center" vertical="center"/>
    </xf>
    <xf fontId="25926" applyFont="true" borderId="8" applyBorder="true" applyNumberFormat="true" numFmtId="166" fillId="22" applyFill="true">
      <alignment horizontal="center" vertical="center"/>
    </xf>
    <xf fontId="25927" applyFont="true" borderId="8" applyBorder="true" applyNumberFormat="true" numFmtId="166" fillId="22" applyFill="true">
      <alignment horizontal="center" vertical="center"/>
    </xf>
    <xf fontId="25928" applyFont="true" borderId="8" applyBorder="true" applyNumberFormat="true" numFmtId="1" fillId="22" applyFill="true">
      <alignment horizontal="center" vertical="center"/>
    </xf>
    <xf fontId="25929" applyFont="true" borderId="8" applyBorder="true" applyNumberFormat="true" numFmtId="1" fillId="22" applyFill="true">
      <alignment horizontal="center" vertical="center"/>
    </xf>
    <xf fontId="25930" applyFont="true" borderId="8" applyBorder="true" applyNumberFormat="true" numFmtId="1" fillId="22" applyFill="true">
      <alignment horizontal="center" vertical="center"/>
    </xf>
    <xf fontId="25931" applyFont="true" borderId="8" applyBorder="true" applyNumberFormat="true" numFmtId="167" fillId="22" applyFill="true">
      <alignment horizontal="center" vertical="center"/>
    </xf>
    <xf fontId="25932" applyFont="true" borderId="8" applyBorder="true" applyNumberFormat="true" numFmtId="1" fillId="22" applyFill="true">
      <alignment horizontal="center" vertical="center"/>
    </xf>
    <xf fontId="25933" applyFont="true" borderId="8" applyBorder="true" applyNumberFormat="true" numFmtId="167" fillId="22" applyFill="true">
      <alignment horizontal="center" vertical="center"/>
    </xf>
    <xf fontId="25934" applyFont="true" borderId="8" applyBorder="true" applyNumberFormat="true" numFmtId="1" fillId="22" applyFill="true">
      <alignment horizontal="center" vertical="center"/>
    </xf>
    <xf fontId="25935" applyFont="true" borderId="8" applyBorder="true" applyNumberFormat="true" numFmtId="1" fillId="22" applyFill="true">
      <alignment horizontal="center" vertical="center"/>
    </xf>
    <xf fontId="25936" applyFont="true" borderId="8" applyBorder="true" applyNumberFormat="true" numFmtId="1" fillId="22" applyFill="true">
      <alignment horizontal="center" vertical="center"/>
    </xf>
    <xf fontId="25937" applyFont="true" borderId="8" applyBorder="true" applyNumberFormat="true" numFmtId="1" fillId="22" applyFill="true">
      <alignment horizontal="center" vertical="center"/>
    </xf>
    <xf fontId="25938" applyFont="true" borderId="8" applyBorder="true" applyNumberFormat="true" numFmtId="167" fillId="22" applyFill="true">
      <alignment horizontal="center" vertical="center"/>
    </xf>
    <xf fontId="25939" applyFont="true" borderId="8" applyBorder="true" applyNumberFormat="true" numFmtId="1" fillId="22" applyFill="true">
      <alignment horizontal="center" vertical="center"/>
    </xf>
    <xf fontId="25940" applyFont="true" borderId="8" applyBorder="true" applyNumberFormat="true" numFmtId="167" fillId="22" applyFill="true">
      <alignment horizontal="center" vertical="center"/>
    </xf>
    <xf fontId="25941" applyFont="true" borderId="8" applyBorder="true" applyNumberFormat="true" numFmtId="1" fillId="22" applyFill="true">
      <alignment horizontal="center" vertical="center"/>
    </xf>
    <xf fontId="25942" applyFont="true" borderId="8" applyBorder="true" applyNumberFormat="true" numFmtId="167" fillId="22" applyFill="true">
      <alignment horizontal="center" vertical="center"/>
    </xf>
    <xf fontId="25943" applyFont="true" borderId="8" applyBorder="true" applyNumberFormat="true" numFmtId="2" fillId="22" applyFill="true">
      <alignment horizontal="center" vertical="center"/>
    </xf>
    <xf fontId="25944" applyFont="true" borderId="8" applyBorder="true" applyNumberFormat="true" numFmtId="2" fillId="22" applyFill="true">
      <alignment horizontal="center" vertical="center"/>
    </xf>
    <xf fontId="25945" applyFont="true" borderId="8" applyBorder="true" applyNumberFormat="true" numFmtId="2" fillId="22" applyFill="true">
      <alignment horizontal="center" vertical="center"/>
    </xf>
    <xf fontId="25946" applyFont="true" borderId="8" applyBorder="true" applyNumberFormat="true" numFmtId="2" fillId="22" applyFill="true">
      <alignment horizontal="center" vertical="center"/>
    </xf>
    <xf fontId="25947" applyFont="true" borderId="8" applyBorder="true" applyNumberFormat="true" numFmtId="2" fillId="22" applyFill="true">
      <alignment horizontal="center" vertical="center"/>
    </xf>
    <xf fontId="25948" applyFont="true" borderId="8" applyBorder="true" applyNumberFormat="true" numFmtId="2" fillId="22" applyFill="true">
      <alignment horizontal="center" vertical="center"/>
    </xf>
    <xf fontId="25949" applyFont="true" borderId="8" applyBorder="true" applyNumberFormat="true" numFmtId="2" fillId="22" applyFill="true">
      <alignment horizontal="center" vertical="center"/>
    </xf>
    <xf fontId="25950" applyFont="true" borderId="8" applyBorder="true" applyNumberFormat="true" numFmtId="2" fillId="22" applyFill="true">
      <alignment horizontal="center" vertical="center"/>
    </xf>
    <xf fontId="25951" applyFont="true" borderId="8" applyBorder="true" applyNumberFormat="true" numFmtId="2" fillId="22" applyFill="true">
      <alignment horizontal="center" vertical="center"/>
    </xf>
    <xf fontId="25952" applyFont="true" borderId="8" applyBorder="true" applyNumberFormat="true" numFmtId="2" fillId="22" applyFill="true">
      <alignment horizontal="center" vertical="center"/>
    </xf>
    <xf fontId="25953" applyFont="true" borderId="8" applyBorder="true" applyNumberFormat="true" numFmtId="2" fillId="22" applyFill="true">
      <alignment horizontal="center" vertical="center"/>
    </xf>
    <xf fontId="25954" applyFont="true" borderId="8" applyBorder="true" applyNumberFormat="true" numFmtId="2" fillId="22" applyFill="true">
      <alignment horizontal="center" vertical="center"/>
    </xf>
    <xf fontId="25955" applyFont="true" borderId="8" applyBorder="true" applyNumberFormat="true" numFmtId="2" fillId="22" applyFill="true">
      <alignment horizontal="center" vertical="center"/>
    </xf>
    <xf fontId="25956" applyFont="true" borderId="8" applyBorder="true" applyNumberFormat="true" numFmtId="2" fillId="22" applyFill="true">
      <alignment horizontal="center" vertical="center"/>
    </xf>
    <xf fontId="25957" applyFont="true" borderId="8" applyBorder="true" applyNumberFormat="true" numFmtId="2" fillId="22" applyFill="true">
      <alignment horizontal="center" vertical="center"/>
    </xf>
    <xf fontId="25958" applyFont="true" borderId="8" applyBorder="true" applyNumberFormat="true" numFmtId="2" fillId="22" applyFill="true">
      <alignment horizontal="center" vertical="center"/>
    </xf>
    <xf fontId="25959" applyFont="true" borderId="8" applyBorder="true" applyNumberFormat="true" numFmtId="2" fillId="22" applyFill="true">
      <alignment horizontal="center" vertical="center"/>
    </xf>
    <xf fontId="25960" applyFont="true" borderId="8" applyBorder="true" applyNumberFormat="true" numFmtId="2" fillId="22" applyFill="true">
      <alignment horizontal="center" vertical="center"/>
    </xf>
    <xf fontId="25961" applyFont="true" borderId="8" applyBorder="true" applyNumberFormat="true" numFmtId="2" fillId="22" applyFill="true">
      <alignment horizontal="center" vertical="center"/>
    </xf>
    <xf fontId="25962" applyFont="true" borderId="8" applyBorder="true" applyNumberFormat="true" numFmtId="2" fillId="22" applyFill="true">
      <alignment horizontal="center" vertical="center"/>
    </xf>
    <xf fontId="25963" applyFont="true" borderId="8" applyBorder="true" applyNumberFormat="true" numFmtId="2" fillId="22" applyFill="true">
      <alignment horizontal="center" vertical="center"/>
    </xf>
    <xf fontId="25964" applyFont="true" borderId="8" applyBorder="true" applyNumberFormat="true" numFmtId="2" fillId="22" applyFill="true">
      <alignment horizontal="center" vertical="center"/>
    </xf>
    <xf fontId="25965" applyFont="true" borderId="8" applyBorder="true" applyNumberFormat="true" numFmtId="2" fillId="22" applyFill="true">
      <alignment horizontal="center" vertical="center"/>
    </xf>
    <xf fontId="25966" applyFont="true" borderId="8" applyBorder="true" applyNumberFormat="true" numFmtId="2" fillId="22" applyFill="true">
      <alignment horizontal="center" vertical="center"/>
    </xf>
    <xf fontId="25967" applyFont="true" borderId="8" applyBorder="true" applyNumberFormat="true" numFmtId="2" fillId="22" applyFill="true">
      <alignment horizontal="center" vertical="center"/>
    </xf>
    <xf fontId="25968" applyFont="true" borderId="8" applyBorder="true" applyNumberFormat="true" numFmtId="2" fillId="22" applyFill="true">
      <alignment horizontal="center" vertical="center"/>
    </xf>
    <xf fontId="25969" applyFont="true" borderId="8" applyBorder="true" applyNumberFormat="true" numFmtId="2" fillId="22" applyFill="true">
      <alignment horizontal="center" vertical="center"/>
    </xf>
    <xf fontId="25970" applyFont="true" borderId="8" applyBorder="true" applyNumberFormat="true" numFmtId="2" fillId="22" applyFill="true">
      <alignment horizontal="center" vertical="center"/>
    </xf>
    <xf fontId="25971" applyFont="true" borderId="8" applyBorder="true" applyNumberFormat="true" numFmtId="2" fillId="22" applyFill="true">
      <alignment horizontal="center" vertical="center"/>
    </xf>
    <xf fontId="25972" applyFont="true" borderId="8" applyBorder="true" applyNumberFormat="true" numFmtId="2" fillId="22" applyFill="true">
      <alignment horizontal="center" vertical="center"/>
    </xf>
    <xf fontId="25973" applyFont="true" borderId="8" applyBorder="true" applyNumberFormat="true" numFmtId="2" fillId="22" applyFill="true">
      <alignment horizontal="center" vertical="center"/>
    </xf>
    <xf fontId="25974" applyFont="true" borderId="8" applyBorder="true" applyNumberFormat="true" numFmtId="2" fillId="22" applyFill="true">
      <alignment horizontal="center" vertical="center"/>
    </xf>
    <xf fontId="25975" applyFont="true" borderId="8" applyBorder="true" applyNumberFormat="true" numFmtId="2" fillId="22" applyFill="true">
      <alignment horizontal="center" vertical="center"/>
    </xf>
    <xf fontId="25976" applyFont="true" borderId="8" applyBorder="true" applyNumberFormat="true" numFmtId="2" fillId="22" applyFill="true">
      <alignment horizontal="center" vertical="center"/>
    </xf>
    <xf fontId="25977" applyFont="true" borderId="8" applyBorder="true" applyNumberFormat="true" numFmtId="165" fillId="19" applyFill="true">
      <alignment horizontal="left" vertical="center"/>
    </xf>
    <xf fontId="25978" applyFont="true" borderId="8" applyBorder="true" applyNumberFormat="true" numFmtId="165" fillId="22" applyFill="true">
      <alignment horizontal="center" vertical="center"/>
    </xf>
    <xf fontId="25979" applyFont="true" borderId="8" applyBorder="true" applyNumberFormat="true" numFmtId="166" fillId="22" applyFill="true">
      <alignment horizontal="center" vertical="center"/>
    </xf>
    <xf fontId="25980" applyFont="true" borderId="8" applyBorder="true" applyNumberFormat="true" numFmtId="1" fillId="22" applyFill="true">
      <alignment horizontal="center" vertical="center"/>
    </xf>
    <xf fontId="25981" applyFont="true" borderId="8" applyBorder="true" applyNumberFormat="true" numFmtId="1" fillId="22" applyFill="true">
      <alignment horizontal="center" vertical="center"/>
    </xf>
    <xf fontId="25982" applyFont="true" borderId="8" applyBorder="true" applyNumberFormat="true" numFmtId="1" fillId="22" applyFill="true">
      <alignment horizontal="center" vertical="center"/>
    </xf>
    <xf fontId="25983" applyFont="true" borderId="8" applyBorder="true" applyNumberFormat="true" numFmtId="1" fillId="22" applyFill="true">
      <alignment horizontal="center" vertical="center"/>
    </xf>
    <xf fontId="25984" applyFont="true" borderId="8" applyBorder="true" applyNumberFormat="true" numFmtId="1" fillId="22" applyFill="true">
      <alignment horizontal="center" vertical="center"/>
    </xf>
    <xf fontId="25985" applyFont="true" borderId="8" applyBorder="true" applyNumberFormat="true" numFmtId="1" fillId="22" applyFill="true">
      <alignment horizontal="center" vertical="center"/>
    </xf>
    <xf fontId="25986" applyFont="true" borderId="8" applyBorder="true" applyNumberFormat="true" numFmtId="1" fillId="22" applyFill="true">
      <alignment horizontal="center" vertical="center"/>
    </xf>
    <xf fontId="25987" applyFont="true" borderId="8" applyBorder="true" applyNumberFormat="true" numFmtId="165" fillId="22" applyFill="true">
      <alignment horizontal="center" vertical="center"/>
    </xf>
    <xf fontId="25988" applyFont="true" borderId="8" applyBorder="true" applyNumberFormat="true" numFmtId="165" fillId="22" applyFill="true">
      <alignment horizontal="center" vertical="center"/>
    </xf>
    <xf fontId="25989" applyFont="true" borderId="8" applyBorder="true" applyNumberFormat="true" numFmtId="1" fillId="22" applyFill="true">
      <alignment horizontal="center" vertical="center"/>
    </xf>
    <xf fontId="25990" applyFont="true" borderId="8" applyBorder="true" applyNumberFormat="true" numFmtId="1" fillId="22" applyFill="true">
      <alignment horizontal="center" vertical="center"/>
    </xf>
    <xf fontId="25991" applyFont="true" borderId="8" applyBorder="true" applyNumberFormat="true" numFmtId="1" fillId="22" applyFill="true">
      <alignment horizontal="center" vertical="center"/>
    </xf>
    <xf fontId="25992" applyFont="true" borderId="8" applyBorder="true" applyNumberFormat="true" numFmtId="167" fillId="22" applyFill="true">
      <alignment horizontal="center" vertical="center"/>
    </xf>
    <xf fontId="25993" applyFont="true" borderId="8" applyBorder="true" applyNumberFormat="true" numFmtId="1" fillId="22" applyFill="true">
      <alignment horizontal="center" vertical="center"/>
    </xf>
    <xf fontId="25994" applyFont="true" borderId="8" applyBorder="true" applyNumberFormat="true" numFmtId="167" fillId="22" applyFill="true">
      <alignment horizontal="center" vertical="center"/>
    </xf>
    <xf fontId="25995" applyFont="true" borderId="8" applyBorder="true" applyNumberFormat="true" numFmtId="1" fillId="22" applyFill="true">
      <alignment horizontal="center" vertical="center"/>
    </xf>
    <xf fontId="25996" applyFont="true" borderId="8" applyBorder="true" applyNumberFormat="true" numFmtId="167" fillId="22" applyFill="true">
      <alignment horizontal="center" vertical="center"/>
    </xf>
    <xf fontId="25997" applyFont="true" borderId="8" applyBorder="true" applyNumberFormat="true" numFmtId="1" fillId="22" applyFill="true">
      <alignment horizontal="center" vertical="center"/>
    </xf>
    <xf fontId="25998" applyFont="true" borderId="8" applyBorder="true" applyNumberFormat="true" numFmtId="167" fillId="22" applyFill="true">
      <alignment horizontal="center" vertical="center"/>
    </xf>
    <xf fontId="25999" applyFont="true" borderId="8" applyBorder="true" applyNumberFormat="true" numFmtId="167" fillId="22" applyFill="true">
      <alignment horizontal="center" vertical="center"/>
    </xf>
    <xf fontId="26000" applyFont="true" borderId="8" applyBorder="true" applyNumberFormat="true" numFmtId="1" fillId="22" applyFill="true">
      <alignment horizontal="center" vertical="center"/>
    </xf>
    <xf fontId="26001" applyFont="true" borderId="8" applyBorder="true" applyNumberFormat="true" numFmtId="1" fillId="22" applyFill="true">
      <alignment horizontal="center" vertical="center"/>
    </xf>
    <xf fontId="26002" applyFont="true" borderId="8" applyBorder="true" applyNumberFormat="true" numFmtId="1" fillId="22" applyFill="true">
      <alignment horizontal="center" vertical="center"/>
    </xf>
    <xf fontId="26003" applyFont="true" borderId="8" applyBorder="true" applyNumberFormat="true" numFmtId="167" fillId="22" applyFill="true">
      <alignment horizontal="center" vertical="center"/>
    </xf>
    <xf fontId="26004" applyFont="true" borderId="8" applyBorder="true" applyNumberFormat="true" numFmtId="166" fillId="22" applyFill="true">
      <alignment horizontal="center" vertical="center"/>
    </xf>
    <xf fontId="26005" applyFont="true" borderId="8" applyBorder="true" applyNumberFormat="true" numFmtId="166" fillId="22" applyFill="true">
      <alignment horizontal="center" vertical="center"/>
    </xf>
    <xf fontId="26006" applyFont="true" borderId="8" applyBorder="true" applyNumberFormat="true" numFmtId="1" fillId="22" applyFill="true">
      <alignment horizontal="center" vertical="center"/>
    </xf>
    <xf fontId="26007" applyFont="true" borderId="8" applyBorder="true" applyNumberFormat="true" numFmtId="1" fillId="22" applyFill="true">
      <alignment horizontal="center" vertical="center"/>
    </xf>
    <xf fontId="26008" applyFont="true" borderId="8" applyBorder="true" applyNumberFormat="true" numFmtId="1" fillId="22" applyFill="true">
      <alignment horizontal="center" vertical="center"/>
    </xf>
    <xf fontId="26009" applyFont="true" borderId="8" applyBorder="true" applyNumberFormat="true" numFmtId="167" fillId="22" applyFill="true">
      <alignment horizontal="center" vertical="center"/>
    </xf>
    <xf fontId="26010" applyFont="true" borderId="8" applyBorder="true" applyNumberFormat="true" numFmtId="1" fillId="22" applyFill="true">
      <alignment horizontal="center" vertical="center"/>
    </xf>
    <xf fontId="26011" applyFont="true" borderId="8" applyBorder="true" applyNumberFormat="true" numFmtId="167" fillId="22" applyFill="true">
      <alignment horizontal="center" vertical="center"/>
    </xf>
    <xf fontId="26012" applyFont="true" borderId="8" applyBorder="true" applyNumberFormat="true" numFmtId="1" fillId="22" applyFill="true">
      <alignment horizontal="center" vertical="center"/>
    </xf>
    <xf fontId="26013" applyFont="true" borderId="8" applyBorder="true" applyNumberFormat="true" numFmtId="1" fillId="22" applyFill="true">
      <alignment horizontal="center" vertical="center"/>
    </xf>
    <xf fontId="26014" applyFont="true" borderId="8" applyBorder="true" applyNumberFormat="true" numFmtId="1" fillId="22" applyFill="true">
      <alignment horizontal="center" vertical="center"/>
    </xf>
    <xf fontId="26015" applyFont="true" borderId="8" applyBorder="true" applyNumberFormat="true" numFmtId="1" fillId="22" applyFill="true">
      <alignment horizontal="center" vertical="center"/>
    </xf>
    <xf fontId="26016" applyFont="true" borderId="8" applyBorder="true" applyNumberFormat="true" numFmtId="167" fillId="22" applyFill="true">
      <alignment horizontal="center" vertical="center"/>
    </xf>
    <xf fontId="26017" applyFont="true" borderId="8" applyBorder="true" applyNumberFormat="true" numFmtId="1" fillId="22" applyFill="true">
      <alignment horizontal="center" vertical="center"/>
    </xf>
    <xf fontId="26018" applyFont="true" borderId="8" applyBorder="true" applyNumberFormat="true" numFmtId="167" fillId="22" applyFill="true">
      <alignment horizontal="center" vertical="center"/>
    </xf>
    <xf fontId="26019" applyFont="true" borderId="8" applyBorder="true" applyNumberFormat="true" numFmtId="1" fillId="22" applyFill="true">
      <alignment horizontal="center" vertical="center"/>
    </xf>
    <xf fontId="26020" applyFont="true" borderId="8" applyBorder="true" applyNumberFormat="true" numFmtId="167" fillId="22" applyFill="true">
      <alignment horizontal="center" vertical="center"/>
    </xf>
    <xf fontId="26021" applyFont="true" borderId="8" applyBorder="true" applyNumberFormat="true" numFmtId="2" fillId="22" applyFill="true">
      <alignment horizontal="center" vertical="center"/>
    </xf>
    <xf fontId="26022" applyFont="true" borderId="8" applyBorder="true" applyNumberFormat="true" numFmtId="2" fillId="22" applyFill="true">
      <alignment horizontal="center" vertical="center"/>
    </xf>
    <xf fontId="26023" applyFont="true" borderId="8" applyBorder="true" applyNumberFormat="true" numFmtId="2" fillId="22" applyFill="true">
      <alignment horizontal="center" vertical="center"/>
    </xf>
    <xf fontId="26024" applyFont="true" borderId="8" applyBorder="true" applyNumberFormat="true" numFmtId="2" fillId="22" applyFill="true">
      <alignment horizontal="center" vertical="center"/>
    </xf>
    <xf fontId="26025" applyFont="true" borderId="8" applyBorder="true" applyNumberFormat="true" numFmtId="2" fillId="22" applyFill="true">
      <alignment horizontal="center" vertical="center"/>
    </xf>
    <xf fontId="26026" applyFont="true" borderId="8" applyBorder="true" applyNumberFormat="true" numFmtId="2" fillId="22" applyFill="true">
      <alignment horizontal="center" vertical="center"/>
    </xf>
    <xf fontId="26027" applyFont="true" borderId="8" applyBorder="true" applyNumberFormat="true" numFmtId="2" fillId="22" applyFill="true">
      <alignment horizontal="center" vertical="center"/>
    </xf>
    <xf fontId="26028" applyFont="true" borderId="8" applyBorder="true" applyNumberFormat="true" numFmtId="2" fillId="22" applyFill="true">
      <alignment horizontal="center" vertical="center"/>
    </xf>
    <xf fontId="26029" applyFont="true" borderId="8" applyBorder="true" applyNumberFormat="true" numFmtId="2" fillId="22" applyFill="true">
      <alignment horizontal="center" vertical="center"/>
    </xf>
    <xf fontId="26030" applyFont="true" borderId="8" applyBorder="true" applyNumberFormat="true" numFmtId="2" fillId="22" applyFill="true">
      <alignment horizontal="center" vertical="center"/>
    </xf>
    <xf fontId="26031" applyFont="true" borderId="8" applyBorder="true" applyNumberFormat="true" numFmtId="2" fillId="22" applyFill="true">
      <alignment horizontal="center" vertical="center"/>
    </xf>
    <xf fontId="26032" applyFont="true" borderId="8" applyBorder="true" applyNumberFormat="true" numFmtId="2" fillId="22" applyFill="true">
      <alignment horizontal="center" vertical="center"/>
    </xf>
    <xf fontId="26033" applyFont="true" borderId="8" applyBorder="true" applyNumberFormat="true" numFmtId="2" fillId="22" applyFill="true">
      <alignment horizontal="center" vertical="center"/>
    </xf>
    <xf fontId="26034" applyFont="true" borderId="8" applyBorder="true" applyNumberFormat="true" numFmtId="2" fillId="22" applyFill="true">
      <alignment horizontal="center" vertical="center"/>
    </xf>
    <xf fontId="26035" applyFont="true" borderId="8" applyBorder="true" applyNumberFormat="true" numFmtId="2" fillId="22" applyFill="true">
      <alignment horizontal="center" vertical="center"/>
    </xf>
    <xf fontId="26036" applyFont="true" borderId="8" applyBorder="true" applyNumberFormat="true" numFmtId="2" fillId="22" applyFill="true">
      <alignment horizontal="center" vertical="center"/>
    </xf>
    <xf fontId="26037" applyFont="true" borderId="8" applyBorder="true" applyNumberFormat="true" numFmtId="2" fillId="22" applyFill="true">
      <alignment horizontal="center" vertical="center"/>
    </xf>
    <xf fontId="26038" applyFont="true" borderId="8" applyBorder="true" applyNumberFormat="true" numFmtId="2" fillId="22" applyFill="true">
      <alignment horizontal="center" vertical="center"/>
    </xf>
    <xf fontId="26039" applyFont="true" borderId="8" applyBorder="true" applyNumberFormat="true" numFmtId="2" fillId="22" applyFill="true">
      <alignment horizontal="center" vertical="center"/>
    </xf>
    <xf fontId="26040" applyFont="true" borderId="8" applyBorder="true" applyNumberFormat="true" numFmtId="2" fillId="22" applyFill="true">
      <alignment horizontal="center" vertical="center"/>
    </xf>
    <xf fontId="26041" applyFont="true" borderId="8" applyBorder="true" applyNumberFormat="true" numFmtId="2" fillId="22" applyFill="true">
      <alignment horizontal="center" vertical="center"/>
    </xf>
    <xf fontId="26042" applyFont="true" borderId="8" applyBorder="true" applyNumberFormat="true" numFmtId="2" fillId="22" applyFill="true">
      <alignment horizontal="center" vertical="center"/>
    </xf>
    <xf fontId="26043" applyFont="true" borderId="8" applyBorder="true" applyNumberFormat="true" numFmtId="2" fillId="22" applyFill="true">
      <alignment horizontal="center" vertical="center"/>
    </xf>
    <xf fontId="26044" applyFont="true" borderId="8" applyBorder="true" applyNumberFormat="true" numFmtId="2" fillId="22" applyFill="true">
      <alignment horizontal="center" vertical="center"/>
    </xf>
    <xf fontId="26045" applyFont="true" borderId="8" applyBorder="true" applyNumberFormat="true" numFmtId="2" fillId="22" applyFill="true">
      <alignment horizontal="center" vertical="center"/>
    </xf>
    <xf fontId="26046" applyFont="true" borderId="8" applyBorder="true" applyNumberFormat="true" numFmtId="2" fillId="22" applyFill="true">
      <alignment horizontal="center" vertical="center"/>
    </xf>
    <xf fontId="26047" applyFont="true" borderId="8" applyBorder="true" applyNumberFormat="true" numFmtId="2" fillId="22" applyFill="true">
      <alignment horizontal="center" vertical="center"/>
    </xf>
    <xf fontId="26048" applyFont="true" borderId="8" applyBorder="true" applyNumberFormat="true" numFmtId="2" fillId="22" applyFill="true">
      <alignment horizontal="center" vertical="center"/>
    </xf>
    <xf fontId="26049" applyFont="true" borderId="8" applyBorder="true" applyNumberFormat="true" numFmtId="2" fillId="22" applyFill="true">
      <alignment horizontal="center" vertical="center"/>
    </xf>
    <xf fontId="26050" applyFont="true" borderId="8" applyBorder="true" applyNumberFormat="true" numFmtId="2" fillId="22" applyFill="true">
      <alignment horizontal="center" vertical="center"/>
    </xf>
    <xf fontId="26051" applyFont="true" borderId="8" applyBorder="true" applyNumberFormat="true" numFmtId="2" fillId="22" applyFill="true">
      <alignment horizontal="center" vertical="center"/>
    </xf>
    <xf fontId="26052" applyFont="true" borderId="8" applyBorder="true" applyNumberFormat="true" numFmtId="2" fillId="22" applyFill="true">
      <alignment horizontal="center" vertical="center"/>
    </xf>
    <xf fontId="26053" applyFont="true" borderId="8" applyBorder="true" applyNumberFormat="true" numFmtId="2" fillId="22" applyFill="true">
      <alignment horizontal="center" vertical="center"/>
    </xf>
    <xf fontId="26054" applyFont="true" borderId="8" applyBorder="true" applyNumberFormat="true" numFmtId="2" fillId="22" applyFill="true">
      <alignment horizontal="center" vertical="center"/>
    </xf>
    <xf fontId="26055" applyFont="true" borderId="8" applyBorder="true" applyNumberFormat="true" numFmtId="165" fillId="19" applyFill="true">
      <alignment horizontal="left" vertical="center"/>
    </xf>
    <xf fontId="26056" applyFont="true" borderId="8" applyBorder="true" applyNumberFormat="true" numFmtId="165" fillId="22" applyFill="true">
      <alignment horizontal="center" vertical="center"/>
    </xf>
    <xf fontId="26057" applyFont="true" borderId="8" applyBorder="true" applyNumberFormat="true" numFmtId="166" fillId="22" applyFill="true">
      <alignment horizontal="center" vertical="center"/>
    </xf>
    <xf fontId="26058" applyFont="true" borderId="8" applyBorder="true" applyNumberFormat="true" numFmtId="1" fillId="22" applyFill="true">
      <alignment horizontal="center" vertical="center"/>
    </xf>
    <xf fontId="26059" applyFont="true" borderId="8" applyBorder="true" applyNumberFormat="true" numFmtId="1" fillId="22" applyFill="true">
      <alignment horizontal="center" vertical="center"/>
    </xf>
    <xf fontId="26060" applyFont="true" borderId="8" applyBorder="true" applyNumberFormat="true" numFmtId="1" fillId="22" applyFill="true">
      <alignment horizontal="center" vertical="center"/>
    </xf>
    <xf fontId="26061" applyFont="true" borderId="8" applyBorder="true" applyNumberFormat="true" numFmtId="1" fillId="22" applyFill="true">
      <alignment horizontal="center" vertical="center"/>
    </xf>
    <xf fontId="26062" applyFont="true" borderId="8" applyBorder="true" applyNumberFormat="true" numFmtId="1" fillId="22" applyFill="true">
      <alignment horizontal="center" vertical="center"/>
    </xf>
    <xf fontId="26063" applyFont="true" borderId="8" applyBorder="true" applyNumberFormat="true" numFmtId="1" fillId="22" applyFill="true">
      <alignment horizontal="center" vertical="center"/>
    </xf>
    <xf fontId="26064" applyFont="true" borderId="8" applyBorder="true" applyNumberFormat="true" numFmtId="1" fillId="22" applyFill="true">
      <alignment horizontal="center" vertical="center"/>
    </xf>
    <xf fontId="26065" applyFont="true" borderId="8" applyBorder="true" applyNumberFormat="true" numFmtId="165" fillId="22" applyFill="true">
      <alignment horizontal="center" vertical="center"/>
    </xf>
    <xf fontId="26066" applyFont="true" borderId="8" applyBorder="true" applyNumberFormat="true" numFmtId="165" fillId="22" applyFill="true">
      <alignment horizontal="center" vertical="center"/>
    </xf>
    <xf fontId="26067" applyFont="true" borderId="8" applyBorder="true" applyNumberFormat="true" numFmtId="1" fillId="22" applyFill="true">
      <alignment horizontal="center" vertical="center"/>
    </xf>
    <xf fontId="26068" applyFont="true" borderId="8" applyBorder="true" applyNumberFormat="true" numFmtId="1" fillId="22" applyFill="true">
      <alignment horizontal="center" vertical="center"/>
    </xf>
    <xf fontId="26069" applyFont="true" borderId="8" applyBorder="true" applyNumberFormat="true" numFmtId="1" fillId="22" applyFill="true">
      <alignment horizontal="center" vertical="center"/>
    </xf>
    <xf fontId="26070" applyFont="true" borderId="8" applyBorder="true" applyNumberFormat="true" numFmtId="167" fillId="22" applyFill="true">
      <alignment horizontal="center" vertical="center"/>
    </xf>
    <xf fontId="26071" applyFont="true" borderId="8" applyBorder="true" applyNumberFormat="true" numFmtId="1" fillId="22" applyFill="true">
      <alignment horizontal="center" vertical="center"/>
    </xf>
    <xf fontId="26072" applyFont="true" borderId="8" applyBorder="true" applyNumberFormat="true" numFmtId="167" fillId="22" applyFill="true">
      <alignment horizontal="center" vertical="center"/>
    </xf>
    <xf fontId="26073" applyFont="true" borderId="8" applyBorder="true" applyNumberFormat="true" numFmtId="1" fillId="22" applyFill="true">
      <alignment horizontal="center" vertical="center"/>
    </xf>
    <xf fontId="26074" applyFont="true" borderId="8" applyBorder="true" applyNumberFormat="true" numFmtId="167" fillId="22" applyFill="true">
      <alignment horizontal="center" vertical="center"/>
    </xf>
    <xf fontId="26075" applyFont="true" borderId="8" applyBorder="true" applyNumberFormat="true" numFmtId="1" fillId="22" applyFill="true">
      <alignment horizontal="center" vertical="center"/>
    </xf>
    <xf fontId="26076" applyFont="true" borderId="8" applyBorder="true" applyNumberFormat="true" numFmtId="167" fillId="22" applyFill="true">
      <alignment horizontal="center" vertical="center"/>
    </xf>
    <xf fontId="26077" applyFont="true" borderId="8" applyBorder="true" applyNumberFormat="true" numFmtId="167" fillId="22" applyFill="true">
      <alignment horizontal="center" vertical="center"/>
    </xf>
    <xf fontId="26078" applyFont="true" borderId="8" applyBorder="true" applyNumberFormat="true" numFmtId="1" fillId="22" applyFill="true">
      <alignment horizontal="center" vertical="center"/>
    </xf>
    <xf fontId="26079" applyFont="true" borderId="8" applyBorder="true" applyNumberFormat="true" numFmtId="1" fillId="22" applyFill="true">
      <alignment horizontal="center" vertical="center"/>
    </xf>
    <xf fontId="26080" applyFont="true" borderId="8" applyBorder="true" applyNumberFormat="true" numFmtId="1" fillId="22" applyFill="true">
      <alignment horizontal="center" vertical="center"/>
    </xf>
    <xf fontId="26081" applyFont="true" borderId="8" applyBorder="true" applyNumberFormat="true" numFmtId="167" fillId="22" applyFill="true">
      <alignment horizontal="center" vertical="center"/>
    </xf>
    <xf fontId="26082" applyFont="true" borderId="8" applyBorder="true" applyNumberFormat="true" numFmtId="166" fillId="22" applyFill="true">
      <alignment horizontal="center" vertical="center"/>
    </xf>
    <xf fontId="26083" applyFont="true" borderId="8" applyBorder="true" applyNumberFormat="true" numFmtId="166" fillId="22" applyFill="true">
      <alignment horizontal="center" vertical="center"/>
    </xf>
    <xf fontId="26084" applyFont="true" borderId="8" applyBorder="true" applyNumberFormat="true" numFmtId="1" fillId="22" applyFill="true">
      <alignment horizontal="center" vertical="center"/>
    </xf>
    <xf fontId="26085" applyFont="true" borderId="8" applyBorder="true" applyNumberFormat="true" numFmtId="1" fillId="22" applyFill="true">
      <alignment horizontal="center" vertical="center"/>
    </xf>
    <xf fontId="26086" applyFont="true" borderId="8" applyBorder="true" applyNumberFormat="true" numFmtId="1" fillId="22" applyFill="true">
      <alignment horizontal="center" vertical="center"/>
    </xf>
    <xf fontId="26087" applyFont="true" borderId="8" applyBorder="true" applyNumberFormat="true" numFmtId="167" fillId="22" applyFill="true">
      <alignment horizontal="center" vertical="center"/>
    </xf>
    <xf fontId="26088" applyFont="true" borderId="8" applyBorder="true" applyNumberFormat="true" numFmtId="1" fillId="22" applyFill="true">
      <alignment horizontal="center" vertical="center"/>
    </xf>
    <xf fontId="26089" applyFont="true" borderId="8" applyBorder="true" applyNumberFormat="true" numFmtId="167" fillId="22" applyFill="true">
      <alignment horizontal="center" vertical="center"/>
    </xf>
    <xf fontId="26090" applyFont="true" borderId="8" applyBorder="true" applyNumberFormat="true" numFmtId="1" fillId="22" applyFill="true">
      <alignment horizontal="center" vertical="center"/>
    </xf>
    <xf fontId="26091" applyFont="true" borderId="8" applyBorder="true" applyNumberFormat="true" numFmtId="1" fillId="22" applyFill="true">
      <alignment horizontal="center" vertical="center"/>
    </xf>
    <xf fontId="26092" applyFont="true" borderId="8" applyBorder="true" applyNumberFormat="true" numFmtId="1" fillId="22" applyFill="true">
      <alignment horizontal="center" vertical="center"/>
    </xf>
    <xf fontId="26093" applyFont="true" borderId="8" applyBorder="true" applyNumberFormat="true" numFmtId="1" fillId="22" applyFill="true">
      <alignment horizontal="center" vertical="center"/>
    </xf>
    <xf fontId="26094" applyFont="true" borderId="8" applyBorder="true" applyNumberFormat="true" numFmtId="167" fillId="22" applyFill="true">
      <alignment horizontal="center" vertical="center"/>
    </xf>
    <xf fontId="26095" applyFont="true" borderId="8" applyBorder="true" applyNumberFormat="true" numFmtId="1" fillId="22" applyFill="true">
      <alignment horizontal="center" vertical="center"/>
    </xf>
    <xf fontId="26096" applyFont="true" borderId="8" applyBorder="true" applyNumberFormat="true" numFmtId="167" fillId="22" applyFill="true">
      <alignment horizontal="center" vertical="center"/>
    </xf>
    <xf fontId="26097" applyFont="true" borderId="8" applyBorder="true" applyNumberFormat="true" numFmtId="1" fillId="22" applyFill="true">
      <alignment horizontal="center" vertical="center"/>
    </xf>
    <xf fontId="26098" applyFont="true" borderId="8" applyBorder="true" applyNumberFormat="true" numFmtId="167" fillId="22" applyFill="true">
      <alignment horizontal="center" vertical="center"/>
    </xf>
    <xf fontId="26099" applyFont="true" borderId="8" applyBorder="true" applyNumberFormat="true" numFmtId="2" fillId="22" applyFill="true">
      <alignment horizontal="center" vertical="center"/>
    </xf>
    <xf fontId="26100" applyFont="true" borderId="8" applyBorder="true" applyNumberFormat="true" numFmtId="2" fillId="22" applyFill="true">
      <alignment horizontal="center" vertical="center"/>
    </xf>
    <xf fontId="26101" applyFont="true" borderId="8" applyBorder="true" applyNumberFormat="true" numFmtId="2" fillId="22" applyFill="true">
      <alignment horizontal="center" vertical="center"/>
    </xf>
    <xf fontId="26102" applyFont="true" borderId="8" applyBorder="true" applyNumberFormat="true" numFmtId="2" fillId="22" applyFill="true">
      <alignment horizontal="center" vertical="center"/>
    </xf>
    <xf fontId="26103" applyFont="true" borderId="8" applyBorder="true" applyNumberFormat="true" numFmtId="2" fillId="22" applyFill="true">
      <alignment horizontal="center" vertical="center"/>
    </xf>
    <xf fontId="26104" applyFont="true" borderId="8" applyBorder="true" applyNumberFormat="true" numFmtId="2" fillId="22" applyFill="true">
      <alignment horizontal="center" vertical="center"/>
    </xf>
    <xf fontId="26105" applyFont="true" borderId="8" applyBorder="true" applyNumberFormat="true" numFmtId="2" fillId="22" applyFill="true">
      <alignment horizontal="center" vertical="center"/>
    </xf>
    <xf fontId="26106" applyFont="true" borderId="8" applyBorder="true" applyNumberFormat="true" numFmtId="2" fillId="22" applyFill="true">
      <alignment horizontal="center" vertical="center"/>
    </xf>
    <xf fontId="26107" applyFont="true" borderId="8" applyBorder="true" applyNumberFormat="true" numFmtId="2" fillId="22" applyFill="true">
      <alignment horizontal="center" vertical="center"/>
    </xf>
    <xf fontId="26108" applyFont="true" borderId="8" applyBorder="true" applyNumberFormat="true" numFmtId="2" fillId="22" applyFill="true">
      <alignment horizontal="center" vertical="center"/>
    </xf>
    <xf fontId="26109" applyFont="true" borderId="8" applyBorder="true" applyNumberFormat="true" numFmtId="2" fillId="22" applyFill="true">
      <alignment horizontal="center" vertical="center"/>
    </xf>
    <xf fontId="26110" applyFont="true" borderId="8" applyBorder="true" applyNumberFormat="true" numFmtId="2" fillId="22" applyFill="true">
      <alignment horizontal="center" vertical="center"/>
    </xf>
    <xf fontId="26111" applyFont="true" borderId="8" applyBorder="true" applyNumberFormat="true" numFmtId="2" fillId="22" applyFill="true">
      <alignment horizontal="center" vertical="center"/>
    </xf>
    <xf fontId="26112" applyFont="true" borderId="8" applyBorder="true" applyNumberFormat="true" numFmtId="2" fillId="22" applyFill="true">
      <alignment horizontal="center" vertical="center"/>
    </xf>
    <xf fontId="26113" applyFont="true" borderId="8" applyBorder="true" applyNumberFormat="true" numFmtId="2" fillId="22" applyFill="true">
      <alignment horizontal="center" vertical="center"/>
    </xf>
    <xf fontId="26114" applyFont="true" borderId="8" applyBorder="true" applyNumberFormat="true" numFmtId="2" fillId="22" applyFill="true">
      <alignment horizontal="center" vertical="center"/>
    </xf>
    <xf fontId="26115" applyFont="true" borderId="8" applyBorder="true" applyNumberFormat="true" numFmtId="2" fillId="22" applyFill="true">
      <alignment horizontal="center" vertical="center"/>
    </xf>
    <xf fontId="26116" applyFont="true" borderId="8" applyBorder="true" applyNumberFormat="true" numFmtId="2" fillId="22" applyFill="true">
      <alignment horizontal="center" vertical="center"/>
    </xf>
    <xf fontId="26117" applyFont="true" borderId="8" applyBorder="true" applyNumberFormat="true" numFmtId="2" fillId="22" applyFill="true">
      <alignment horizontal="center" vertical="center"/>
    </xf>
    <xf fontId="26118" applyFont="true" borderId="8" applyBorder="true" applyNumberFormat="true" numFmtId="2" fillId="22" applyFill="true">
      <alignment horizontal="center" vertical="center"/>
    </xf>
    <xf fontId="26119" applyFont="true" borderId="8" applyBorder="true" applyNumberFormat="true" numFmtId="2" fillId="22" applyFill="true">
      <alignment horizontal="center" vertical="center"/>
    </xf>
    <xf fontId="26120" applyFont="true" borderId="8" applyBorder="true" applyNumberFormat="true" numFmtId="2" fillId="22" applyFill="true">
      <alignment horizontal="center" vertical="center"/>
    </xf>
    <xf fontId="26121" applyFont="true" borderId="8" applyBorder="true" applyNumberFormat="true" numFmtId="2" fillId="22" applyFill="true">
      <alignment horizontal="center" vertical="center"/>
    </xf>
    <xf fontId="26122" applyFont="true" borderId="8" applyBorder="true" applyNumberFormat="true" numFmtId="2" fillId="22" applyFill="true">
      <alignment horizontal="center" vertical="center"/>
    </xf>
    <xf fontId="26123" applyFont="true" borderId="8" applyBorder="true" applyNumberFormat="true" numFmtId="2" fillId="22" applyFill="true">
      <alignment horizontal="center" vertical="center"/>
    </xf>
    <xf fontId="26124" applyFont="true" borderId="8" applyBorder="true" applyNumberFormat="true" numFmtId="2" fillId="22" applyFill="true">
      <alignment horizontal="center" vertical="center"/>
    </xf>
    <xf fontId="26125" applyFont="true" borderId="8" applyBorder="true" applyNumberFormat="true" numFmtId="2" fillId="22" applyFill="true">
      <alignment horizontal="center" vertical="center"/>
    </xf>
    <xf fontId="26126" applyFont="true" borderId="8" applyBorder="true" applyNumberFormat="true" numFmtId="2" fillId="22" applyFill="true">
      <alignment horizontal="center" vertical="center"/>
    </xf>
    <xf fontId="26127" applyFont="true" borderId="8" applyBorder="true" applyNumberFormat="true" numFmtId="2" fillId="22" applyFill="true">
      <alignment horizontal="center" vertical="center"/>
    </xf>
    <xf fontId="26128" applyFont="true" borderId="8" applyBorder="true" applyNumberFormat="true" numFmtId="2" fillId="22" applyFill="true">
      <alignment horizontal="center" vertical="center"/>
    </xf>
    <xf fontId="26129" applyFont="true" borderId="8" applyBorder="true" applyNumberFormat="true" numFmtId="2" fillId="22" applyFill="true">
      <alignment horizontal="center" vertical="center"/>
    </xf>
    <xf fontId="26130" applyFont="true" borderId="8" applyBorder="true" applyNumberFormat="true" numFmtId="2" fillId="22" applyFill="true">
      <alignment horizontal="center" vertical="center"/>
    </xf>
    <xf fontId="26131" applyFont="true" borderId="8" applyBorder="true" applyNumberFormat="true" numFmtId="2" fillId="22" applyFill="true">
      <alignment horizontal="center" vertical="center"/>
    </xf>
    <xf fontId="26132" applyFont="true" borderId="8" applyBorder="true" applyNumberFormat="true" numFmtId="2" fillId="22" applyFill="true">
      <alignment horizontal="center" vertical="center"/>
    </xf>
    <xf fontId="26133" applyFont="true" borderId="8" applyBorder="true" applyNumberFormat="true" numFmtId="165" fillId="19" applyFill="true">
      <alignment horizontal="left" vertical="center"/>
    </xf>
    <xf fontId="26134" applyFont="true" borderId="8" applyBorder="true" applyNumberFormat="true" numFmtId="165" fillId="22" applyFill="true">
      <alignment horizontal="center" vertical="center"/>
    </xf>
    <xf fontId="26135" applyFont="true" borderId="8" applyBorder="true" applyNumberFormat="true" numFmtId="166" fillId="22" applyFill="true">
      <alignment horizontal="center" vertical="center"/>
    </xf>
    <xf fontId="26136" applyFont="true" borderId="8" applyBorder="true" applyNumberFormat="true" numFmtId="1" fillId="22" applyFill="true">
      <alignment horizontal="center" vertical="center"/>
    </xf>
    <xf fontId="26137" applyFont="true" borderId="8" applyBorder="true" applyNumberFormat="true" numFmtId="1" fillId="22" applyFill="true">
      <alignment horizontal="center" vertical="center"/>
    </xf>
    <xf fontId="26138" applyFont="true" borderId="8" applyBorder="true" applyNumberFormat="true" numFmtId="1" fillId="22" applyFill="true">
      <alignment horizontal="center" vertical="center"/>
    </xf>
    <xf fontId="26139" applyFont="true" borderId="8" applyBorder="true" applyNumberFormat="true" numFmtId="1" fillId="22" applyFill="true">
      <alignment horizontal="center" vertical="center"/>
    </xf>
    <xf fontId="26140" applyFont="true" borderId="8" applyBorder="true" applyNumberFormat="true" numFmtId="1" fillId="22" applyFill="true">
      <alignment horizontal="center" vertical="center"/>
    </xf>
    <xf fontId="26141" applyFont="true" borderId="8" applyBorder="true" applyNumberFormat="true" numFmtId="1" fillId="22" applyFill="true">
      <alignment horizontal="center" vertical="center"/>
    </xf>
    <xf fontId="26142" applyFont="true" borderId="8" applyBorder="true" applyNumberFormat="true" numFmtId="1" fillId="22" applyFill="true">
      <alignment horizontal="center" vertical="center"/>
    </xf>
    <xf fontId="26143" applyFont="true" borderId="8" applyBorder="true" applyNumberFormat="true" numFmtId="165" fillId="22" applyFill="true">
      <alignment horizontal="center" vertical="center"/>
    </xf>
    <xf fontId="26144" applyFont="true" borderId="8" applyBorder="true" applyNumberFormat="true" numFmtId="165" fillId="22" applyFill="true">
      <alignment horizontal="center" vertical="center"/>
    </xf>
    <xf fontId="26145" applyFont="true" borderId="8" applyBorder="true" applyNumberFormat="true" numFmtId="1" fillId="22" applyFill="true">
      <alignment horizontal="center" vertical="center"/>
    </xf>
    <xf fontId="26146" applyFont="true" borderId="8" applyBorder="true" applyNumberFormat="true" numFmtId="1" fillId="22" applyFill="true">
      <alignment horizontal="center" vertical="center"/>
    </xf>
    <xf fontId="26147" applyFont="true" borderId="8" applyBorder="true" applyNumberFormat="true" numFmtId="1" fillId="22" applyFill="true">
      <alignment horizontal="center" vertical="center"/>
    </xf>
    <xf fontId="26148" applyFont="true" borderId="8" applyBorder="true" applyNumberFormat="true" numFmtId="167" fillId="22" applyFill="true">
      <alignment horizontal="center" vertical="center"/>
    </xf>
    <xf fontId="26149" applyFont="true" borderId="8" applyBorder="true" applyNumberFormat="true" numFmtId="1" fillId="22" applyFill="true">
      <alignment horizontal="center" vertical="center"/>
    </xf>
    <xf fontId="26150" applyFont="true" borderId="8" applyBorder="true" applyNumberFormat="true" numFmtId="167" fillId="22" applyFill="true">
      <alignment horizontal="center" vertical="center"/>
    </xf>
    <xf fontId="26151" applyFont="true" borderId="8" applyBorder="true" applyNumberFormat="true" numFmtId="1" fillId="22" applyFill="true">
      <alignment horizontal="center" vertical="center"/>
    </xf>
    <xf fontId="26152" applyFont="true" borderId="8" applyBorder="true" applyNumberFormat="true" numFmtId="167" fillId="22" applyFill="true">
      <alignment horizontal="center" vertical="center"/>
    </xf>
    <xf fontId="26153" applyFont="true" borderId="8" applyBorder="true" applyNumberFormat="true" numFmtId="1" fillId="22" applyFill="true">
      <alignment horizontal="center" vertical="center"/>
    </xf>
    <xf fontId="26154" applyFont="true" borderId="8" applyBorder="true" applyNumberFormat="true" numFmtId="167" fillId="22" applyFill="true">
      <alignment horizontal="center" vertical="center"/>
    </xf>
    <xf fontId="26155" applyFont="true" borderId="8" applyBorder="true" applyNumberFormat="true" numFmtId="167" fillId="22" applyFill="true">
      <alignment horizontal="center" vertical="center"/>
    </xf>
    <xf fontId="26156" applyFont="true" borderId="8" applyBorder="true" applyNumberFormat="true" numFmtId="1" fillId="22" applyFill="true">
      <alignment horizontal="center" vertical="center"/>
    </xf>
    <xf fontId="26157" applyFont="true" borderId="8" applyBorder="true" applyNumberFormat="true" numFmtId="1" fillId="22" applyFill="true">
      <alignment horizontal="center" vertical="center"/>
    </xf>
    <xf fontId="26158" applyFont="true" borderId="8" applyBorder="true" applyNumberFormat="true" numFmtId="1" fillId="22" applyFill="true">
      <alignment horizontal="center" vertical="center"/>
    </xf>
    <xf fontId="26159" applyFont="true" borderId="8" applyBorder="true" applyNumberFormat="true" numFmtId="167" fillId="22" applyFill="true">
      <alignment horizontal="center" vertical="center"/>
    </xf>
    <xf fontId="26160" applyFont="true" borderId="8" applyBorder="true" applyNumberFormat="true" numFmtId="166" fillId="22" applyFill="true">
      <alignment horizontal="center" vertical="center"/>
    </xf>
    <xf fontId="26161" applyFont="true" borderId="8" applyBorder="true" applyNumberFormat="true" numFmtId="166" fillId="22" applyFill="true">
      <alignment horizontal="center" vertical="center"/>
    </xf>
    <xf fontId="26162" applyFont="true" borderId="8" applyBorder="true" applyNumberFormat="true" numFmtId="1" fillId="22" applyFill="true">
      <alignment horizontal="center" vertical="center"/>
    </xf>
    <xf fontId="26163" applyFont="true" borderId="8" applyBorder="true" applyNumberFormat="true" numFmtId="1" fillId="22" applyFill="true">
      <alignment horizontal="center" vertical="center"/>
    </xf>
    <xf fontId="26164" applyFont="true" borderId="8" applyBorder="true" applyNumberFormat="true" numFmtId="1" fillId="22" applyFill="true">
      <alignment horizontal="center" vertical="center"/>
    </xf>
    <xf fontId="26165" applyFont="true" borderId="8" applyBorder="true" applyNumberFormat="true" numFmtId="167" fillId="22" applyFill="true">
      <alignment horizontal="center" vertical="center"/>
    </xf>
    <xf fontId="26166" applyFont="true" borderId="8" applyBorder="true" applyNumberFormat="true" numFmtId="1" fillId="22" applyFill="true">
      <alignment horizontal="center" vertical="center"/>
    </xf>
    <xf fontId="26167" applyFont="true" borderId="8" applyBorder="true" applyNumberFormat="true" numFmtId="167" fillId="22" applyFill="true">
      <alignment horizontal="center" vertical="center"/>
    </xf>
    <xf fontId="26168" applyFont="true" borderId="8" applyBorder="true" applyNumberFormat="true" numFmtId="1" fillId="22" applyFill="true">
      <alignment horizontal="center" vertical="center"/>
    </xf>
    <xf fontId="26169" applyFont="true" borderId="8" applyBorder="true" applyNumberFormat="true" numFmtId="1" fillId="22" applyFill="true">
      <alignment horizontal="center" vertical="center"/>
    </xf>
    <xf fontId="26170" applyFont="true" borderId="8" applyBorder="true" applyNumberFormat="true" numFmtId="1" fillId="22" applyFill="true">
      <alignment horizontal="center" vertical="center"/>
    </xf>
    <xf fontId="26171" applyFont="true" borderId="8" applyBorder="true" applyNumberFormat="true" numFmtId="1" fillId="22" applyFill="true">
      <alignment horizontal="center" vertical="center"/>
    </xf>
    <xf fontId="26172" applyFont="true" borderId="8" applyBorder="true" applyNumberFormat="true" numFmtId="167" fillId="22" applyFill="true">
      <alignment horizontal="center" vertical="center"/>
    </xf>
    <xf fontId="26173" applyFont="true" borderId="8" applyBorder="true" applyNumberFormat="true" numFmtId="1" fillId="22" applyFill="true">
      <alignment horizontal="center" vertical="center"/>
    </xf>
    <xf fontId="26174" applyFont="true" borderId="8" applyBorder="true" applyNumberFormat="true" numFmtId="167" fillId="22" applyFill="true">
      <alignment horizontal="center" vertical="center"/>
    </xf>
    <xf fontId="26175" applyFont="true" borderId="8" applyBorder="true" applyNumberFormat="true" numFmtId="1" fillId="22" applyFill="true">
      <alignment horizontal="center" vertical="center"/>
    </xf>
    <xf fontId="26176" applyFont="true" borderId="8" applyBorder="true" applyNumberFormat="true" numFmtId="167" fillId="22" applyFill="true">
      <alignment horizontal="center" vertical="center"/>
    </xf>
    <xf fontId="26177" applyFont="true" borderId="8" applyBorder="true" applyNumberFormat="true" numFmtId="2" fillId="22" applyFill="true">
      <alignment horizontal="center" vertical="center"/>
    </xf>
    <xf fontId="26178" applyFont="true" borderId="8" applyBorder="true" applyNumberFormat="true" numFmtId="2" fillId="22" applyFill="true">
      <alignment horizontal="center" vertical="center"/>
    </xf>
    <xf fontId="26179" applyFont="true" borderId="8" applyBorder="true" applyNumberFormat="true" numFmtId="2" fillId="22" applyFill="true">
      <alignment horizontal="center" vertical="center"/>
    </xf>
    <xf fontId="26180" applyFont="true" borderId="8" applyBorder="true" applyNumberFormat="true" numFmtId="2" fillId="22" applyFill="true">
      <alignment horizontal="center" vertical="center"/>
    </xf>
    <xf fontId="26181" applyFont="true" borderId="8" applyBorder="true" applyNumberFormat="true" numFmtId="2" fillId="22" applyFill="true">
      <alignment horizontal="center" vertical="center"/>
    </xf>
    <xf fontId="26182" applyFont="true" borderId="8" applyBorder="true" applyNumberFormat="true" numFmtId="2" fillId="22" applyFill="true">
      <alignment horizontal="center" vertical="center"/>
    </xf>
    <xf fontId="26183" applyFont="true" borderId="8" applyBorder="true" applyNumberFormat="true" numFmtId="2" fillId="22" applyFill="true">
      <alignment horizontal="center" vertical="center"/>
    </xf>
    <xf fontId="26184" applyFont="true" borderId="8" applyBorder="true" applyNumberFormat="true" numFmtId="2" fillId="22" applyFill="true">
      <alignment horizontal="center" vertical="center"/>
    </xf>
    <xf fontId="26185" applyFont="true" borderId="8" applyBorder="true" applyNumberFormat="true" numFmtId="2" fillId="22" applyFill="true">
      <alignment horizontal="center" vertical="center"/>
    </xf>
    <xf fontId="26186" applyFont="true" borderId="8" applyBorder="true" applyNumberFormat="true" numFmtId="2" fillId="22" applyFill="true">
      <alignment horizontal="center" vertical="center"/>
    </xf>
    <xf fontId="26187" applyFont="true" borderId="8" applyBorder="true" applyNumberFormat="true" numFmtId="2" fillId="22" applyFill="true">
      <alignment horizontal="center" vertical="center"/>
    </xf>
    <xf fontId="26188" applyFont="true" borderId="8" applyBorder="true" applyNumberFormat="true" numFmtId="2" fillId="22" applyFill="true">
      <alignment horizontal="center" vertical="center"/>
    </xf>
    <xf fontId="26189" applyFont="true" borderId="8" applyBorder="true" applyNumberFormat="true" numFmtId="2" fillId="22" applyFill="true">
      <alignment horizontal="center" vertical="center"/>
    </xf>
    <xf fontId="26190" applyFont="true" borderId="8" applyBorder="true" applyNumberFormat="true" numFmtId="2" fillId="22" applyFill="true">
      <alignment horizontal="center" vertical="center"/>
    </xf>
    <xf fontId="26191" applyFont="true" borderId="8" applyBorder="true" applyNumberFormat="true" numFmtId="2" fillId="22" applyFill="true">
      <alignment horizontal="center" vertical="center"/>
    </xf>
    <xf fontId="26192" applyFont="true" borderId="8" applyBorder="true" applyNumberFormat="true" numFmtId="2" fillId="22" applyFill="true">
      <alignment horizontal="center" vertical="center"/>
    </xf>
    <xf fontId="26193" applyFont="true" borderId="8" applyBorder="true" applyNumberFormat="true" numFmtId="2" fillId="22" applyFill="true">
      <alignment horizontal="center" vertical="center"/>
    </xf>
    <xf fontId="26194" applyFont="true" borderId="8" applyBorder="true" applyNumberFormat="true" numFmtId="2" fillId="22" applyFill="true">
      <alignment horizontal="center" vertical="center"/>
    </xf>
    <xf fontId="26195" applyFont="true" borderId="8" applyBorder="true" applyNumberFormat="true" numFmtId="2" fillId="22" applyFill="true">
      <alignment horizontal="center" vertical="center"/>
    </xf>
    <xf fontId="26196" applyFont="true" borderId="8" applyBorder="true" applyNumberFormat="true" numFmtId="2" fillId="22" applyFill="true">
      <alignment horizontal="center" vertical="center"/>
    </xf>
    <xf fontId="26197" applyFont="true" borderId="8" applyBorder="true" applyNumberFormat="true" numFmtId="2" fillId="22" applyFill="true">
      <alignment horizontal="center" vertical="center"/>
    </xf>
    <xf fontId="26198" applyFont="true" borderId="8" applyBorder="true" applyNumberFormat="true" numFmtId="2" fillId="22" applyFill="true">
      <alignment horizontal="center" vertical="center"/>
    </xf>
    <xf fontId="26199" applyFont="true" borderId="8" applyBorder="true" applyNumberFormat="true" numFmtId="2" fillId="22" applyFill="true">
      <alignment horizontal="center" vertical="center"/>
    </xf>
    <xf fontId="26200" applyFont="true" borderId="8" applyBorder="true" applyNumberFormat="true" numFmtId="2" fillId="22" applyFill="true">
      <alignment horizontal="center" vertical="center"/>
    </xf>
    <xf fontId="26201" applyFont="true" borderId="8" applyBorder="true" applyNumberFormat="true" numFmtId="2" fillId="22" applyFill="true">
      <alignment horizontal="center" vertical="center"/>
    </xf>
    <xf fontId="26202" applyFont="true" borderId="8" applyBorder="true" applyNumberFormat="true" numFmtId="2" fillId="22" applyFill="true">
      <alignment horizontal="center" vertical="center"/>
    </xf>
    <xf fontId="26203" applyFont="true" borderId="8" applyBorder="true" applyNumberFormat="true" numFmtId="2" fillId="22" applyFill="true">
      <alignment horizontal="center" vertical="center"/>
    </xf>
    <xf fontId="26204" applyFont="true" borderId="8" applyBorder="true" applyNumberFormat="true" numFmtId="2" fillId="22" applyFill="true">
      <alignment horizontal="center" vertical="center"/>
    </xf>
    <xf fontId="26205" applyFont="true" borderId="8" applyBorder="true" applyNumberFormat="true" numFmtId="2" fillId="22" applyFill="true">
      <alignment horizontal="center" vertical="center"/>
    </xf>
    <xf fontId="26206" applyFont="true" borderId="8" applyBorder="true" applyNumberFormat="true" numFmtId="2" fillId="22" applyFill="true">
      <alignment horizontal="center" vertical="center"/>
    </xf>
    <xf fontId="26207" applyFont="true" borderId="8" applyBorder="true" applyNumberFormat="true" numFmtId="2" fillId="22" applyFill="true">
      <alignment horizontal="center" vertical="center"/>
    </xf>
    <xf fontId="26208" applyFont="true" borderId="8" applyBorder="true" applyNumberFormat="true" numFmtId="2" fillId="22" applyFill="true">
      <alignment horizontal="center" vertical="center"/>
    </xf>
    <xf fontId="26209" applyFont="true" borderId="8" applyBorder="true" applyNumberFormat="true" numFmtId="2" fillId="22" applyFill="true">
      <alignment horizontal="center" vertical="center"/>
    </xf>
    <xf fontId="26210" applyFont="true" borderId="8" applyBorder="true" applyNumberFormat="true" numFmtId="2" fillId="22" applyFill="true">
      <alignment horizontal="center" vertical="center"/>
    </xf>
    <xf fontId="26211" applyFont="true" borderId="8" applyBorder="true" applyNumberFormat="true" numFmtId="165" fillId="19" applyFill="true">
      <alignment horizontal="left" vertical="center"/>
    </xf>
    <xf fontId="26212" applyFont="true" borderId="8" applyBorder="true" applyNumberFormat="true" numFmtId="165" fillId="22" applyFill="true">
      <alignment horizontal="center" vertical="center"/>
    </xf>
    <xf fontId="26213" applyFont="true" borderId="8" applyBorder="true" applyNumberFormat="true" numFmtId="166" fillId="22" applyFill="true">
      <alignment horizontal="center" vertical="center"/>
    </xf>
    <xf fontId="26214" applyFont="true" borderId="8" applyBorder="true" applyNumberFormat="true" numFmtId="1" fillId="22" applyFill="true">
      <alignment horizontal="center" vertical="center"/>
    </xf>
    <xf fontId="26215" applyFont="true" borderId="8" applyBorder="true" applyNumberFormat="true" numFmtId="1" fillId="22" applyFill="true">
      <alignment horizontal="center" vertical="center"/>
    </xf>
    <xf fontId="26216" applyFont="true" borderId="8" applyBorder="true" applyNumberFormat="true" numFmtId="1" fillId="22" applyFill="true">
      <alignment horizontal="center" vertical="center"/>
    </xf>
    <xf fontId="26217" applyFont="true" borderId="8" applyBorder="true" applyNumberFormat="true" numFmtId="1" fillId="22" applyFill="true">
      <alignment horizontal="center" vertical="center"/>
    </xf>
    <xf fontId="26218" applyFont="true" borderId="8" applyBorder="true" applyNumberFormat="true" numFmtId="1" fillId="22" applyFill="true">
      <alignment horizontal="center" vertical="center"/>
    </xf>
    <xf fontId="26219" applyFont="true" borderId="8" applyBorder="true" applyNumberFormat="true" numFmtId="1" fillId="22" applyFill="true">
      <alignment horizontal="center" vertical="center"/>
    </xf>
    <xf fontId="26220" applyFont="true" borderId="8" applyBorder="true" applyNumberFormat="true" numFmtId="1" fillId="22" applyFill="true">
      <alignment horizontal="center" vertical="center"/>
    </xf>
    <xf fontId="26221" applyFont="true" borderId="8" applyBorder="true" applyNumberFormat="true" numFmtId="165" fillId="22" applyFill="true">
      <alignment horizontal="center" vertical="center"/>
    </xf>
    <xf fontId="26222" applyFont="true" borderId="8" applyBorder="true" applyNumberFormat="true" numFmtId="165" fillId="22" applyFill="true">
      <alignment horizontal="center" vertical="center"/>
    </xf>
    <xf fontId="26223" applyFont="true" borderId="8" applyBorder="true" applyNumberFormat="true" numFmtId="1" fillId="22" applyFill="true">
      <alignment horizontal="center" vertical="center"/>
    </xf>
    <xf fontId="26224" applyFont="true" borderId="8" applyBorder="true" applyNumberFormat="true" numFmtId="1" fillId="22" applyFill="true">
      <alignment horizontal="center" vertical="center"/>
    </xf>
    <xf fontId="26225" applyFont="true" borderId="8" applyBorder="true" applyNumberFormat="true" numFmtId="1" fillId="22" applyFill="true">
      <alignment horizontal="center" vertical="center"/>
    </xf>
    <xf fontId="26226" applyFont="true" borderId="8" applyBorder="true" applyNumberFormat="true" numFmtId="167" fillId="22" applyFill="true">
      <alignment horizontal="center" vertical="center"/>
    </xf>
    <xf fontId="26227" applyFont="true" borderId="8" applyBorder="true" applyNumberFormat="true" numFmtId="1" fillId="22" applyFill="true">
      <alignment horizontal="center" vertical="center"/>
    </xf>
    <xf fontId="26228" applyFont="true" borderId="8" applyBorder="true" applyNumberFormat="true" numFmtId="167" fillId="22" applyFill="true">
      <alignment horizontal="center" vertical="center"/>
    </xf>
    <xf fontId="26229" applyFont="true" borderId="8" applyBorder="true" applyNumberFormat="true" numFmtId="1" fillId="22" applyFill="true">
      <alignment horizontal="center" vertical="center"/>
    </xf>
    <xf fontId="26230" applyFont="true" borderId="8" applyBorder="true" applyNumberFormat="true" numFmtId="167" fillId="22" applyFill="true">
      <alignment horizontal="center" vertical="center"/>
    </xf>
    <xf fontId="26231" applyFont="true" borderId="8" applyBorder="true" applyNumberFormat="true" numFmtId="1" fillId="22" applyFill="true">
      <alignment horizontal="center" vertical="center"/>
    </xf>
    <xf fontId="26232" applyFont="true" borderId="8" applyBorder="true" applyNumberFormat="true" numFmtId="167" fillId="22" applyFill="true">
      <alignment horizontal="center" vertical="center"/>
    </xf>
    <xf fontId="26233" applyFont="true" borderId="8" applyBorder="true" applyNumberFormat="true" numFmtId="167" fillId="22" applyFill="true">
      <alignment horizontal="center" vertical="center"/>
    </xf>
    <xf fontId="26234" applyFont="true" borderId="8" applyBorder="true" applyNumberFormat="true" numFmtId="1" fillId="22" applyFill="true">
      <alignment horizontal="center" vertical="center"/>
    </xf>
    <xf fontId="26235" applyFont="true" borderId="8" applyBorder="true" applyNumberFormat="true" numFmtId="1" fillId="22" applyFill="true">
      <alignment horizontal="center" vertical="center"/>
    </xf>
    <xf fontId="26236" applyFont="true" borderId="8" applyBorder="true" applyNumberFormat="true" numFmtId="1" fillId="22" applyFill="true">
      <alignment horizontal="center" vertical="center"/>
    </xf>
    <xf fontId="26237" applyFont="true" borderId="8" applyBorder="true" applyNumberFormat="true" numFmtId="167" fillId="22" applyFill="true">
      <alignment horizontal="center" vertical="center"/>
    </xf>
    <xf fontId="26238" applyFont="true" borderId="8" applyBorder="true" applyNumberFormat="true" numFmtId="166" fillId="22" applyFill="true">
      <alignment horizontal="center" vertical="center"/>
    </xf>
    <xf fontId="26239" applyFont="true" borderId="8" applyBorder="true" applyNumberFormat="true" numFmtId="166" fillId="22" applyFill="true">
      <alignment horizontal="center" vertical="center"/>
    </xf>
    <xf fontId="26240" applyFont="true" borderId="8" applyBorder="true" applyNumberFormat="true" numFmtId="1" fillId="22" applyFill="true">
      <alignment horizontal="center" vertical="center"/>
    </xf>
    <xf fontId="26241" applyFont="true" borderId="8" applyBorder="true" applyNumberFormat="true" numFmtId="1" fillId="22" applyFill="true">
      <alignment horizontal="center" vertical="center"/>
    </xf>
    <xf fontId="26242" applyFont="true" borderId="8" applyBorder="true" applyNumberFormat="true" numFmtId="1" fillId="22" applyFill="true">
      <alignment horizontal="center" vertical="center"/>
    </xf>
    <xf fontId="26243" applyFont="true" borderId="8" applyBorder="true" applyNumberFormat="true" numFmtId="167" fillId="22" applyFill="true">
      <alignment horizontal="center" vertical="center"/>
    </xf>
    <xf fontId="26244" applyFont="true" borderId="8" applyBorder="true" applyNumberFormat="true" numFmtId="1" fillId="22" applyFill="true">
      <alignment horizontal="center" vertical="center"/>
    </xf>
    <xf fontId="26245" applyFont="true" borderId="8" applyBorder="true" applyNumberFormat="true" numFmtId="167" fillId="22" applyFill="true">
      <alignment horizontal="center" vertical="center"/>
    </xf>
    <xf fontId="26246" applyFont="true" borderId="8" applyBorder="true" applyNumberFormat="true" numFmtId="1" fillId="22" applyFill="true">
      <alignment horizontal="center" vertical="center"/>
    </xf>
    <xf fontId="26247" applyFont="true" borderId="8" applyBorder="true" applyNumberFormat="true" numFmtId="1" fillId="22" applyFill="true">
      <alignment horizontal="center" vertical="center"/>
    </xf>
    <xf fontId="26248" applyFont="true" borderId="8" applyBorder="true" applyNumberFormat="true" numFmtId="1" fillId="22" applyFill="true">
      <alignment horizontal="center" vertical="center"/>
    </xf>
    <xf fontId="26249" applyFont="true" borderId="8" applyBorder="true" applyNumberFormat="true" numFmtId="1" fillId="22" applyFill="true">
      <alignment horizontal="center" vertical="center"/>
    </xf>
    <xf fontId="26250" applyFont="true" borderId="8" applyBorder="true" applyNumberFormat="true" numFmtId="167" fillId="22" applyFill="true">
      <alignment horizontal="center" vertical="center"/>
    </xf>
    <xf fontId="26251" applyFont="true" borderId="8" applyBorder="true" applyNumberFormat="true" numFmtId="1" fillId="22" applyFill="true">
      <alignment horizontal="center" vertical="center"/>
    </xf>
    <xf fontId="26252" applyFont="true" borderId="8" applyBorder="true" applyNumberFormat="true" numFmtId="167" fillId="22" applyFill="true">
      <alignment horizontal="center" vertical="center"/>
    </xf>
    <xf fontId="26253" applyFont="true" borderId="8" applyBorder="true" applyNumberFormat="true" numFmtId="1" fillId="22" applyFill="true">
      <alignment horizontal="center" vertical="center"/>
    </xf>
    <xf fontId="26254" applyFont="true" borderId="8" applyBorder="true" applyNumberFormat="true" numFmtId="167" fillId="22" applyFill="true">
      <alignment horizontal="center" vertical="center"/>
    </xf>
    <xf fontId="26255" applyFont="true" borderId="8" applyBorder="true" applyNumberFormat="true" numFmtId="2" fillId="22" applyFill="true">
      <alignment horizontal="center" vertical="center"/>
    </xf>
    <xf fontId="26256" applyFont="true" borderId="8" applyBorder="true" applyNumberFormat="true" numFmtId="2" fillId="22" applyFill="true">
      <alignment horizontal="center" vertical="center"/>
    </xf>
    <xf fontId="26257" applyFont="true" borderId="8" applyBorder="true" applyNumberFormat="true" numFmtId="2" fillId="22" applyFill="true">
      <alignment horizontal="center" vertical="center"/>
    </xf>
    <xf fontId="26258" applyFont="true" borderId="8" applyBorder="true" applyNumberFormat="true" numFmtId="2" fillId="22" applyFill="true">
      <alignment horizontal="center" vertical="center"/>
    </xf>
    <xf fontId="26259" applyFont="true" borderId="8" applyBorder="true" applyNumberFormat="true" numFmtId="2" fillId="22" applyFill="true">
      <alignment horizontal="center" vertical="center"/>
    </xf>
    <xf fontId="26260" applyFont="true" borderId="8" applyBorder="true" applyNumberFormat="true" numFmtId="2" fillId="22" applyFill="true">
      <alignment horizontal="center" vertical="center"/>
    </xf>
    <xf fontId="26261" applyFont="true" borderId="8" applyBorder="true" applyNumberFormat="true" numFmtId="2" fillId="22" applyFill="true">
      <alignment horizontal="center" vertical="center"/>
    </xf>
    <xf fontId="26262" applyFont="true" borderId="8" applyBorder="true" applyNumberFormat="true" numFmtId="2" fillId="22" applyFill="true">
      <alignment horizontal="center" vertical="center"/>
    </xf>
    <xf fontId="26263" applyFont="true" borderId="8" applyBorder="true" applyNumberFormat="true" numFmtId="2" fillId="22" applyFill="true">
      <alignment horizontal="center" vertical="center"/>
    </xf>
    <xf fontId="26264" applyFont="true" borderId="8" applyBorder="true" applyNumberFormat="true" numFmtId="2" fillId="22" applyFill="true">
      <alignment horizontal="center" vertical="center"/>
    </xf>
    <xf fontId="26265" applyFont="true" borderId="8" applyBorder="true" applyNumberFormat="true" numFmtId="2" fillId="22" applyFill="true">
      <alignment horizontal="center" vertical="center"/>
    </xf>
    <xf fontId="26266" applyFont="true" borderId="8" applyBorder="true" applyNumberFormat="true" numFmtId="2" fillId="22" applyFill="true">
      <alignment horizontal="center" vertical="center"/>
    </xf>
    <xf fontId="26267" applyFont="true" borderId="8" applyBorder="true" applyNumberFormat="true" numFmtId="2" fillId="22" applyFill="true">
      <alignment horizontal="center" vertical="center"/>
    </xf>
    <xf fontId="26268" applyFont="true" borderId="8" applyBorder="true" applyNumberFormat="true" numFmtId="2" fillId="22" applyFill="true">
      <alignment horizontal="center" vertical="center"/>
    </xf>
    <xf fontId="26269" applyFont="true" borderId="8" applyBorder="true" applyNumberFormat="true" numFmtId="2" fillId="22" applyFill="true">
      <alignment horizontal="center" vertical="center"/>
    </xf>
    <xf fontId="26270" applyFont="true" borderId="8" applyBorder="true" applyNumberFormat="true" numFmtId="2" fillId="22" applyFill="true">
      <alignment horizontal="center" vertical="center"/>
    </xf>
    <xf fontId="26271" applyFont="true" borderId="8" applyBorder="true" applyNumberFormat="true" numFmtId="2" fillId="22" applyFill="true">
      <alignment horizontal="center" vertical="center"/>
    </xf>
    <xf fontId="26272" applyFont="true" borderId="8" applyBorder="true" applyNumberFormat="true" numFmtId="2" fillId="22" applyFill="true">
      <alignment horizontal="center" vertical="center"/>
    </xf>
    <xf fontId="26273" applyFont="true" borderId="8" applyBorder="true" applyNumberFormat="true" numFmtId="2" fillId="22" applyFill="true">
      <alignment horizontal="center" vertical="center"/>
    </xf>
    <xf fontId="26274" applyFont="true" borderId="8" applyBorder="true" applyNumberFormat="true" numFmtId="2" fillId="22" applyFill="true">
      <alignment horizontal="center" vertical="center"/>
    </xf>
    <xf fontId="26275" applyFont="true" borderId="8" applyBorder="true" applyNumberFormat="true" numFmtId="2" fillId="22" applyFill="true">
      <alignment horizontal="center" vertical="center"/>
    </xf>
    <xf fontId="26276" applyFont="true" borderId="8" applyBorder="true" applyNumberFormat="true" numFmtId="2" fillId="22" applyFill="true">
      <alignment horizontal="center" vertical="center"/>
    </xf>
    <xf fontId="26277" applyFont="true" borderId="8" applyBorder="true" applyNumberFormat="true" numFmtId="2" fillId="22" applyFill="true">
      <alignment horizontal="center" vertical="center"/>
    </xf>
    <xf fontId="26278" applyFont="true" borderId="8" applyBorder="true" applyNumberFormat="true" numFmtId="2" fillId="22" applyFill="true">
      <alignment horizontal="center" vertical="center"/>
    </xf>
    <xf fontId="26279" applyFont="true" borderId="8" applyBorder="true" applyNumberFormat="true" numFmtId="2" fillId="22" applyFill="true">
      <alignment horizontal="center" vertical="center"/>
    </xf>
    <xf fontId="26280" applyFont="true" borderId="8" applyBorder="true" applyNumberFormat="true" numFmtId="2" fillId="22" applyFill="true">
      <alignment horizontal="center" vertical="center"/>
    </xf>
    <xf fontId="26281" applyFont="true" borderId="8" applyBorder="true" applyNumberFormat="true" numFmtId="2" fillId="22" applyFill="true">
      <alignment horizontal="center" vertical="center"/>
    </xf>
    <xf fontId="26282" applyFont="true" borderId="8" applyBorder="true" applyNumberFormat="true" numFmtId="2" fillId="22" applyFill="true">
      <alignment horizontal="center" vertical="center"/>
    </xf>
    <xf fontId="26283" applyFont="true" borderId="8" applyBorder="true" applyNumberFormat="true" numFmtId="2" fillId="22" applyFill="true">
      <alignment horizontal="center" vertical="center"/>
    </xf>
    <xf fontId="26284" applyFont="true" borderId="8" applyBorder="true" applyNumberFormat="true" numFmtId="2" fillId="22" applyFill="true">
      <alignment horizontal="center" vertical="center"/>
    </xf>
    <xf fontId="26285" applyFont="true" borderId="8" applyBorder="true" applyNumberFormat="true" numFmtId="2" fillId="22" applyFill="true">
      <alignment horizontal="center" vertical="center"/>
    </xf>
    <xf fontId="26286" applyFont="true" borderId="8" applyBorder="true" applyNumberFormat="true" numFmtId="2" fillId="22" applyFill="true">
      <alignment horizontal="center" vertical="center"/>
    </xf>
    <xf fontId="26287" applyFont="true" borderId="8" applyBorder="true" applyNumberFormat="true" numFmtId="2" fillId="22" applyFill="true">
      <alignment horizontal="center" vertical="center"/>
    </xf>
    <xf fontId="26288" applyFont="true" borderId="8" applyBorder="true" applyNumberFormat="true" numFmtId="2" fillId="22" applyFill="true">
      <alignment horizontal="center" vertical="center"/>
    </xf>
    <xf fontId="26289" applyFont="true" borderId="8" applyBorder="true" applyNumberFormat="true" numFmtId="165" fillId="19" applyFill="true">
      <alignment horizontal="left" vertical="center"/>
    </xf>
    <xf fontId="26290" applyFont="true" borderId="8" applyBorder="true" applyNumberFormat="true" numFmtId="165" fillId="22" applyFill="true">
      <alignment horizontal="center" vertical="center"/>
    </xf>
    <xf fontId="26291" applyFont="true" borderId="8" applyBorder="true" applyNumberFormat="true" numFmtId="166" fillId="22" applyFill="true">
      <alignment horizontal="center" vertical="center"/>
    </xf>
    <xf fontId="26292" applyFont="true" borderId="8" applyBorder="true" applyNumberFormat="true" numFmtId="1" fillId="22" applyFill="true">
      <alignment horizontal="center" vertical="center"/>
    </xf>
    <xf fontId="26293" applyFont="true" borderId="8" applyBorder="true" applyNumberFormat="true" numFmtId="1" fillId="22" applyFill="true">
      <alignment horizontal="center" vertical="center"/>
    </xf>
    <xf fontId="26294" applyFont="true" borderId="8" applyBorder="true" applyNumberFormat="true" numFmtId="1" fillId="22" applyFill="true">
      <alignment horizontal="center" vertical="center"/>
    </xf>
    <xf fontId="26295" applyFont="true" borderId="8" applyBorder="true" applyNumberFormat="true" numFmtId="1" fillId="22" applyFill="true">
      <alignment horizontal="center" vertical="center"/>
    </xf>
    <xf fontId="26296" applyFont="true" borderId="8" applyBorder="true" applyNumberFormat="true" numFmtId="1" fillId="22" applyFill="true">
      <alignment horizontal="center" vertical="center"/>
    </xf>
    <xf fontId="26297" applyFont="true" borderId="8" applyBorder="true" applyNumberFormat="true" numFmtId="1" fillId="22" applyFill="true">
      <alignment horizontal="center" vertical="center"/>
    </xf>
    <xf fontId="26298" applyFont="true" borderId="8" applyBorder="true" applyNumberFormat="true" numFmtId="1" fillId="22" applyFill="true">
      <alignment horizontal="center" vertical="center"/>
    </xf>
    <xf fontId="26299" applyFont="true" borderId="8" applyBorder="true" applyNumberFormat="true" numFmtId="165" fillId="22" applyFill="true">
      <alignment horizontal="center" vertical="center"/>
    </xf>
    <xf fontId="26300" applyFont="true" borderId="8" applyBorder="true" applyNumberFormat="true" numFmtId="165" fillId="22" applyFill="true">
      <alignment horizontal="center" vertical="center"/>
    </xf>
    <xf fontId="26301" applyFont="true" borderId="8" applyBorder="true" applyNumberFormat="true" numFmtId="1" fillId="22" applyFill="true">
      <alignment horizontal="center" vertical="center"/>
    </xf>
    <xf fontId="26302" applyFont="true" borderId="8" applyBorder="true" applyNumberFormat="true" numFmtId="1" fillId="22" applyFill="true">
      <alignment horizontal="center" vertical="center"/>
    </xf>
    <xf fontId="26303" applyFont="true" borderId="8" applyBorder="true" applyNumberFormat="true" numFmtId="1" fillId="22" applyFill="true">
      <alignment horizontal="center" vertical="center"/>
    </xf>
    <xf fontId="26304" applyFont="true" borderId="8" applyBorder="true" applyNumberFormat="true" numFmtId="167" fillId="22" applyFill="true">
      <alignment horizontal="center" vertical="center"/>
    </xf>
    <xf fontId="26305" applyFont="true" borderId="8" applyBorder="true" applyNumberFormat="true" numFmtId="1" fillId="22" applyFill="true">
      <alignment horizontal="center" vertical="center"/>
    </xf>
    <xf fontId="26306" applyFont="true" borderId="8" applyBorder="true" applyNumberFormat="true" numFmtId="167" fillId="22" applyFill="true">
      <alignment horizontal="center" vertical="center"/>
    </xf>
    <xf fontId="26307" applyFont="true" borderId="8" applyBorder="true" applyNumberFormat="true" numFmtId="1" fillId="22" applyFill="true">
      <alignment horizontal="center" vertical="center"/>
    </xf>
    <xf fontId="26308" applyFont="true" borderId="8" applyBorder="true" applyNumberFormat="true" numFmtId="167" fillId="22" applyFill="true">
      <alignment horizontal="center" vertical="center"/>
    </xf>
    <xf fontId="26309" applyFont="true" borderId="8" applyBorder="true" applyNumberFormat="true" numFmtId="1" fillId="22" applyFill="true">
      <alignment horizontal="center" vertical="center"/>
    </xf>
    <xf fontId="26310" applyFont="true" borderId="8" applyBorder="true" applyNumberFormat="true" numFmtId="167" fillId="22" applyFill="true">
      <alignment horizontal="center" vertical="center"/>
    </xf>
    <xf fontId="26311" applyFont="true" borderId="8" applyBorder="true" applyNumberFormat="true" numFmtId="167" fillId="22" applyFill="true">
      <alignment horizontal="center" vertical="center"/>
    </xf>
    <xf fontId="26312" applyFont="true" borderId="8" applyBorder="true" applyNumberFormat="true" numFmtId="1" fillId="22" applyFill="true">
      <alignment horizontal="center" vertical="center"/>
    </xf>
    <xf fontId="26313" applyFont="true" borderId="8" applyBorder="true" applyNumberFormat="true" numFmtId="1" fillId="22" applyFill="true">
      <alignment horizontal="center" vertical="center"/>
    </xf>
    <xf fontId="26314" applyFont="true" borderId="8" applyBorder="true" applyNumberFormat="true" numFmtId="1" fillId="22" applyFill="true">
      <alignment horizontal="center" vertical="center"/>
    </xf>
    <xf fontId="26315" applyFont="true" borderId="8" applyBorder="true" applyNumberFormat="true" numFmtId="167" fillId="22" applyFill="true">
      <alignment horizontal="center" vertical="center"/>
    </xf>
    <xf fontId="26316" applyFont="true" borderId="8" applyBorder="true" applyNumberFormat="true" numFmtId="166" fillId="22" applyFill="true">
      <alignment horizontal="center" vertical="center"/>
    </xf>
    <xf fontId="26317" applyFont="true" borderId="8" applyBorder="true" applyNumberFormat="true" numFmtId="166" fillId="22" applyFill="true">
      <alignment horizontal="center" vertical="center"/>
    </xf>
    <xf fontId="26318" applyFont="true" borderId="8" applyBorder="true" applyNumberFormat="true" numFmtId="1" fillId="22" applyFill="true">
      <alignment horizontal="center" vertical="center"/>
    </xf>
    <xf fontId="26319" applyFont="true" borderId="8" applyBorder="true" applyNumberFormat="true" numFmtId="1" fillId="22" applyFill="true">
      <alignment horizontal="center" vertical="center"/>
    </xf>
    <xf fontId="26320" applyFont="true" borderId="8" applyBorder="true" applyNumberFormat="true" numFmtId="1" fillId="22" applyFill="true">
      <alignment horizontal="center" vertical="center"/>
    </xf>
    <xf fontId="26321" applyFont="true" borderId="8" applyBorder="true" applyNumberFormat="true" numFmtId="167" fillId="22" applyFill="true">
      <alignment horizontal="center" vertical="center"/>
    </xf>
    <xf fontId="26322" applyFont="true" borderId="8" applyBorder="true" applyNumberFormat="true" numFmtId="1" fillId="22" applyFill="true">
      <alignment horizontal="center" vertical="center"/>
    </xf>
    <xf fontId="26323" applyFont="true" borderId="8" applyBorder="true" applyNumberFormat="true" numFmtId="167" fillId="22" applyFill="true">
      <alignment horizontal="center" vertical="center"/>
    </xf>
    <xf fontId="26324" applyFont="true" borderId="8" applyBorder="true" applyNumberFormat="true" numFmtId="1" fillId="22" applyFill="true">
      <alignment horizontal="center" vertical="center"/>
    </xf>
    <xf fontId="26325" applyFont="true" borderId="8" applyBorder="true" applyNumberFormat="true" numFmtId="1" fillId="22" applyFill="true">
      <alignment horizontal="center" vertical="center"/>
    </xf>
    <xf fontId="26326" applyFont="true" borderId="8" applyBorder="true" applyNumberFormat="true" numFmtId="1" fillId="22" applyFill="true">
      <alignment horizontal="center" vertical="center"/>
    </xf>
    <xf fontId="26327" applyFont="true" borderId="8" applyBorder="true" applyNumberFormat="true" numFmtId="1" fillId="22" applyFill="true">
      <alignment horizontal="center" vertical="center"/>
    </xf>
    <xf fontId="26328" applyFont="true" borderId="8" applyBorder="true" applyNumberFormat="true" numFmtId="167" fillId="22" applyFill="true">
      <alignment horizontal="center" vertical="center"/>
    </xf>
    <xf fontId="26329" applyFont="true" borderId="8" applyBorder="true" applyNumberFormat="true" numFmtId="1" fillId="22" applyFill="true">
      <alignment horizontal="center" vertical="center"/>
    </xf>
    <xf fontId="26330" applyFont="true" borderId="8" applyBorder="true" applyNumberFormat="true" numFmtId="167" fillId="22" applyFill="true">
      <alignment horizontal="center" vertical="center"/>
    </xf>
    <xf fontId="26331" applyFont="true" borderId="8" applyBorder="true" applyNumberFormat="true" numFmtId="1" fillId="22" applyFill="true">
      <alignment horizontal="center" vertical="center"/>
    </xf>
    <xf fontId="26332" applyFont="true" borderId="8" applyBorder="true" applyNumberFormat="true" numFmtId="167" fillId="22" applyFill="true">
      <alignment horizontal="center" vertical="center"/>
    </xf>
    <xf fontId="26333" applyFont="true" borderId="8" applyBorder="true" applyNumberFormat="true" numFmtId="2" fillId="22" applyFill="true">
      <alignment horizontal="center" vertical="center"/>
    </xf>
    <xf fontId="26334" applyFont="true" borderId="8" applyBorder="true" applyNumberFormat="true" numFmtId="2" fillId="22" applyFill="true">
      <alignment horizontal="center" vertical="center"/>
    </xf>
    <xf fontId="26335" applyFont="true" borderId="8" applyBorder="true" applyNumberFormat="true" numFmtId="2" fillId="22" applyFill="true">
      <alignment horizontal="center" vertical="center"/>
    </xf>
    <xf fontId="26336" applyFont="true" borderId="8" applyBorder="true" applyNumberFormat="true" numFmtId="2" fillId="22" applyFill="true">
      <alignment horizontal="center" vertical="center"/>
    </xf>
    <xf fontId="26337" applyFont="true" borderId="8" applyBorder="true" applyNumberFormat="true" numFmtId="2" fillId="22" applyFill="true">
      <alignment horizontal="center" vertical="center"/>
    </xf>
    <xf fontId="26338" applyFont="true" borderId="8" applyBorder="true" applyNumberFormat="true" numFmtId="2" fillId="22" applyFill="true">
      <alignment horizontal="center" vertical="center"/>
    </xf>
    <xf fontId="26339" applyFont="true" borderId="8" applyBorder="true" applyNumberFormat="true" numFmtId="2" fillId="22" applyFill="true">
      <alignment horizontal="center" vertical="center"/>
    </xf>
    <xf fontId="26340" applyFont="true" borderId="8" applyBorder="true" applyNumberFormat="true" numFmtId="2" fillId="22" applyFill="true">
      <alignment horizontal="center" vertical="center"/>
    </xf>
    <xf fontId="26341" applyFont="true" borderId="8" applyBorder="true" applyNumberFormat="true" numFmtId="2" fillId="22" applyFill="true">
      <alignment horizontal="center" vertical="center"/>
    </xf>
    <xf fontId="26342" applyFont="true" borderId="8" applyBorder="true" applyNumberFormat="true" numFmtId="2" fillId="22" applyFill="true">
      <alignment horizontal="center" vertical="center"/>
    </xf>
    <xf fontId="26343" applyFont="true" borderId="8" applyBorder="true" applyNumberFormat="true" numFmtId="2" fillId="22" applyFill="true">
      <alignment horizontal="center" vertical="center"/>
    </xf>
    <xf fontId="26344" applyFont="true" borderId="8" applyBorder="true" applyNumberFormat="true" numFmtId="2" fillId="22" applyFill="true">
      <alignment horizontal="center" vertical="center"/>
    </xf>
    <xf fontId="26345" applyFont="true" borderId="8" applyBorder="true" applyNumberFormat="true" numFmtId="2" fillId="22" applyFill="true">
      <alignment horizontal="center" vertical="center"/>
    </xf>
    <xf fontId="26346" applyFont="true" borderId="8" applyBorder="true" applyNumberFormat="true" numFmtId="2" fillId="22" applyFill="true">
      <alignment horizontal="center" vertical="center"/>
    </xf>
    <xf fontId="26347" applyFont="true" borderId="8" applyBorder="true" applyNumberFormat="true" numFmtId="2" fillId="22" applyFill="true">
      <alignment horizontal="center" vertical="center"/>
    </xf>
    <xf fontId="26348" applyFont="true" borderId="8" applyBorder="true" applyNumberFormat="true" numFmtId="2" fillId="22" applyFill="true">
      <alignment horizontal="center" vertical="center"/>
    </xf>
    <xf fontId="26349" applyFont="true" borderId="8" applyBorder="true" applyNumberFormat="true" numFmtId="2" fillId="22" applyFill="true">
      <alignment horizontal="center" vertical="center"/>
    </xf>
    <xf fontId="26350" applyFont="true" borderId="8" applyBorder="true" applyNumberFormat="true" numFmtId="2" fillId="22" applyFill="true">
      <alignment horizontal="center" vertical="center"/>
    </xf>
    <xf fontId="26351" applyFont="true" borderId="8" applyBorder="true" applyNumberFormat="true" numFmtId="2" fillId="22" applyFill="true">
      <alignment horizontal="center" vertical="center"/>
    </xf>
    <xf fontId="26352" applyFont="true" borderId="8" applyBorder="true" applyNumberFormat="true" numFmtId="2" fillId="22" applyFill="true">
      <alignment horizontal="center" vertical="center"/>
    </xf>
    <xf fontId="26353" applyFont="true" borderId="8" applyBorder="true" applyNumberFormat="true" numFmtId="2" fillId="22" applyFill="true">
      <alignment horizontal="center" vertical="center"/>
    </xf>
    <xf fontId="26354" applyFont="true" borderId="8" applyBorder="true" applyNumberFormat="true" numFmtId="2" fillId="22" applyFill="true">
      <alignment horizontal="center" vertical="center"/>
    </xf>
    <xf fontId="26355" applyFont="true" borderId="8" applyBorder="true" applyNumberFormat="true" numFmtId="2" fillId="22" applyFill="true">
      <alignment horizontal="center" vertical="center"/>
    </xf>
    <xf fontId="26356" applyFont="true" borderId="8" applyBorder="true" applyNumberFormat="true" numFmtId="2" fillId="22" applyFill="true">
      <alignment horizontal="center" vertical="center"/>
    </xf>
    <xf fontId="26357" applyFont="true" borderId="8" applyBorder="true" applyNumberFormat="true" numFmtId="2" fillId="22" applyFill="true">
      <alignment horizontal="center" vertical="center"/>
    </xf>
    <xf fontId="26358" applyFont="true" borderId="8" applyBorder="true" applyNumberFormat="true" numFmtId="2" fillId="22" applyFill="true">
      <alignment horizontal="center" vertical="center"/>
    </xf>
    <xf fontId="26359" applyFont="true" borderId="8" applyBorder="true" applyNumberFormat="true" numFmtId="2" fillId="22" applyFill="true">
      <alignment horizontal="center" vertical="center"/>
    </xf>
    <xf fontId="26360" applyFont="true" borderId="8" applyBorder="true" applyNumberFormat="true" numFmtId="2" fillId="22" applyFill="true">
      <alignment horizontal="center" vertical="center"/>
    </xf>
    <xf fontId="26361" applyFont="true" borderId="8" applyBorder="true" applyNumberFormat="true" numFmtId="2" fillId="22" applyFill="true">
      <alignment horizontal="center" vertical="center"/>
    </xf>
    <xf fontId="26362" applyFont="true" borderId="8" applyBorder="true" applyNumberFormat="true" numFmtId="2" fillId="22" applyFill="true">
      <alignment horizontal="center" vertical="center"/>
    </xf>
    <xf fontId="26363" applyFont="true" borderId="8" applyBorder="true" applyNumberFormat="true" numFmtId="2" fillId="22" applyFill="true">
      <alignment horizontal="center" vertical="center"/>
    </xf>
    <xf fontId="26364" applyFont="true" borderId="8" applyBorder="true" applyNumberFormat="true" numFmtId="2" fillId="22" applyFill="true">
      <alignment horizontal="center" vertical="center"/>
    </xf>
    <xf fontId="26365" applyFont="true" borderId="8" applyBorder="true" applyNumberFormat="true" numFmtId="2" fillId="22" applyFill="true">
      <alignment horizontal="center" vertical="center"/>
    </xf>
    <xf fontId="26366" applyFont="true" borderId="8" applyBorder="true" applyNumberFormat="true" numFmtId="2" fillId="22" applyFill="true">
      <alignment horizontal="center" vertical="center"/>
    </xf>
    <xf fontId="26367" applyFont="true" borderId="8" applyBorder="true" applyNumberFormat="true" numFmtId="165" fillId="19" applyFill="true">
      <alignment horizontal="left" vertical="center"/>
    </xf>
    <xf fontId="26368" applyFont="true" borderId="8" applyBorder="true" applyNumberFormat="true" numFmtId="165" fillId="22" applyFill="true">
      <alignment horizontal="center" vertical="center"/>
    </xf>
    <xf fontId="26369" applyFont="true" borderId="8" applyBorder="true" applyNumberFormat="true" numFmtId="166" fillId="22" applyFill="true">
      <alignment horizontal="center" vertical="center"/>
    </xf>
    <xf fontId="26370" applyFont="true" borderId="8" applyBorder="true" applyNumberFormat="true" numFmtId="1" fillId="22" applyFill="true">
      <alignment horizontal="center" vertical="center"/>
    </xf>
    <xf fontId="26371" applyFont="true" borderId="8" applyBorder="true" applyNumberFormat="true" numFmtId="1" fillId="22" applyFill="true">
      <alignment horizontal="center" vertical="center"/>
    </xf>
    <xf fontId="26372" applyFont="true" borderId="8" applyBorder="true" applyNumberFormat="true" numFmtId="1" fillId="22" applyFill="true">
      <alignment horizontal="center" vertical="center"/>
    </xf>
    <xf fontId="26373" applyFont="true" borderId="8" applyBorder="true" applyNumberFormat="true" numFmtId="1" fillId="22" applyFill="true">
      <alignment horizontal="center" vertical="center"/>
    </xf>
    <xf fontId="26374" applyFont="true" borderId="8" applyBorder="true" applyNumberFormat="true" numFmtId="1" fillId="22" applyFill="true">
      <alignment horizontal="center" vertical="center"/>
    </xf>
    <xf fontId="26375" applyFont="true" borderId="8" applyBorder="true" applyNumberFormat="true" numFmtId="1" fillId="22" applyFill="true">
      <alignment horizontal="center" vertical="center"/>
    </xf>
    <xf fontId="26376" applyFont="true" borderId="8" applyBorder="true" applyNumberFormat="true" numFmtId="1" fillId="22" applyFill="true">
      <alignment horizontal="center" vertical="center"/>
    </xf>
    <xf fontId="26377" applyFont="true" borderId="8" applyBorder="true" applyNumberFormat="true" numFmtId="165" fillId="22" applyFill="true">
      <alignment horizontal="center" vertical="center"/>
    </xf>
    <xf fontId="26378" applyFont="true" borderId="8" applyBorder="true" applyNumberFormat="true" numFmtId="165" fillId="22" applyFill="true">
      <alignment horizontal="center" vertical="center"/>
    </xf>
    <xf fontId="26379" applyFont="true" borderId="8" applyBorder="true" applyNumberFormat="true" numFmtId="1" fillId="22" applyFill="true">
      <alignment horizontal="center" vertical="center"/>
    </xf>
    <xf fontId="26380" applyFont="true" borderId="8" applyBorder="true" applyNumberFormat="true" numFmtId="1" fillId="22" applyFill="true">
      <alignment horizontal="center" vertical="center"/>
    </xf>
    <xf fontId="26381" applyFont="true" borderId="8" applyBorder="true" applyNumberFormat="true" numFmtId="1" fillId="22" applyFill="true">
      <alignment horizontal="center" vertical="center"/>
    </xf>
    <xf fontId="26382" applyFont="true" borderId="8" applyBorder="true" applyNumberFormat="true" numFmtId="167" fillId="22" applyFill="true">
      <alignment horizontal="center" vertical="center"/>
    </xf>
    <xf fontId="26383" applyFont="true" borderId="8" applyBorder="true" applyNumberFormat="true" numFmtId="1" fillId="22" applyFill="true">
      <alignment horizontal="center" vertical="center"/>
    </xf>
    <xf fontId="26384" applyFont="true" borderId="8" applyBorder="true" applyNumberFormat="true" numFmtId="167" fillId="22" applyFill="true">
      <alignment horizontal="center" vertical="center"/>
    </xf>
    <xf fontId="26385" applyFont="true" borderId="8" applyBorder="true" applyNumberFormat="true" numFmtId="1" fillId="22" applyFill="true">
      <alignment horizontal="center" vertical="center"/>
    </xf>
    <xf fontId="26386" applyFont="true" borderId="8" applyBorder="true" applyNumberFormat="true" numFmtId="167" fillId="22" applyFill="true">
      <alignment horizontal="center" vertical="center"/>
    </xf>
    <xf fontId="26387" applyFont="true" borderId="8" applyBorder="true" applyNumberFormat="true" numFmtId="1" fillId="22" applyFill="true">
      <alignment horizontal="center" vertical="center"/>
    </xf>
    <xf fontId="26388" applyFont="true" borderId="8" applyBorder="true" applyNumberFormat="true" numFmtId="167" fillId="22" applyFill="true">
      <alignment horizontal="center" vertical="center"/>
    </xf>
    <xf fontId="26389" applyFont="true" borderId="8" applyBorder="true" applyNumberFormat="true" numFmtId="167" fillId="22" applyFill="true">
      <alignment horizontal="center" vertical="center"/>
    </xf>
    <xf fontId="26390" applyFont="true" borderId="8" applyBorder="true" applyNumberFormat="true" numFmtId="1" fillId="22" applyFill="true">
      <alignment horizontal="center" vertical="center"/>
    </xf>
    <xf fontId="26391" applyFont="true" borderId="8" applyBorder="true" applyNumberFormat="true" numFmtId="1" fillId="22" applyFill="true">
      <alignment horizontal="center" vertical="center"/>
    </xf>
    <xf fontId="26392" applyFont="true" borderId="8" applyBorder="true" applyNumberFormat="true" numFmtId="1" fillId="22" applyFill="true">
      <alignment horizontal="center" vertical="center"/>
    </xf>
    <xf fontId="26393" applyFont="true" borderId="8" applyBorder="true" applyNumberFormat="true" numFmtId="167" fillId="22" applyFill="true">
      <alignment horizontal="center" vertical="center"/>
    </xf>
    <xf fontId="26394" applyFont="true" borderId="8" applyBorder="true" applyNumberFormat="true" numFmtId="166" fillId="22" applyFill="true">
      <alignment horizontal="center" vertical="center"/>
    </xf>
    <xf fontId="26395" applyFont="true" borderId="8" applyBorder="true" applyNumberFormat="true" numFmtId="166" fillId="22" applyFill="true">
      <alignment horizontal="center" vertical="center"/>
    </xf>
    <xf fontId="26396" applyFont="true" borderId="8" applyBorder="true" applyNumberFormat="true" numFmtId="1" fillId="22" applyFill="true">
      <alignment horizontal="center" vertical="center"/>
    </xf>
    <xf fontId="26397" applyFont="true" borderId="8" applyBorder="true" applyNumberFormat="true" numFmtId="1" fillId="22" applyFill="true">
      <alignment horizontal="center" vertical="center"/>
    </xf>
    <xf fontId="26398" applyFont="true" borderId="8" applyBorder="true" applyNumberFormat="true" numFmtId="1" fillId="22" applyFill="true">
      <alignment horizontal="center" vertical="center"/>
    </xf>
    <xf fontId="26399" applyFont="true" borderId="8" applyBorder="true" applyNumberFormat="true" numFmtId="167" fillId="22" applyFill="true">
      <alignment horizontal="center" vertical="center"/>
    </xf>
    <xf fontId="26400" applyFont="true" borderId="8" applyBorder="true" applyNumberFormat="true" numFmtId="1" fillId="22" applyFill="true">
      <alignment horizontal="center" vertical="center"/>
    </xf>
    <xf fontId="26401" applyFont="true" borderId="8" applyBorder="true" applyNumberFormat="true" numFmtId="167" fillId="22" applyFill="true">
      <alignment horizontal="center" vertical="center"/>
    </xf>
    <xf fontId="26402" applyFont="true" borderId="8" applyBorder="true" applyNumberFormat="true" numFmtId="1" fillId="22" applyFill="true">
      <alignment horizontal="center" vertical="center"/>
    </xf>
    <xf fontId="26403" applyFont="true" borderId="8" applyBorder="true" applyNumberFormat="true" numFmtId="1" fillId="22" applyFill="true">
      <alignment horizontal="center" vertical="center"/>
    </xf>
    <xf fontId="26404" applyFont="true" borderId="8" applyBorder="true" applyNumberFormat="true" numFmtId="1" fillId="22" applyFill="true">
      <alignment horizontal="center" vertical="center"/>
    </xf>
    <xf fontId="26405" applyFont="true" borderId="8" applyBorder="true" applyNumberFormat="true" numFmtId="1" fillId="22" applyFill="true">
      <alignment horizontal="center" vertical="center"/>
    </xf>
    <xf fontId="26406" applyFont="true" borderId="8" applyBorder="true" applyNumberFormat="true" numFmtId="167" fillId="22" applyFill="true">
      <alignment horizontal="center" vertical="center"/>
    </xf>
    <xf fontId="26407" applyFont="true" borderId="8" applyBorder="true" applyNumberFormat="true" numFmtId="1" fillId="22" applyFill="true">
      <alignment horizontal="center" vertical="center"/>
    </xf>
    <xf fontId="26408" applyFont="true" borderId="8" applyBorder="true" applyNumberFormat="true" numFmtId="167" fillId="22" applyFill="true">
      <alignment horizontal="center" vertical="center"/>
    </xf>
    <xf fontId="26409" applyFont="true" borderId="8" applyBorder="true" applyNumberFormat="true" numFmtId="1" fillId="22" applyFill="true">
      <alignment horizontal="center" vertical="center"/>
    </xf>
    <xf fontId="26410" applyFont="true" borderId="8" applyBorder="true" applyNumberFormat="true" numFmtId="167" fillId="22" applyFill="true">
      <alignment horizontal="center" vertical="center"/>
    </xf>
    <xf fontId="26411" applyFont="true" borderId="8" applyBorder="true" applyNumberFormat="true" numFmtId="2" fillId="22" applyFill="true">
      <alignment horizontal="center" vertical="center"/>
    </xf>
    <xf fontId="26412" applyFont="true" borderId="8" applyBorder="true" applyNumberFormat="true" numFmtId="2" fillId="22" applyFill="true">
      <alignment horizontal="center" vertical="center"/>
    </xf>
    <xf fontId="26413" applyFont="true" borderId="8" applyBorder="true" applyNumberFormat="true" numFmtId="2" fillId="22" applyFill="true">
      <alignment horizontal="center" vertical="center"/>
    </xf>
    <xf fontId="26414" applyFont="true" borderId="8" applyBorder="true" applyNumberFormat="true" numFmtId="2" fillId="22" applyFill="true">
      <alignment horizontal="center" vertical="center"/>
    </xf>
    <xf fontId="26415" applyFont="true" borderId="8" applyBorder="true" applyNumberFormat="true" numFmtId="2" fillId="22" applyFill="true">
      <alignment horizontal="center" vertical="center"/>
    </xf>
    <xf fontId="26416" applyFont="true" borderId="8" applyBorder="true" applyNumberFormat="true" numFmtId="2" fillId="22" applyFill="true">
      <alignment horizontal="center" vertical="center"/>
    </xf>
    <xf fontId="26417" applyFont="true" borderId="8" applyBorder="true" applyNumberFormat="true" numFmtId="2" fillId="22" applyFill="true">
      <alignment horizontal="center" vertical="center"/>
    </xf>
    <xf fontId="26418" applyFont="true" borderId="8" applyBorder="true" applyNumberFormat="true" numFmtId="2" fillId="22" applyFill="true">
      <alignment horizontal="center" vertical="center"/>
    </xf>
    <xf fontId="26419" applyFont="true" borderId="8" applyBorder="true" applyNumberFormat="true" numFmtId="2" fillId="22" applyFill="true">
      <alignment horizontal="center" vertical="center"/>
    </xf>
    <xf fontId="26420" applyFont="true" borderId="8" applyBorder="true" applyNumberFormat="true" numFmtId="2" fillId="22" applyFill="true">
      <alignment horizontal="center" vertical="center"/>
    </xf>
    <xf fontId="26421" applyFont="true" borderId="8" applyBorder="true" applyNumberFormat="true" numFmtId="2" fillId="22" applyFill="true">
      <alignment horizontal="center" vertical="center"/>
    </xf>
    <xf fontId="26422" applyFont="true" borderId="8" applyBorder="true" applyNumberFormat="true" numFmtId="2" fillId="22" applyFill="true">
      <alignment horizontal="center" vertical="center"/>
    </xf>
    <xf fontId="26423" applyFont="true" borderId="8" applyBorder="true" applyNumberFormat="true" numFmtId="2" fillId="22" applyFill="true">
      <alignment horizontal="center" vertical="center"/>
    </xf>
    <xf fontId="26424" applyFont="true" borderId="8" applyBorder="true" applyNumberFormat="true" numFmtId="2" fillId="22" applyFill="true">
      <alignment horizontal="center" vertical="center"/>
    </xf>
    <xf fontId="26425" applyFont="true" borderId="8" applyBorder="true" applyNumberFormat="true" numFmtId="2" fillId="22" applyFill="true">
      <alignment horizontal="center" vertical="center"/>
    </xf>
    <xf fontId="26426" applyFont="true" borderId="8" applyBorder="true" applyNumberFormat="true" numFmtId="2" fillId="22" applyFill="true">
      <alignment horizontal="center" vertical="center"/>
    </xf>
    <xf fontId="26427" applyFont="true" borderId="8" applyBorder="true" applyNumberFormat="true" numFmtId="2" fillId="22" applyFill="true">
      <alignment horizontal="center" vertical="center"/>
    </xf>
    <xf fontId="26428" applyFont="true" borderId="8" applyBorder="true" applyNumberFormat="true" numFmtId="2" fillId="22" applyFill="true">
      <alignment horizontal="center" vertical="center"/>
    </xf>
    <xf fontId="26429" applyFont="true" borderId="8" applyBorder="true" applyNumberFormat="true" numFmtId="2" fillId="22" applyFill="true">
      <alignment horizontal="center" vertical="center"/>
    </xf>
    <xf fontId="26430" applyFont="true" borderId="8" applyBorder="true" applyNumberFormat="true" numFmtId="2" fillId="22" applyFill="true">
      <alignment horizontal="center" vertical="center"/>
    </xf>
    <xf fontId="26431" applyFont="true" borderId="8" applyBorder="true" applyNumberFormat="true" numFmtId="2" fillId="22" applyFill="true">
      <alignment horizontal="center" vertical="center"/>
    </xf>
    <xf fontId="26432" applyFont="true" borderId="8" applyBorder="true" applyNumberFormat="true" numFmtId="2" fillId="22" applyFill="true">
      <alignment horizontal="center" vertical="center"/>
    </xf>
    <xf fontId="26433" applyFont="true" borderId="8" applyBorder="true" applyNumberFormat="true" numFmtId="2" fillId="22" applyFill="true">
      <alignment horizontal="center" vertical="center"/>
    </xf>
    <xf fontId="26434" applyFont="true" borderId="8" applyBorder="true" applyNumberFormat="true" numFmtId="2" fillId="22" applyFill="true">
      <alignment horizontal="center" vertical="center"/>
    </xf>
    <xf fontId="26435" applyFont="true" borderId="8" applyBorder="true" applyNumberFormat="true" numFmtId="2" fillId="22" applyFill="true">
      <alignment horizontal="center" vertical="center"/>
    </xf>
    <xf fontId="26436" applyFont="true" borderId="8" applyBorder="true" applyNumberFormat="true" numFmtId="2" fillId="22" applyFill="true">
      <alignment horizontal="center" vertical="center"/>
    </xf>
    <xf fontId="26437" applyFont="true" borderId="8" applyBorder="true" applyNumberFormat="true" numFmtId="2" fillId="22" applyFill="true">
      <alignment horizontal="center" vertical="center"/>
    </xf>
    <xf fontId="26438" applyFont="true" borderId="8" applyBorder="true" applyNumberFormat="true" numFmtId="2" fillId="22" applyFill="true">
      <alignment horizontal="center" vertical="center"/>
    </xf>
    <xf fontId="26439" applyFont="true" borderId="8" applyBorder="true" applyNumberFormat="true" numFmtId="2" fillId="22" applyFill="true">
      <alignment horizontal="center" vertical="center"/>
    </xf>
    <xf fontId="26440" applyFont="true" borderId="8" applyBorder="true" applyNumberFormat="true" numFmtId="2" fillId="22" applyFill="true">
      <alignment horizontal="center" vertical="center"/>
    </xf>
    <xf fontId="26441" applyFont="true" borderId="8" applyBorder="true" applyNumberFormat="true" numFmtId="2" fillId="22" applyFill="true">
      <alignment horizontal="center" vertical="center"/>
    </xf>
    <xf fontId="26442" applyFont="true" borderId="8" applyBorder="true" applyNumberFormat="true" numFmtId="2" fillId="22" applyFill="true">
      <alignment horizontal="center" vertical="center"/>
    </xf>
    <xf fontId="26443" applyFont="true" borderId="8" applyBorder="true" applyNumberFormat="true" numFmtId="2" fillId="22" applyFill="true">
      <alignment horizontal="center" vertical="center"/>
    </xf>
    <xf fontId="26444" applyFont="true" borderId="8" applyBorder="true" applyNumberFormat="true" numFmtId="2" fillId="22" applyFill="true">
      <alignment horizontal="center" vertical="center"/>
    </xf>
    <xf fontId="26445" applyFont="true" borderId="8" applyBorder="true" applyNumberFormat="true" numFmtId="165" fillId="19" applyFill="true">
      <alignment horizontal="left" vertical="center"/>
    </xf>
    <xf fontId="26446" applyFont="true" borderId="8" applyBorder="true" applyNumberFormat="true" numFmtId="165" fillId="22" applyFill="true">
      <alignment horizontal="center" vertical="center"/>
    </xf>
    <xf fontId="26447" applyFont="true" borderId="8" applyBorder="true" applyNumberFormat="true" numFmtId="166" fillId="22" applyFill="true">
      <alignment horizontal="center" vertical="center"/>
    </xf>
    <xf fontId="26448" applyFont="true" borderId="8" applyBorder="true" applyNumberFormat="true" numFmtId="1" fillId="22" applyFill="true">
      <alignment horizontal="center" vertical="center"/>
    </xf>
    <xf fontId="26449" applyFont="true" borderId="8" applyBorder="true" applyNumberFormat="true" numFmtId="1" fillId="22" applyFill="true">
      <alignment horizontal="center" vertical="center"/>
    </xf>
    <xf fontId="26450" applyFont="true" borderId="8" applyBorder="true" applyNumberFormat="true" numFmtId="1" fillId="22" applyFill="true">
      <alignment horizontal="center" vertical="center"/>
    </xf>
    <xf fontId="26451" applyFont="true" borderId="8" applyBorder="true" applyNumberFormat="true" numFmtId="1" fillId="22" applyFill="true">
      <alignment horizontal="center" vertical="center"/>
    </xf>
    <xf fontId="26452" applyFont="true" borderId="8" applyBorder="true" applyNumberFormat="true" numFmtId="1" fillId="22" applyFill="true">
      <alignment horizontal="center" vertical="center"/>
    </xf>
    <xf fontId="26453" applyFont="true" borderId="8" applyBorder="true" applyNumberFormat="true" numFmtId="1" fillId="22" applyFill="true">
      <alignment horizontal="center" vertical="center"/>
    </xf>
    <xf fontId="26454" applyFont="true" borderId="8" applyBorder="true" applyNumberFormat="true" numFmtId="1" fillId="22" applyFill="true">
      <alignment horizontal="center" vertical="center"/>
    </xf>
    <xf fontId="26455" applyFont="true" borderId="8" applyBorder="true" applyNumberFormat="true" numFmtId="165" fillId="22" applyFill="true">
      <alignment horizontal="center" vertical="center"/>
    </xf>
    <xf fontId="26456" applyFont="true" borderId="8" applyBorder="true" applyNumberFormat="true" numFmtId="165" fillId="22" applyFill="true">
      <alignment horizontal="center" vertical="center"/>
    </xf>
    <xf fontId="26457" applyFont="true" borderId="8" applyBorder="true" applyNumberFormat="true" numFmtId="1" fillId="22" applyFill="true">
      <alignment horizontal="center" vertical="center"/>
    </xf>
    <xf fontId="26458" applyFont="true" borderId="8" applyBorder="true" applyNumberFormat="true" numFmtId="1" fillId="22" applyFill="true">
      <alignment horizontal="center" vertical="center"/>
    </xf>
    <xf fontId="26459" applyFont="true" borderId="8" applyBorder="true" applyNumberFormat="true" numFmtId="1" fillId="22" applyFill="true">
      <alignment horizontal="center" vertical="center"/>
    </xf>
    <xf fontId="26460" applyFont="true" borderId="8" applyBorder="true" applyNumberFormat="true" numFmtId="167" fillId="22" applyFill="true">
      <alignment horizontal="center" vertical="center"/>
    </xf>
    <xf fontId="26461" applyFont="true" borderId="8" applyBorder="true" applyNumberFormat="true" numFmtId="1" fillId="22" applyFill="true">
      <alignment horizontal="center" vertical="center"/>
    </xf>
    <xf fontId="26462" applyFont="true" borderId="8" applyBorder="true" applyNumberFormat="true" numFmtId="167" fillId="22" applyFill="true">
      <alignment horizontal="center" vertical="center"/>
    </xf>
    <xf fontId="26463" applyFont="true" borderId="8" applyBorder="true" applyNumberFormat="true" numFmtId="1" fillId="22" applyFill="true">
      <alignment horizontal="center" vertical="center"/>
    </xf>
    <xf fontId="26464" applyFont="true" borderId="8" applyBorder="true" applyNumberFormat="true" numFmtId="167" fillId="22" applyFill="true">
      <alignment horizontal="center" vertical="center"/>
    </xf>
    <xf fontId="26465" applyFont="true" borderId="8" applyBorder="true" applyNumberFormat="true" numFmtId="1" fillId="22" applyFill="true">
      <alignment horizontal="center" vertical="center"/>
    </xf>
    <xf fontId="26466" applyFont="true" borderId="8" applyBorder="true" applyNumberFormat="true" numFmtId="167" fillId="22" applyFill="true">
      <alignment horizontal="center" vertical="center"/>
    </xf>
    <xf fontId="26467" applyFont="true" borderId="8" applyBorder="true" applyNumberFormat="true" numFmtId="167" fillId="22" applyFill="true">
      <alignment horizontal="center" vertical="center"/>
    </xf>
    <xf fontId="26468" applyFont="true" borderId="8" applyBorder="true" applyNumberFormat="true" numFmtId="1" fillId="22" applyFill="true">
      <alignment horizontal="center" vertical="center"/>
    </xf>
    <xf fontId="26469" applyFont="true" borderId="8" applyBorder="true" applyNumberFormat="true" numFmtId="1" fillId="22" applyFill="true">
      <alignment horizontal="center" vertical="center"/>
    </xf>
    <xf fontId="26470" applyFont="true" borderId="8" applyBorder="true" applyNumberFormat="true" numFmtId="1" fillId="22" applyFill="true">
      <alignment horizontal="center" vertical="center"/>
    </xf>
    <xf fontId="26471" applyFont="true" borderId="8" applyBorder="true" applyNumberFormat="true" numFmtId="167" fillId="22" applyFill="true">
      <alignment horizontal="center" vertical="center"/>
    </xf>
    <xf fontId="26472" applyFont="true" borderId="8" applyBorder="true" applyNumberFormat="true" numFmtId="166" fillId="22" applyFill="true">
      <alignment horizontal="center" vertical="center"/>
    </xf>
    <xf fontId="26473" applyFont="true" borderId="8" applyBorder="true" applyNumberFormat="true" numFmtId="166" fillId="22" applyFill="true">
      <alignment horizontal="center" vertical="center"/>
    </xf>
    <xf fontId="26474" applyFont="true" borderId="8" applyBorder="true" applyNumberFormat="true" numFmtId="1" fillId="22" applyFill="true">
      <alignment horizontal="center" vertical="center"/>
    </xf>
    <xf fontId="26475" applyFont="true" borderId="8" applyBorder="true" applyNumberFormat="true" numFmtId="1" fillId="22" applyFill="true">
      <alignment horizontal="center" vertical="center"/>
    </xf>
    <xf fontId="26476" applyFont="true" borderId="8" applyBorder="true" applyNumberFormat="true" numFmtId="1" fillId="22" applyFill="true">
      <alignment horizontal="center" vertical="center"/>
    </xf>
    <xf fontId="26477" applyFont="true" borderId="8" applyBorder="true" applyNumberFormat="true" numFmtId="167" fillId="22" applyFill="true">
      <alignment horizontal="center" vertical="center"/>
    </xf>
    <xf fontId="26478" applyFont="true" borderId="8" applyBorder="true" applyNumberFormat="true" numFmtId="1" fillId="22" applyFill="true">
      <alignment horizontal="center" vertical="center"/>
    </xf>
    <xf fontId="26479" applyFont="true" borderId="8" applyBorder="true" applyNumberFormat="true" numFmtId="167" fillId="22" applyFill="true">
      <alignment horizontal="center" vertical="center"/>
    </xf>
    <xf fontId="26480" applyFont="true" borderId="8" applyBorder="true" applyNumberFormat="true" numFmtId="1" fillId="22" applyFill="true">
      <alignment horizontal="center" vertical="center"/>
    </xf>
    <xf fontId="26481" applyFont="true" borderId="8" applyBorder="true" applyNumberFormat="true" numFmtId="1" fillId="22" applyFill="true">
      <alignment horizontal="center" vertical="center"/>
    </xf>
    <xf fontId="26482" applyFont="true" borderId="8" applyBorder="true" applyNumberFormat="true" numFmtId="1" fillId="22" applyFill="true">
      <alignment horizontal="center" vertical="center"/>
    </xf>
    <xf fontId="26483" applyFont="true" borderId="8" applyBorder="true" applyNumberFormat="true" numFmtId="1" fillId="22" applyFill="true">
      <alignment horizontal="center" vertical="center"/>
    </xf>
    <xf fontId="26484" applyFont="true" borderId="8" applyBorder="true" applyNumberFormat="true" numFmtId="167" fillId="22" applyFill="true">
      <alignment horizontal="center" vertical="center"/>
    </xf>
    <xf fontId="26485" applyFont="true" borderId="8" applyBorder="true" applyNumberFormat="true" numFmtId="1" fillId="22" applyFill="true">
      <alignment horizontal="center" vertical="center"/>
    </xf>
    <xf fontId="26486" applyFont="true" borderId="8" applyBorder="true" applyNumberFormat="true" numFmtId="167" fillId="22" applyFill="true">
      <alignment horizontal="center" vertical="center"/>
    </xf>
    <xf fontId="26487" applyFont="true" borderId="8" applyBorder="true" applyNumberFormat="true" numFmtId="1" fillId="22" applyFill="true">
      <alignment horizontal="center" vertical="center"/>
    </xf>
    <xf fontId="26488" applyFont="true" borderId="8" applyBorder="true" applyNumberFormat="true" numFmtId="167" fillId="22" applyFill="true">
      <alignment horizontal="center" vertical="center"/>
    </xf>
    <xf fontId="26489" applyFont="true" borderId="8" applyBorder="true" applyNumberFormat="true" numFmtId="2" fillId="22" applyFill="true">
      <alignment horizontal="center" vertical="center"/>
    </xf>
    <xf fontId="26490" applyFont="true" borderId="8" applyBorder="true" applyNumberFormat="true" numFmtId="2" fillId="22" applyFill="true">
      <alignment horizontal="center" vertical="center"/>
    </xf>
    <xf fontId="26491" applyFont="true" borderId="8" applyBorder="true" applyNumberFormat="true" numFmtId="2" fillId="22" applyFill="true">
      <alignment horizontal="center" vertical="center"/>
    </xf>
    <xf fontId="26492" applyFont="true" borderId="8" applyBorder="true" applyNumberFormat="true" numFmtId="2" fillId="22" applyFill="true">
      <alignment horizontal="center" vertical="center"/>
    </xf>
    <xf fontId="26493" applyFont="true" borderId="8" applyBorder="true" applyNumberFormat="true" numFmtId="2" fillId="22" applyFill="true">
      <alignment horizontal="center" vertical="center"/>
    </xf>
    <xf fontId="26494" applyFont="true" borderId="8" applyBorder="true" applyNumberFormat="true" numFmtId="2" fillId="22" applyFill="true">
      <alignment horizontal="center" vertical="center"/>
    </xf>
    <xf fontId="26495" applyFont="true" borderId="8" applyBorder="true" applyNumberFormat="true" numFmtId="2" fillId="22" applyFill="true">
      <alignment horizontal="center" vertical="center"/>
    </xf>
    <xf fontId="26496" applyFont="true" borderId="8" applyBorder="true" applyNumberFormat="true" numFmtId="2" fillId="22" applyFill="true">
      <alignment horizontal="center" vertical="center"/>
    </xf>
    <xf fontId="26497" applyFont="true" borderId="8" applyBorder="true" applyNumberFormat="true" numFmtId="2" fillId="22" applyFill="true">
      <alignment horizontal="center" vertical="center"/>
    </xf>
    <xf fontId="26498" applyFont="true" borderId="8" applyBorder="true" applyNumberFormat="true" numFmtId="2" fillId="22" applyFill="true">
      <alignment horizontal="center" vertical="center"/>
    </xf>
    <xf fontId="26499" applyFont="true" borderId="8" applyBorder="true" applyNumberFormat="true" numFmtId="2" fillId="22" applyFill="true">
      <alignment horizontal="center" vertical="center"/>
    </xf>
    <xf fontId="26500" applyFont="true" borderId="8" applyBorder="true" applyNumberFormat="true" numFmtId="2" fillId="22" applyFill="true">
      <alignment horizontal="center" vertical="center"/>
    </xf>
    <xf fontId="26501" applyFont="true" borderId="8" applyBorder="true" applyNumberFormat="true" numFmtId="2" fillId="22" applyFill="true">
      <alignment horizontal="center" vertical="center"/>
    </xf>
    <xf fontId="26502" applyFont="true" borderId="8" applyBorder="true" applyNumberFormat="true" numFmtId="2" fillId="22" applyFill="true">
      <alignment horizontal="center" vertical="center"/>
    </xf>
    <xf fontId="26503" applyFont="true" borderId="8" applyBorder="true" applyNumberFormat="true" numFmtId="2" fillId="22" applyFill="true">
      <alignment horizontal="center" vertical="center"/>
    </xf>
    <xf fontId="26504" applyFont="true" borderId="8" applyBorder="true" applyNumberFormat="true" numFmtId="2" fillId="22" applyFill="true">
      <alignment horizontal="center" vertical="center"/>
    </xf>
    <xf fontId="26505" applyFont="true" borderId="8" applyBorder="true" applyNumberFormat="true" numFmtId="2" fillId="22" applyFill="true">
      <alignment horizontal="center" vertical="center"/>
    </xf>
    <xf fontId="26506" applyFont="true" borderId="8" applyBorder="true" applyNumberFormat="true" numFmtId="2" fillId="22" applyFill="true">
      <alignment horizontal="center" vertical="center"/>
    </xf>
    <xf fontId="26507" applyFont="true" borderId="8" applyBorder="true" applyNumberFormat="true" numFmtId="2" fillId="22" applyFill="true">
      <alignment horizontal="center" vertical="center"/>
    </xf>
    <xf fontId="26508" applyFont="true" borderId="8" applyBorder="true" applyNumberFormat="true" numFmtId="2" fillId="22" applyFill="true">
      <alignment horizontal="center" vertical="center"/>
    </xf>
    <xf fontId="26509" applyFont="true" borderId="8" applyBorder="true" applyNumberFormat="true" numFmtId="2" fillId="22" applyFill="true">
      <alignment horizontal="center" vertical="center"/>
    </xf>
    <xf fontId="26510" applyFont="true" borderId="8" applyBorder="true" applyNumberFormat="true" numFmtId="2" fillId="22" applyFill="true">
      <alignment horizontal="center" vertical="center"/>
    </xf>
    <xf fontId="26511" applyFont="true" borderId="8" applyBorder="true" applyNumberFormat="true" numFmtId="2" fillId="22" applyFill="true">
      <alignment horizontal="center" vertical="center"/>
    </xf>
    <xf fontId="26512" applyFont="true" borderId="8" applyBorder="true" applyNumberFormat="true" numFmtId="2" fillId="22" applyFill="true">
      <alignment horizontal="center" vertical="center"/>
    </xf>
    <xf fontId="26513" applyFont="true" borderId="8" applyBorder="true" applyNumberFormat="true" numFmtId="2" fillId="22" applyFill="true">
      <alignment horizontal="center" vertical="center"/>
    </xf>
    <xf fontId="26514" applyFont="true" borderId="8" applyBorder="true" applyNumberFormat="true" numFmtId="2" fillId="22" applyFill="true">
      <alignment horizontal="center" vertical="center"/>
    </xf>
    <xf fontId="26515" applyFont="true" borderId="8" applyBorder="true" applyNumberFormat="true" numFmtId="2" fillId="22" applyFill="true">
      <alignment horizontal="center" vertical="center"/>
    </xf>
    <xf fontId="26516" applyFont="true" borderId="8" applyBorder="true" applyNumberFormat="true" numFmtId="2" fillId="22" applyFill="true">
      <alignment horizontal="center" vertical="center"/>
    </xf>
    <xf fontId="26517" applyFont="true" borderId="8" applyBorder="true" applyNumberFormat="true" numFmtId="2" fillId="22" applyFill="true">
      <alignment horizontal="center" vertical="center"/>
    </xf>
    <xf fontId="26518" applyFont="true" borderId="8" applyBorder="true" applyNumberFormat="true" numFmtId="2" fillId="22" applyFill="true">
      <alignment horizontal="center" vertical="center"/>
    </xf>
    <xf fontId="26519" applyFont="true" borderId="8" applyBorder="true" applyNumberFormat="true" numFmtId="2" fillId="22" applyFill="true">
      <alignment horizontal="center" vertical="center"/>
    </xf>
    <xf fontId="26520" applyFont="true" borderId="8" applyBorder="true" applyNumberFormat="true" numFmtId="2" fillId="22" applyFill="true">
      <alignment horizontal="center" vertical="center"/>
    </xf>
    <xf fontId="26521" applyFont="true" borderId="8" applyBorder="true" applyNumberFormat="true" numFmtId="2" fillId="22" applyFill="true">
      <alignment horizontal="center" vertical="center"/>
    </xf>
    <xf fontId="26522" applyFont="true" borderId="8" applyBorder="true" applyNumberFormat="true" numFmtId="2" fillId="22" applyFill="true">
      <alignment horizontal="center" vertical="center"/>
    </xf>
    <xf fontId="26523" applyFont="true" borderId="8" applyBorder="true" applyNumberFormat="true" numFmtId="165" fillId="19" applyFill="true">
      <alignment horizontal="left" vertical="center"/>
    </xf>
    <xf fontId="26524" applyFont="true" borderId="8" applyBorder="true" applyNumberFormat="true" numFmtId="165" fillId="22" applyFill="true">
      <alignment horizontal="center" vertical="center"/>
    </xf>
    <xf fontId="26525" applyFont="true" borderId="8" applyBorder="true" applyNumberFormat="true" numFmtId="166" fillId="22" applyFill="true">
      <alignment horizontal="center" vertical="center"/>
    </xf>
    <xf fontId="26526" applyFont="true" borderId="8" applyBorder="true" applyNumberFormat="true" numFmtId="1" fillId="22" applyFill="true">
      <alignment horizontal="center" vertical="center"/>
    </xf>
    <xf fontId="26527" applyFont="true" borderId="8" applyBorder="true" applyNumberFormat="true" numFmtId="1" fillId="22" applyFill="true">
      <alignment horizontal="center" vertical="center"/>
    </xf>
    <xf fontId="26528" applyFont="true" borderId="8" applyBorder="true" applyNumberFormat="true" numFmtId="1" fillId="22" applyFill="true">
      <alignment horizontal="center" vertical="center"/>
    </xf>
    <xf fontId="26529" applyFont="true" borderId="8" applyBorder="true" applyNumberFormat="true" numFmtId="1" fillId="22" applyFill="true">
      <alignment horizontal="center" vertical="center"/>
    </xf>
    <xf fontId="26530" applyFont="true" borderId="8" applyBorder="true" applyNumberFormat="true" numFmtId="1" fillId="22" applyFill="true">
      <alignment horizontal="center" vertical="center"/>
    </xf>
    <xf fontId="26531" applyFont="true" borderId="8" applyBorder="true" applyNumberFormat="true" numFmtId="1" fillId="22" applyFill="true">
      <alignment horizontal="center" vertical="center"/>
    </xf>
    <xf fontId="26532" applyFont="true" borderId="8" applyBorder="true" applyNumberFormat="true" numFmtId="1" fillId="22" applyFill="true">
      <alignment horizontal="center" vertical="center"/>
    </xf>
    <xf fontId="26533" applyFont="true" borderId="8" applyBorder="true" applyNumberFormat="true" numFmtId="165" fillId="22" applyFill="true">
      <alignment horizontal="center" vertical="center"/>
    </xf>
    <xf fontId="26534" applyFont="true" borderId="8" applyBorder="true" applyNumberFormat="true" numFmtId="165" fillId="22" applyFill="true">
      <alignment horizontal="center" vertical="center"/>
    </xf>
    <xf fontId="26535" applyFont="true" borderId="8" applyBorder="true" applyNumberFormat="true" numFmtId="1" fillId="22" applyFill="true">
      <alignment horizontal="center" vertical="center"/>
    </xf>
    <xf fontId="26536" applyFont="true" borderId="8" applyBorder="true" applyNumberFormat="true" numFmtId="1" fillId="22" applyFill="true">
      <alignment horizontal="center" vertical="center"/>
    </xf>
    <xf fontId="26537" applyFont="true" borderId="8" applyBorder="true" applyNumberFormat="true" numFmtId="1" fillId="22" applyFill="true">
      <alignment horizontal="center" vertical="center"/>
    </xf>
    <xf fontId="26538" applyFont="true" borderId="8" applyBorder="true" applyNumberFormat="true" numFmtId="167" fillId="22" applyFill="true">
      <alignment horizontal="center" vertical="center"/>
    </xf>
    <xf fontId="26539" applyFont="true" borderId="8" applyBorder="true" applyNumberFormat="true" numFmtId="1" fillId="22" applyFill="true">
      <alignment horizontal="center" vertical="center"/>
    </xf>
    <xf fontId="26540" applyFont="true" borderId="8" applyBorder="true" applyNumberFormat="true" numFmtId="167" fillId="22" applyFill="true">
      <alignment horizontal="center" vertical="center"/>
    </xf>
    <xf fontId="26541" applyFont="true" borderId="8" applyBorder="true" applyNumberFormat="true" numFmtId="1" fillId="22" applyFill="true">
      <alignment horizontal="center" vertical="center"/>
    </xf>
    <xf fontId="26542" applyFont="true" borderId="8" applyBorder="true" applyNumberFormat="true" numFmtId="167" fillId="22" applyFill="true">
      <alignment horizontal="center" vertical="center"/>
    </xf>
    <xf fontId="26543" applyFont="true" borderId="8" applyBorder="true" applyNumberFormat="true" numFmtId="1" fillId="22" applyFill="true">
      <alignment horizontal="center" vertical="center"/>
    </xf>
    <xf fontId="26544" applyFont="true" borderId="8" applyBorder="true" applyNumberFormat="true" numFmtId="167" fillId="22" applyFill="true">
      <alignment horizontal="center" vertical="center"/>
    </xf>
    <xf fontId="26545" applyFont="true" borderId="8" applyBorder="true" applyNumberFormat="true" numFmtId="167" fillId="22" applyFill="true">
      <alignment horizontal="center" vertical="center"/>
    </xf>
    <xf fontId="26546" applyFont="true" borderId="8" applyBorder="true" applyNumberFormat="true" numFmtId="1" fillId="22" applyFill="true">
      <alignment horizontal="center" vertical="center"/>
    </xf>
    <xf fontId="26547" applyFont="true" borderId="8" applyBorder="true" applyNumberFormat="true" numFmtId="1" fillId="22" applyFill="true">
      <alignment horizontal="center" vertical="center"/>
    </xf>
    <xf fontId="26548" applyFont="true" borderId="8" applyBorder="true" applyNumberFormat="true" numFmtId="1" fillId="22" applyFill="true">
      <alignment horizontal="center" vertical="center"/>
    </xf>
    <xf fontId="26549" applyFont="true" borderId="8" applyBorder="true" applyNumberFormat="true" numFmtId="167" fillId="22" applyFill="true">
      <alignment horizontal="center" vertical="center"/>
    </xf>
    <xf fontId="26550" applyFont="true" borderId="8" applyBorder="true" applyNumberFormat="true" numFmtId="166" fillId="22" applyFill="true">
      <alignment horizontal="center" vertical="center"/>
    </xf>
    <xf fontId="26551" applyFont="true" borderId="8" applyBorder="true" applyNumberFormat="true" numFmtId="166" fillId="22" applyFill="true">
      <alignment horizontal="center" vertical="center"/>
    </xf>
    <xf fontId="26552" applyFont="true" borderId="8" applyBorder="true" applyNumberFormat="true" numFmtId="1" fillId="22" applyFill="true">
      <alignment horizontal="center" vertical="center"/>
    </xf>
    <xf fontId="26553" applyFont="true" borderId="8" applyBorder="true" applyNumberFormat="true" numFmtId="1" fillId="22" applyFill="true">
      <alignment horizontal="center" vertical="center"/>
    </xf>
    <xf fontId="26554" applyFont="true" borderId="8" applyBorder="true" applyNumberFormat="true" numFmtId="1" fillId="22" applyFill="true">
      <alignment horizontal="center" vertical="center"/>
    </xf>
    <xf fontId="26555" applyFont="true" borderId="8" applyBorder="true" applyNumberFormat="true" numFmtId="167" fillId="22" applyFill="true">
      <alignment horizontal="center" vertical="center"/>
    </xf>
    <xf fontId="26556" applyFont="true" borderId="8" applyBorder="true" applyNumberFormat="true" numFmtId="1" fillId="22" applyFill="true">
      <alignment horizontal="center" vertical="center"/>
    </xf>
    <xf fontId="26557" applyFont="true" borderId="8" applyBorder="true" applyNumberFormat="true" numFmtId="167" fillId="22" applyFill="true">
      <alignment horizontal="center" vertical="center"/>
    </xf>
    <xf fontId="26558" applyFont="true" borderId="8" applyBorder="true" applyNumberFormat="true" numFmtId="1" fillId="22" applyFill="true">
      <alignment horizontal="center" vertical="center"/>
    </xf>
    <xf fontId="26559" applyFont="true" borderId="8" applyBorder="true" applyNumberFormat="true" numFmtId="1" fillId="22" applyFill="true">
      <alignment horizontal="center" vertical="center"/>
    </xf>
    <xf fontId="26560" applyFont="true" borderId="8" applyBorder="true" applyNumberFormat="true" numFmtId="1" fillId="22" applyFill="true">
      <alignment horizontal="center" vertical="center"/>
    </xf>
    <xf fontId="26561" applyFont="true" borderId="8" applyBorder="true" applyNumberFormat="true" numFmtId="1" fillId="22" applyFill="true">
      <alignment horizontal="center" vertical="center"/>
    </xf>
    <xf fontId="26562" applyFont="true" borderId="8" applyBorder="true" applyNumberFormat="true" numFmtId="167" fillId="22" applyFill="true">
      <alignment horizontal="center" vertical="center"/>
    </xf>
    <xf fontId="26563" applyFont="true" borderId="8" applyBorder="true" applyNumberFormat="true" numFmtId="1" fillId="22" applyFill="true">
      <alignment horizontal="center" vertical="center"/>
    </xf>
    <xf fontId="26564" applyFont="true" borderId="8" applyBorder="true" applyNumberFormat="true" numFmtId="167" fillId="22" applyFill="true">
      <alignment horizontal="center" vertical="center"/>
    </xf>
    <xf fontId="26565" applyFont="true" borderId="8" applyBorder="true" applyNumberFormat="true" numFmtId="1" fillId="22" applyFill="true">
      <alignment horizontal="center" vertical="center"/>
    </xf>
    <xf fontId="26566" applyFont="true" borderId="8" applyBorder="true" applyNumberFormat="true" numFmtId="167" fillId="22" applyFill="true">
      <alignment horizontal="center" vertical="center"/>
    </xf>
    <xf fontId="26567" applyFont="true" borderId="8" applyBorder="true" applyNumberFormat="true" numFmtId="2" fillId="22" applyFill="true">
      <alignment horizontal="center" vertical="center"/>
    </xf>
    <xf fontId="26568" applyFont="true" borderId="8" applyBorder="true" applyNumberFormat="true" numFmtId="2" fillId="22" applyFill="true">
      <alignment horizontal="center" vertical="center"/>
    </xf>
    <xf fontId="26569" applyFont="true" borderId="8" applyBorder="true" applyNumberFormat="true" numFmtId="2" fillId="22" applyFill="true">
      <alignment horizontal="center" vertical="center"/>
    </xf>
    <xf fontId="26570" applyFont="true" borderId="8" applyBorder="true" applyNumberFormat="true" numFmtId="2" fillId="22" applyFill="true">
      <alignment horizontal="center" vertical="center"/>
    </xf>
    <xf fontId="26571" applyFont="true" borderId="8" applyBorder="true" applyNumberFormat="true" numFmtId="2" fillId="22" applyFill="true">
      <alignment horizontal="center" vertical="center"/>
    </xf>
    <xf fontId="26572" applyFont="true" borderId="8" applyBorder="true" applyNumberFormat="true" numFmtId="2" fillId="22" applyFill="true">
      <alignment horizontal="center" vertical="center"/>
    </xf>
    <xf fontId="26573" applyFont="true" borderId="8" applyBorder="true" applyNumberFormat="true" numFmtId="2" fillId="22" applyFill="true">
      <alignment horizontal="center" vertical="center"/>
    </xf>
    <xf fontId="26574" applyFont="true" borderId="8" applyBorder="true" applyNumberFormat="true" numFmtId="2" fillId="22" applyFill="true">
      <alignment horizontal="center" vertical="center"/>
    </xf>
    <xf fontId="26575" applyFont="true" borderId="8" applyBorder="true" applyNumberFormat="true" numFmtId="2" fillId="22" applyFill="true">
      <alignment horizontal="center" vertical="center"/>
    </xf>
    <xf fontId="26576" applyFont="true" borderId="8" applyBorder="true" applyNumberFormat="true" numFmtId="2" fillId="22" applyFill="true">
      <alignment horizontal="center" vertical="center"/>
    </xf>
    <xf fontId="26577" applyFont="true" borderId="8" applyBorder="true" applyNumberFormat="true" numFmtId="2" fillId="22" applyFill="true">
      <alignment horizontal="center" vertical="center"/>
    </xf>
    <xf fontId="26578" applyFont="true" borderId="8" applyBorder="true" applyNumberFormat="true" numFmtId="2" fillId="22" applyFill="true">
      <alignment horizontal="center" vertical="center"/>
    </xf>
    <xf fontId="26579" applyFont="true" borderId="8" applyBorder="true" applyNumberFormat="true" numFmtId="2" fillId="22" applyFill="true">
      <alignment horizontal="center" vertical="center"/>
    </xf>
    <xf fontId="26580" applyFont="true" borderId="8" applyBorder="true" applyNumberFormat="true" numFmtId="2" fillId="22" applyFill="true">
      <alignment horizontal="center" vertical="center"/>
    </xf>
    <xf fontId="26581" applyFont="true" borderId="8" applyBorder="true" applyNumberFormat="true" numFmtId="2" fillId="22" applyFill="true">
      <alignment horizontal="center" vertical="center"/>
    </xf>
    <xf fontId="26582" applyFont="true" borderId="8" applyBorder="true" applyNumberFormat="true" numFmtId="2" fillId="22" applyFill="true">
      <alignment horizontal="center" vertical="center"/>
    </xf>
    <xf fontId="26583" applyFont="true" borderId="8" applyBorder="true" applyNumberFormat="true" numFmtId="2" fillId="22" applyFill="true">
      <alignment horizontal="center" vertical="center"/>
    </xf>
    <xf fontId="26584" applyFont="true" borderId="8" applyBorder="true" applyNumberFormat="true" numFmtId="2" fillId="22" applyFill="true">
      <alignment horizontal="center" vertical="center"/>
    </xf>
    <xf fontId="26585" applyFont="true" borderId="8" applyBorder="true" applyNumberFormat="true" numFmtId="2" fillId="22" applyFill="true">
      <alignment horizontal="center" vertical="center"/>
    </xf>
    <xf fontId="26586" applyFont="true" borderId="8" applyBorder="true" applyNumberFormat="true" numFmtId="2" fillId="22" applyFill="true">
      <alignment horizontal="center" vertical="center"/>
    </xf>
    <xf fontId="26587" applyFont="true" borderId="8" applyBorder="true" applyNumberFormat="true" numFmtId="2" fillId="22" applyFill="true">
      <alignment horizontal="center" vertical="center"/>
    </xf>
    <xf fontId="26588" applyFont="true" borderId="8" applyBorder="true" applyNumberFormat="true" numFmtId="2" fillId="22" applyFill="true">
      <alignment horizontal="center" vertical="center"/>
    </xf>
    <xf fontId="26589" applyFont="true" borderId="8" applyBorder="true" applyNumberFormat="true" numFmtId="2" fillId="22" applyFill="true">
      <alignment horizontal="center" vertical="center"/>
    </xf>
    <xf fontId="26590" applyFont="true" borderId="8" applyBorder="true" applyNumberFormat="true" numFmtId="2" fillId="22" applyFill="true">
      <alignment horizontal="center" vertical="center"/>
    </xf>
    <xf fontId="26591" applyFont="true" borderId="8" applyBorder="true" applyNumberFormat="true" numFmtId="2" fillId="22" applyFill="true">
      <alignment horizontal="center" vertical="center"/>
    </xf>
    <xf fontId="26592" applyFont="true" borderId="8" applyBorder="true" applyNumberFormat="true" numFmtId="2" fillId="22" applyFill="true">
      <alignment horizontal="center" vertical="center"/>
    </xf>
    <xf fontId="26593" applyFont="true" borderId="8" applyBorder="true" applyNumberFormat="true" numFmtId="2" fillId="22" applyFill="true">
      <alignment horizontal="center" vertical="center"/>
    </xf>
    <xf fontId="26594" applyFont="true" borderId="8" applyBorder="true" applyNumberFormat="true" numFmtId="2" fillId="22" applyFill="true">
      <alignment horizontal="center" vertical="center"/>
    </xf>
    <xf fontId="26595" applyFont="true" borderId="8" applyBorder="true" applyNumberFormat="true" numFmtId="2" fillId="22" applyFill="true">
      <alignment horizontal="center" vertical="center"/>
    </xf>
    <xf fontId="26596" applyFont="true" borderId="8" applyBorder="true" applyNumberFormat="true" numFmtId="2" fillId="22" applyFill="true">
      <alignment horizontal="center" vertical="center"/>
    </xf>
    <xf fontId="26597" applyFont="true" borderId="8" applyBorder="true" applyNumberFormat="true" numFmtId="2" fillId="22" applyFill="true">
      <alignment horizontal="center" vertical="center"/>
    </xf>
    <xf fontId="26598" applyFont="true" borderId="8" applyBorder="true" applyNumberFormat="true" numFmtId="2" fillId="22" applyFill="true">
      <alignment horizontal="center" vertical="center"/>
    </xf>
    <xf fontId="26599" applyFont="true" borderId="8" applyBorder="true" applyNumberFormat="true" numFmtId="2" fillId="22" applyFill="true">
      <alignment horizontal="center" vertical="center"/>
    </xf>
    <xf fontId="26600" applyFont="true" borderId="8" applyBorder="true" applyNumberFormat="true" numFmtId="2" fillId="22" applyFill="true">
      <alignment horizontal="center" vertical="center"/>
    </xf>
    <xf fontId="26601" applyFont="true" borderId="8" applyBorder="true" applyNumberFormat="true" numFmtId="165" fillId="19" applyFill="true">
      <alignment horizontal="left" vertical="center"/>
    </xf>
    <xf fontId="26602" applyFont="true" borderId="8" applyBorder="true" applyNumberFormat="true" numFmtId="165" fillId="22" applyFill="true">
      <alignment horizontal="center" vertical="center"/>
    </xf>
    <xf fontId="26603" applyFont="true" borderId="8" applyBorder="true" applyNumberFormat="true" numFmtId="166" fillId="22" applyFill="true">
      <alignment horizontal="center" vertical="center"/>
    </xf>
    <xf fontId="26604" applyFont="true" borderId="8" applyBorder="true" applyNumberFormat="true" numFmtId="1" fillId="22" applyFill="true">
      <alignment horizontal="center" vertical="center"/>
    </xf>
    <xf fontId="26605" applyFont="true" borderId="8" applyBorder="true" applyNumberFormat="true" numFmtId="1" fillId="22" applyFill="true">
      <alignment horizontal="center" vertical="center"/>
    </xf>
    <xf fontId="26606" applyFont="true" borderId="8" applyBorder="true" applyNumberFormat="true" numFmtId="1" fillId="22" applyFill="true">
      <alignment horizontal="center" vertical="center"/>
    </xf>
    <xf fontId="26607" applyFont="true" borderId="8" applyBorder="true" applyNumberFormat="true" numFmtId="1" fillId="22" applyFill="true">
      <alignment horizontal="center" vertical="center"/>
    </xf>
    <xf fontId="26608" applyFont="true" borderId="8" applyBorder="true" applyNumberFormat="true" numFmtId="1" fillId="22" applyFill="true">
      <alignment horizontal="center" vertical="center"/>
    </xf>
    <xf fontId="26609" applyFont="true" borderId="8" applyBorder="true" applyNumberFormat="true" numFmtId="1" fillId="22" applyFill="true">
      <alignment horizontal="center" vertical="center"/>
    </xf>
    <xf fontId="26610" applyFont="true" borderId="8" applyBorder="true" applyNumberFormat="true" numFmtId="1" fillId="22" applyFill="true">
      <alignment horizontal="center" vertical="center"/>
    </xf>
    <xf fontId="26611" applyFont="true" borderId="8" applyBorder="true" applyNumberFormat="true" numFmtId="165" fillId="22" applyFill="true">
      <alignment horizontal="center" vertical="center"/>
    </xf>
    <xf fontId="26612" applyFont="true" borderId="8" applyBorder="true" applyNumberFormat="true" numFmtId="165" fillId="22" applyFill="true">
      <alignment horizontal="center" vertical="center"/>
    </xf>
    <xf fontId="26613" applyFont="true" borderId="8" applyBorder="true" applyNumberFormat="true" numFmtId="1" fillId="22" applyFill="true">
      <alignment horizontal="center" vertical="center"/>
    </xf>
    <xf fontId="26614" applyFont="true" borderId="8" applyBorder="true" applyNumberFormat="true" numFmtId="1" fillId="22" applyFill="true">
      <alignment horizontal="center" vertical="center"/>
    </xf>
    <xf fontId="26615" applyFont="true" borderId="8" applyBorder="true" applyNumberFormat="true" numFmtId="1" fillId="22" applyFill="true">
      <alignment horizontal="center" vertical="center"/>
    </xf>
    <xf fontId="26616" applyFont="true" borderId="8" applyBorder="true" applyNumberFormat="true" numFmtId="167" fillId="22" applyFill="true">
      <alignment horizontal="center" vertical="center"/>
    </xf>
    <xf fontId="26617" applyFont="true" borderId="8" applyBorder="true" applyNumberFormat="true" numFmtId="1" fillId="22" applyFill="true">
      <alignment horizontal="center" vertical="center"/>
    </xf>
    <xf fontId="26618" applyFont="true" borderId="8" applyBorder="true" applyNumberFormat="true" numFmtId="167" fillId="22" applyFill="true">
      <alignment horizontal="center" vertical="center"/>
    </xf>
    <xf fontId="26619" applyFont="true" borderId="8" applyBorder="true" applyNumberFormat="true" numFmtId="1" fillId="22" applyFill="true">
      <alignment horizontal="center" vertical="center"/>
    </xf>
    <xf fontId="26620" applyFont="true" borderId="8" applyBorder="true" applyNumberFormat="true" numFmtId="167" fillId="22" applyFill="true">
      <alignment horizontal="center" vertical="center"/>
    </xf>
    <xf fontId="26621" applyFont="true" borderId="8" applyBorder="true" applyNumberFormat="true" numFmtId="1" fillId="22" applyFill="true">
      <alignment horizontal="center" vertical="center"/>
    </xf>
    <xf fontId="26622" applyFont="true" borderId="8" applyBorder="true" applyNumberFormat="true" numFmtId="167" fillId="22" applyFill="true">
      <alignment horizontal="center" vertical="center"/>
    </xf>
    <xf fontId="26623" applyFont="true" borderId="8" applyBorder="true" applyNumberFormat="true" numFmtId="167" fillId="22" applyFill="true">
      <alignment horizontal="center" vertical="center"/>
    </xf>
    <xf fontId="26624" applyFont="true" borderId="8" applyBorder="true" applyNumberFormat="true" numFmtId="1" fillId="22" applyFill="true">
      <alignment horizontal="center" vertical="center"/>
    </xf>
    <xf fontId="26625" applyFont="true" borderId="8" applyBorder="true" applyNumberFormat="true" numFmtId="1" fillId="22" applyFill="true">
      <alignment horizontal="center" vertical="center"/>
    </xf>
    <xf fontId="26626" applyFont="true" borderId="8" applyBorder="true" applyNumberFormat="true" numFmtId="1" fillId="22" applyFill="true">
      <alignment horizontal="center" vertical="center"/>
    </xf>
    <xf fontId="26627" applyFont="true" borderId="8" applyBorder="true" applyNumberFormat="true" numFmtId="167" fillId="22" applyFill="true">
      <alignment horizontal="center" vertical="center"/>
    </xf>
    <xf fontId="26628" applyFont="true" borderId="8" applyBorder="true" applyNumberFormat="true" numFmtId="166" fillId="22" applyFill="true">
      <alignment horizontal="center" vertical="center"/>
    </xf>
    <xf fontId="26629" applyFont="true" borderId="8" applyBorder="true" applyNumberFormat="true" numFmtId="166" fillId="22" applyFill="true">
      <alignment horizontal="center" vertical="center"/>
    </xf>
    <xf fontId="26630" applyFont="true" borderId="8" applyBorder="true" applyNumberFormat="true" numFmtId="1" fillId="22" applyFill="true">
      <alignment horizontal="center" vertical="center"/>
    </xf>
    <xf fontId="26631" applyFont="true" borderId="8" applyBorder="true" applyNumberFormat="true" numFmtId="1" fillId="22" applyFill="true">
      <alignment horizontal="center" vertical="center"/>
    </xf>
    <xf fontId="26632" applyFont="true" borderId="8" applyBorder="true" applyNumberFormat="true" numFmtId="1" fillId="22" applyFill="true">
      <alignment horizontal="center" vertical="center"/>
    </xf>
    <xf fontId="26633" applyFont="true" borderId="8" applyBorder="true" applyNumberFormat="true" numFmtId="167" fillId="22" applyFill="true">
      <alignment horizontal="center" vertical="center"/>
    </xf>
    <xf fontId="26634" applyFont="true" borderId="8" applyBorder="true" applyNumberFormat="true" numFmtId="1" fillId="22" applyFill="true">
      <alignment horizontal="center" vertical="center"/>
    </xf>
    <xf fontId="26635" applyFont="true" borderId="8" applyBorder="true" applyNumberFormat="true" numFmtId="167" fillId="22" applyFill="true">
      <alignment horizontal="center" vertical="center"/>
    </xf>
    <xf fontId="26636" applyFont="true" borderId="8" applyBorder="true" applyNumberFormat="true" numFmtId="1" fillId="22" applyFill="true">
      <alignment horizontal="center" vertical="center"/>
    </xf>
    <xf fontId="26637" applyFont="true" borderId="8" applyBorder="true" applyNumberFormat="true" numFmtId="1" fillId="22" applyFill="true">
      <alignment horizontal="center" vertical="center"/>
    </xf>
    <xf fontId="26638" applyFont="true" borderId="8" applyBorder="true" applyNumberFormat="true" numFmtId="1" fillId="22" applyFill="true">
      <alignment horizontal="center" vertical="center"/>
    </xf>
    <xf fontId="26639" applyFont="true" borderId="8" applyBorder="true" applyNumberFormat="true" numFmtId="1" fillId="22" applyFill="true">
      <alignment horizontal="center" vertical="center"/>
    </xf>
    <xf fontId="26640" applyFont="true" borderId="8" applyBorder="true" applyNumberFormat="true" numFmtId="167" fillId="22" applyFill="true">
      <alignment horizontal="center" vertical="center"/>
    </xf>
    <xf fontId="26641" applyFont="true" borderId="8" applyBorder="true" applyNumberFormat="true" numFmtId="1" fillId="22" applyFill="true">
      <alignment horizontal="center" vertical="center"/>
    </xf>
    <xf fontId="26642" applyFont="true" borderId="8" applyBorder="true" applyNumberFormat="true" numFmtId="167" fillId="22" applyFill="true">
      <alignment horizontal="center" vertical="center"/>
    </xf>
    <xf fontId="26643" applyFont="true" borderId="8" applyBorder="true" applyNumberFormat="true" numFmtId="1" fillId="22" applyFill="true">
      <alignment horizontal="center" vertical="center"/>
    </xf>
    <xf fontId="26644" applyFont="true" borderId="8" applyBorder="true" applyNumberFormat="true" numFmtId="167" fillId="22" applyFill="true">
      <alignment horizontal="center" vertical="center"/>
    </xf>
    <xf fontId="26645" applyFont="true" borderId="8" applyBorder="true" applyNumberFormat="true" numFmtId="2" fillId="22" applyFill="true">
      <alignment horizontal="center" vertical="center"/>
    </xf>
    <xf fontId="26646" applyFont="true" borderId="8" applyBorder="true" applyNumberFormat="true" numFmtId="2" fillId="22" applyFill="true">
      <alignment horizontal="center" vertical="center"/>
    </xf>
    <xf fontId="26647" applyFont="true" borderId="8" applyBorder="true" applyNumberFormat="true" numFmtId="2" fillId="22" applyFill="true">
      <alignment horizontal="center" vertical="center"/>
    </xf>
    <xf fontId="26648" applyFont="true" borderId="8" applyBorder="true" applyNumberFormat="true" numFmtId="2" fillId="22" applyFill="true">
      <alignment horizontal="center" vertical="center"/>
    </xf>
    <xf fontId="26649" applyFont="true" borderId="8" applyBorder="true" applyNumberFormat="true" numFmtId="2" fillId="22" applyFill="true">
      <alignment horizontal="center" vertical="center"/>
    </xf>
    <xf fontId="26650" applyFont="true" borderId="8" applyBorder="true" applyNumberFormat="true" numFmtId="2" fillId="22" applyFill="true">
      <alignment horizontal="center" vertical="center"/>
    </xf>
    <xf fontId="26651" applyFont="true" borderId="8" applyBorder="true" applyNumberFormat="true" numFmtId="2" fillId="22" applyFill="true">
      <alignment horizontal="center" vertical="center"/>
    </xf>
    <xf fontId="26652" applyFont="true" borderId="8" applyBorder="true" applyNumberFormat="true" numFmtId="2" fillId="22" applyFill="true">
      <alignment horizontal="center" vertical="center"/>
    </xf>
    <xf fontId="26653" applyFont="true" borderId="8" applyBorder="true" applyNumberFormat="true" numFmtId="2" fillId="22" applyFill="true">
      <alignment horizontal="center" vertical="center"/>
    </xf>
    <xf fontId="26654" applyFont="true" borderId="8" applyBorder="true" applyNumberFormat="true" numFmtId="2" fillId="22" applyFill="true">
      <alignment horizontal="center" vertical="center"/>
    </xf>
    <xf fontId="26655" applyFont="true" borderId="8" applyBorder="true" applyNumberFormat="true" numFmtId="2" fillId="22" applyFill="true">
      <alignment horizontal="center" vertical="center"/>
    </xf>
    <xf fontId="26656" applyFont="true" borderId="8" applyBorder="true" applyNumberFormat="true" numFmtId="2" fillId="22" applyFill="true">
      <alignment horizontal="center" vertical="center"/>
    </xf>
    <xf fontId="26657" applyFont="true" borderId="8" applyBorder="true" applyNumberFormat="true" numFmtId="2" fillId="22" applyFill="true">
      <alignment horizontal="center" vertical="center"/>
    </xf>
    <xf fontId="26658" applyFont="true" borderId="8" applyBorder="true" applyNumberFormat="true" numFmtId="2" fillId="22" applyFill="true">
      <alignment horizontal="center" vertical="center"/>
    </xf>
    <xf fontId="26659" applyFont="true" borderId="8" applyBorder="true" applyNumberFormat="true" numFmtId="2" fillId="22" applyFill="true">
      <alignment horizontal="center" vertical="center"/>
    </xf>
    <xf fontId="26660" applyFont="true" borderId="8" applyBorder="true" applyNumberFormat="true" numFmtId="2" fillId="22" applyFill="true">
      <alignment horizontal="center" vertical="center"/>
    </xf>
    <xf fontId="26661" applyFont="true" borderId="8" applyBorder="true" applyNumberFormat="true" numFmtId="2" fillId="22" applyFill="true">
      <alignment horizontal="center" vertical="center"/>
    </xf>
    <xf fontId="26662" applyFont="true" borderId="8" applyBorder="true" applyNumberFormat="true" numFmtId="2" fillId="22" applyFill="true">
      <alignment horizontal="center" vertical="center"/>
    </xf>
    <xf fontId="26663" applyFont="true" borderId="8" applyBorder="true" applyNumberFormat="true" numFmtId="2" fillId="22" applyFill="true">
      <alignment horizontal="center" vertical="center"/>
    </xf>
    <xf fontId="26664" applyFont="true" borderId="8" applyBorder="true" applyNumberFormat="true" numFmtId="2" fillId="22" applyFill="true">
      <alignment horizontal="center" vertical="center"/>
    </xf>
    <xf fontId="26665" applyFont="true" borderId="8" applyBorder="true" applyNumberFormat="true" numFmtId="2" fillId="22" applyFill="true">
      <alignment horizontal="center" vertical="center"/>
    </xf>
    <xf fontId="26666" applyFont="true" borderId="8" applyBorder="true" applyNumberFormat="true" numFmtId="2" fillId="22" applyFill="true">
      <alignment horizontal="center" vertical="center"/>
    </xf>
    <xf fontId="26667" applyFont="true" borderId="8" applyBorder="true" applyNumberFormat="true" numFmtId="2" fillId="22" applyFill="true">
      <alignment horizontal="center" vertical="center"/>
    </xf>
    <xf fontId="26668" applyFont="true" borderId="8" applyBorder="true" applyNumberFormat="true" numFmtId="2" fillId="22" applyFill="true">
      <alignment horizontal="center" vertical="center"/>
    </xf>
    <xf fontId="26669" applyFont="true" borderId="8" applyBorder="true" applyNumberFormat="true" numFmtId="2" fillId="22" applyFill="true">
      <alignment horizontal="center" vertical="center"/>
    </xf>
    <xf fontId="26670" applyFont="true" borderId="8" applyBorder="true" applyNumberFormat="true" numFmtId="2" fillId="22" applyFill="true">
      <alignment horizontal="center" vertical="center"/>
    </xf>
    <xf fontId="26671" applyFont="true" borderId="8" applyBorder="true" applyNumberFormat="true" numFmtId="2" fillId="22" applyFill="true">
      <alignment horizontal="center" vertical="center"/>
    </xf>
    <xf fontId="26672" applyFont="true" borderId="8" applyBorder="true" applyNumberFormat="true" numFmtId="2" fillId="22" applyFill="true">
      <alignment horizontal="center" vertical="center"/>
    </xf>
    <xf fontId="26673" applyFont="true" borderId="8" applyBorder="true" applyNumberFormat="true" numFmtId="2" fillId="22" applyFill="true">
      <alignment horizontal="center" vertical="center"/>
    </xf>
    <xf fontId="26674" applyFont="true" borderId="8" applyBorder="true" applyNumberFormat="true" numFmtId="2" fillId="22" applyFill="true">
      <alignment horizontal="center" vertical="center"/>
    </xf>
    <xf fontId="26675" applyFont="true" borderId="8" applyBorder="true" applyNumberFormat="true" numFmtId="2" fillId="22" applyFill="true">
      <alignment horizontal="center" vertical="center"/>
    </xf>
    <xf fontId="26676" applyFont="true" borderId="8" applyBorder="true" applyNumberFormat="true" numFmtId="2" fillId="22" applyFill="true">
      <alignment horizontal="center" vertical="center"/>
    </xf>
    <xf fontId="26677" applyFont="true" borderId="8" applyBorder="true" applyNumberFormat="true" numFmtId="2" fillId="22" applyFill="true">
      <alignment horizontal="center" vertical="center"/>
    </xf>
    <xf fontId="26678" applyFont="true" borderId="8" applyBorder="true" applyNumberFormat="true" numFmtId="2" fillId="22" applyFill="true">
      <alignment horizontal="center" vertical="center"/>
    </xf>
    <xf fontId="26679" applyFont="true" borderId="8" applyBorder="true" applyNumberFormat="true" numFmtId="165" fillId="19" applyFill="true">
      <alignment horizontal="left" vertical="center"/>
    </xf>
    <xf fontId="26680" applyFont="true" borderId="8" applyBorder="true" applyNumberFormat="true" numFmtId="165" fillId="22" applyFill="true">
      <alignment horizontal="center" vertical="center"/>
    </xf>
    <xf fontId="26681" applyFont="true" borderId="8" applyBorder="true" applyNumberFormat="true" numFmtId="166" fillId="22" applyFill="true">
      <alignment horizontal="center" vertical="center"/>
    </xf>
    <xf fontId="26682" applyFont="true" borderId="8" applyBorder="true" applyNumberFormat="true" numFmtId="1" fillId="22" applyFill="true">
      <alignment horizontal="center" vertical="center"/>
    </xf>
    <xf fontId="26683" applyFont="true" borderId="8" applyBorder="true" applyNumberFormat="true" numFmtId="1" fillId="22" applyFill="true">
      <alignment horizontal="center" vertical="center"/>
    </xf>
    <xf fontId="26684" applyFont="true" borderId="8" applyBorder="true" applyNumberFormat="true" numFmtId="1" fillId="22" applyFill="true">
      <alignment horizontal="center" vertical="center"/>
    </xf>
    <xf fontId="26685" applyFont="true" borderId="8" applyBorder="true" applyNumberFormat="true" numFmtId="1" fillId="22" applyFill="true">
      <alignment horizontal="center" vertical="center"/>
    </xf>
    <xf fontId="26686" applyFont="true" borderId="8" applyBorder="true" applyNumberFormat="true" numFmtId="1" fillId="22" applyFill="true">
      <alignment horizontal="center" vertical="center"/>
    </xf>
    <xf fontId="26687" applyFont="true" borderId="8" applyBorder="true" applyNumberFormat="true" numFmtId="1" fillId="22" applyFill="true">
      <alignment horizontal="center" vertical="center"/>
    </xf>
    <xf fontId="26688" applyFont="true" borderId="8" applyBorder="true" applyNumberFormat="true" numFmtId="1" fillId="22" applyFill="true">
      <alignment horizontal="center" vertical="center"/>
    </xf>
    <xf fontId="26689" applyFont="true" borderId="8" applyBorder="true" applyNumberFormat="true" numFmtId="165" fillId="22" applyFill="true">
      <alignment horizontal="center" vertical="center"/>
    </xf>
    <xf fontId="26690" applyFont="true" borderId="8" applyBorder="true" applyNumberFormat="true" numFmtId="165" fillId="22" applyFill="true">
      <alignment horizontal="center" vertical="center"/>
    </xf>
    <xf fontId="26691" applyFont="true" borderId="8" applyBorder="true" applyNumberFormat="true" numFmtId="1" fillId="22" applyFill="true">
      <alignment horizontal="center" vertical="center"/>
    </xf>
    <xf fontId="26692" applyFont="true" borderId="8" applyBorder="true" applyNumberFormat="true" numFmtId="1" fillId="22" applyFill="true">
      <alignment horizontal="center" vertical="center"/>
    </xf>
    <xf fontId="26693" applyFont="true" borderId="8" applyBorder="true" applyNumberFormat="true" numFmtId="1" fillId="22" applyFill="true">
      <alignment horizontal="center" vertical="center"/>
    </xf>
    <xf fontId="26694" applyFont="true" borderId="8" applyBorder="true" applyNumberFormat="true" numFmtId="167" fillId="22" applyFill="true">
      <alignment horizontal="center" vertical="center"/>
    </xf>
    <xf fontId="26695" applyFont="true" borderId="8" applyBorder="true" applyNumberFormat="true" numFmtId="1" fillId="22" applyFill="true">
      <alignment horizontal="center" vertical="center"/>
    </xf>
    <xf fontId="26696" applyFont="true" borderId="8" applyBorder="true" applyNumberFormat="true" numFmtId="167" fillId="22" applyFill="true">
      <alignment horizontal="center" vertical="center"/>
    </xf>
    <xf fontId="26697" applyFont="true" borderId="8" applyBorder="true" applyNumberFormat="true" numFmtId="1" fillId="22" applyFill="true">
      <alignment horizontal="center" vertical="center"/>
    </xf>
    <xf fontId="26698" applyFont="true" borderId="8" applyBorder="true" applyNumberFormat="true" numFmtId="167" fillId="22" applyFill="true">
      <alignment horizontal="center" vertical="center"/>
    </xf>
    <xf fontId="26699" applyFont="true" borderId="8" applyBorder="true" applyNumberFormat="true" numFmtId="1" fillId="22" applyFill="true">
      <alignment horizontal="center" vertical="center"/>
    </xf>
    <xf fontId="26700" applyFont="true" borderId="8" applyBorder="true" applyNumberFormat="true" numFmtId="167" fillId="22" applyFill="true">
      <alignment horizontal="center" vertical="center"/>
    </xf>
    <xf fontId="26701" applyFont="true" borderId="8" applyBorder="true" applyNumberFormat="true" numFmtId="167" fillId="22" applyFill="true">
      <alignment horizontal="center" vertical="center"/>
    </xf>
    <xf fontId="26702" applyFont="true" borderId="8" applyBorder="true" applyNumberFormat="true" numFmtId="1" fillId="22" applyFill="true">
      <alignment horizontal="center" vertical="center"/>
    </xf>
    <xf fontId="26703" applyFont="true" borderId="8" applyBorder="true" applyNumberFormat="true" numFmtId="1" fillId="22" applyFill="true">
      <alignment horizontal="center" vertical="center"/>
    </xf>
    <xf fontId="26704" applyFont="true" borderId="8" applyBorder="true" applyNumberFormat="true" numFmtId="1" fillId="22" applyFill="true">
      <alignment horizontal="center" vertical="center"/>
    </xf>
    <xf fontId="26705" applyFont="true" borderId="8" applyBorder="true" applyNumberFormat="true" numFmtId="167" fillId="22" applyFill="true">
      <alignment horizontal="center" vertical="center"/>
    </xf>
    <xf fontId="26706" applyFont="true" borderId="8" applyBorder="true" applyNumberFormat="true" numFmtId="166" fillId="22" applyFill="true">
      <alignment horizontal="center" vertical="center"/>
    </xf>
    <xf fontId="26707" applyFont="true" borderId="8" applyBorder="true" applyNumberFormat="true" numFmtId="166" fillId="22" applyFill="true">
      <alignment horizontal="center" vertical="center"/>
    </xf>
    <xf fontId="26708" applyFont="true" borderId="8" applyBorder="true" applyNumberFormat="true" numFmtId="1" fillId="22" applyFill="true">
      <alignment horizontal="center" vertical="center"/>
    </xf>
    <xf fontId="26709" applyFont="true" borderId="8" applyBorder="true" applyNumberFormat="true" numFmtId="1" fillId="22" applyFill="true">
      <alignment horizontal="center" vertical="center"/>
    </xf>
    <xf fontId="26710" applyFont="true" borderId="8" applyBorder="true" applyNumberFormat="true" numFmtId="1" fillId="22" applyFill="true">
      <alignment horizontal="center" vertical="center"/>
    </xf>
    <xf fontId="26711" applyFont="true" borderId="8" applyBorder="true" applyNumberFormat="true" numFmtId="167" fillId="22" applyFill="true">
      <alignment horizontal="center" vertical="center"/>
    </xf>
    <xf fontId="26712" applyFont="true" borderId="8" applyBorder="true" applyNumberFormat="true" numFmtId="1" fillId="22" applyFill="true">
      <alignment horizontal="center" vertical="center"/>
    </xf>
    <xf fontId="26713" applyFont="true" borderId="8" applyBorder="true" applyNumberFormat="true" numFmtId="167" fillId="22" applyFill="true">
      <alignment horizontal="center" vertical="center"/>
    </xf>
    <xf fontId="26714" applyFont="true" borderId="8" applyBorder="true" applyNumberFormat="true" numFmtId="1" fillId="22" applyFill="true">
      <alignment horizontal="center" vertical="center"/>
    </xf>
    <xf fontId="26715" applyFont="true" borderId="8" applyBorder="true" applyNumberFormat="true" numFmtId="1" fillId="22" applyFill="true">
      <alignment horizontal="center" vertical="center"/>
    </xf>
    <xf fontId="26716" applyFont="true" borderId="8" applyBorder="true" applyNumberFormat="true" numFmtId="1" fillId="22" applyFill="true">
      <alignment horizontal="center" vertical="center"/>
    </xf>
    <xf fontId="26717" applyFont="true" borderId="8" applyBorder="true" applyNumberFormat="true" numFmtId="1" fillId="22" applyFill="true">
      <alignment horizontal="center" vertical="center"/>
    </xf>
    <xf fontId="26718" applyFont="true" borderId="8" applyBorder="true" applyNumberFormat="true" numFmtId="167" fillId="22" applyFill="true">
      <alignment horizontal="center" vertical="center"/>
    </xf>
    <xf fontId="26719" applyFont="true" borderId="8" applyBorder="true" applyNumberFormat="true" numFmtId="1" fillId="22" applyFill="true">
      <alignment horizontal="center" vertical="center"/>
    </xf>
    <xf fontId="26720" applyFont="true" borderId="8" applyBorder="true" applyNumberFormat="true" numFmtId="167" fillId="22" applyFill="true">
      <alignment horizontal="center" vertical="center"/>
    </xf>
    <xf fontId="26721" applyFont="true" borderId="8" applyBorder="true" applyNumberFormat="true" numFmtId="1" fillId="22" applyFill="true">
      <alignment horizontal="center" vertical="center"/>
    </xf>
    <xf fontId="26722" applyFont="true" borderId="8" applyBorder="true" applyNumberFormat="true" numFmtId="167" fillId="22" applyFill="true">
      <alignment horizontal="center" vertical="center"/>
    </xf>
    <xf fontId="26723" applyFont="true" borderId="8" applyBorder="true" applyNumberFormat="true" numFmtId="2" fillId="22" applyFill="true">
      <alignment horizontal="center" vertical="center"/>
    </xf>
    <xf fontId="26724" applyFont="true" borderId="8" applyBorder="true" applyNumberFormat="true" numFmtId="2" fillId="22" applyFill="true">
      <alignment horizontal="center" vertical="center"/>
    </xf>
    <xf fontId="26725" applyFont="true" borderId="8" applyBorder="true" applyNumberFormat="true" numFmtId="2" fillId="22" applyFill="true">
      <alignment horizontal="center" vertical="center"/>
    </xf>
    <xf fontId="26726" applyFont="true" borderId="8" applyBorder="true" applyNumberFormat="true" numFmtId="2" fillId="22" applyFill="true">
      <alignment horizontal="center" vertical="center"/>
    </xf>
    <xf fontId="26727" applyFont="true" borderId="8" applyBorder="true" applyNumberFormat="true" numFmtId="2" fillId="22" applyFill="true">
      <alignment horizontal="center" vertical="center"/>
    </xf>
    <xf fontId="26728" applyFont="true" borderId="8" applyBorder="true" applyNumberFormat="true" numFmtId="2" fillId="22" applyFill="true">
      <alignment horizontal="center" vertical="center"/>
    </xf>
    <xf fontId="26729" applyFont="true" borderId="8" applyBorder="true" applyNumberFormat="true" numFmtId="2" fillId="22" applyFill="true">
      <alignment horizontal="center" vertical="center"/>
    </xf>
    <xf fontId="26730" applyFont="true" borderId="8" applyBorder="true" applyNumberFormat="true" numFmtId="2" fillId="22" applyFill="true">
      <alignment horizontal="center" vertical="center"/>
    </xf>
    <xf fontId="26731" applyFont="true" borderId="8" applyBorder="true" applyNumberFormat="true" numFmtId="2" fillId="22" applyFill="true">
      <alignment horizontal="center" vertical="center"/>
    </xf>
    <xf fontId="26732" applyFont="true" borderId="8" applyBorder="true" applyNumberFormat="true" numFmtId="2" fillId="22" applyFill="true">
      <alignment horizontal="center" vertical="center"/>
    </xf>
    <xf fontId="26733" applyFont="true" borderId="8" applyBorder="true" applyNumberFormat="true" numFmtId="2" fillId="22" applyFill="true">
      <alignment horizontal="center" vertical="center"/>
    </xf>
    <xf fontId="26734" applyFont="true" borderId="8" applyBorder="true" applyNumberFormat="true" numFmtId="2" fillId="22" applyFill="true">
      <alignment horizontal="center" vertical="center"/>
    </xf>
    <xf fontId="26735" applyFont="true" borderId="8" applyBorder="true" applyNumberFormat="true" numFmtId="2" fillId="22" applyFill="true">
      <alignment horizontal="center" vertical="center"/>
    </xf>
    <xf fontId="26736" applyFont="true" borderId="8" applyBorder="true" applyNumberFormat="true" numFmtId="2" fillId="22" applyFill="true">
      <alignment horizontal="center" vertical="center"/>
    </xf>
    <xf fontId="26737" applyFont="true" borderId="8" applyBorder="true" applyNumberFormat="true" numFmtId="2" fillId="22" applyFill="true">
      <alignment horizontal="center" vertical="center"/>
    </xf>
    <xf fontId="26738" applyFont="true" borderId="8" applyBorder="true" applyNumberFormat="true" numFmtId="2" fillId="22" applyFill="true">
      <alignment horizontal="center" vertical="center"/>
    </xf>
    <xf fontId="26739" applyFont="true" borderId="8" applyBorder="true" applyNumberFormat="true" numFmtId="2" fillId="22" applyFill="true">
      <alignment horizontal="center" vertical="center"/>
    </xf>
    <xf fontId="26740" applyFont="true" borderId="8" applyBorder="true" applyNumberFormat="true" numFmtId="2" fillId="22" applyFill="true">
      <alignment horizontal="center" vertical="center"/>
    </xf>
    <xf fontId="26741" applyFont="true" borderId="8" applyBorder="true" applyNumberFormat="true" numFmtId="2" fillId="22" applyFill="true">
      <alignment horizontal="center" vertical="center"/>
    </xf>
    <xf fontId="26742" applyFont="true" borderId="8" applyBorder="true" applyNumberFormat="true" numFmtId="2" fillId="22" applyFill="true">
      <alignment horizontal="center" vertical="center"/>
    </xf>
    <xf fontId="26743" applyFont="true" borderId="8" applyBorder="true" applyNumberFormat="true" numFmtId="2" fillId="22" applyFill="true">
      <alignment horizontal="center" vertical="center"/>
    </xf>
    <xf fontId="26744" applyFont="true" borderId="8" applyBorder="true" applyNumberFormat="true" numFmtId="2" fillId="22" applyFill="true">
      <alignment horizontal="center" vertical="center"/>
    </xf>
    <xf fontId="26745" applyFont="true" borderId="8" applyBorder="true" applyNumberFormat="true" numFmtId="2" fillId="22" applyFill="true">
      <alignment horizontal="center" vertical="center"/>
    </xf>
    <xf fontId="26746" applyFont="true" borderId="8" applyBorder="true" applyNumberFormat="true" numFmtId="2" fillId="22" applyFill="true">
      <alignment horizontal="center" vertical="center"/>
    </xf>
    <xf fontId="26747" applyFont="true" borderId="8" applyBorder="true" applyNumberFormat="true" numFmtId="2" fillId="22" applyFill="true">
      <alignment horizontal="center" vertical="center"/>
    </xf>
    <xf fontId="26748" applyFont="true" borderId="8" applyBorder="true" applyNumberFormat="true" numFmtId="2" fillId="22" applyFill="true">
      <alignment horizontal="center" vertical="center"/>
    </xf>
    <xf fontId="26749" applyFont="true" borderId="8" applyBorder="true" applyNumberFormat="true" numFmtId="2" fillId="22" applyFill="true">
      <alignment horizontal="center" vertical="center"/>
    </xf>
    <xf fontId="26750" applyFont="true" borderId="8" applyBorder="true" applyNumberFormat="true" numFmtId="2" fillId="22" applyFill="true">
      <alignment horizontal="center" vertical="center"/>
    </xf>
    <xf fontId="26751" applyFont="true" borderId="8" applyBorder="true" applyNumberFormat="true" numFmtId="2" fillId="22" applyFill="true">
      <alignment horizontal="center" vertical="center"/>
    </xf>
    <xf fontId="26752" applyFont="true" borderId="8" applyBorder="true" applyNumberFormat="true" numFmtId="2" fillId="22" applyFill="true">
      <alignment horizontal="center" vertical="center"/>
    </xf>
    <xf fontId="26753" applyFont="true" borderId="8" applyBorder="true" applyNumberFormat="true" numFmtId="2" fillId="22" applyFill="true">
      <alignment horizontal="center" vertical="center"/>
    </xf>
    <xf fontId="26754" applyFont="true" borderId="8" applyBorder="true" applyNumberFormat="true" numFmtId="2" fillId="22" applyFill="true">
      <alignment horizontal="center" vertical="center"/>
    </xf>
    <xf fontId="26755" applyFont="true" borderId="8" applyBorder="true" applyNumberFormat="true" numFmtId="2" fillId="22" applyFill="true">
      <alignment horizontal="center" vertical="center"/>
    </xf>
    <xf fontId="26756" applyFont="true" borderId="8" applyBorder="true" applyNumberFormat="true" numFmtId="2" fillId="22" applyFill="true">
      <alignment horizontal="center" vertical="center"/>
    </xf>
    <xf fontId="26757" applyFont="true" borderId="8" applyBorder="true" applyNumberFormat="true" numFmtId="165" fillId="19" applyFill="true">
      <alignment horizontal="left" vertical="center"/>
    </xf>
    <xf fontId="26758" applyFont="true" borderId="8" applyBorder="true" applyNumberFormat="true" numFmtId="165" fillId="22" applyFill="true">
      <alignment horizontal="center" vertical="center"/>
    </xf>
    <xf fontId="26759" applyFont="true" borderId="8" applyBorder="true" applyNumberFormat="true" numFmtId="166" fillId="22" applyFill="true">
      <alignment horizontal="center" vertical="center"/>
    </xf>
    <xf fontId="26760" applyFont="true" borderId="8" applyBorder="true" applyNumberFormat="true" numFmtId="1" fillId="22" applyFill="true">
      <alignment horizontal="center" vertical="center"/>
    </xf>
    <xf fontId="26761" applyFont="true" borderId="8" applyBorder="true" applyNumberFormat="true" numFmtId="1" fillId="22" applyFill="true">
      <alignment horizontal="center" vertical="center"/>
    </xf>
    <xf fontId="26762" applyFont="true" borderId="8" applyBorder="true" applyNumberFormat="true" numFmtId="1" fillId="22" applyFill="true">
      <alignment horizontal="center" vertical="center"/>
    </xf>
    <xf fontId="26763" applyFont="true" borderId="8" applyBorder="true" applyNumberFormat="true" numFmtId="1" fillId="22" applyFill="true">
      <alignment horizontal="center" vertical="center"/>
    </xf>
    <xf fontId="26764" applyFont="true" borderId="8" applyBorder="true" applyNumberFormat="true" numFmtId="1" fillId="22" applyFill="true">
      <alignment horizontal="center" vertical="center"/>
    </xf>
    <xf fontId="26765" applyFont="true" borderId="8" applyBorder="true" applyNumberFormat="true" numFmtId="1" fillId="22" applyFill="true">
      <alignment horizontal="center" vertical="center"/>
    </xf>
    <xf fontId="26766" applyFont="true" borderId="8" applyBorder="true" applyNumberFormat="true" numFmtId="1" fillId="22" applyFill="true">
      <alignment horizontal="center" vertical="center"/>
    </xf>
    <xf fontId="26767" applyFont="true" borderId="8" applyBorder="true" applyNumberFormat="true" numFmtId="165" fillId="22" applyFill="true">
      <alignment horizontal="center" vertical="center"/>
    </xf>
    <xf fontId="26768" applyFont="true" borderId="8" applyBorder="true" applyNumberFormat="true" numFmtId="165" fillId="22" applyFill="true">
      <alignment horizontal="center" vertical="center"/>
    </xf>
    <xf fontId="26769" applyFont="true" borderId="8" applyBorder="true" applyNumberFormat="true" numFmtId="1" fillId="22" applyFill="true">
      <alignment horizontal="center" vertical="center"/>
    </xf>
    <xf fontId="26770" applyFont="true" borderId="8" applyBorder="true" applyNumberFormat="true" numFmtId="1" fillId="22" applyFill="true">
      <alignment horizontal="center" vertical="center"/>
    </xf>
    <xf fontId="26771" applyFont="true" borderId="8" applyBorder="true" applyNumberFormat="true" numFmtId="1" fillId="22" applyFill="true">
      <alignment horizontal="center" vertical="center"/>
    </xf>
    <xf fontId="26772" applyFont="true" borderId="8" applyBorder="true" applyNumberFormat="true" numFmtId="167" fillId="22" applyFill="true">
      <alignment horizontal="center" vertical="center"/>
    </xf>
    <xf fontId="26773" applyFont="true" borderId="8" applyBorder="true" applyNumberFormat="true" numFmtId="1" fillId="22" applyFill="true">
      <alignment horizontal="center" vertical="center"/>
    </xf>
    <xf fontId="26774" applyFont="true" borderId="8" applyBorder="true" applyNumberFormat="true" numFmtId="167" fillId="22" applyFill="true">
      <alignment horizontal="center" vertical="center"/>
    </xf>
    <xf fontId="26775" applyFont="true" borderId="8" applyBorder="true" applyNumberFormat="true" numFmtId="1" fillId="22" applyFill="true">
      <alignment horizontal="center" vertical="center"/>
    </xf>
    <xf fontId="26776" applyFont="true" borderId="8" applyBorder="true" applyNumberFormat="true" numFmtId="167" fillId="22" applyFill="true">
      <alignment horizontal="center" vertical="center"/>
    </xf>
    <xf fontId="26777" applyFont="true" borderId="8" applyBorder="true" applyNumberFormat="true" numFmtId="1" fillId="22" applyFill="true">
      <alignment horizontal="center" vertical="center"/>
    </xf>
    <xf fontId="26778" applyFont="true" borderId="8" applyBorder="true" applyNumberFormat="true" numFmtId="167" fillId="22" applyFill="true">
      <alignment horizontal="center" vertical="center"/>
    </xf>
    <xf fontId="26779" applyFont="true" borderId="8" applyBorder="true" applyNumberFormat="true" numFmtId="167" fillId="22" applyFill="true">
      <alignment horizontal="center" vertical="center"/>
    </xf>
    <xf fontId="26780" applyFont="true" borderId="8" applyBorder="true" applyNumberFormat="true" numFmtId="1" fillId="22" applyFill="true">
      <alignment horizontal="center" vertical="center"/>
    </xf>
    <xf fontId="26781" applyFont="true" borderId="8" applyBorder="true" applyNumberFormat="true" numFmtId="1" fillId="22" applyFill="true">
      <alignment horizontal="center" vertical="center"/>
    </xf>
    <xf fontId="26782" applyFont="true" borderId="8" applyBorder="true" applyNumberFormat="true" numFmtId="1" fillId="22" applyFill="true">
      <alignment horizontal="center" vertical="center"/>
    </xf>
    <xf fontId="26783" applyFont="true" borderId="8" applyBorder="true" applyNumberFormat="true" numFmtId="167" fillId="22" applyFill="true">
      <alignment horizontal="center" vertical="center"/>
    </xf>
    <xf fontId="26784" applyFont="true" borderId="8" applyBorder="true" applyNumberFormat="true" numFmtId="166" fillId="22" applyFill="true">
      <alignment horizontal="center" vertical="center"/>
    </xf>
    <xf fontId="26785" applyFont="true" borderId="8" applyBorder="true" applyNumberFormat="true" numFmtId="166" fillId="22" applyFill="true">
      <alignment horizontal="center" vertical="center"/>
    </xf>
    <xf fontId="26786" applyFont="true" borderId="8" applyBorder="true" applyNumberFormat="true" numFmtId="1" fillId="22" applyFill="true">
      <alignment horizontal="center" vertical="center"/>
    </xf>
    <xf fontId="26787" applyFont="true" borderId="8" applyBorder="true" applyNumberFormat="true" numFmtId="1" fillId="22" applyFill="true">
      <alignment horizontal="center" vertical="center"/>
    </xf>
    <xf fontId="26788" applyFont="true" borderId="8" applyBorder="true" applyNumberFormat="true" numFmtId="1" fillId="22" applyFill="true">
      <alignment horizontal="center" vertical="center"/>
    </xf>
    <xf fontId="26789" applyFont="true" borderId="8" applyBorder="true" applyNumberFormat="true" numFmtId="167" fillId="22" applyFill="true">
      <alignment horizontal="center" vertical="center"/>
    </xf>
    <xf fontId="26790" applyFont="true" borderId="8" applyBorder="true" applyNumberFormat="true" numFmtId="1" fillId="22" applyFill="true">
      <alignment horizontal="center" vertical="center"/>
    </xf>
    <xf fontId="26791" applyFont="true" borderId="8" applyBorder="true" applyNumberFormat="true" numFmtId="167" fillId="22" applyFill="true">
      <alignment horizontal="center" vertical="center"/>
    </xf>
    <xf fontId="26792" applyFont="true" borderId="8" applyBorder="true" applyNumberFormat="true" numFmtId="1" fillId="22" applyFill="true">
      <alignment horizontal="center" vertical="center"/>
    </xf>
    <xf fontId="26793" applyFont="true" borderId="8" applyBorder="true" applyNumberFormat="true" numFmtId="1" fillId="22" applyFill="true">
      <alignment horizontal="center" vertical="center"/>
    </xf>
    <xf fontId="26794" applyFont="true" borderId="8" applyBorder="true" applyNumberFormat="true" numFmtId="1" fillId="22" applyFill="true">
      <alignment horizontal="center" vertical="center"/>
    </xf>
    <xf fontId="26795" applyFont="true" borderId="8" applyBorder="true" applyNumberFormat="true" numFmtId="1" fillId="22" applyFill="true">
      <alignment horizontal="center" vertical="center"/>
    </xf>
    <xf fontId="26796" applyFont="true" borderId="8" applyBorder="true" applyNumberFormat="true" numFmtId="167" fillId="22" applyFill="true">
      <alignment horizontal="center" vertical="center"/>
    </xf>
    <xf fontId="26797" applyFont="true" borderId="8" applyBorder="true" applyNumberFormat="true" numFmtId="1" fillId="22" applyFill="true">
      <alignment horizontal="center" vertical="center"/>
    </xf>
    <xf fontId="26798" applyFont="true" borderId="8" applyBorder="true" applyNumberFormat="true" numFmtId="167" fillId="22" applyFill="true">
      <alignment horizontal="center" vertical="center"/>
    </xf>
    <xf fontId="26799" applyFont="true" borderId="8" applyBorder="true" applyNumberFormat="true" numFmtId="1" fillId="22" applyFill="true">
      <alignment horizontal="center" vertical="center"/>
    </xf>
    <xf fontId="26800" applyFont="true" borderId="8" applyBorder="true" applyNumberFormat="true" numFmtId="167" fillId="22" applyFill="true">
      <alignment horizontal="center" vertical="center"/>
    </xf>
    <xf fontId="26801" applyFont="true" borderId="8" applyBorder="true" applyNumberFormat="true" numFmtId="2" fillId="22" applyFill="true">
      <alignment horizontal="center" vertical="center"/>
    </xf>
    <xf fontId="26802" applyFont="true" borderId="8" applyBorder="true" applyNumberFormat="true" numFmtId="2" fillId="22" applyFill="true">
      <alignment horizontal="center" vertical="center"/>
    </xf>
    <xf fontId="26803" applyFont="true" borderId="8" applyBorder="true" applyNumberFormat="true" numFmtId="2" fillId="22" applyFill="true">
      <alignment horizontal="center" vertical="center"/>
    </xf>
    <xf fontId="26804" applyFont="true" borderId="8" applyBorder="true" applyNumberFormat="true" numFmtId="2" fillId="22" applyFill="true">
      <alignment horizontal="center" vertical="center"/>
    </xf>
    <xf fontId="26805" applyFont="true" borderId="8" applyBorder="true" applyNumberFormat="true" numFmtId="2" fillId="22" applyFill="true">
      <alignment horizontal="center" vertical="center"/>
    </xf>
    <xf fontId="26806" applyFont="true" borderId="8" applyBorder="true" applyNumberFormat="true" numFmtId="2" fillId="22" applyFill="true">
      <alignment horizontal="center" vertical="center"/>
    </xf>
    <xf fontId="26807" applyFont="true" borderId="8" applyBorder="true" applyNumberFormat="true" numFmtId="2" fillId="22" applyFill="true">
      <alignment horizontal="center" vertical="center"/>
    </xf>
    <xf fontId="26808" applyFont="true" borderId="8" applyBorder="true" applyNumberFormat="true" numFmtId="2" fillId="22" applyFill="true">
      <alignment horizontal="center" vertical="center"/>
    </xf>
    <xf fontId="26809" applyFont="true" borderId="8" applyBorder="true" applyNumberFormat="true" numFmtId="2" fillId="22" applyFill="true">
      <alignment horizontal="center" vertical="center"/>
    </xf>
    <xf fontId="26810" applyFont="true" borderId="8" applyBorder="true" applyNumberFormat="true" numFmtId="2" fillId="22" applyFill="true">
      <alignment horizontal="center" vertical="center"/>
    </xf>
    <xf fontId="26811" applyFont="true" borderId="8" applyBorder="true" applyNumberFormat="true" numFmtId="2" fillId="22" applyFill="true">
      <alignment horizontal="center" vertical="center"/>
    </xf>
    <xf fontId="26812" applyFont="true" borderId="8" applyBorder="true" applyNumberFormat="true" numFmtId="2" fillId="22" applyFill="true">
      <alignment horizontal="center" vertical="center"/>
    </xf>
    <xf fontId="26813" applyFont="true" borderId="8" applyBorder="true" applyNumberFormat="true" numFmtId="2" fillId="22" applyFill="true">
      <alignment horizontal="center" vertical="center"/>
    </xf>
    <xf fontId="26814" applyFont="true" borderId="8" applyBorder="true" applyNumberFormat="true" numFmtId="2" fillId="22" applyFill="true">
      <alignment horizontal="center" vertical="center"/>
    </xf>
    <xf fontId="26815" applyFont="true" borderId="8" applyBorder="true" applyNumberFormat="true" numFmtId="2" fillId="22" applyFill="true">
      <alignment horizontal="center" vertical="center"/>
    </xf>
    <xf fontId="26816" applyFont="true" borderId="8" applyBorder="true" applyNumberFormat="true" numFmtId="2" fillId="22" applyFill="true">
      <alignment horizontal="center" vertical="center"/>
    </xf>
    <xf fontId="26817" applyFont="true" borderId="8" applyBorder="true" applyNumberFormat="true" numFmtId="2" fillId="22" applyFill="true">
      <alignment horizontal="center" vertical="center"/>
    </xf>
    <xf fontId="26818" applyFont="true" borderId="8" applyBorder="true" applyNumberFormat="true" numFmtId="2" fillId="22" applyFill="true">
      <alignment horizontal="center" vertical="center"/>
    </xf>
    <xf fontId="26819" applyFont="true" borderId="8" applyBorder="true" applyNumberFormat="true" numFmtId="2" fillId="22" applyFill="true">
      <alignment horizontal="center" vertical="center"/>
    </xf>
    <xf fontId="26820" applyFont="true" borderId="8" applyBorder="true" applyNumberFormat="true" numFmtId="2" fillId="22" applyFill="true">
      <alignment horizontal="center" vertical="center"/>
    </xf>
    <xf fontId="26821" applyFont="true" borderId="8" applyBorder="true" applyNumberFormat="true" numFmtId="2" fillId="22" applyFill="true">
      <alignment horizontal="center" vertical="center"/>
    </xf>
    <xf fontId="26822" applyFont="true" borderId="8" applyBorder="true" applyNumberFormat="true" numFmtId="2" fillId="22" applyFill="true">
      <alignment horizontal="center" vertical="center"/>
    </xf>
    <xf fontId="26823" applyFont="true" borderId="8" applyBorder="true" applyNumberFormat="true" numFmtId="2" fillId="22" applyFill="true">
      <alignment horizontal="center" vertical="center"/>
    </xf>
    <xf fontId="26824" applyFont="true" borderId="8" applyBorder="true" applyNumberFormat="true" numFmtId="2" fillId="22" applyFill="true">
      <alignment horizontal="center" vertical="center"/>
    </xf>
    <xf fontId="26825" applyFont="true" borderId="8" applyBorder="true" applyNumberFormat="true" numFmtId="2" fillId="22" applyFill="true">
      <alignment horizontal="center" vertical="center"/>
    </xf>
    <xf fontId="26826" applyFont="true" borderId="8" applyBorder="true" applyNumberFormat="true" numFmtId="2" fillId="22" applyFill="true">
      <alignment horizontal="center" vertical="center"/>
    </xf>
    <xf fontId="26827" applyFont="true" borderId="8" applyBorder="true" applyNumberFormat="true" numFmtId="2" fillId="22" applyFill="true">
      <alignment horizontal="center" vertical="center"/>
    </xf>
    <xf fontId="26828" applyFont="true" borderId="8" applyBorder="true" applyNumberFormat="true" numFmtId="2" fillId="22" applyFill="true">
      <alignment horizontal="center" vertical="center"/>
    </xf>
    <xf fontId="26829" applyFont="true" borderId="8" applyBorder="true" applyNumberFormat="true" numFmtId="2" fillId="22" applyFill="true">
      <alignment horizontal="center" vertical="center"/>
    </xf>
    <xf fontId="26830" applyFont="true" borderId="8" applyBorder="true" applyNumberFormat="true" numFmtId="2" fillId="22" applyFill="true">
      <alignment horizontal="center" vertical="center"/>
    </xf>
    <xf fontId="26831" applyFont="true" borderId="8" applyBorder="true" applyNumberFormat="true" numFmtId="2" fillId="22" applyFill="true">
      <alignment horizontal="center" vertical="center"/>
    </xf>
    <xf fontId="26832" applyFont="true" borderId="8" applyBorder="true" applyNumberFormat="true" numFmtId="2" fillId="22" applyFill="true">
      <alignment horizontal="center" vertical="center"/>
    </xf>
    <xf fontId="26833" applyFont="true" borderId="8" applyBorder="true" applyNumberFormat="true" numFmtId="2" fillId="22" applyFill="true">
      <alignment horizontal="center" vertical="center"/>
    </xf>
    <xf fontId="26834" applyFont="true" borderId="8" applyBorder="true" applyNumberFormat="true" numFmtId="2" fillId="22" applyFill="true">
      <alignment horizontal="center" vertical="center"/>
    </xf>
    <xf fontId="26835" applyFont="true" borderId="8" applyBorder="true" applyNumberFormat="true" numFmtId="165" fillId="19" applyFill="true">
      <alignment horizontal="left" vertical="center"/>
    </xf>
    <xf fontId="26836" applyFont="true" borderId="8" applyBorder="true" applyNumberFormat="true" numFmtId="165" fillId="22" applyFill="true">
      <alignment horizontal="center" vertical="center"/>
    </xf>
    <xf fontId="26837" applyFont="true" borderId="8" applyBorder="true" applyNumberFormat="true" numFmtId="166" fillId="22" applyFill="true">
      <alignment horizontal="center" vertical="center"/>
    </xf>
    <xf fontId="26838" applyFont="true" borderId="8" applyBorder="true" applyNumberFormat="true" numFmtId="1" fillId="22" applyFill="true">
      <alignment horizontal="center" vertical="center"/>
    </xf>
    <xf fontId="26839" applyFont="true" borderId="8" applyBorder="true" applyNumberFormat="true" numFmtId="1" fillId="22" applyFill="true">
      <alignment horizontal="center" vertical="center"/>
    </xf>
    <xf fontId="26840" applyFont="true" borderId="8" applyBorder="true" applyNumberFormat="true" numFmtId="1" fillId="22" applyFill="true">
      <alignment horizontal="center" vertical="center"/>
    </xf>
    <xf fontId="26841" applyFont="true" borderId="8" applyBorder="true" applyNumberFormat="true" numFmtId="1" fillId="22" applyFill="true">
      <alignment horizontal="center" vertical="center"/>
    </xf>
    <xf fontId="26842" applyFont="true" borderId="8" applyBorder="true" applyNumberFormat="true" numFmtId="1" fillId="22" applyFill="true">
      <alignment horizontal="center" vertical="center"/>
    </xf>
    <xf fontId="26843" applyFont="true" borderId="8" applyBorder="true" applyNumberFormat="true" numFmtId="1" fillId="22" applyFill="true">
      <alignment horizontal="center" vertical="center"/>
    </xf>
    <xf fontId="26844" applyFont="true" borderId="8" applyBorder="true" applyNumberFormat="true" numFmtId="1" fillId="22" applyFill="true">
      <alignment horizontal="center" vertical="center"/>
    </xf>
    <xf fontId="26845" applyFont="true" borderId="8" applyBorder="true" applyNumberFormat="true" numFmtId="165" fillId="22" applyFill="true">
      <alignment horizontal="center" vertical="center"/>
    </xf>
    <xf fontId="26846" applyFont="true" borderId="8" applyBorder="true" applyNumberFormat="true" numFmtId="165" fillId="22" applyFill="true">
      <alignment horizontal="center" vertical="center"/>
    </xf>
    <xf fontId="26847" applyFont="true" borderId="8" applyBorder="true" applyNumberFormat="true" numFmtId="1" fillId="22" applyFill="true">
      <alignment horizontal="center" vertical="center"/>
    </xf>
    <xf fontId="26848" applyFont="true" borderId="8" applyBorder="true" applyNumberFormat="true" numFmtId="1" fillId="22" applyFill="true">
      <alignment horizontal="center" vertical="center"/>
    </xf>
    <xf fontId="26849" applyFont="true" borderId="8" applyBorder="true" applyNumberFormat="true" numFmtId="1" fillId="22" applyFill="true">
      <alignment horizontal="center" vertical="center"/>
    </xf>
    <xf fontId="26850" applyFont="true" borderId="8" applyBorder="true" applyNumberFormat="true" numFmtId="167" fillId="22" applyFill="true">
      <alignment horizontal="center" vertical="center"/>
    </xf>
    <xf fontId="26851" applyFont="true" borderId="8" applyBorder="true" applyNumberFormat="true" numFmtId="1" fillId="22" applyFill="true">
      <alignment horizontal="center" vertical="center"/>
    </xf>
    <xf fontId="26852" applyFont="true" borderId="8" applyBorder="true" applyNumberFormat="true" numFmtId="167" fillId="22" applyFill="true">
      <alignment horizontal="center" vertical="center"/>
    </xf>
    <xf fontId="26853" applyFont="true" borderId="8" applyBorder="true" applyNumberFormat="true" numFmtId="1" fillId="22" applyFill="true">
      <alignment horizontal="center" vertical="center"/>
    </xf>
    <xf fontId="26854" applyFont="true" borderId="8" applyBorder="true" applyNumberFormat="true" numFmtId="167" fillId="22" applyFill="true">
      <alignment horizontal="center" vertical="center"/>
    </xf>
    <xf fontId="26855" applyFont="true" borderId="8" applyBorder="true" applyNumberFormat="true" numFmtId="1" fillId="22" applyFill="true">
      <alignment horizontal="center" vertical="center"/>
    </xf>
    <xf fontId="26856" applyFont="true" borderId="8" applyBorder="true" applyNumberFormat="true" numFmtId="167" fillId="22" applyFill="true">
      <alignment horizontal="center" vertical="center"/>
    </xf>
    <xf fontId="26857" applyFont="true" borderId="8" applyBorder="true" applyNumberFormat="true" numFmtId="167" fillId="22" applyFill="true">
      <alignment horizontal="center" vertical="center"/>
    </xf>
    <xf fontId="26858" applyFont="true" borderId="8" applyBorder="true" applyNumberFormat="true" numFmtId="1" fillId="22" applyFill="true">
      <alignment horizontal="center" vertical="center"/>
    </xf>
    <xf fontId="26859" applyFont="true" borderId="8" applyBorder="true" applyNumberFormat="true" numFmtId="1" fillId="22" applyFill="true">
      <alignment horizontal="center" vertical="center"/>
    </xf>
    <xf fontId="26860" applyFont="true" borderId="8" applyBorder="true" applyNumberFormat="true" numFmtId="1" fillId="22" applyFill="true">
      <alignment horizontal="center" vertical="center"/>
    </xf>
    <xf fontId="26861" applyFont="true" borderId="8" applyBorder="true" applyNumberFormat="true" numFmtId="167" fillId="22" applyFill="true">
      <alignment horizontal="center" vertical="center"/>
    </xf>
    <xf fontId="26862" applyFont="true" borderId="8" applyBorder="true" applyNumberFormat="true" numFmtId="166" fillId="22" applyFill="true">
      <alignment horizontal="center" vertical="center"/>
    </xf>
    <xf fontId="26863" applyFont="true" borderId="8" applyBorder="true" applyNumberFormat="true" numFmtId="166" fillId="22" applyFill="true">
      <alignment horizontal="center" vertical="center"/>
    </xf>
    <xf fontId="26864" applyFont="true" borderId="8" applyBorder="true" applyNumberFormat="true" numFmtId="1" fillId="22" applyFill="true">
      <alignment horizontal="center" vertical="center"/>
    </xf>
    <xf fontId="26865" applyFont="true" borderId="8" applyBorder="true" applyNumberFormat="true" numFmtId="1" fillId="22" applyFill="true">
      <alignment horizontal="center" vertical="center"/>
    </xf>
    <xf fontId="26866" applyFont="true" borderId="8" applyBorder="true" applyNumberFormat="true" numFmtId="1" fillId="22" applyFill="true">
      <alignment horizontal="center" vertical="center"/>
    </xf>
    <xf fontId="26867" applyFont="true" borderId="8" applyBorder="true" applyNumberFormat="true" numFmtId="167" fillId="22" applyFill="true">
      <alignment horizontal="center" vertical="center"/>
    </xf>
    <xf fontId="26868" applyFont="true" borderId="8" applyBorder="true" applyNumberFormat="true" numFmtId="1" fillId="22" applyFill="true">
      <alignment horizontal="center" vertical="center"/>
    </xf>
    <xf fontId="26869" applyFont="true" borderId="8" applyBorder="true" applyNumberFormat="true" numFmtId="167" fillId="22" applyFill="true">
      <alignment horizontal="center" vertical="center"/>
    </xf>
    <xf fontId="26870" applyFont="true" borderId="8" applyBorder="true" applyNumberFormat="true" numFmtId="1" fillId="22" applyFill="true">
      <alignment horizontal="center" vertical="center"/>
    </xf>
    <xf fontId="26871" applyFont="true" borderId="8" applyBorder="true" applyNumberFormat="true" numFmtId="1" fillId="22" applyFill="true">
      <alignment horizontal="center" vertical="center"/>
    </xf>
    <xf fontId="26872" applyFont="true" borderId="8" applyBorder="true" applyNumberFormat="true" numFmtId="1" fillId="22" applyFill="true">
      <alignment horizontal="center" vertical="center"/>
    </xf>
    <xf fontId="26873" applyFont="true" borderId="8" applyBorder="true" applyNumberFormat="true" numFmtId="1" fillId="22" applyFill="true">
      <alignment horizontal="center" vertical="center"/>
    </xf>
    <xf fontId="26874" applyFont="true" borderId="8" applyBorder="true" applyNumberFormat="true" numFmtId="167" fillId="22" applyFill="true">
      <alignment horizontal="center" vertical="center"/>
    </xf>
    <xf fontId="26875" applyFont="true" borderId="8" applyBorder="true" applyNumberFormat="true" numFmtId="1" fillId="22" applyFill="true">
      <alignment horizontal="center" vertical="center"/>
    </xf>
    <xf fontId="26876" applyFont="true" borderId="8" applyBorder="true" applyNumberFormat="true" numFmtId="167" fillId="22" applyFill="true">
      <alignment horizontal="center" vertical="center"/>
    </xf>
    <xf fontId="26877" applyFont="true" borderId="8" applyBorder="true" applyNumberFormat="true" numFmtId="1" fillId="22" applyFill="true">
      <alignment horizontal="center" vertical="center"/>
    </xf>
    <xf fontId="26878" applyFont="true" borderId="8" applyBorder="true" applyNumberFormat="true" numFmtId="167" fillId="22" applyFill="true">
      <alignment horizontal="center" vertical="center"/>
    </xf>
    <xf fontId="26879" applyFont="true" borderId="8" applyBorder="true" applyNumberFormat="true" numFmtId="2" fillId="22" applyFill="true">
      <alignment horizontal="center" vertical="center"/>
    </xf>
    <xf fontId="26880" applyFont="true" borderId="8" applyBorder="true" applyNumberFormat="true" numFmtId="2" fillId="22" applyFill="true">
      <alignment horizontal="center" vertical="center"/>
    </xf>
    <xf fontId="26881" applyFont="true" borderId="8" applyBorder="true" applyNumberFormat="true" numFmtId="2" fillId="22" applyFill="true">
      <alignment horizontal="center" vertical="center"/>
    </xf>
    <xf fontId="26882" applyFont="true" borderId="8" applyBorder="true" applyNumberFormat="true" numFmtId="2" fillId="22" applyFill="true">
      <alignment horizontal="center" vertical="center"/>
    </xf>
    <xf fontId="26883" applyFont="true" borderId="8" applyBorder="true" applyNumberFormat="true" numFmtId="2" fillId="22" applyFill="true">
      <alignment horizontal="center" vertical="center"/>
    </xf>
    <xf fontId="26884" applyFont="true" borderId="8" applyBorder="true" applyNumberFormat="true" numFmtId="2" fillId="22" applyFill="true">
      <alignment horizontal="center" vertical="center"/>
    </xf>
    <xf fontId="26885" applyFont="true" borderId="8" applyBorder="true" applyNumberFormat="true" numFmtId="2" fillId="22" applyFill="true">
      <alignment horizontal="center" vertical="center"/>
    </xf>
    <xf fontId="26886" applyFont="true" borderId="8" applyBorder="true" applyNumberFormat="true" numFmtId="2" fillId="22" applyFill="true">
      <alignment horizontal="center" vertical="center"/>
    </xf>
    <xf fontId="26887" applyFont="true" borderId="8" applyBorder="true" applyNumberFormat="true" numFmtId="2" fillId="22" applyFill="true">
      <alignment horizontal="center" vertical="center"/>
    </xf>
    <xf fontId="26888" applyFont="true" borderId="8" applyBorder="true" applyNumberFormat="true" numFmtId="2" fillId="22" applyFill="true">
      <alignment horizontal="center" vertical="center"/>
    </xf>
    <xf fontId="26889" applyFont="true" borderId="8" applyBorder="true" applyNumberFormat="true" numFmtId="2" fillId="22" applyFill="true">
      <alignment horizontal="center" vertical="center"/>
    </xf>
    <xf fontId="26890" applyFont="true" borderId="8" applyBorder="true" applyNumberFormat="true" numFmtId="2" fillId="22" applyFill="true">
      <alignment horizontal="center" vertical="center"/>
    </xf>
    <xf fontId="26891" applyFont="true" borderId="8" applyBorder="true" applyNumberFormat="true" numFmtId="2" fillId="22" applyFill="true">
      <alignment horizontal="center" vertical="center"/>
    </xf>
    <xf fontId="26892" applyFont="true" borderId="8" applyBorder="true" applyNumberFormat="true" numFmtId="2" fillId="22" applyFill="true">
      <alignment horizontal="center" vertical="center"/>
    </xf>
    <xf fontId="26893" applyFont="true" borderId="8" applyBorder="true" applyNumberFormat="true" numFmtId="2" fillId="22" applyFill="true">
      <alignment horizontal="center" vertical="center"/>
    </xf>
    <xf fontId="26894" applyFont="true" borderId="8" applyBorder="true" applyNumberFormat="true" numFmtId="2" fillId="22" applyFill="true">
      <alignment horizontal="center" vertical="center"/>
    </xf>
    <xf fontId="26895" applyFont="true" borderId="8" applyBorder="true" applyNumberFormat="true" numFmtId="2" fillId="22" applyFill="true">
      <alignment horizontal="center" vertical="center"/>
    </xf>
    <xf fontId="26896" applyFont="true" borderId="8" applyBorder="true" applyNumberFormat="true" numFmtId="2" fillId="22" applyFill="true">
      <alignment horizontal="center" vertical="center"/>
    </xf>
    <xf fontId="26897" applyFont="true" borderId="8" applyBorder="true" applyNumberFormat="true" numFmtId="2" fillId="22" applyFill="true">
      <alignment horizontal="center" vertical="center"/>
    </xf>
    <xf fontId="26898" applyFont="true" borderId="8" applyBorder="true" applyNumberFormat="true" numFmtId="2" fillId="22" applyFill="true">
      <alignment horizontal="center" vertical="center"/>
    </xf>
    <xf fontId="26899" applyFont="true" borderId="8" applyBorder="true" applyNumberFormat="true" numFmtId="2" fillId="22" applyFill="true">
      <alignment horizontal="center" vertical="center"/>
    </xf>
    <xf fontId="26900" applyFont="true" borderId="8" applyBorder="true" applyNumberFormat="true" numFmtId="2" fillId="22" applyFill="true">
      <alignment horizontal="center" vertical="center"/>
    </xf>
    <xf fontId="26901" applyFont="true" borderId="8" applyBorder="true" applyNumberFormat="true" numFmtId="2" fillId="22" applyFill="true">
      <alignment horizontal="center" vertical="center"/>
    </xf>
    <xf fontId="26902" applyFont="true" borderId="8" applyBorder="true" applyNumberFormat="true" numFmtId="2" fillId="22" applyFill="true">
      <alignment horizontal="center" vertical="center"/>
    </xf>
    <xf fontId="26903" applyFont="true" borderId="8" applyBorder="true" applyNumberFormat="true" numFmtId="2" fillId="22" applyFill="true">
      <alignment horizontal="center" vertical="center"/>
    </xf>
    <xf fontId="26904" applyFont="true" borderId="8" applyBorder="true" applyNumberFormat="true" numFmtId="2" fillId="22" applyFill="true">
      <alignment horizontal="center" vertical="center"/>
    </xf>
    <xf fontId="26905" applyFont="true" borderId="8" applyBorder="true" applyNumberFormat="true" numFmtId="2" fillId="22" applyFill="true">
      <alignment horizontal="center" vertical="center"/>
    </xf>
    <xf fontId="26906" applyFont="true" borderId="8" applyBorder="true" applyNumberFormat="true" numFmtId="2" fillId="22" applyFill="true">
      <alignment horizontal="center" vertical="center"/>
    </xf>
    <xf fontId="26907" applyFont="true" borderId="8" applyBorder="true" applyNumberFormat="true" numFmtId="2" fillId="22" applyFill="true">
      <alignment horizontal="center" vertical="center"/>
    </xf>
    <xf fontId="26908" applyFont="true" borderId="8" applyBorder="true" applyNumberFormat="true" numFmtId="2" fillId="22" applyFill="true">
      <alignment horizontal="center" vertical="center"/>
    </xf>
    <xf fontId="26909" applyFont="true" borderId="8" applyBorder="true" applyNumberFormat="true" numFmtId="2" fillId="22" applyFill="true">
      <alignment horizontal="center" vertical="center"/>
    </xf>
    <xf fontId="26910" applyFont="true" borderId="8" applyBorder="true" applyNumberFormat="true" numFmtId="2" fillId="22" applyFill="true">
      <alignment horizontal="center" vertical="center"/>
    </xf>
    <xf fontId="26911" applyFont="true" borderId="8" applyBorder="true" applyNumberFormat="true" numFmtId="2" fillId="22" applyFill="true">
      <alignment horizontal="center" vertical="center"/>
    </xf>
    <xf fontId="26912" applyFont="true" borderId="8" applyBorder="true" applyNumberFormat="true" numFmtId="2" fillId="22" applyFill="true">
      <alignment horizontal="center" vertical="center"/>
    </xf>
    <xf fontId="26913" applyFont="true" borderId="8" applyBorder="true" applyNumberFormat="true" numFmtId="165" fillId="19" applyFill="true">
      <alignment horizontal="left" vertical="center"/>
    </xf>
    <xf fontId="26914" applyFont="true" borderId="8" applyBorder="true" applyNumberFormat="true" numFmtId="165" fillId="22" applyFill="true">
      <alignment horizontal="center" vertical="center"/>
    </xf>
    <xf fontId="26915" applyFont="true" borderId="8" applyBorder="true" applyNumberFormat="true" numFmtId="166" fillId="22" applyFill="true">
      <alignment horizontal="center" vertical="center"/>
    </xf>
    <xf fontId="26916" applyFont="true" borderId="8" applyBorder="true" applyNumberFormat="true" numFmtId="1" fillId="22" applyFill="true">
      <alignment horizontal="center" vertical="center"/>
    </xf>
    <xf fontId="26917" applyFont="true" borderId="8" applyBorder="true" applyNumberFormat="true" numFmtId="1" fillId="22" applyFill="true">
      <alignment horizontal="center" vertical="center"/>
    </xf>
    <xf fontId="26918" applyFont="true" borderId="8" applyBorder="true" applyNumberFormat="true" numFmtId="1" fillId="22" applyFill="true">
      <alignment horizontal="center" vertical="center"/>
    </xf>
    <xf fontId="26919" applyFont="true" borderId="8" applyBorder="true" applyNumberFormat="true" numFmtId="1" fillId="22" applyFill="true">
      <alignment horizontal="center" vertical="center"/>
    </xf>
    <xf fontId="26920" applyFont="true" borderId="8" applyBorder="true" applyNumberFormat="true" numFmtId="1" fillId="22" applyFill="true">
      <alignment horizontal="center" vertical="center"/>
    </xf>
    <xf fontId="26921" applyFont="true" borderId="8" applyBorder="true" applyNumberFormat="true" numFmtId="1" fillId="22" applyFill="true">
      <alignment horizontal="center" vertical="center"/>
    </xf>
    <xf fontId="26922" applyFont="true" borderId="8" applyBorder="true" applyNumberFormat="true" numFmtId="1" fillId="22" applyFill="true">
      <alignment horizontal="center" vertical="center"/>
    </xf>
    <xf fontId="26923" applyFont="true" borderId="8" applyBorder="true" applyNumberFormat="true" numFmtId="165" fillId="22" applyFill="true">
      <alignment horizontal="center" vertical="center"/>
    </xf>
    <xf fontId="26924" applyFont="true" borderId="8" applyBorder="true" applyNumberFormat="true" numFmtId="165" fillId="22" applyFill="true">
      <alignment horizontal="center" vertical="center"/>
    </xf>
    <xf fontId="26925" applyFont="true" borderId="8" applyBorder="true" applyNumberFormat="true" numFmtId="1" fillId="22" applyFill="true">
      <alignment horizontal="center" vertical="center"/>
    </xf>
    <xf fontId="26926" applyFont="true" borderId="8" applyBorder="true" applyNumberFormat="true" numFmtId="1" fillId="22" applyFill="true">
      <alignment horizontal="center" vertical="center"/>
    </xf>
    <xf fontId="26927" applyFont="true" borderId="8" applyBorder="true" applyNumberFormat="true" numFmtId="1" fillId="22" applyFill="true">
      <alignment horizontal="center" vertical="center"/>
    </xf>
    <xf fontId="26928" applyFont="true" borderId="8" applyBorder="true" applyNumberFormat="true" numFmtId="167" fillId="22" applyFill="true">
      <alignment horizontal="center" vertical="center"/>
    </xf>
    <xf fontId="26929" applyFont="true" borderId="8" applyBorder="true" applyNumberFormat="true" numFmtId="1" fillId="22" applyFill="true">
      <alignment horizontal="center" vertical="center"/>
    </xf>
    <xf fontId="26930" applyFont="true" borderId="8" applyBorder="true" applyNumberFormat="true" numFmtId="167" fillId="22" applyFill="true">
      <alignment horizontal="center" vertical="center"/>
    </xf>
    <xf fontId="26931" applyFont="true" borderId="8" applyBorder="true" applyNumberFormat="true" numFmtId="1" fillId="22" applyFill="true">
      <alignment horizontal="center" vertical="center"/>
    </xf>
    <xf fontId="26932" applyFont="true" borderId="8" applyBorder="true" applyNumberFormat="true" numFmtId="167" fillId="22" applyFill="true">
      <alignment horizontal="center" vertical="center"/>
    </xf>
    <xf fontId="26933" applyFont="true" borderId="8" applyBorder="true" applyNumberFormat="true" numFmtId="1" fillId="22" applyFill="true">
      <alignment horizontal="center" vertical="center"/>
    </xf>
    <xf fontId="26934" applyFont="true" borderId="8" applyBorder="true" applyNumberFormat="true" numFmtId="167" fillId="22" applyFill="true">
      <alignment horizontal="center" vertical="center"/>
    </xf>
    <xf fontId="26935" applyFont="true" borderId="8" applyBorder="true" applyNumberFormat="true" numFmtId="167" fillId="22" applyFill="true">
      <alignment horizontal="center" vertical="center"/>
    </xf>
    <xf fontId="26936" applyFont="true" borderId="8" applyBorder="true" applyNumberFormat="true" numFmtId="1" fillId="22" applyFill="true">
      <alignment horizontal="center" vertical="center"/>
    </xf>
    <xf fontId="26937" applyFont="true" borderId="8" applyBorder="true" applyNumberFormat="true" numFmtId="1" fillId="22" applyFill="true">
      <alignment horizontal="center" vertical="center"/>
    </xf>
    <xf fontId="26938" applyFont="true" borderId="8" applyBorder="true" applyNumberFormat="true" numFmtId="1" fillId="22" applyFill="true">
      <alignment horizontal="center" vertical="center"/>
    </xf>
    <xf fontId="26939" applyFont="true" borderId="8" applyBorder="true" applyNumberFormat="true" numFmtId="167" fillId="22" applyFill="true">
      <alignment horizontal="center" vertical="center"/>
    </xf>
    <xf fontId="26940" applyFont="true" borderId="8" applyBorder="true" applyNumberFormat="true" numFmtId="166" fillId="22" applyFill="true">
      <alignment horizontal="center" vertical="center"/>
    </xf>
    <xf fontId="26941" applyFont="true" borderId="8" applyBorder="true" applyNumberFormat="true" numFmtId="166" fillId="22" applyFill="true">
      <alignment horizontal="center" vertical="center"/>
    </xf>
    <xf fontId="26942" applyFont="true" borderId="8" applyBorder="true" applyNumberFormat="true" numFmtId="1" fillId="22" applyFill="true">
      <alignment horizontal="center" vertical="center"/>
    </xf>
    <xf fontId="26943" applyFont="true" borderId="8" applyBorder="true" applyNumberFormat="true" numFmtId="1" fillId="22" applyFill="true">
      <alignment horizontal="center" vertical="center"/>
    </xf>
    <xf fontId="26944" applyFont="true" borderId="8" applyBorder="true" applyNumberFormat="true" numFmtId="1" fillId="22" applyFill="true">
      <alignment horizontal="center" vertical="center"/>
    </xf>
    <xf fontId="26945" applyFont="true" borderId="8" applyBorder="true" applyNumberFormat="true" numFmtId="167" fillId="22" applyFill="true">
      <alignment horizontal="center" vertical="center"/>
    </xf>
    <xf fontId="26946" applyFont="true" borderId="8" applyBorder="true" applyNumberFormat="true" numFmtId="1" fillId="22" applyFill="true">
      <alignment horizontal="center" vertical="center"/>
    </xf>
    <xf fontId="26947" applyFont="true" borderId="8" applyBorder="true" applyNumberFormat="true" numFmtId="167" fillId="22" applyFill="true">
      <alignment horizontal="center" vertical="center"/>
    </xf>
    <xf fontId="26948" applyFont="true" borderId="8" applyBorder="true" applyNumberFormat="true" numFmtId="1" fillId="22" applyFill="true">
      <alignment horizontal="center" vertical="center"/>
    </xf>
    <xf fontId="26949" applyFont="true" borderId="8" applyBorder="true" applyNumberFormat="true" numFmtId="1" fillId="22" applyFill="true">
      <alignment horizontal="center" vertical="center"/>
    </xf>
    <xf fontId="26950" applyFont="true" borderId="8" applyBorder="true" applyNumberFormat="true" numFmtId="1" fillId="22" applyFill="true">
      <alignment horizontal="center" vertical="center"/>
    </xf>
    <xf fontId="26951" applyFont="true" borderId="8" applyBorder="true" applyNumberFormat="true" numFmtId="1" fillId="22" applyFill="true">
      <alignment horizontal="center" vertical="center"/>
    </xf>
    <xf fontId="26952" applyFont="true" borderId="8" applyBorder="true" applyNumberFormat="true" numFmtId="167" fillId="22" applyFill="true">
      <alignment horizontal="center" vertical="center"/>
    </xf>
    <xf fontId="26953" applyFont="true" borderId="8" applyBorder="true" applyNumberFormat="true" numFmtId="1" fillId="22" applyFill="true">
      <alignment horizontal="center" vertical="center"/>
    </xf>
    <xf fontId="26954" applyFont="true" borderId="8" applyBorder="true" applyNumberFormat="true" numFmtId="167" fillId="22" applyFill="true">
      <alignment horizontal="center" vertical="center"/>
    </xf>
    <xf fontId="26955" applyFont="true" borderId="8" applyBorder="true" applyNumberFormat="true" numFmtId="1" fillId="22" applyFill="true">
      <alignment horizontal="center" vertical="center"/>
    </xf>
    <xf fontId="26956" applyFont="true" borderId="8" applyBorder="true" applyNumberFormat="true" numFmtId="167" fillId="22" applyFill="true">
      <alignment horizontal="center" vertical="center"/>
    </xf>
    <xf fontId="26957" applyFont="true" borderId="8" applyBorder="true" applyNumberFormat="true" numFmtId="2" fillId="22" applyFill="true">
      <alignment horizontal="center" vertical="center"/>
    </xf>
    <xf fontId="26958" applyFont="true" borderId="8" applyBorder="true" applyNumberFormat="true" numFmtId="2" fillId="22" applyFill="true">
      <alignment horizontal="center" vertical="center"/>
    </xf>
    <xf fontId="26959" applyFont="true" borderId="8" applyBorder="true" applyNumberFormat="true" numFmtId="2" fillId="22" applyFill="true">
      <alignment horizontal="center" vertical="center"/>
    </xf>
    <xf fontId="26960" applyFont="true" borderId="8" applyBorder="true" applyNumberFormat="true" numFmtId="2" fillId="22" applyFill="true">
      <alignment horizontal="center" vertical="center"/>
    </xf>
    <xf fontId="26961" applyFont="true" borderId="8" applyBorder="true" applyNumberFormat="true" numFmtId="2" fillId="22" applyFill="true">
      <alignment horizontal="center" vertical="center"/>
    </xf>
    <xf fontId="26962" applyFont="true" borderId="8" applyBorder="true" applyNumberFormat="true" numFmtId="2" fillId="22" applyFill="true">
      <alignment horizontal="center" vertical="center"/>
    </xf>
    <xf fontId="26963" applyFont="true" borderId="8" applyBorder="true" applyNumberFormat="true" numFmtId="2" fillId="22" applyFill="true">
      <alignment horizontal="center" vertical="center"/>
    </xf>
    <xf fontId="26964" applyFont="true" borderId="8" applyBorder="true" applyNumberFormat="true" numFmtId="2" fillId="22" applyFill="true">
      <alignment horizontal="center" vertical="center"/>
    </xf>
    <xf fontId="26965" applyFont="true" borderId="8" applyBorder="true" applyNumberFormat="true" numFmtId="2" fillId="22" applyFill="true">
      <alignment horizontal="center" vertical="center"/>
    </xf>
    <xf fontId="26966" applyFont="true" borderId="8" applyBorder="true" applyNumberFormat="true" numFmtId="2" fillId="22" applyFill="true">
      <alignment horizontal="center" vertical="center"/>
    </xf>
    <xf fontId="26967" applyFont="true" borderId="8" applyBorder="true" applyNumberFormat="true" numFmtId="2" fillId="22" applyFill="true">
      <alignment horizontal="center" vertical="center"/>
    </xf>
    <xf fontId="26968" applyFont="true" borderId="8" applyBorder="true" applyNumberFormat="true" numFmtId="2" fillId="22" applyFill="true">
      <alignment horizontal="center" vertical="center"/>
    </xf>
    <xf fontId="26969" applyFont="true" borderId="8" applyBorder="true" applyNumberFormat="true" numFmtId="2" fillId="22" applyFill="true">
      <alignment horizontal="center" vertical="center"/>
    </xf>
    <xf fontId="26970" applyFont="true" borderId="8" applyBorder="true" applyNumberFormat="true" numFmtId="2" fillId="22" applyFill="true">
      <alignment horizontal="center" vertical="center"/>
    </xf>
    <xf fontId="26971" applyFont="true" borderId="8" applyBorder="true" applyNumberFormat="true" numFmtId="2" fillId="22" applyFill="true">
      <alignment horizontal="center" vertical="center"/>
    </xf>
    <xf fontId="26972" applyFont="true" borderId="8" applyBorder="true" applyNumberFormat="true" numFmtId="2" fillId="22" applyFill="true">
      <alignment horizontal="center" vertical="center"/>
    </xf>
    <xf fontId="26973" applyFont="true" borderId="8" applyBorder="true" applyNumberFormat="true" numFmtId="2" fillId="22" applyFill="true">
      <alignment horizontal="center" vertical="center"/>
    </xf>
    <xf fontId="26974" applyFont="true" borderId="8" applyBorder="true" applyNumberFormat="true" numFmtId="2" fillId="22" applyFill="true">
      <alignment horizontal="center" vertical="center"/>
    </xf>
    <xf fontId="26975" applyFont="true" borderId="8" applyBorder="true" applyNumberFormat="true" numFmtId="2" fillId="22" applyFill="true">
      <alignment horizontal="center" vertical="center"/>
    </xf>
    <xf fontId="26976" applyFont="true" borderId="8" applyBorder="true" applyNumberFormat="true" numFmtId="2" fillId="22" applyFill="true">
      <alignment horizontal="center" vertical="center"/>
    </xf>
    <xf fontId="26977" applyFont="true" borderId="8" applyBorder="true" applyNumberFormat="true" numFmtId="2" fillId="22" applyFill="true">
      <alignment horizontal="center" vertical="center"/>
    </xf>
    <xf fontId="26978" applyFont="true" borderId="8" applyBorder="true" applyNumberFormat="true" numFmtId="2" fillId="22" applyFill="true">
      <alignment horizontal="center" vertical="center"/>
    </xf>
    <xf fontId="26979" applyFont="true" borderId="8" applyBorder="true" applyNumberFormat="true" numFmtId="2" fillId="22" applyFill="true">
      <alignment horizontal="center" vertical="center"/>
    </xf>
    <xf fontId="26980" applyFont="true" borderId="8" applyBorder="true" applyNumberFormat="true" numFmtId="2" fillId="22" applyFill="true">
      <alignment horizontal="center" vertical="center"/>
    </xf>
    <xf fontId="26981" applyFont="true" borderId="8" applyBorder="true" applyNumberFormat="true" numFmtId="2" fillId="22" applyFill="true">
      <alignment horizontal="center" vertical="center"/>
    </xf>
    <xf fontId="26982" applyFont="true" borderId="8" applyBorder="true" applyNumberFormat="true" numFmtId="2" fillId="22" applyFill="true">
      <alignment horizontal="center" vertical="center"/>
    </xf>
    <xf fontId="26983" applyFont="true" borderId="8" applyBorder="true" applyNumberFormat="true" numFmtId="2" fillId="22" applyFill="true">
      <alignment horizontal="center" vertical="center"/>
    </xf>
    <xf fontId="26984" applyFont="true" borderId="8" applyBorder="true" applyNumberFormat="true" numFmtId="2" fillId="22" applyFill="true">
      <alignment horizontal="center" vertical="center"/>
    </xf>
    <xf fontId="26985" applyFont="true" borderId="8" applyBorder="true" applyNumberFormat="true" numFmtId="2" fillId="22" applyFill="true">
      <alignment horizontal="center" vertical="center"/>
    </xf>
    <xf fontId="26986" applyFont="true" borderId="8" applyBorder="true" applyNumberFormat="true" numFmtId="2" fillId="22" applyFill="true">
      <alignment horizontal="center" vertical="center"/>
    </xf>
    <xf fontId="26987" applyFont="true" borderId="8" applyBorder="true" applyNumberFormat="true" numFmtId="2" fillId="22" applyFill="true">
      <alignment horizontal="center" vertical="center"/>
    </xf>
    <xf fontId="26988" applyFont="true" borderId="8" applyBorder="true" applyNumberFormat="true" numFmtId="2" fillId="22" applyFill="true">
      <alignment horizontal="center" vertical="center"/>
    </xf>
    <xf fontId="26989" applyFont="true" borderId="8" applyBorder="true" applyNumberFormat="true" numFmtId="2" fillId="22" applyFill="true">
      <alignment horizontal="center" vertical="center"/>
    </xf>
    <xf fontId="26990" applyFont="true" borderId="8" applyBorder="true" applyNumberFormat="true" numFmtId="2" fillId="22" applyFill="true">
      <alignment horizontal="center" vertical="center"/>
    </xf>
    <xf fontId="26991" applyFont="true" borderId="8" applyBorder="true" applyNumberFormat="true" numFmtId="165" fillId="19" applyFill="true">
      <alignment horizontal="left" vertical="center"/>
    </xf>
    <xf fontId="26992" applyFont="true" borderId="8" applyBorder="true" applyNumberFormat="true" numFmtId="165" fillId="22" applyFill="true">
      <alignment horizontal="center" vertical="center"/>
    </xf>
    <xf fontId="26993" applyFont="true" borderId="8" applyBorder="true" applyNumberFormat="true" numFmtId="166" fillId="22" applyFill="true">
      <alignment horizontal="center" vertical="center"/>
    </xf>
    <xf fontId="26994" applyFont="true" borderId="8" applyBorder="true" applyNumberFormat="true" numFmtId="1" fillId="22" applyFill="true">
      <alignment horizontal="center" vertical="center"/>
    </xf>
    <xf fontId="26995" applyFont="true" borderId="8" applyBorder="true" applyNumberFormat="true" numFmtId="1" fillId="22" applyFill="true">
      <alignment horizontal="center" vertical="center"/>
    </xf>
    <xf fontId="26996" applyFont="true" borderId="8" applyBorder="true" applyNumberFormat="true" numFmtId="1" fillId="22" applyFill="true">
      <alignment horizontal="center" vertical="center"/>
    </xf>
    <xf fontId="26997" applyFont="true" borderId="8" applyBorder="true" applyNumberFormat="true" numFmtId="1" fillId="22" applyFill="true">
      <alignment horizontal="center" vertical="center"/>
    </xf>
    <xf fontId="26998" applyFont="true" borderId="8" applyBorder="true" applyNumberFormat="true" numFmtId="1" fillId="22" applyFill="true">
      <alignment horizontal="center" vertical="center"/>
    </xf>
    <xf fontId="26999" applyFont="true" borderId="8" applyBorder="true" applyNumberFormat="true" numFmtId="1" fillId="22" applyFill="true">
      <alignment horizontal="center" vertical="center"/>
    </xf>
    <xf fontId="27000" applyFont="true" borderId="8" applyBorder="true" applyNumberFormat="true" numFmtId="1" fillId="22" applyFill="true">
      <alignment horizontal="center" vertical="center"/>
    </xf>
    <xf fontId="27001" applyFont="true" borderId="8" applyBorder="true" applyNumberFormat="true" numFmtId="165" fillId="22" applyFill="true">
      <alignment horizontal="center" vertical="center"/>
    </xf>
    <xf fontId="27002" applyFont="true" borderId="8" applyBorder="true" applyNumberFormat="true" numFmtId="165" fillId="22" applyFill="true">
      <alignment horizontal="center" vertical="center"/>
    </xf>
    <xf fontId="27003" applyFont="true" borderId="8" applyBorder="true" applyNumberFormat="true" numFmtId="1" fillId="22" applyFill="true">
      <alignment horizontal="center" vertical="center"/>
    </xf>
    <xf fontId="27004" applyFont="true" borderId="8" applyBorder="true" applyNumberFormat="true" numFmtId="1" fillId="22" applyFill="true">
      <alignment horizontal="center" vertical="center"/>
    </xf>
    <xf fontId="27005" applyFont="true" borderId="8" applyBorder="true" applyNumberFormat="true" numFmtId="1" fillId="22" applyFill="true">
      <alignment horizontal="center" vertical="center"/>
    </xf>
    <xf fontId="27006" applyFont="true" borderId="8" applyBorder="true" applyNumberFormat="true" numFmtId="167" fillId="22" applyFill="true">
      <alignment horizontal="center" vertical="center"/>
    </xf>
    <xf fontId="27007" applyFont="true" borderId="8" applyBorder="true" applyNumberFormat="true" numFmtId="1" fillId="22" applyFill="true">
      <alignment horizontal="center" vertical="center"/>
    </xf>
    <xf fontId="27008" applyFont="true" borderId="8" applyBorder="true" applyNumberFormat="true" numFmtId="167" fillId="22" applyFill="true">
      <alignment horizontal="center" vertical="center"/>
    </xf>
    <xf fontId="27009" applyFont="true" borderId="8" applyBorder="true" applyNumberFormat="true" numFmtId="1" fillId="22" applyFill="true">
      <alignment horizontal="center" vertical="center"/>
    </xf>
    <xf fontId="27010" applyFont="true" borderId="8" applyBorder="true" applyNumberFormat="true" numFmtId="167" fillId="22" applyFill="true">
      <alignment horizontal="center" vertical="center"/>
    </xf>
    <xf fontId="27011" applyFont="true" borderId="8" applyBorder="true" applyNumberFormat="true" numFmtId="1" fillId="22" applyFill="true">
      <alignment horizontal="center" vertical="center"/>
    </xf>
    <xf fontId="27012" applyFont="true" borderId="8" applyBorder="true" applyNumberFormat="true" numFmtId="167" fillId="22" applyFill="true">
      <alignment horizontal="center" vertical="center"/>
    </xf>
    <xf fontId="27013" applyFont="true" borderId="8" applyBorder="true" applyNumberFormat="true" numFmtId="167" fillId="22" applyFill="true">
      <alignment horizontal="center" vertical="center"/>
    </xf>
    <xf fontId="27014" applyFont="true" borderId="8" applyBorder="true" applyNumberFormat="true" numFmtId="1" fillId="22" applyFill="true">
      <alignment horizontal="center" vertical="center"/>
    </xf>
    <xf fontId="27015" applyFont="true" borderId="8" applyBorder="true" applyNumberFormat="true" numFmtId="1" fillId="22" applyFill="true">
      <alignment horizontal="center" vertical="center"/>
    </xf>
    <xf fontId="27016" applyFont="true" borderId="8" applyBorder="true" applyNumberFormat="true" numFmtId="1" fillId="22" applyFill="true">
      <alignment horizontal="center" vertical="center"/>
    </xf>
    <xf fontId="27017" applyFont="true" borderId="8" applyBorder="true" applyNumberFormat="true" numFmtId="167" fillId="22" applyFill="true">
      <alignment horizontal="center" vertical="center"/>
    </xf>
    <xf fontId="27018" applyFont="true" borderId="8" applyBorder="true" applyNumberFormat="true" numFmtId="166" fillId="22" applyFill="true">
      <alignment horizontal="center" vertical="center"/>
    </xf>
    <xf fontId="27019" applyFont="true" borderId="8" applyBorder="true" applyNumberFormat="true" numFmtId="166" fillId="22" applyFill="true">
      <alignment horizontal="center" vertical="center"/>
    </xf>
    <xf fontId="27020" applyFont="true" borderId="8" applyBorder="true" applyNumberFormat="true" numFmtId="1" fillId="22" applyFill="true">
      <alignment horizontal="center" vertical="center"/>
    </xf>
    <xf fontId="27021" applyFont="true" borderId="8" applyBorder="true" applyNumberFormat="true" numFmtId="1" fillId="22" applyFill="true">
      <alignment horizontal="center" vertical="center"/>
    </xf>
    <xf fontId="27022" applyFont="true" borderId="8" applyBorder="true" applyNumberFormat="true" numFmtId="1" fillId="22" applyFill="true">
      <alignment horizontal="center" vertical="center"/>
    </xf>
    <xf fontId="27023" applyFont="true" borderId="8" applyBorder="true" applyNumberFormat="true" numFmtId="167" fillId="22" applyFill="true">
      <alignment horizontal="center" vertical="center"/>
    </xf>
    <xf fontId="27024" applyFont="true" borderId="8" applyBorder="true" applyNumberFormat="true" numFmtId="1" fillId="22" applyFill="true">
      <alignment horizontal="center" vertical="center"/>
    </xf>
    <xf fontId="27025" applyFont="true" borderId="8" applyBorder="true" applyNumberFormat="true" numFmtId="167" fillId="22" applyFill="true">
      <alignment horizontal="center" vertical="center"/>
    </xf>
    <xf fontId="27026" applyFont="true" borderId="8" applyBorder="true" applyNumberFormat="true" numFmtId="1" fillId="22" applyFill="true">
      <alignment horizontal="center" vertical="center"/>
    </xf>
    <xf fontId="27027" applyFont="true" borderId="8" applyBorder="true" applyNumberFormat="true" numFmtId="1" fillId="22" applyFill="true">
      <alignment horizontal="center" vertical="center"/>
    </xf>
    <xf fontId="27028" applyFont="true" borderId="8" applyBorder="true" applyNumberFormat="true" numFmtId="1" fillId="22" applyFill="true">
      <alignment horizontal="center" vertical="center"/>
    </xf>
    <xf fontId="27029" applyFont="true" borderId="8" applyBorder="true" applyNumberFormat="true" numFmtId="1" fillId="22" applyFill="true">
      <alignment horizontal="center" vertical="center"/>
    </xf>
    <xf fontId="27030" applyFont="true" borderId="8" applyBorder="true" applyNumberFormat="true" numFmtId="167" fillId="22" applyFill="true">
      <alignment horizontal="center" vertical="center"/>
    </xf>
    <xf fontId="27031" applyFont="true" borderId="8" applyBorder="true" applyNumberFormat="true" numFmtId="1" fillId="22" applyFill="true">
      <alignment horizontal="center" vertical="center"/>
    </xf>
    <xf fontId="27032" applyFont="true" borderId="8" applyBorder="true" applyNumberFormat="true" numFmtId="167" fillId="22" applyFill="true">
      <alignment horizontal="center" vertical="center"/>
    </xf>
    <xf fontId="27033" applyFont="true" borderId="8" applyBorder="true" applyNumberFormat="true" numFmtId="1" fillId="22" applyFill="true">
      <alignment horizontal="center" vertical="center"/>
    </xf>
    <xf fontId="27034" applyFont="true" borderId="8" applyBorder="true" applyNumberFormat="true" numFmtId="167" fillId="22" applyFill="true">
      <alignment horizontal="center" vertical="center"/>
    </xf>
    <xf fontId="27035" applyFont="true" borderId="8" applyBorder="true" applyNumberFormat="true" numFmtId="2" fillId="22" applyFill="true">
      <alignment horizontal="center" vertical="center"/>
    </xf>
    <xf fontId="27036" applyFont="true" borderId="8" applyBorder="true" applyNumberFormat="true" numFmtId="2" fillId="22" applyFill="true">
      <alignment horizontal="center" vertical="center"/>
    </xf>
    <xf fontId="27037" applyFont="true" borderId="8" applyBorder="true" applyNumberFormat="true" numFmtId="2" fillId="22" applyFill="true">
      <alignment horizontal="center" vertical="center"/>
    </xf>
    <xf fontId="27038" applyFont="true" borderId="8" applyBorder="true" applyNumberFormat="true" numFmtId="2" fillId="22" applyFill="true">
      <alignment horizontal="center" vertical="center"/>
    </xf>
    <xf fontId="27039" applyFont="true" borderId="8" applyBorder="true" applyNumberFormat="true" numFmtId="2" fillId="22" applyFill="true">
      <alignment horizontal="center" vertical="center"/>
    </xf>
    <xf fontId="27040" applyFont="true" borderId="8" applyBorder="true" applyNumberFormat="true" numFmtId="2" fillId="22" applyFill="true">
      <alignment horizontal="center" vertical="center"/>
    </xf>
    <xf fontId="27041" applyFont="true" borderId="8" applyBorder="true" applyNumberFormat="true" numFmtId="2" fillId="22" applyFill="true">
      <alignment horizontal="center" vertical="center"/>
    </xf>
    <xf fontId="27042" applyFont="true" borderId="8" applyBorder="true" applyNumberFormat="true" numFmtId="2" fillId="22" applyFill="true">
      <alignment horizontal="center" vertical="center"/>
    </xf>
    <xf fontId="27043" applyFont="true" borderId="8" applyBorder="true" applyNumberFormat="true" numFmtId="2" fillId="22" applyFill="true">
      <alignment horizontal="center" vertical="center"/>
    </xf>
    <xf fontId="27044" applyFont="true" borderId="8" applyBorder="true" applyNumberFormat="true" numFmtId="2" fillId="22" applyFill="true">
      <alignment horizontal="center" vertical="center"/>
    </xf>
    <xf fontId="27045" applyFont="true" borderId="8" applyBorder="true" applyNumberFormat="true" numFmtId="2" fillId="22" applyFill="true">
      <alignment horizontal="center" vertical="center"/>
    </xf>
    <xf fontId="27046" applyFont="true" borderId="8" applyBorder="true" applyNumberFormat="true" numFmtId="2" fillId="22" applyFill="true">
      <alignment horizontal="center" vertical="center"/>
    </xf>
    <xf fontId="27047" applyFont="true" borderId="8" applyBorder="true" applyNumberFormat="true" numFmtId="2" fillId="22" applyFill="true">
      <alignment horizontal="center" vertical="center"/>
    </xf>
    <xf fontId="27048" applyFont="true" borderId="8" applyBorder="true" applyNumberFormat="true" numFmtId="2" fillId="22" applyFill="true">
      <alignment horizontal="center" vertical="center"/>
    </xf>
    <xf fontId="27049" applyFont="true" borderId="8" applyBorder="true" applyNumberFormat="true" numFmtId="2" fillId="22" applyFill="true">
      <alignment horizontal="center" vertical="center"/>
    </xf>
    <xf fontId="27050" applyFont="true" borderId="8" applyBorder="true" applyNumberFormat="true" numFmtId="2" fillId="22" applyFill="true">
      <alignment horizontal="center" vertical="center"/>
    </xf>
    <xf fontId="27051" applyFont="true" borderId="8" applyBorder="true" applyNumberFormat="true" numFmtId="2" fillId="22" applyFill="true">
      <alignment horizontal="center" vertical="center"/>
    </xf>
    <xf fontId="27052" applyFont="true" borderId="8" applyBorder="true" applyNumberFormat="true" numFmtId="2" fillId="22" applyFill="true">
      <alignment horizontal="center" vertical="center"/>
    </xf>
    <xf fontId="27053" applyFont="true" borderId="8" applyBorder="true" applyNumberFormat="true" numFmtId="2" fillId="22" applyFill="true">
      <alignment horizontal="center" vertical="center"/>
    </xf>
    <xf fontId="27054" applyFont="true" borderId="8" applyBorder="true" applyNumberFormat="true" numFmtId="2" fillId="22" applyFill="true">
      <alignment horizontal="center" vertical="center"/>
    </xf>
    <xf fontId="27055" applyFont="true" borderId="8" applyBorder="true" applyNumberFormat="true" numFmtId="2" fillId="22" applyFill="true">
      <alignment horizontal="center" vertical="center"/>
    </xf>
    <xf fontId="27056" applyFont="true" borderId="8" applyBorder="true" applyNumberFormat="true" numFmtId="2" fillId="22" applyFill="true">
      <alignment horizontal="center" vertical="center"/>
    </xf>
    <xf fontId="27057" applyFont="true" borderId="8" applyBorder="true" applyNumberFormat="true" numFmtId="2" fillId="22" applyFill="true">
      <alignment horizontal="center" vertical="center"/>
    </xf>
    <xf fontId="27058" applyFont="true" borderId="8" applyBorder="true" applyNumberFormat="true" numFmtId="2" fillId="22" applyFill="true">
      <alignment horizontal="center" vertical="center"/>
    </xf>
    <xf fontId="27059" applyFont="true" borderId="8" applyBorder="true" applyNumberFormat="true" numFmtId="2" fillId="22" applyFill="true">
      <alignment horizontal="center" vertical="center"/>
    </xf>
    <xf fontId="27060" applyFont="true" borderId="8" applyBorder="true" applyNumberFormat="true" numFmtId="2" fillId="22" applyFill="true">
      <alignment horizontal="center" vertical="center"/>
    </xf>
    <xf fontId="27061" applyFont="true" borderId="8" applyBorder="true" applyNumberFormat="true" numFmtId="2" fillId="22" applyFill="true">
      <alignment horizontal="center" vertical="center"/>
    </xf>
    <xf fontId="27062" applyFont="true" borderId="8" applyBorder="true" applyNumberFormat="true" numFmtId="2" fillId="22" applyFill="true">
      <alignment horizontal="center" vertical="center"/>
    </xf>
    <xf fontId="27063" applyFont="true" borderId="8" applyBorder="true" applyNumberFormat="true" numFmtId="2" fillId="22" applyFill="true">
      <alignment horizontal="center" vertical="center"/>
    </xf>
    <xf fontId="27064" applyFont="true" borderId="8" applyBorder="true" applyNumberFormat="true" numFmtId="2" fillId="22" applyFill="true">
      <alignment horizontal="center" vertical="center"/>
    </xf>
    <xf fontId="27065" applyFont="true" borderId="8" applyBorder="true" applyNumberFormat="true" numFmtId="2" fillId="22" applyFill="true">
      <alignment horizontal="center" vertical="center"/>
    </xf>
    <xf fontId="27066" applyFont="true" borderId="8" applyBorder="true" applyNumberFormat="true" numFmtId="2" fillId="22" applyFill="true">
      <alignment horizontal="center" vertical="center"/>
    </xf>
    <xf fontId="27067" applyFont="true" borderId="8" applyBorder="true" applyNumberFormat="true" numFmtId="2" fillId="22" applyFill="true">
      <alignment horizontal="center" vertical="center"/>
    </xf>
    <xf fontId="27068" applyFont="true" borderId="8" applyBorder="true" applyNumberFormat="true" numFmtId="2" fillId="22" applyFill="true">
      <alignment horizontal="center" vertical="center"/>
    </xf>
    <xf fontId="27069" applyFont="true" borderId="8" applyBorder="true" applyNumberFormat="true" numFmtId="165" fillId="19" applyFill="true">
      <alignment horizontal="left" vertical="center"/>
    </xf>
    <xf fontId="27070" applyFont="true" borderId="8" applyBorder="true" applyNumberFormat="true" numFmtId="165" fillId="22" applyFill="true">
      <alignment horizontal="center" vertical="center"/>
    </xf>
    <xf fontId="27071" applyFont="true" borderId="8" applyBorder="true" applyNumberFormat="true" numFmtId="166" fillId="22" applyFill="true">
      <alignment horizontal="center" vertical="center"/>
    </xf>
    <xf fontId="27072" applyFont="true" borderId="8" applyBorder="true" applyNumberFormat="true" numFmtId="1" fillId="22" applyFill="true">
      <alignment horizontal="center" vertical="center"/>
    </xf>
    <xf fontId="27073" applyFont="true" borderId="8" applyBorder="true" applyNumberFormat="true" numFmtId="1" fillId="22" applyFill="true">
      <alignment horizontal="center" vertical="center"/>
    </xf>
    <xf fontId="27074" applyFont="true" borderId="8" applyBorder="true" applyNumberFormat="true" numFmtId="1" fillId="22" applyFill="true">
      <alignment horizontal="center" vertical="center"/>
    </xf>
    <xf fontId="27075" applyFont="true" borderId="8" applyBorder="true" applyNumberFormat="true" numFmtId="1" fillId="22" applyFill="true">
      <alignment horizontal="center" vertical="center"/>
    </xf>
    <xf fontId="27076" applyFont="true" borderId="8" applyBorder="true" applyNumberFormat="true" numFmtId="1" fillId="22" applyFill="true">
      <alignment horizontal="center" vertical="center"/>
    </xf>
    <xf fontId="27077" applyFont="true" borderId="8" applyBorder="true" applyNumberFormat="true" numFmtId="1" fillId="22" applyFill="true">
      <alignment horizontal="center" vertical="center"/>
    </xf>
    <xf fontId="27078" applyFont="true" borderId="8" applyBorder="true" applyNumberFormat="true" numFmtId="1" fillId="22" applyFill="true">
      <alignment horizontal="center" vertical="center"/>
    </xf>
    <xf fontId="27079" applyFont="true" borderId="8" applyBorder="true" applyNumberFormat="true" numFmtId="165" fillId="22" applyFill="true">
      <alignment horizontal="center" vertical="center"/>
    </xf>
    <xf fontId="27080" applyFont="true" borderId="8" applyBorder="true" applyNumberFormat="true" numFmtId="165" fillId="22" applyFill="true">
      <alignment horizontal="center" vertical="center"/>
    </xf>
    <xf fontId="27081" applyFont="true" borderId="8" applyBorder="true" applyNumberFormat="true" numFmtId="1" fillId="22" applyFill="true">
      <alignment horizontal="center" vertical="center"/>
    </xf>
    <xf fontId="27082" applyFont="true" borderId="8" applyBorder="true" applyNumberFormat="true" numFmtId="1" fillId="22" applyFill="true">
      <alignment horizontal="center" vertical="center"/>
    </xf>
    <xf fontId="27083" applyFont="true" borderId="8" applyBorder="true" applyNumberFormat="true" numFmtId="1" fillId="22" applyFill="true">
      <alignment horizontal="center" vertical="center"/>
    </xf>
    <xf fontId="27084" applyFont="true" borderId="8" applyBorder="true" applyNumberFormat="true" numFmtId="167" fillId="22" applyFill="true">
      <alignment horizontal="center" vertical="center"/>
    </xf>
    <xf fontId="27085" applyFont="true" borderId="8" applyBorder="true" applyNumberFormat="true" numFmtId="1" fillId="22" applyFill="true">
      <alignment horizontal="center" vertical="center"/>
    </xf>
    <xf fontId="27086" applyFont="true" borderId="8" applyBorder="true" applyNumberFormat="true" numFmtId="167" fillId="22" applyFill="true">
      <alignment horizontal="center" vertical="center"/>
    </xf>
    <xf fontId="27087" applyFont="true" borderId="8" applyBorder="true" applyNumberFormat="true" numFmtId="1" fillId="22" applyFill="true">
      <alignment horizontal="center" vertical="center"/>
    </xf>
    <xf fontId="27088" applyFont="true" borderId="8" applyBorder="true" applyNumberFormat="true" numFmtId="167" fillId="22" applyFill="true">
      <alignment horizontal="center" vertical="center"/>
    </xf>
    <xf fontId="27089" applyFont="true" borderId="8" applyBorder="true" applyNumberFormat="true" numFmtId="1" fillId="22" applyFill="true">
      <alignment horizontal="center" vertical="center"/>
    </xf>
    <xf fontId="27090" applyFont="true" borderId="8" applyBorder="true" applyNumberFormat="true" numFmtId="167" fillId="22" applyFill="true">
      <alignment horizontal="center" vertical="center"/>
    </xf>
    <xf fontId="27091" applyFont="true" borderId="8" applyBorder="true" applyNumberFormat="true" numFmtId="167" fillId="22" applyFill="true">
      <alignment horizontal="center" vertical="center"/>
    </xf>
    <xf fontId="27092" applyFont="true" borderId="8" applyBorder="true" applyNumberFormat="true" numFmtId="1" fillId="22" applyFill="true">
      <alignment horizontal="center" vertical="center"/>
    </xf>
    <xf fontId="27093" applyFont="true" borderId="8" applyBorder="true" applyNumberFormat="true" numFmtId="1" fillId="22" applyFill="true">
      <alignment horizontal="center" vertical="center"/>
    </xf>
    <xf fontId="27094" applyFont="true" borderId="8" applyBorder="true" applyNumberFormat="true" numFmtId="1" fillId="22" applyFill="true">
      <alignment horizontal="center" vertical="center"/>
    </xf>
    <xf fontId="27095" applyFont="true" borderId="8" applyBorder="true" applyNumberFormat="true" numFmtId="167" fillId="22" applyFill="true">
      <alignment horizontal="center" vertical="center"/>
    </xf>
    <xf fontId="27096" applyFont="true" borderId="8" applyBorder="true" applyNumberFormat="true" numFmtId="166" fillId="22" applyFill="true">
      <alignment horizontal="center" vertical="center"/>
    </xf>
    <xf fontId="27097" applyFont="true" borderId="8" applyBorder="true" applyNumberFormat="true" numFmtId="166" fillId="22" applyFill="true">
      <alignment horizontal="center" vertical="center"/>
    </xf>
    <xf fontId="27098" applyFont="true" borderId="8" applyBorder="true" applyNumberFormat="true" numFmtId="1" fillId="22" applyFill="true">
      <alignment horizontal="center" vertical="center"/>
    </xf>
    <xf fontId="27099" applyFont="true" borderId="8" applyBorder="true" applyNumberFormat="true" numFmtId="1" fillId="22" applyFill="true">
      <alignment horizontal="center" vertical="center"/>
    </xf>
    <xf fontId="27100" applyFont="true" borderId="8" applyBorder="true" applyNumberFormat="true" numFmtId="1" fillId="22" applyFill="true">
      <alignment horizontal="center" vertical="center"/>
    </xf>
    <xf fontId="27101" applyFont="true" borderId="8" applyBorder="true" applyNumberFormat="true" numFmtId="167" fillId="22" applyFill="true">
      <alignment horizontal="center" vertical="center"/>
    </xf>
    <xf fontId="27102" applyFont="true" borderId="8" applyBorder="true" applyNumberFormat="true" numFmtId="1" fillId="22" applyFill="true">
      <alignment horizontal="center" vertical="center"/>
    </xf>
    <xf fontId="27103" applyFont="true" borderId="8" applyBorder="true" applyNumberFormat="true" numFmtId="167" fillId="22" applyFill="true">
      <alignment horizontal="center" vertical="center"/>
    </xf>
    <xf fontId="27104" applyFont="true" borderId="8" applyBorder="true" applyNumberFormat="true" numFmtId="1" fillId="22" applyFill="true">
      <alignment horizontal="center" vertical="center"/>
    </xf>
    <xf fontId="27105" applyFont="true" borderId="8" applyBorder="true" applyNumberFormat="true" numFmtId="1" fillId="22" applyFill="true">
      <alignment horizontal="center" vertical="center"/>
    </xf>
    <xf fontId="27106" applyFont="true" borderId="8" applyBorder="true" applyNumberFormat="true" numFmtId="1" fillId="22" applyFill="true">
      <alignment horizontal="center" vertical="center"/>
    </xf>
    <xf fontId="27107" applyFont="true" borderId="8" applyBorder="true" applyNumberFormat="true" numFmtId="1" fillId="22" applyFill="true">
      <alignment horizontal="center" vertical="center"/>
    </xf>
    <xf fontId="27108" applyFont="true" borderId="8" applyBorder="true" applyNumberFormat="true" numFmtId="167" fillId="22" applyFill="true">
      <alignment horizontal="center" vertical="center"/>
    </xf>
    <xf fontId="27109" applyFont="true" borderId="8" applyBorder="true" applyNumberFormat="true" numFmtId="1" fillId="22" applyFill="true">
      <alignment horizontal="center" vertical="center"/>
    </xf>
    <xf fontId="27110" applyFont="true" borderId="8" applyBorder="true" applyNumberFormat="true" numFmtId="167" fillId="22" applyFill="true">
      <alignment horizontal="center" vertical="center"/>
    </xf>
    <xf fontId="27111" applyFont="true" borderId="8" applyBorder="true" applyNumberFormat="true" numFmtId="1" fillId="22" applyFill="true">
      <alignment horizontal="center" vertical="center"/>
    </xf>
    <xf fontId="27112" applyFont="true" borderId="8" applyBorder="true" applyNumberFormat="true" numFmtId="167" fillId="22" applyFill="true">
      <alignment horizontal="center" vertical="center"/>
    </xf>
    <xf fontId="27113" applyFont="true" borderId="8" applyBorder="true" applyNumberFormat="true" numFmtId="2" fillId="22" applyFill="true">
      <alignment horizontal="center" vertical="center"/>
    </xf>
    <xf fontId="27114" applyFont="true" borderId="8" applyBorder="true" applyNumberFormat="true" numFmtId="2" fillId="22" applyFill="true">
      <alignment horizontal="center" vertical="center"/>
    </xf>
    <xf fontId="27115" applyFont="true" borderId="8" applyBorder="true" applyNumberFormat="true" numFmtId="2" fillId="22" applyFill="true">
      <alignment horizontal="center" vertical="center"/>
    </xf>
    <xf fontId="27116" applyFont="true" borderId="8" applyBorder="true" applyNumberFormat="true" numFmtId="2" fillId="22" applyFill="true">
      <alignment horizontal="center" vertical="center"/>
    </xf>
    <xf fontId="27117" applyFont="true" borderId="8" applyBorder="true" applyNumberFormat="true" numFmtId="2" fillId="22" applyFill="true">
      <alignment horizontal="center" vertical="center"/>
    </xf>
    <xf fontId="27118" applyFont="true" borderId="8" applyBorder="true" applyNumberFormat="true" numFmtId="2" fillId="22" applyFill="true">
      <alignment horizontal="center" vertical="center"/>
    </xf>
    <xf fontId="27119" applyFont="true" borderId="8" applyBorder="true" applyNumberFormat="true" numFmtId="2" fillId="22" applyFill="true">
      <alignment horizontal="center" vertical="center"/>
    </xf>
    <xf fontId="27120" applyFont="true" borderId="8" applyBorder="true" applyNumberFormat="true" numFmtId="2" fillId="22" applyFill="true">
      <alignment horizontal="center" vertical="center"/>
    </xf>
    <xf fontId="27121" applyFont="true" borderId="8" applyBorder="true" applyNumberFormat="true" numFmtId="2" fillId="22" applyFill="true">
      <alignment horizontal="center" vertical="center"/>
    </xf>
    <xf fontId="27122" applyFont="true" borderId="8" applyBorder="true" applyNumberFormat="true" numFmtId="2" fillId="22" applyFill="true">
      <alignment horizontal="center" vertical="center"/>
    </xf>
    <xf fontId="27123" applyFont="true" borderId="8" applyBorder="true" applyNumberFormat="true" numFmtId="2" fillId="22" applyFill="true">
      <alignment horizontal="center" vertical="center"/>
    </xf>
    <xf fontId="27124" applyFont="true" borderId="8" applyBorder="true" applyNumberFormat="true" numFmtId="2" fillId="22" applyFill="true">
      <alignment horizontal="center" vertical="center"/>
    </xf>
    <xf fontId="27125" applyFont="true" borderId="8" applyBorder="true" applyNumberFormat="true" numFmtId="2" fillId="22" applyFill="true">
      <alignment horizontal="center" vertical="center"/>
    </xf>
    <xf fontId="27126" applyFont="true" borderId="8" applyBorder="true" applyNumberFormat="true" numFmtId="2" fillId="22" applyFill="true">
      <alignment horizontal="center" vertical="center"/>
    </xf>
    <xf fontId="27127" applyFont="true" borderId="8" applyBorder="true" applyNumberFormat="true" numFmtId="2" fillId="22" applyFill="true">
      <alignment horizontal="center" vertical="center"/>
    </xf>
    <xf fontId="27128" applyFont="true" borderId="8" applyBorder="true" applyNumberFormat="true" numFmtId="2" fillId="22" applyFill="true">
      <alignment horizontal="center" vertical="center"/>
    </xf>
    <xf fontId="27129" applyFont="true" borderId="8" applyBorder="true" applyNumberFormat="true" numFmtId="2" fillId="22" applyFill="true">
      <alignment horizontal="center" vertical="center"/>
    </xf>
    <xf fontId="27130" applyFont="true" borderId="8" applyBorder="true" applyNumberFormat="true" numFmtId="2" fillId="22" applyFill="true">
      <alignment horizontal="center" vertical="center"/>
    </xf>
    <xf fontId="27131" applyFont="true" borderId="8" applyBorder="true" applyNumberFormat="true" numFmtId="2" fillId="22" applyFill="true">
      <alignment horizontal="center" vertical="center"/>
    </xf>
    <xf fontId="27132" applyFont="true" borderId="8" applyBorder="true" applyNumberFormat="true" numFmtId="2" fillId="22" applyFill="true">
      <alignment horizontal="center" vertical="center"/>
    </xf>
    <xf fontId="27133" applyFont="true" borderId="8" applyBorder="true" applyNumberFormat="true" numFmtId="2" fillId="22" applyFill="true">
      <alignment horizontal="center" vertical="center"/>
    </xf>
    <xf fontId="27134" applyFont="true" borderId="8" applyBorder="true" applyNumberFormat="true" numFmtId="2" fillId="22" applyFill="true">
      <alignment horizontal="center" vertical="center"/>
    </xf>
    <xf fontId="27135" applyFont="true" borderId="8" applyBorder="true" applyNumberFormat="true" numFmtId="2" fillId="22" applyFill="true">
      <alignment horizontal="center" vertical="center"/>
    </xf>
    <xf fontId="27136" applyFont="true" borderId="8" applyBorder="true" applyNumberFormat="true" numFmtId="2" fillId="22" applyFill="true">
      <alignment horizontal="center" vertical="center"/>
    </xf>
    <xf fontId="27137" applyFont="true" borderId="8" applyBorder="true" applyNumberFormat="true" numFmtId="2" fillId="22" applyFill="true">
      <alignment horizontal="center" vertical="center"/>
    </xf>
    <xf fontId="27138" applyFont="true" borderId="8" applyBorder="true" applyNumberFormat="true" numFmtId="2" fillId="22" applyFill="true">
      <alignment horizontal="center" vertical="center"/>
    </xf>
    <xf fontId="27139" applyFont="true" borderId="8" applyBorder="true" applyNumberFormat="true" numFmtId="2" fillId="22" applyFill="true">
      <alignment horizontal="center" vertical="center"/>
    </xf>
    <xf fontId="27140" applyFont="true" borderId="8" applyBorder="true" applyNumberFormat="true" numFmtId="2" fillId="22" applyFill="true">
      <alignment horizontal="center" vertical="center"/>
    </xf>
    <xf fontId="27141" applyFont="true" borderId="8" applyBorder="true" applyNumberFormat="true" numFmtId="2" fillId="22" applyFill="true">
      <alignment horizontal="center" vertical="center"/>
    </xf>
    <xf fontId="27142" applyFont="true" borderId="8" applyBorder="true" applyNumberFormat="true" numFmtId="2" fillId="22" applyFill="true">
      <alignment horizontal="center" vertical="center"/>
    </xf>
    <xf fontId="27143" applyFont="true" borderId="8" applyBorder="true" applyNumberFormat="true" numFmtId="2" fillId="22" applyFill="true">
      <alignment horizontal="center" vertical="center"/>
    </xf>
    <xf fontId="27144" applyFont="true" borderId="8" applyBorder="true" applyNumberFormat="true" numFmtId="2" fillId="22" applyFill="true">
      <alignment horizontal="center" vertical="center"/>
    </xf>
    <xf fontId="27145" applyFont="true" borderId="8" applyBorder="true" applyNumberFormat="true" numFmtId="2" fillId="22" applyFill="true">
      <alignment horizontal="center" vertical="center"/>
    </xf>
    <xf fontId="27146" applyFont="true" borderId="8" applyBorder="true" applyNumberFormat="true" numFmtId="2" fillId="22" applyFill="true">
      <alignment horizontal="center" vertical="center"/>
    </xf>
    <xf fontId="27147" applyFont="true" borderId="8" applyBorder="true" applyNumberFormat="true" numFmtId="165" fillId="19" applyFill="true">
      <alignment horizontal="left" vertical="center"/>
    </xf>
    <xf fontId="27148" applyFont="true" borderId="8" applyBorder="true" applyNumberFormat="true" numFmtId="165" fillId="22" applyFill="true">
      <alignment horizontal="center" vertical="center"/>
    </xf>
    <xf fontId="27149" applyFont="true" borderId="8" applyBorder="true" applyNumberFormat="true" numFmtId="166" fillId="22" applyFill="true">
      <alignment horizontal="center" vertical="center"/>
    </xf>
    <xf fontId="27150" applyFont="true" borderId="8" applyBorder="true" applyNumberFormat="true" numFmtId="1" fillId="22" applyFill="true">
      <alignment horizontal="center" vertical="center"/>
    </xf>
    <xf fontId="27151" applyFont="true" borderId="8" applyBorder="true" applyNumberFormat="true" numFmtId="1" fillId="22" applyFill="true">
      <alignment horizontal="center" vertical="center"/>
    </xf>
    <xf fontId="27152" applyFont="true" borderId="8" applyBorder="true" applyNumberFormat="true" numFmtId="1" fillId="22" applyFill="true">
      <alignment horizontal="center" vertical="center"/>
    </xf>
    <xf fontId="27153" applyFont="true" borderId="8" applyBorder="true" applyNumberFormat="true" numFmtId="1" fillId="22" applyFill="true">
      <alignment horizontal="center" vertical="center"/>
    </xf>
    <xf fontId="27154" applyFont="true" borderId="8" applyBorder="true" applyNumberFormat="true" numFmtId="1" fillId="22" applyFill="true">
      <alignment horizontal="center" vertical="center"/>
    </xf>
    <xf fontId="27155" applyFont="true" borderId="8" applyBorder="true" applyNumberFormat="true" numFmtId="1" fillId="22" applyFill="true">
      <alignment horizontal="center" vertical="center"/>
    </xf>
    <xf fontId="27156" applyFont="true" borderId="8" applyBorder="true" applyNumberFormat="true" numFmtId="1" fillId="22" applyFill="true">
      <alignment horizontal="center" vertical="center"/>
    </xf>
    <xf fontId="27157" applyFont="true" borderId="8" applyBorder="true" applyNumberFormat="true" numFmtId="165" fillId="22" applyFill="true">
      <alignment horizontal="center" vertical="center"/>
    </xf>
    <xf fontId="27158" applyFont="true" borderId="8" applyBorder="true" applyNumberFormat="true" numFmtId="165" fillId="22" applyFill="true">
      <alignment horizontal="center" vertical="center"/>
    </xf>
    <xf fontId="27159" applyFont="true" borderId="8" applyBorder="true" applyNumberFormat="true" numFmtId="1" fillId="22" applyFill="true">
      <alignment horizontal="center" vertical="center"/>
    </xf>
    <xf fontId="27160" applyFont="true" borderId="8" applyBorder="true" applyNumberFormat="true" numFmtId="1" fillId="22" applyFill="true">
      <alignment horizontal="center" vertical="center"/>
    </xf>
    <xf fontId="27161" applyFont="true" borderId="8" applyBorder="true" applyNumberFormat="true" numFmtId="1" fillId="22" applyFill="true">
      <alignment horizontal="center" vertical="center"/>
    </xf>
    <xf fontId="27162" applyFont="true" borderId="8" applyBorder="true" applyNumberFormat="true" numFmtId="167" fillId="22" applyFill="true">
      <alignment horizontal="center" vertical="center"/>
    </xf>
    <xf fontId="27163" applyFont="true" borderId="8" applyBorder="true" applyNumberFormat="true" numFmtId="1" fillId="22" applyFill="true">
      <alignment horizontal="center" vertical="center"/>
    </xf>
    <xf fontId="27164" applyFont="true" borderId="8" applyBorder="true" applyNumberFormat="true" numFmtId="167" fillId="22" applyFill="true">
      <alignment horizontal="center" vertical="center"/>
    </xf>
    <xf fontId="27165" applyFont="true" borderId="8" applyBorder="true" applyNumberFormat="true" numFmtId="1" fillId="22" applyFill="true">
      <alignment horizontal="center" vertical="center"/>
    </xf>
    <xf fontId="27166" applyFont="true" borderId="8" applyBorder="true" applyNumberFormat="true" numFmtId="167" fillId="22" applyFill="true">
      <alignment horizontal="center" vertical="center"/>
    </xf>
    <xf fontId="27167" applyFont="true" borderId="8" applyBorder="true" applyNumberFormat="true" numFmtId="1" fillId="22" applyFill="true">
      <alignment horizontal="center" vertical="center"/>
    </xf>
    <xf fontId="27168" applyFont="true" borderId="8" applyBorder="true" applyNumberFormat="true" numFmtId="167" fillId="22" applyFill="true">
      <alignment horizontal="center" vertical="center"/>
    </xf>
    <xf fontId="27169" applyFont="true" borderId="8" applyBorder="true" applyNumberFormat="true" numFmtId="167" fillId="22" applyFill="true">
      <alignment horizontal="center" vertical="center"/>
    </xf>
    <xf fontId="27170" applyFont="true" borderId="8" applyBorder="true" applyNumberFormat="true" numFmtId="1" fillId="22" applyFill="true">
      <alignment horizontal="center" vertical="center"/>
    </xf>
    <xf fontId="27171" applyFont="true" borderId="8" applyBorder="true" applyNumberFormat="true" numFmtId="1" fillId="22" applyFill="true">
      <alignment horizontal="center" vertical="center"/>
    </xf>
    <xf fontId="27172" applyFont="true" borderId="8" applyBorder="true" applyNumberFormat="true" numFmtId="1" fillId="22" applyFill="true">
      <alignment horizontal="center" vertical="center"/>
    </xf>
    <xf fontId="27173" applyFont="true" borderId="8" applyBorder="true" applyNumberFormat="true" numFmtId="167" fillId="22" applyFill="true">
      <alignment horizontal="center" vertical="center"/>
    </xf>
    <xf fontId="27174" applyFont="true" borderId="8" applyBorder="true" applyNumberFormat="true" numFmtId="166" fillId="22" applyFill="true">
      <alignment horizontal="center" vertical="center"/>
    </xf>
    <xf fontId="27175" applyFont="true" borderId="8" applyBorder="true" applyNumberFormat="true" numFmtId="166" fillId="22" applyFill="true">
      <alignment horizontal="center" vertical="center"/>
    </xf>
    <xf fontId="27176" applyFont="true" borderId="8" applyBorder="true" applyNumberFormat="true" numFmtId="1" fillId="22" applyFill="true">
      <alignment horizontal="center" vertical="center"/>
    </xf>
    <xf fontId="27177" applyFont="true" borderId="8" applyBorder="true" applyNumberFormat="true" numFmtId="1" fillId="22" applyFill="true">
      <alignment horizontal="center" vertical="center"/>
    </xf>
    <xf fontId="27178" applyFont="true" borderId="8" applyBorder="true" applyNumberFormat="true" numFmtId="1" fillId="22" applyFill="true">
      <alignment horizontal="center" vertical="center"/>
    </xf>
    <xf fontId="27179" applyFont="true" borderId="8" applyBorder="true" applyNumberFormat="true" numFmtId="167" fillId="22" applyFill="true">
      <alignment horizontal="center" vertical="center"/>
    </xf>
    <xf fontId="27180" applyFont="true" borderId="8" applyBorder="true" applyNumberFormat="true" numFmtId="1" fillId="22" applyFill="true">
      <alignment horizontal="center" vertical="center"/>
    </xf>
    <xf fontId="27181" applyFont="true" borderId="8" applyBorder="true" applyNumberFormat="true" numFmtId="167" fillId="22" applyFill="true">
      <alignment horizontal="center" vertical="center"/>
    </xf>
    <xf fontId="27182" applyFont="true" borderId="8" applyBorder="true" applyNumberFormat="true" numFmtId="1" fillId="22" applyFill="true">
      <alignment horizontal="center" vertical="center"/>
    </xf>
    <xf fontId="27183" applyFont="true" borderId="8" applyBorder="true" applyNumberFormat="true" numFmtId="1" fillId="22" applyFill="true">
      <alignment horizontal="center" vertical="center"/>
    </xf>
    <xf fontId="27184" applyFont="true" borderId="8" applyBorder="true" applyNumberFormat="true" numFmtId="1" fillId="22" applyFill="true">
      <alignment horizontal="center" vertical="center"/>
    </xf>
    <xf fontId="27185" applyFont="true" borderId="8" applyBorder="true" applyNumberFormat="true" numFmtId="1" fillId="22" applyFill="true">
      <alignment horizontal="center" vertical="center"/>
    </xf>
    <xf fontId="27186" applyFont="true" borderId="8" applyBorder="true" applyNumberFormat="true" numFmtId="167" fillId="22" applyFill="true">
      <alignment horizontal="center" vertical="center"/>
    </xf>
    <xf fontId="27187" applyFont="true" borderId="8" applyBorder="true" applyNumberFormat="true" numFmtId="1" fillId="22" applyFill="true">
      <alignment horizontal="center" vertical="center"/>
    </xf>
    <xf fontId="27188" applyFont="true" borderId="8" applyBorder="true" applyNumberFormat="true" numFmtId="167" fillId="22" applyFill="true">
      <alignment horizontal="center" vertical="center"/>
    </xf>
    <xf fontId="27189" applyFont="true" borderId="8" applyBorder="true" applyNumberFormat="true" numFmtId="1" fillId="22" applyFill="true">
      <alignment horizontal="center" vertical="center"/>
    </xf>
    <xf fontId="27190" applyFont="true" borderId="8" applyBorder="true" applyNumberFormat="true" numFmtId="167" fillId="22" applyFill="true">
      <alignment horizontal="center" vertical="center"/>
    </xf>
    <xf fontId="27191" applyFont="true" borderId="8" applyBorder="true" applyNumberFormat="true" numFmtId="2" fillId="22" applyFill="true">
      <alignment horizontal="center" vertical="center"/>
    </xf>
    <xf fontId="27192" applyFont="true" borderId="8" applyBorder="true" applyNumberFormat="true" numFmtId="2" fillId="22" applyFill="true">
      <alignment horizontal="center" vertical="center"/>
    </xf>
    <xf fontId="27193" applyFont="true" borderId="8" applyBorder="true" applyNumberFormat="true" numFmtId="2" fillId="22" applyFill="true">
      <alignment horizontal="center" vertical="center"/>
    </xf>
    <xf fontId="27194" applyFont="true" borderId="8" applyBorder="true" applyNumberFormat="true" numFmtId="2" fillId="22" applyFill="true">
      <alignment horizontal="center" vertical="center"/>
    </xf>
    <xf fontId="27195" applyFont="true" borderId="8" applyBorder="true" applyNumberFormat="true" numFmtId="2" fillId="22" applyFill="true">
      <alignment horizontal="center" vertical="center"/>
    </xf>
    <xf fontId="27196" applyFont="true" borderId="8" applyBorder="true" applyNumberFormat="true" numFmtId="2" fillId="22" applyFill="true">
      <alignment horizontal="center" vertical="center"/>
    </xf>
    <xf fontId="27197" applyFont="true" borderId="8" applyBorder="true" applyNumberFormat="true" numFmtId="2" fillId="22" applyFill="true">
      <alignment horizontal="center" vertical="center"/>
    </xf>
    <xf fontId="27198" applyFont="true" borderId="8" applyBorder="true" applyNumberFormat="true" numFmtId="2" fillId="22" applyFill="true">
      <alignment horizontal="center" vertical="center"/>
    </xf>
    <xf fontId="27199" applyFont="true" borderId="8" applyBorder="true" applyNumberFormat="true" numFmtId="2" fillId="22" applyFill="true">
      <alignment horizontal="center" vertical="center"/>
    </xf>
    <xf fontId="27200" applyFont="true" borderId="8" applyBorder="true" applyNumberFormat="true" numFmtId="2" fillId="22" applyFill="true">
      <alignment horizontal="center" vertical="center"/>
    </xf>
    <xf fontId="27201" applyFont="true" borderId="8" applyBorder="true" applyNumberFormat="true" numFmtId="2" fillId="22" applyFill="true">
      <alignment horizontal="center" vertical="center"/>
    </xf>
    <xf fontId="27202" applyFont="true" borderId="8" applyBorder="true" applyNumberFormat="true" numFmtId="2" fillId="22" applyFill="true">
      <alignment horizontal="center" vertical="center"/>
    </xf>
    <xf fontId="27203" applyFont="true" borderId="8" applyBorder="true" applyNumberFormat="true" numFmtId="2" fillId="22" applyFill="true">
      <alignment horizontal="center" vertical="center"/>
    </xf>
    <xf fontId="27204" applyFont="true" borderId="8" applyBorder="true" applyNumberFormat="true" numFmtId="2" fillId="22" applyFill="true">
      <alignment horizontal="center" vertical="center"/>
    </xf>
    <xf fontId="27205" applyFont="true" borderId="8" applyBorder="true" applyNumberFormat="true" numFmtId="2" fillId="22" applyFill="true">
      <alignment horizontal="center" vertical="center"/>
    </xf>
    <xf fontId="27206" applyFont="true" borderId="8" applyBorder="true" applyNumberFormat="true" numFmtId="2" fillId="22" applyFill="true">
      <alignment horizontal="center" vertical="center"/>
    </xf>
    <xf fontId="27207" applyFont="true" borderId="8" applyBorder="true" applyNumberFormat="true" numFmtId="2" fillId="22" applyFill="true">
      <alignment horizontal="center" vertical="center"/>
    </xf>
    <xf fontId="27208" applyFont="true" borderId="8" applyBorder="true" applyNumberFormat="true" numFmtId="2" fillId="22" applyFill="true">
      <alignment horizontal="center" vertical="center"/>
    </xf>
    <xf fontId="27209" applyFont="true" borderId="8" applyBorder="true" applyNumberFormat="true" numFmtId="2" fillId="22" applyFill="true">
      <alignment horizontal="center" vertical="center"/>
    </xf>
    <xf fontId="27210" applyFont="true" borderId="8" applyBorder="true" applyNumberFormat="true" numFmtId="2" fillId="22" applyFill="true">
      <alignment horizontal="center" vertical="center"/>
    </xf>
    <xf fontId="27211" applyFont="true" borderId="8" applyBorder="true" applyNumberFormat="true" numFmtId="2" fillId="22" applyFill="true">
      <alignment horizontal="center" vertical="center"/>
    </xf>
    <xf fontId="27212" applyFont="true" borderId="8" applyBorder="true" applyNumberFormat="true" numFmtId="2" fillId="22" applyFill="true">
      <alignment horizontal="center" vertical="center"/>
    </xf>
    <xf fontId="27213" applyFont="true" borderId="8" applyBorder="true" applyNumberFormat="true" numFmtId="2" fillId="22" applyFill="true">
      <alignment horizontal="center" vertical="center"/>
    </xf>
    <xf fontId="27214" applyFont="true" borderId="8" applyBorder="true" applyNumberFormat="true" numFmtId="2" fillId="22" applyFill="true">
      <alignment horizontal="center" vertical="center"/>
    </xf>
    <xf fontId="27215" applyFont="true" borderId="8" applyBorder="true" applyNumberFormat="true" numFmtId="2" fillId="22" applyFill="true">
      <alignment horizontal="center" vertical="center"/>
    </xf>
    <xf fontId="27216" applyFont="true" borderId="8" applyBorder="true" applyNumberFormat="true" numFmtId="2" fillId="22" applyFill="true">
      <alignment horizontal="center" vertical="center"/>
    </xf>
    <xf fontId="27217" applyFont="true" borderId="8" applyBorder="true" applyNumberFormat="true" numFmtId="2" fillId="22" applyFill="true">
      <alignment horizontal="center" vertical="center"/>
    </xf>
    <xf fontId="27218" applyFont="true" borderId="8" applyBorder="true" applyNumberFormat="true" numFmtId="2" fillId="22" applyFill="true">
      <alignment horizontal="center" vertical="center"/>
    </xf>
    <xf fontId="27219" applyFont="true" borderId="8" applyBorder="true" applyNumberFormat="true" numFmtId="2" fillId="22" applyFill="true">
      <alignment horizontal="center" vertical="center"/>
    </xf>
    <xf fontId="27220" applyFont="true" borderId="8" applyBorder="true" applyNumberFormat="true" numFmtId="2" fillId="22" applyFill="true">
      <alignment horizontal="center" vertical="center"/>
    </xf>
    <xf fontId="27221" applyFont="true" borderId="8" applyBorder="true" applyNumberFormat="true" numFmtId="2" fillId="22" applyFill="true">
      <alignment horizontal="center" vertical="center"/>
    </xf>
    <xf fontId="27222" applyFont="true" borderId="8" applyBorder="true" applyNumberFormat="true" numFmtId="2" fillId="22" applyFill="true">
      <alignment horizontal="center" vertical="center"/>
    </xf>
    <xf fontId="27223" applyFont="true" borderId="8" applyBorder="true" applyNumberFormat="true" numFmtId="2" fillId="22" applyFill="true">
      <alignment horizontal="center" vertical="center"/>
    </xf>
    <xf fontId="27224" applyFont="true" borderId="8" applyBorder="true" applyNumberFormat="true" numFmtId="2" fillId="22" applyFill="true">
      <alignment horizontal="center" vertical="center"/>
    </xf>
    <xf fontId="27225" applyFont="true" borderId="8" applyBorder="true" applyNumberFormat="true" numFmtId="165" fillId="19" applyFill="true">
      <alignment horizontal="left" vertical="center"/>
    </xf>
    <xf fontId="27226" applyFont="true" borderId="8" applyBorder="true" applyNumberFormat="true" numFmtId="165" fillId="22" applyFill="true">
      <alignment horizontal="center" vertical="center"/>
    </xf>
    <xf fontId="27227" applyFont="true" borderId="8" applyBorder="true" applyNumberFormat="true" numFmtId="166" fillId="22" applyFill="true">
      <alignment horizontal="center" vertical="center"/>
    </xf>
    <xf fontId="27228" applyFont="true" borderId="8" applyBorder="true" applyNumberFormat="true" numFmtId="1" fillId="22" applyFill="true">
      <alignment horizontal="center" vertical="center"/>
    </xf>
    <xf fontId="27229" applyFont="true" borderId="8" applyBorder="true" applyNumberFormat="true" numFmtId="1" fillId="22" applyFill="true">
      <alignment horizontal="center" vertical="center"/>
    </xf>
    <xf fontId="27230" applyFont="true" borderId="8" applyBorder="true" applyNumberFormat="true" numFmtId="1" fillId="22" applyFill="true">
      <alignment horizontal="center" vertical="center"/>
    </xf>
    <xf fontId="27231" applyFont="true" borderId="8" applyBorder="true" applyNumberFormat="true" numFmtId="1" fillId="22" applyFill="true">
      <alignment horizontal="center" vertical="center"/>
    </xf>
    <xf fontId="27232" applyFont="true" borderId="8" applyBorder="true" applyNumberFormat="true" numFmtId="1" fillId="22" applyFill="true">
      <alignment horizontal="center" vertical="center"/>
    </xf>
    <xf fontId="27233" applyFont="true" borderId="8" applyBorder="true" applyNumberFormat="true" numFmtId="1" fillId="22" applyFill="true">
      <alignment horizontal="center" vertical="center"/>
    </xf>
    <xf fontId="27234" applyFont="true" borderId="8" applyBorder="true" applyNumberFormat="true" numFmtId="1" fillId="22" applyFill="true">
      <alignment horizontal="center" vertical="center"/>
    </xf>
    <xf fontId="27235" applyFont="true" borderId="8" applyBorder="true" applyNumberFormat="true" numFmtId="165" fillId="22" applyFill="true">
      <alignment horizontal="center" vertical="center"/>
    </xf>
    <xf fontId="27236" applyFont="true" borderId="8" applyBorder="true" applyNumberFormat="true" numFmtId="165" fillId="22" applyFill="true">
      <alignment horizontal="center" vertical="center"/>
    </xf>
    <xf fontId="27237" applyFont="true" borderId="8" applyBorder="true" applyNumberFormat="true" numFmtId="1" fillId="22" applyFill="true">
      <alignment horizontal="center" vertical="center"/>
    </xf>
    <xf fontId="27238" applyFont="true" borderId="8" applyBorder="true" applyNumberFormat="true" numFmtId="1" fillId="22" applyFill="true">
      <alignment horizontal="center" vertical="center"/>
    </xf>
    <xf fontId="27239" applyFont="true" borderId="8" applyBorder="true" applyNumberFormat="true" numFmtId="1" fillId="22" applyFill="true">
      <alignment horizontal="center" vertical="center"/>
    </xf>
    <xf fontId="27240" applyFont="true" borderId="8" applyBorder="true" applyNumberFormat="true" numFmtId="167" fillId="22" applyFill="true">
      <alignment horizontal="center" vertical="center"/>
    </xf>
    <xf fontId="27241" applyFont="true" borderId="8" applyBorder="true" applyNumberFormat="true" numFmtId="1" fillId="22" applyFill="true">
      <alignment horizontal="center" vertical="center"/>
    </xf>
    <xf fontId="27242" applyFont="true" borderId="8" applyBorder="true" applyNumberFormat="true" numFmtId="167" fillId="22" applyFill="true">
      <alignment horizontal="center" vertical="center"/>
    </xf>
    <xf fontId="27243" applyFont="true" borderId="8" applyBorder="true" applyNumberFormat="true" numFmtId="1" fillId="22" applyFill="true">
      <alignment horizontal="center" vertical="center"/>
    </xf>
    <xf fontId="27244" applyFont="true" borderId="8" applyBorder="true" applyNumberFormat="true" numFmtId="167" fillId="22" applyFill="true">
      <alignment horizontal="center" vertical="center"/>
    </xf>
    <xf fontId="27245" applyFont="true" borderId="8" applyBorder="true" applyNumberFormat="true" numFmtId="1" fillId="22" applyFill="true">
      <alignment horizontal="center" vertical="center"/>
    </xf>
    <xf fontId="27246" applyFont="true" borderId="8" applyBorder="true" applyNumberFormat="true" numFmtId="167" fillId="22" applyFill="true">
      <alignment horizontal="center" vertical="center"/>
    </xf>
    <xf fontId="27247" applyFont="true" borderId="8" applyBorder="true" applyNumberFormat="true" numFmtId="167" fillId="22" applyFill="true">
      <alignment horizontal="center" vertical="center"/>
    </xf>
    <xf fontId="27248" applyFont="true" borderId="8" applyBorder="true" applyNumberFormat="true" numFmtId="1" fillId="22" applyFill="true">
      <alignment horizontal="center" vertical="center"/>
    </xf>
    <xf fontId="27249" applyFont="true" borderId="8" applyBorder="true" applyNumberFormat="true" numFmtId="1" fillId="22" applyFill="true">
      <alignment horizontal="center" vertical="center"/>
    </xf>
    <xf fontId="27250" applyFont="true" borderId="8" applyBorder="true" applyNumberFormat="true" numFmtId="1" fillId="22" applyFill="true">
      <alignment horizontal="center" vertical="center"/>
    </xf>
    <xf fontId="27251" applyFont="true" borderId="8" applyBorder="true" applyNumberFormat="true" numFmtId="167" fillId="22" applyFill="true">
      <alignment horizontal="center" vertical="center"/>
    </xf>
    <xf fontId="27252" applyFont="true" borderId="8" applyBorder="true" applyNumberFormat="true" numFmtId="166" fillId="22" applyFill="true">
      <alignment horizontal="center" vertical="center"/>
    </xf>
    <xf fontId="27253" applyFont="true" borderId="8" applyBorder="true" applyNumberFormat="true" numFmtId="166" fillId="22" applyFill="true">
      <alignment horizontal="center" vertical="center"/>
    </xf>
    <xf fontId="27254" applyFont="true" borderId="8" applyBorder="true" applyNumberFormat="true" numFmtId="1" fillId="22" applyFill="true">
      <alignment horizontal="center" vertical="center"/>
    </xf>
    <xf fontId="27255" applyFont="true" borderId="8" applyBorder="true" applyNumberFormat="true" numFmtId="1" fillId="22" applyFill="true">
      <alignment horizontal="center" vertical="center"/>
    </xf>
    <xf fontId="27256" applyFont="true" borderId="8" applyBorder="true" applyNumberFormat="true" numFmtId="1" fillId="22" applyFill="true">
      <alignment horizontal="center" vertical="center"/>
    </xf>
    <xf fontId="27257" applyFont="true" borderId="8" applyBorder="true" applyNumberFormat="true" numFmtId="167" fillId="22" applyFill="true">
      <alignment horizontal="center" vertical="center"/>
    </xf>
    <xf fontId="27258" applyFont="true" borderId="8" applyBorder="true" applyNumberFormat="true" numFmtId="1" fillId="22" applyFill="true">
      <alignment horizontal="center" vertical="center"/>
    </xf>
    <xf fontId="27259" applyFont="true" borderId="8" applyBorder="true" applyNumberFormat="true" numFmtId="167" fillId="22" applyFill="true">
      <alignment horizontal="center" vertical="center"/>
    </xf>
    <xf fontId="27260" applyFont="true" borderId="8" applyBorder="true" applyNumberFormat="true" numFmtId="1" fillId="22" applyFill="true">
      <alignment horizontal="center" vertical="center"/>
    </xf>
    <xf fontId="27261" applyFont="true" borderId="8" applyBorder="true" applyNumberFormat="true" numFmtId="1" fillId="22" applyFill="true">
      <alignment horizontal="center" vertical="center"/>
    </xf>
    <xf fontId="27262" applyFont="true" borderId="8" applyBorder="true" applyNumberFormat="true" numFmtId="1" fillId="22" applyFill="true">
      <alignment horizontal="center" vertical="center"/>
    </xf>
    <xf fontId="27263" applyFont="true" borderId="8" applyBorder="true" applyNumberFormat="true" numFmtId="1" fillId="22" applyFill="true">
      <alignment horizontal="center" vertical="center"/>
    </xf>
    <xf fontId="27264" applyFont="true" borderId="8" applyBorder="true" applyNumberFormat="true" numFmtId="167" fillId="22" applyFill="true">
      <alignment horizontal="center" vertical="center"/>
    </xf>
    <xf fontId="27265" applyFont="true" borderId="8" applyBorder="true" applyNumberFormat="true" numFmtId="1" fillId="22" applyFill="true">
      <alignment horizontal="center" vertical="center"/>
    </xf>
    <xf fontId="27266" applyFont="true" borderId="8" applyBorder="true" applyNumberFormat="true" numFmtId="167" fillId="22" applyFill="true">
      <alignment horizontal="center" vertical="center"/>
    </xf>
    <xf fontId="27267" applyFont="true" borderId="8" applyBorder="true" applyNumberFormat="true" numFmtId="1" fillId="22" applyFill="true">
      <alignment horizontal="center" vertical="center"/>
    </xf>
    <xf fontId="27268" applyFont="true" borderId="8" applyBorder="true" applyNumberFormat="true" numFmtId="167" fillId="22" applyFill="true">
      <alignment horizontal="center" vertical="center"/>
    </xf>
    <xf fontId="27269" applyFont="true" borderId="8" applyBorder="true" applyNumberFormat="true" numFmtId="2" fillId="22" applyFill="true">
      <alignment horizontal="center" vertical="center"/>
    </xf>
    <xf fontId="27270" applyFont="true" borderId="8" applyBorder="true" applyNumberFormat="true" numFmtId="2" fillId="22" applyFill="true">
      <alignment horizontal="center" vertical="center"/>
    </xf>
    <xf fontId="27271" applyFont="true" borderId="8" applyBorder="true" applyNumberFormat="true" numFmtId="2" fillId="22" applyFill="true">
      <alignment horizontal="center" vertical="center"/>
    </xf>
    <xf fontId="27272" applyFont="true" borderId="8" applyBorder="true" applyNumberFormat="true" numFmtId="2" fillId="22" applyFill="true">
      <alignment horizontal="center" vertical="center"/>
    </xf>
    <xf fontId="27273" applyFont="true" borderId="8" applyBorder="true" applyNumberFormat="true" numFmtId="2" fillId="22" applyFill="true">
      <alignment horizontal="center" vertical="center"/>
    </xf>
    <xf fontId="27274" applyFont="true" borderId="8" applyBorder="true" applyNumberFormat="true" numFmtId="2" fillId="22" applyFill="true">
      <alignment horizontal="center" vertical="center"/>
    </xf>
    <xf fontId="27275" applyFont="true" borderId="8" applyBorder="true" applyNumberFormat="true" numFmtId="2" fillId="22" applyFill="true">
      <alignment horizontal="center" vertical="center"/>
    </xf>
    <xf fontId="27276" applyFont="true" borderId="8" applyBorder="true" applyNumberFormat="true" numFmtId="2" fillId="22" applyFill="true">
      <alignment horizontal="center" vertical="center"/>
    </xf>
    <xf fontId="27277" applyFont="true" borderId="8" applyBorder="true" applyNumberFormat="true" numFmtId="2" fillId="22" applyFill="true">
      <alignment horizontal="center" vertical="center"/>
    </xf>
    <xf fontId="27278" applyFont="true" borderId="8" applyBorder="true" applyNumberFormat="true" numFmtId="2" fillId="22" applyFill="true">
      <alignment horizontal="center" vertical="center"/>
    </xf>
    <xf fontId="27279" applyFont="true" borderId="8" applyBorder="true" applyNumberFormat="true" numFmtId="2" fillId="22" applyFill="true">
      <alignment horizontal="center" vertical="center"/>
    </xf>
    <xf fontId="27280" applyFont="true" borderId="8" applyBorder="true" applyNumberFormat="true" numFmtId="2" fillId="22" applyFill="true">
      <alignment horizontal="center" vertical="center"/>
    </xf>
    <xf fontId="27281" applyFont="true" borderId="8" applyBorder="true" applyNumberFormat="true" numFmtId="2" fillId="22" applyFill="true">
      <alignment horizontal="center" vertical="center"/>
    </xf>
    <xf fontId="27282" applyFont="true" borderId="8" applyBorder="true" applyNumberFormat="true" numFmtId="2" fillId="22" applyFill="true">
      <alignment horizontal="center" vertical="center"/>
    </xf>
    <xf fontId="27283" applyFont="true" borderId="8" applyBorder="true" applyNumberFormat="true" numFmtId="2" fillId="22" applyFill="true">
      <alignment horizontal="center" vertical="center"/>
    </xf>
    <xf fontId="27284" applyFont="true" borderId="8" applyBorder="true" applyNumberFormat="true" numFmtId="2" fillId="22" applyFill="true">
      <alignment horizontal="center" vertical="center"/>
    </xf>
    <xf fontId="27285" applyFont="true" borderId="8" applyBorder="true" applyNumberFormat="true" numFmtId="2" fillId="22" applyFill="true">
      <alignment horizontal="center" vertical="center"/>
    </xf>
    <xf fontId="27286" applyFont="true" borderId="8" applyBorder="true" applyNumberFormat="true" numFmtId="2" fillId="22" applyFill="true">
      <alignment horizontal="center" vertical="center"/>
    </xf>
    <xf fontId="27287" applyFont="true" borderId="8" applyBorder="true" applyNumberFormat="true" numFmtId="2" fillId="22" applyFill="true">
      <alignment horizontal="center" vertical="center"/>
    </xf>
    <xf fontId="27288" applyFont="true" borderId="8" applyBorder="true" applyNumberFormat="true" numFmtId="2" fillId="22" applyFill="true">
      <alignment horizontal="center" vertical="center"/>
    </xf>
    <xf fontId="27289" applyFont="true" borderId="8" applyBorder="true" applyNumberFormat="true" numFmtId="2" fillId="22" applyFill="true">
      <alignment horizontal="center" vertical="center"/>
    </xf>
    <xf fontId="27290" applyFont="true" borderId="8" applyBorder="true" applyNumberFormat="true" numFmtId="2" fillId="22" applyFill="true">
      <alignment horizontal="center" vertical="center"/>
    </xf>
    <xf fontId="27291" applyFont="true" borderId="8" applyBorder="true" applyNumberFormat="true" numFmtId="2" fillId="22" applyFill="true">
      <alignment horizontal="center" vertical="center"/>
    </xf>
    <xf fontId="27292" applyFont="true" borderId="8" applyBorder="true" applyNumberFormat="true" numFmtId="2" fillId="22" applyFill="true">
      <alignment horizontal="center" vertical="center"/>
    </xf>
    <xf fontId="27293" applyFont="true" borderId="8" applyBorder="true" applyNumberFormat="true" numFmtId="2" fillId="22" applyFill="true">
      <alignment horizontal="center" vertical="center"/>
    </xf>
    <xf fontId="27294" applyFont="true" borderId="8" applyBorder="true" applyNumberFormat="true" numFmtId="2" fillId="22" applyFill="true">
      <alignment horizontal="center" vertical="center"/>
    </xf>
    <xf fontId="27295" applyFont="true" borderId="8" applyBorder="true" applyNumberFormat="true" numFmtId="2" fillId="22" applyFill="true">
      <alignment horizontal="center" vertical="center"/>
    </xf>
    <xf fontId="27296" applyFont="true" borderId="8" applyBorder="true" applyNumberFormat="true" numFmtId="2" fillId="22" applyFill="true">
      <alignment horizontal="center" vertical="center"/>
    </xf>
    <xf fontId="27297" applyFont="true" borderId="8" applyBorder="true" applyNumberFormat="true" numFmtId="2" fillId="22" applyFill="true">
      <alignment horizontal="center" vertical="center"/>
    </xf>
    <xf fontId="27298" applyFont="true" borderId="8" applyBorder="true" applyNumberFormat="true" numFmtId="2" fillId="22" applyFill="true">
      <alignment horizontal="center" vertical="center"/>
    </xf>
    <xf fontId="27299" applyFont="true" borderId="8" applyBorder="true" applyNumberFormat="true" numFmtId="2" fillId="22" applyFill="true">
      <alignment horizontal="center" vertical="center"/>
    </xf>
    <xf fontId="27300" applyFont="true" borderId="8" applyBorder="true" applyNumberFormat="true" numFmtId="2" fillId="22" applyFill="true">
      <alignment horizontal="center" vertical="center"/>
    </xf>
    <xf fontId="27301" applyFont="true" borderId="8" applyBorder="true" applyNumberFormat="true" numFmtId="2" fillId="22" applyFill="true">
      <alignment horizontal="center" vertical="center"/>
    </xf>
    <xf fontId="27302" applyFont="true" borderId="8" applyBorder="true" applyNumberFormat="true" numFmtId="2" fillId="22" applyFill="true">
      <alignment horizontal="center" vertical="center"/>
    </xf>
    <xf fontId="27303" applyFont="true" borderId="8" applyBorder="true" applyNumberFormat="true" numFmtId="165" fillId="19" applyFill="true">
      <alignment horizontal="left" vertical="center"/>
    </xf>
    <xf fontId="27304" applyFont="true" borderId="8" applyBorder="true" applyNumberFormat="true" numFmtId="165" fillId="22" applyFill="true">
      <alignment horizontal="center" vertical="center"/>
    </xf>
    <xf fontId="27305" applyFont="true" borderId="8" applyBorder="true" applyNumberFormat="true" numFmtId="166" fillId="22" applyFill="true">
      <alignment horizontal="center" vertical="center"/>
    </xf>
    <xf fontId="27306" applyFont="true" borderId="8" applyBorder="true" applyNumberFormat="true" numFmtId="1" fillId="22" applyFill="true">
      <alignment horizontal="center" vertical="center"/>
    </xf>
    <xf fontId="27307" applyFont="true" borderId="8" applyBorder="true" applyNumberFormat="true" numFmtId="1" fillId="22" applyFill="true">
      <alignment horizontal="center" vertical="center"/>
    </xf>
    <xf fontId="27308" applyFont="true" borderId="8" applyBorder="true" applyNumberFormat="true" numFmtId="1" fillId="22" applyFill="true">
      <alignment horizontal="center" vertical="center"/>
    </xf>
    <xf fontId="27309" applyFont="true" borderId="8" applyBorder="true" applyNumberFormat="true" numFmtId="1" fillId="22" applyFill="true">
      <alignment horizontal="center" vertical="center"/>
    </xf>
    <xf fontId="27310" applyFont="true" borderId="8" applyBorder="true" applyNumberFormat="true" numFmtId="1" fillId="22" applyFill="true">
      <alignment horizontal="center" vertical="center"/>
    </xf>
    <xf fontId="27311" applyFont="true" borderId="8" applyBorder="true" applyNumberFormat="true" numFmtId="1" fillId="22" applyFill="true">
      <alignment horizontal="center" vertical="center"/>
    </xf>
    <xf fontId="27312" applyFont="true" borderId="8" applyBorder="true" applyNumberFormat="true" numFmtId="1" fillId="22" applyFill="true">
      <alignment horizontal="center" vertical="center"/>
    </xf>
    <xf fontId="27313" applyFont="true" borderId="8" applyBorder="true" applyNumberFormat="true" numFmtId="165" fillId="22" applyFill="true">
      <alignment horizontal="center" vertical="center"/>
    </xf>
    <xf fontId="27314" applyFont="true" borderId="8" applyBorder="true" applyNumberFormat="true" numFmtId="165" fillId="22" applyFill="true">
      <alignment horizontal="center" vertical="center"/>
    </xf>
    <xf fontId="27315" applyFont="true" borderId="8" applyBorder="true" applyNumberFormat="true" numFmtId="1" fillId="22" applyFill="true">
      <alignment horizontal="center" vertical="center"/>
    </xf>
    <xf fontId="27316" applyFont="true" borderId="8" applyBorder="true" applyNumberFormat="true" numFmtId="1" fillId="22" applyFill="true">
      <alignment horizontal="center" vertical="center"/>
    </xf>
    <xf fontId="27317" applyFont="true" borderId="8" applyBorder="true" applyNumberFormat="true" numFmtId="1" fillId="22" applyFill="true">
      <alignment horizontal="center" vertical="center"/>
    </xf>
    <xf fontId="27318" applyFont="true" borderId="8" applyBorder="true" applyNumberFormat="true" numFmtId="167" fillId="22" applyFill="true">
      <alignment horizontal="center" vertical="center"/>
    </xf>
    <xf fontId="27319" applyFont="true" borderId="8" applyBorder="true" applyNumberFormat="true" numFmtId="1" fillId="22" applyFill="true">
      <alignment horizontal="center" vertical="center"/>
    </xf>
    <xf fontId="27320" applyFont="true" borderId="8" applyBorder="true" applyNumberFormat="true" numFmtId="167" fillId="22" applyFill="true">
      <alignment horizontal="center" vertical="center"/>
    </xf>
    <xf fontId="27321" applyFont="true" borderId="8" applyBorder="true" applyNumberFormat="true" numFmtId="1" fillId="22" applyFill="true">
      <alignment horizontal="center" vertical="center"/>
    </xf>
    <xf fontId="27322" applyFont="true" borderId="8" applyBorder="true" applyNumberFormat="true" numFmtId="167" fillId="22" applyFill="true">
      <alignment horizontal="center" vertical="center"/>
    </xf>
    <xf fontId="27323" applyFont="true" borderId="8" applyBorder="true" applyNumberFormat="true" numFmtId="1" fillId="22" applyFill="true">
      <alignment horizontal="center" vertical="center"/>
    </xf>
    <xf fontId="27324" applyFont="true" borderId="8" applyBorder="true" applyNumberFormat="true" numFmtId="167" fillId="22" applyFill="true">
      <alignment horizontal="center" vertical="center"/>
    </xf>
    <xf fontId="27325" applyFont="true" borderId="8" applyBorder="true" applyNumberFormat="true" numFmtId="167" fillId="22" applyFill="true">
      <alignment horizontal="center" vertical="center"/>
    </xf>
    <xf fontId="27326" applyFont="true" borderId="8" applyBorder="true" applyNumberFormat="true" numFmtId="1" fillId="22" applyFill="true">
      <alignment horizontal="center" vertical="center"/>
    </xf>
    <xf fontId="27327" applyFont="true" borderId="8" applyBorder="true" applyNumberFormat="true" numFmtId="1" fillId="22" applyFill="true">
      <alignment horizontal="center" vertical="center"/>
    </xf>
    <xf fontId="27328" applyFont="true" borderId="8" applyBorder="true" applyNumberFormat="true" numFmtId="1" fillId="22" applyFill="true">
      <alignment horizontal="center" vertical="center"/>
    </xf>
    <xf fontId="27329" applyFont="true" borderId="8" applyBorder="true" applyNumberFormat="true" numFmtId="167" fillId="22" applyFill="true">
      <alignment horizontal="center" vertical="center"/>
    </xf>
    <xf fontId="27330" applyFont="true" borderId="8" applyBorder="true" applyNumberFormat="true" numFmtId="166" fillId="22" applyFill="true">
      <alignment horizontal="center" vertical="center"/>
    </xf>
    <xf fontId="27331" applyFont="true" borderId="8" applyBorder="true" applyNumberFormat="true" numFmtId="166" fillId="22" applyFill="true">
      <alignment horizontal="center" vertical="center"/>
    </xf>
    <xf fontId="27332" applyFont="true" borderId="8" applyBorder="true" applyNumberFormat="true" numFmtId="1" fillId="22" applyFill="true">
      <alignment horizontal="center" vertical="center"/>
    </xf>
    <xf fontId="27333" applyFont="true" borderId="8" applyBorder="true" applyNumberFormat="true" numFmtId="1" fillId="22" applyFill="true">
      <alignment horizontal="center" vertical="center"/>
    </xf>
    <xf fontId="27334" applyFont="true" borderId="8" applyBorder="true" applyNumberFormat="true" numFmtId="1" fillId="22" applyFill="true">
      <alignment horizontal="center" vertical="center"/>
    </xf>
    <xf fontId="27335" applyFont="true" borderId="8" applyBorder="true" applyNumberFormat="true" numFmtId="167" fillId="22" applyFill="true">
      <alignment horizontal="center" vertical="center"/>
    </xf>
    <xf fontId="27336" applyFont="true" borderId="8" applyBorder="true" applyNumberFormat="true" numFmtId="1" fillId="22" applyFill="true">
      <alignment horizontal="center" vertical="center"/>
    </xf>
    <xf fontId="27337" applyFont="true" borderId="8" applyBorder="true" applyNumberFormat="true" numFmtId="167" fillId="22" applyFill="true">
      <alignment horizontal="center" vertical="center"/>
    </xf>
    <xf fontId="27338" applyFont="true" borderId="8" applyBorder="true" applyNumberFormat="true" numFmtId="1" fillId="22" applyFill="true">
      <alignment horizontal="center" vertical="center"/>
    </xf>
    <xf fontId="27339" applyFont="true" borderId="8" applyBorder="true" applyNumberFormat="true" numFmtId="1" fillId="22" applyFill="true">
      <alignment horizontal="center" vertical="center"/>
    </xf>
    <xf fontId="27340" applyFont="true" borderId="8" applyBorder="true" applyNumberFormat="true" numFmtId="1" fillId="22" applyFill="true">
      <alignment horizontal="center" vertical="center"/>
    </xf>
    <xf fontId="27341" applyFont="true" borderId="8" applyBorder="true" applyNumberFormat="true" numFmtId="1" fillId="22" applyFill="true">
      <alignment horizontal="center" vertical="center"/>
    </xf>
    <xf fontId="27342" applyFont="true" borderId="8" applyBorder="true" applyNumberFormat="true" numFmtId="167" fillId="22" applyFill="true">
      <alignment horizontal="center" vertical="center"/>
    </xf>
    <xf fontId="27343" applyFont="true" borderId="8" applyBorder="true" applyNumberFormat="true" numFmtId="1" fillId="22" applyFill="true">
      <alignment horizontal="center" vertical="center"/>
    </xf>
    <xf fontId="27344" applyFont="true" borderId="8" applyBorder="true" applyNumberFormat="true" numFmtId="167" fillId="22" applyFill="true">
      <alignment horizontal="center" vertical="center"/>
    </xf>
    <xf fontId="27345" applyFont="true" borderId="8" applyBorder="true" applyNumberFormat="true" numFmtId="1" fillId="22" applyFill="true">
      <alignment horizontal="center" vertical="center"/>
    </xf>
    <xf fontId="27346" applyFont="true" borderId="8" applyBorder="true" applyNumberFormat="true" numFmtId="167" fillId="22" applyFill="true">
      <alignment horizontal="center" vertical="center"/>
    </xf>
    <xf fontId="27347" applyFont="true" borderId="8" applyBorder="true" applyNumberFormat="true" numFmtId="2" fillId="22" applyFill="true">
      <alignment horizontal="center" vertical="center"/>
    </xf>
    <xf fontId="27348" applyFont="true" borderId="8" applyBorder="true" applyNumberFormat="true" numFmtId="2" fillId="22" applyFill="true">
      <alignment horizontal="center" vertical="center"/>
    </xf>
    <xf fontId="27349" applyFont="true" borderId="8" applyBorder="true" applyNumberFormat="true" numFmtId="2" fillId="22" applyFill="true">
      <alignment horizontal="center" vertical="center"/>
    </xf>
    <xf fontId="27350" applyFont="true" borderId="8" applyBorder="true" applyNumberFormat="true" numFmtId="2" fillId="22" applyFill="true">
      <alignment horizontal="center" vertical="center"/>
    </xf>
    <xf fontId="27351" applyFont="true" borderId="8" applyBorder="true" applyNumberFormat="true" numFmtId="2" fillId="22" applyFill="true">
      <alignment horizontal="center" vertical="center"/>
    </xf>
    <xf fontId="27352" applyFont="true" borderId="8" applyBorder="true" applyNumberFormat="true" numFmtId="2" fillId="22" applyFill="true">
      <alignment horizontal="center" vertical="center"/>
    </xf>
    <xf fontId="27353" applyFont="true" borderId="8" applyBorder="true" applyNumberFormat="true" numFmtId="2" fillId="22" applyFill="true">
      <alignment horizontal="center" vertical="center"/>
    </xf>
    <xf fontId="27354" applyFont="true" borderId="8" applyBorder="true" applyNumberFormat="true" numFmtId="2" fillId="22" applyFill="true">
      <alignment horizontal="center" vertical="center"/>
    </xf>
    <xf fontId="27355" applyFont="true" borderId="8" applyBorder="true" applyNumberFormat="true" numFmtId="2" fillId="22" applyFill="true">
      <alignment horizontal="center" vertical="center"/>
    </xf>
    <xf fontId="27356" applyFont="true" borderId="8" applyBorder="true" applyNumberFormat="true" numFmtId="2" fillId="22" applyFill="true">
      <alignment horizontal="center" vertical="center"/>
    </xf>
    <xf fontId="27357" applyFont="true" borderId="8" applyBorder="true" applyNumberFormat="true" numFmtId="2" fillId="22" applyFill="true">
      <alignment horizontal="center" vertical="center"/>
    </xf>
    <xf fontId="27358" applyFont="true" borderId="8" applyBorder="true" applyNumberFormat="true" numFmtId="2" fillId="22" applyFill="true">
      <alignment horizontal="center" vertical="center"/>
    </xf>
    <xf fontId="27359" applyFont="true" borderId="8" applyBorder="true" applyNumberFormat="true" numFmtId="2" fillId="22" applyFill="true">
      <alignment horizontal="center" vertical="center"/>
    </xf>
    <xf fontId="27360" applyFont="true" borderId="8" applyBorder="true" applyNumberFormat="true" numFmtId="2" fillId="22" applyFill="true">
      <alignment horizontal="center" vertical="center"/>
    </xf>
    <xf fontId="27361" applyFont="true" borderId="8" applyBorder="true" applyNumberFormat="true" numFmtId="2" fillId="22" applyFill="true">
      <alignment horizontal="center" vertical="center"/>
    </xf>
    <xf fontId="27362" applyFont="true" borderId="8" applyBorder="true" applyNumberFormat="true" numFmtId="2" fillId="22" applyFill="true">
      <alignment horizontal="center" vertical="center"/>
    </xf>
    <xf fontId="27363" applyFont="true" borderId="8" applyBorder="true" applyNumberFormat="true" numFmtId="2" fillId="22" applyFill="true">
      <alignment horizontal="center" vertical="center"/>
    </xf>
    <xf fontId="27364" applyFont="true" borderId="8" applyBorder="true" applyNumberFormat="true" numFmtId="2" fillId="22" applyFill="true">
      <alignment horizontal="center" vertical="center"/>
    </xf>
    <xf fontId="27365" applyFont="true" borderId="8" applyBorder="true" applyNumberFormat="true" numFmtId="2" fillId="22" applyFill="true">
      <alignment horizontal="center" vertical="center"/>
    </xf>
    <xf fontId="27366" applyFont="true" borderId="8" applyBorder="true" applyNumberFormat="true" numFmtId="2" fillId="22" applyFill="true">
      <alignment horizontal="center" vertical="center"/>
    </xf>
    <xf fontId="27367" applyFont="true" borderId="8" applyBorder="true" applyNumberFormat="true" numFmtId="2" fillId="22" applyFill="true">
      <alignment horizontal="center" vertical="center"/>
    </xf>
    <xf fontId="27368" applyFont="true" borderId="8" applyBorder="true" applyNumberFormat="true" numFmtId="2" fillId="22" applyFill="true">
      <alignment horizontal="center" vertical="center"/>
    </xf>
    <xf fontId="27369" applyFont="true" borderId="8" applyBorder="true" applyNumberFormat="true" numFmtId="2" fillId="22" applyFill="true">
      <alignment horizontal="center" vertical="center"/>
    </xf>
    <xf fontId="27370" applyFont="true" borderId="8" applyBorder="true" applyNumberFormat="true" numFmtId="2" fillId="22" applyFill="true">
      <alignment horizontal="center" vertical="center"/>
    </xf>
    <xf fontId="27371" applyFont="true" borderId="8" applyBorder="true" applyNumberFormat="true" numFmtId="2" fillId="22" applyFill="true">
      <alignment horizontal="center" vertical="center"/>
    </xf>
    <xf fontId="27372" applyFont="true" borderId="8" applyBorder="true" applyNumberFormat="true" numFmtId="2" fillId="22" applyFill="true">
      <alignment horizontal="center" vertical="center"/>
    </xf>
    <xf fontId="27373" applyFont="true" borderId="8" applyBorder="true" applyNumberFormat="true" numFmtId="2" fillId="22" applyFill="true">
      <alignment horizontal="center" vertical="center"/>
    </xf>
    <xf fontId="27374" applyFont="true" borderId="8" applyBorder="true" applyNumberFormat="true" numFmtId="2" fillId="22" applyFill="true">
      <alignment horizontal="center" vertical="center"/>
    </xf>
    <xf fontId="27375" applyFont="true" borderId="8" applyBorder="true" applyNumberFormat="true" numFmtId="2" fillId="22" applyFill="true">
      <alignment horizontal="center" vertical="center"/>
    </xf>
    <xf fontId="27376" applyFont="true" borderId="8" applyBorder="true" applyNumberFormat="true" numFmtId="2" fillId="22" applyFill="true">
      <alignment horizontal="center" vertical="center"/>
    </xf>
    <xf fontId="27377" applyFont="true" borderId="8" applyBorder="true" applyNumberFormat="true" numFmtId="2" fillId="22" applyFill="true">
      <alignment horizontal="center" vertical="center"/>
    </xf>
    <xf fontId="27378" applyFont="true" borderId="8" applyBorder="true" applyNumberFormat="true" numFmtId="2" fillId="22" applyFill="true">
      <alignment horizontal="center" vertical="center"/>
    </xf>
    <xf fontId="27379" applyFont="true" borderId="8" applyBorder="true" applyNumberFormat="true" numFmtId="2" fillId="22" applyFill="true">
      <alignment horizontal="center" vertical="center"/>
    </xf>
    <xf fontId="27380" applyFont="true" borderId="8" applyBorder="true" applyNumberFormat="true" numFmtId="2" fillId="22" applyFill="true">
      <alignment horizontal="center" vertical="center"/>
    </xf>
    <xf fontId="27381" applyFont="true" borderId="8" applyBorder="true" applyNumberFormat="true" numFmtId="165" fillId="19" applyFill="true">
      <alignment horizontal="left" vertical="center"/>
    </xf>
    <xf fontId="27382" applyFont="true" borderId="8" applyBorder="true" applyNumberFormat="true" numFmtId="165" fillId="22" applyFill="true">
      <alignment horizontal="center" vertical="center"/>
    </xf>
    <xf fontId="27383" applyFont="true" borderId="8" applyBorder="true" applyNumberFormat="true" numFmtId="166" fillId="22" applyFill="true">
      <alignment horizontal="center" vertical="center"/>
    </xf>
    <xf fontId="27384" applyFont="true" borderId="8" applyBorder="true" applyNumberFormat="true" numFmtId="1" fillId="22" applyFill="true">
      <alignment horizontal="center" vertical="center"/>
    </xf>
    <xf fontId="27385" applyFont="true" borderId="8" applyBorder="true" applyNumberFormat="true" numFmtId="1" fillId="22" applyFill="true">
      <alignment horizontal="center" vertical="center"/>
    </xf>
    <xf fontId="27386" applyFont="true" borderId="8" applyBorder="true" applyNumberFormat="true" numFmtId="1" fillId="22" applyFill="true">
      <alignment horizontal="center" vertical="center"/>
    </xf>
    <xf fontId="27387" applyFont="true" borderId="8" applyBorder="true" applyNumberFormat="true" numFmtId="1" fillId="22" applyFill="true">
      <alignment horizontal="center" vertical="center"/>
    </xf>
    <xf fontId="27388" applyFont="true" borderId="8" applyBorder="true" applyNumberFormat="true" numFmtId="1" fillId="22" applyFill="true">
      <alignment horizontal="center" vertical="center"/>
    </xf>
    <xf fontId="27389" applyFont="true" borderId="8" applyBorder="true" applyNumberFormat="true" numFmtId="1" fillId="22" applyFill="true">
      <alignment horizontal="center" vertical="center"/>
    </xf>
    <xf fontId="27390" applyFont="true" borderId="8" applyBorder="true" applyNumberFormat="true" numFmtId="1" fillId="22" applyFill="true">
      <alignment horizontal="center" vertical="center"/>
    </xf>
    <xf fontId="27391" applyFont="true" borderId="8" applyBorder="true" applyNumberFormat="true" numFmtId="165" fillId="22" applyFill="true">
      <alignment horizontal="center" vertical="center"/>
    </xf>
    <xf fontId="27392" applyFont="true" borderId="8" applyBorder="true" applyNumberFormat="true" numFmtId="165" fillId="22" applyFill="true">
      <alignment horizontal="center" vertical="center"/>
    </xf>
    <xf fontId="27393" applyFont="true" borderId="8" applyBorder="true" applyNumberFormat="true" numFmtId="1" fillId="22" applyFill="true">
      <alignment horizontal="center" vertical="center"/>
    </xf>
    <xf fontId="27394" applyFont="true" borderId="8" applyBorder="true" applyNumberFormat="true" numFmtId="1" fillId="22" applyFill="true">
      <alignment horizontal="center" vertical="center"/>
    </xf>
    <xf fontId="27395" applyFont="true" borderId="8" applyBorder="true" applyNumberFormat="true" numFmtId="1" fillId="22" applyFill="true">
      <alignment horizontal="center" vertical="center"/>
    </xf>
    <xf fontId="27396" applyFont="true" borderId="8" applyBorder="true" applyNumberFormat="true" numFmtId="167" fillId="22" applyFill="true">
      <alignment horizontal="center" vertical="center"/>
    </xf>
    <xf fontId="27397" applyFont="true" borderId="8" applyBorder="true" applyNumberFormat="true" numFmtId="1" fillId="22" applyFill="true">
      <alignment horizontal="center" vertical="center"/>
    </xf>
    <xf fontId="27398" applyFont="true" borderId="8" applyBorder="true" applyNumberFormat="true" numFmtId="167" fillId="22" applyFill="true">
      <alignment horizontal="center" vertical="center"/>
    </xf>
    <xf fontId="27399" applyFont="true" borderId="8" applyBorder="true" applyNumberFormat="true" numFmtId="1" fillId="22" applyFill="true">
      <alignment horizontal="center" vertical="center"/>
    </xf>
    <xf fontId="27400" applyFont="true" borderId="8" applyBorder="true" applyNumberFormat="true" numFmtId="167" fillId="22" applyFill="true">
      <alignment horizontal="center" vertical="center"/>
    </xf>
    <xf fontId="27401" applyFont="true" borderId="8" applyBorder="true" applyNumberFormat="true" numFmtId="1" fillId="22" applyFill="true">
      <alignment horizontal="center" vertical="center"/>
    </xf>
    <xf fontId="27402" applyFont="true" borderId="8" applyBorder="true" applyNumberFormat="true" numFmtId="167" fillId="22" applyFill="true">
      <alignment horizontal="center" vertical="center"/>
    </xf>
    <xf fontId="27403" applyFont="true" borderId="8" applyBorder="true" applyNumberFormat="true" numFmtId="167" fillId="22" applyFill="true">
      <alignment horizontal="center" vertical="center"/>
    </xf>
    <xf fontId="27404" applyFont="true" borderId="8" applyBorder="true" applyNumberFormat="true" numFmtId="1" fillId="22" applyFill="true">
      <alignment horizontal="center" vertical="center"/>
    </xf>
    <xf fontId="27405" applyFont="true" borderId="8" applyBorder="true" applyNumberFormat="true" numFmtId="1" fillId="22" applyFill="true">
      <alignment horizontal="center" vertical="center"/>
    </xf>
    <xf fontId="27406" applyFont="true" borderId="8" applyBorder="true" applyNumberFormat="true" numFmtId="1" fillId="22" applyFill="true">
      <alignment horizontal="center" vertical="center"/>
    </xf>
    <xf fontId="27407" applyFont="true" borderId="8" applyBorder="true" applyNumberFormat="true" numFmtId="167" fillId="22" applyFill="true">
      <alignment horizontal="center" vertical="center"/>
    </xf>
    <xf fontId="27408" applyFont="true" borderId="8" applyBorder="true" applyNumberFormat="true" numFmtId="166" fillId="22" applyFill="true">
      <alignment horizontal="center" vertical="center"/>
    </xf>
    <xf fontId="27409" applyFont="true" borderId="8" applyBorder="true" applyNumberFormat="true" numFmtId="166" fillId="22" applyFill="true">
      <alignment horizontal="center" vertical="center"/>
    </xf>
    <xf fontId="27410" applyFont="true" borderId="8" applyBorder="true" applyNumberFormat="true" numFmtId="1" fillId="22" applyFill="true">
      <alignment horizontal="center" vertical="center"/>
    </xf>
    <xf fontId="27411" applyFont="true" borderId="8" applyBorder="true" applyNumberFormat="true" numFmtId="1" fillId="22" applyFill="true">
      <alignment horizontal="center" vertical="center"/>
    </xf>
    <xf fontId="27412" applyFont="true" borderId="8" applyBorder="true" applyNumberFormat="true" numFmtId="1" fillId="22" applyFill="true">
      <alignment horizontal="center" vertical="center"/>
    </xf>
    <xf fontId="27413" applyFont="true" borderId="8" applyBorder="true" applyNumberFormat="true" numFmtId="167" fillId="22" applyFill="true">
      <alignment horizontal="center" vertical="center"/>
    </xf>
    <xf fontId="27414" applyFont="true" borderId="8" applyBorder="true" applyNumberFormat="true" numFmtId="1" fillId="22" applyFill="true">
      <alignment horizontal="center" vertical="center"/>
    </xf>
    <xf fontId="27415" applyFont="true" borderId="8" applyBorder="true" applyNumberFormat="true" numFmtId="167" fillId="22" applyFill="true">
      <alignment horizontal="center" vertical="center"/>
    </xf>
    <xf fontId="27416" applyFont="true" borderId="8" applyBorder="true" applyNumberFormat="true" numFmtId="1" fillId="22" applyFill="true">
      <alignment horizontal="center" vertical="center"/>
    </xf>
    <xf fontId="27417" applyFont="true" borderId="8" applyBorder="true" applyNumberFormat="true" numFmtId="1" fillId="22" applyFill="true">
      <alignment horizontal="center" vertical="center"/>
    </xf>
    <xf fontId="27418" applyFont="true" borderId="8" applyBorder="true" applyNumberFormat="true" numFmtId="1" fillId="22" applyFill="true">
      <alignment horizontal="center" vertical="center"/>
    </xf>
    <xf fontId="27419" applyFont="true" borderId="8" applyBorder="true" applyNumberFormat="true" numFmtId="1" fillId="22" applyFill="true">
      <alignment horizontal="center" vertical="center"/>
    </xf>
    <xf fontId="27420" applyFont="true" borderId="8" applyBorder="true" applyNumberFormat="true" numFmtId="167" fillId="22" applyFill="true">
      <alignment horizontal="center" vertical="center"/>
    </xf>
    <xf fontId="27421" applyFont="true" borderId="8" applyBorder="true" applyNumberFormat="true" numFmtId="1" fillId="22" applyFill="true">
      <alignment horizontal="center" vertical="center"/>
    </xf>
    <xf fontId="27422" applyFont="true" borderId="8" applyBorder="true" applyNumberFormat="true" numFmtId="167" fillId="22" applyFill="true">
      <alignment horizontal="center" vertical="center"/>
    </xf>
    <xf fontId="27423" applyFont="true" borderId="8" applyBorder="true" applyNumberFormat="true" numFmtId="1" fillId="22" applyFill="true">
      <alignment horizontal="center" vertical="center"/>
    </xf>
    <xf fontId="27424" applyFont="true" borderId="8" applyBorder="true" applyNumberFormat="true" numFmtId="167" fillId="22" applyFill="true">
      <alignment horizontal="center" vertical="center"/>
    </xf>
    <xf fontId="27425" applyFont="true" borderId="8" applyBorder="true" applyNumberFormat="true" numFmtId="2" fillId="22" applyFill="true">
      <alignment horizontal="center" vertical="center"/>
    </xf>
    <xf fontId="27426" applyFont="true" borderId="8" applyBorder="true" applyNumberFormat="true" numFmtId="2" fillId="22" applyFill="true">
      <alignment horizontal="center" vertical="center"/>
    </xf>
    <xf fontId="27427" applyFont="true" borderId="8" applyBorder="true" applyNumberFormat="true" numFmtId="2" fillId="22" applyFill="true">
      <alignment horizontal="center" vertical="center"/>
    </xf>
    <xf fontId="27428" applyFont="true" borderId="8" applyBorder="true" applyNumberFormat="true" numFmtId="2" fillId="22" applyFill="true">
      <alignment horizontal="center" vertical="center"/>
    </xf>
    <xf fontId="27429" applyFont="true" borderId="8" applyBorder="true" applyNumberFormat="true" numFmtId="2" fillId="22" applyFill="true">
      <alignment horizontal="center" vertical="center"/>
    </xf>
    <xf fontId="27430" applyFont="true" borderId="8" applyBorder="true" applyNumberFormat="true" numFmtId="2" fillId="22" applyFill="true">
      <alignment horizontal="center" vertical="center"/>
    </xf>
    <xf fontId="27431" applyFont="true" borderId="8" applyBorder="true" applyNumberFormat="true" numFmtId="2" fillId="22" applyFill="true">
      <alignment horizontal="center" vertical="center"/>
    </xf>
    <xf fontId="27432" applyFont="true" borderId="8" applyBorder="true" applyNumberFormat="true" numFmtId="2" fillId="22" applyFill="true">
      <alignment horizontal="center" vertical="center"/>
    </xf>
    <xf fontId="27433" applyFont="true" borderId="8" applyBorder="true" applyNumberFormat="true" numFmtId="2" fillId="22" applyFill="true">
      <alignment horizontal="center" vertical="center"/>
    </xf>
    <xf fontId="27434" applyFont="true" borderId="8" applyBorder="true" applyNumberFormat="true" numFmtId="2" fillId="22" applyFill="true">
      <alignment horizontal="center" vertical="center"/>
    </xf>
    <xf fontId="27435" applyFont="true" borderId="8" applyBorder="true" applyNumberFormat="true" numFmtId="2" fillId="22" applyFill="true">
      <alignment horizontal="center" vertical="center"/>
    </xf>
    <xf fontId="27436" applyFont="true" borderId="8" applyBorder="true" applyNumberFormat="true" numFmtId="2" fillId="22" applyFill="true">
      <alignment horizontal="center" vertical="center"/>
    </xf>
    <xf fontId="27437" applyFont="true" borderId="8" applyBorder="true" applyNumberFormat="true" numFmtId="2" fillId="22" applyFill="true">
      <alignment horizontal="center" vertical="center"/>
    </xf>
    <xf fontId="27438" applyFont="true" borderId="8" applyBorder="true" applyNumberFormat="true" numFmtId="2" fillId="22" applyFill="true">
      <alignment horizontal="center" vertical="center"/>
    </xf>
    <xf fontId="27439" applyFont="true" borderId="8" applyBorder="true" applyNumberFormat="true" numFmtId="2" fillId="22" applyFill="true">
      <alignment horizontal="center" vertical="center"/>
    </xf>
    <xf fontId="27440" applyFont="true" borderId="8" applyBorder="true" applyNumberFormat="true" numFmtId="2" fillId="22" applyFill="true">
      <alignment horizontal="center" vertical="center"/>
    </xf>
    <xf fontId="27441" applyFont="true" borderId="8" applyBorder="true" applyNumberFormat="true" numFmtId="2" fillId="22" applyFill="true">
      <alignment horizontal="center" vertical="center"/>
    </xf>
    <xf fontId="27442" applyFont="true" borderId="8" applyBorder="true" applyNumberFormat="true" numFmtId="2" fillId="22" applyFill="true">
      <alignment horizontal="center" vertical="center"/>
    </xf>
    <xf fontId="27443" applyFont="true" borderId="8" applyBorder="true" applyNumberFormat="true" numFmtId="2" fillId="22" applyFill="true">
      <alignment horizontal="center" vertical="center"/>
    </xf>
    <xf fontId="27444" applyFont="true" borderId="8" applyBorder="true" applyNumberFormat="true" numFmtId="2" fillId="22" applyFill="true">
      <alignment horizontal="center" vertical="center"/>
    </xf>
    <xf fontId="27445" applyFont="true" borderId="8" applyBorder="true" applyNumberFormat="true" numFmtId="2" fillId="22" applyFill="true">
      <alignment horizontal="center" vertical="center"/>
    </xf>
    <xf fontId="27446" applyFont="true" borderId="8" applyBorder="true" applyNumberFormat="true" numFmtId="2" fillId="22" applyFill="true">
      <alignment horizontal="center" vertical="center"/>
    </xf>
    <xf fontId="27447" applyFont="true" borderId="8" applyBorder="true" applyNumberFormat="true" numFmtId="2" fillId="22" applyFill="true">
      <alignment horizontal="center" vertical="center"/>
    </xf>
    <xf fontId="27448" applyFont="true" borderId="8" applyBorder="true" applyNumberFormat="true" numFmtId="2" fillId="22" applyFill="true">
      <alignment horizontal="center" vertical="center"/>
    </xf>
    <xf fontId="27449" applyFont="true" borderId="8" applyBorder="true" applyNumberFormat="true" numFmtId="2" fillId="22" applyFill="true">
      <alignment horizontal="center" vertical="center"/>
    </xf>
    <xf fontId="27450" applyFont="true" borderId="8" applyBorder="true" applyNumberFormat="true" numFmtId="2" fillId="22" applyFill="true">
      <alignment horizontal="center" vertical="center"/>
    </xf>
    <xf fontId="27451" applyFont="true" borderId="8" applyBorder="true" applyNumberFormat="true" numFmtId="2" fillId="22" applyFill="true">
      <alignment horizontal="center" vertical="center"/>
    </xf>
    <xf fontId="27452" applyFont="true" borderId="8" applyBorder="true" applyNumberFormat="true" numFmtId="2" fillId="22" applyFill="true">
      <alignment horizontal="center" vertical="center"/>
    </xf>
    <xf fontId="27453" applyFont="true" borderId="8" applyBorder="true" applyNumberFormat="true" numFmtId="2" fillId="22" applyFill="true">
      <alignment horizontal="center" vertical="center"/>
    </xf>
    <xf fontId="27454" applyFont="true" borderId="8" applyBorder="true" applyNumberFormat="true" numFmtId="2" fillId="22" applyFill="true">
      <alignment horizontal="center" vertical="center"/>
    </xf>
    <xf fontId="27455" applyFont="true" borderId="8" applyBorder="true" applyNumberFormat="true" numFmtId="2" fillId="22" applyFill="true">
      <alignment horizontal="center" vertical="center"/>
    </xf>
    <xf fontId="27456" applyFont="true" borderId="8" applyBorder="true" applyNumberFormat="true" numFmtId="2" fillId="22" applyFill="true">
      <alignment horizontal="center" vertical="center"/>
    </xf>
    <xf fontId="27457" applyFont="true" borderId="8" applyBorder="true" applyNumberFormat="true" numFmtId="2" fillId="22" applyFill="true">
      <alignment horizontal="center" vertical="center"/>
    </xf>
    <xf fontId="27458" applyFont="true" borderId="8" applyBorder="true" applyNumberFormat="true" numFmtId="2" fillId="22" applyFill="true">
      <alignment horizontal="center" vertical="center"/>
    </xf>
    <xf fontId="27459" applyFont="true" borderId="8" applyBorder="true" applyNumberFormat="true" numFmtId="165" fillId="19" applyFill="true">
      <alignment horizontal="left" vertical="center"/>
    </xf>
    <xf fontId="27460" applyFont="true" borderId="8" applyBorder="true" applyNumberFormat="true" numFmtId="165" fillId="22" applyFill="true">
      <alignment horizontal="center" vertical="center"/>
    </xf>
    <xf fontId="27461" applyFont="true" borderId="8" applyBorder="true" applyNumberFormat="true" numFmtId="166" fillId="22" applyFill="true">
      <alignment horizontal="center" vertical="center"/>
    </xf>
    <xf fontId="27462" applyFont="true" borderId="8" applyBorder="true" applyNumberFormat="true" numFmtId="1" fillId="22" applyFill="true">
      <alignment horizontal="center" vertical="center"/>
    </xf>
    <xf fontId="27463" applyFont="true" borderId="8" applyBorder="true" applyNumberFormat="true" numFmtId="1" fillId="22" applyFill="true">
      <alignment horizontal="center" vertical="center"/>
    </xf>
    <xf fontId="27464" applyFont="true" borderId="8" applyBorder="true" applyNumberFormat="true" numFmtId="1" fillId="22" applyFill="true">
      <alignment horizontal="center" vertical="center"/>
    </xf>
    <xf fontId="27465" applyFont="true" borderId="8" applyBorder="true" applyNumberFormat="true" numFmtId="1" fillId="22" applyFill="true">
      <alignment horizontal="center" vertical="center"/>
    </xf>
    <xf fontId="27466" applyFont="true" borderId="8" applyBorder="true" applyNumberFormat="true" numFmtId="1" fillId="22" applyFill="true">
      <alignment horizontal="center" vertical="center"/>
    </xf>
    <xf fontId="27467" applyFont="true" borderId="8" applyBorder="true" applyNumberFormat="true" numFmtId="1" fillId="22" applyFill="true">
      <alignment horizontal="center" vertical="center"/>
    </xf>
    <xf fontId="27468" applyFont="true" borderId="8" applyBorder="true" applyNumberFormat="true" numFmtId="1" fillId="22" applyFill="true">
      <alignment horizontal="center" vertical="center"/>
    </xf>
    <xf fontId="27469" applyFont="true" borderId="8" applyBorder="true" applyNumberFormat="true" numFmtId="165" fillId="22" applyFill="true">
      <alignment horizontal="center" vertical="center"/>
    </xf>
    <xf fontId="27470" applyFont="true" borderId="8" applyBorder="true" applyNumberFormat="true" numFmtId="165" fillId="22" applyFill="true">
      <alignment horizontal="center" vertical="center"/>
    </xf>
    <xf fontId="27471" applyFont="true" borderId="8" applyBorder="true" applyNumberFormat="true" numFmtId="1" fillId="22" applyFill="true">
      <alignment horizontal="center" vertical="center"/>
    </xf>
    <xf fontId="27472" applyFont="true" borderId="8" applyBorder="true" applyNumberFormat="true" numFmtId="1" fillId="22" applyFill="true">
      <alignment horizontal="center" vertical="center"/>
    </xf>
    <xf fontId="27473" applyFont="true" borderId="8" applyBorder="true" applyNumberFormat="true" numFmtId="1" fillId="22" applyFill="true">
      <alignment horizontal="center" vertical="center"/>
    </xf>
    <xf fontId="27474" applyFont="true" borderId="8" applyBorder="true" applyNumberFormat="true" numFmtId="167" fillId="22" applyFill="true">
      <alignment horizontal="center" vertical="center"/>
    </xf>
    <xf fontId="27475" applyFont="true" borderId="8" applyBorder="true" applyNumberFormat="true" numFmtId="1" fillId="22" applyFill="true">
      <alignment horizontal="center" vertical="center"/>
    </xf>
    <xf fontId="27476" applyFont="true" borderId="8" applyBorder="true" applyNumberFormat="true" numFmtId="167" fillId="22" applyFill="true">
      <alignment horizontal="center" vertical="center"/>
    </xf>
    <xf fontId="27477" applyFont="true" borderId="8" applyBorder="true" applyNumberFormat="true" numFmtId="1" fillId="22" applyFill="true">
      <alignment horizontal="center" vertical="center"/>
    </xf>
    <xf fontId="27478" applyFont="true" borderId="8" applyBorder="true" applyNumberFormat="true" numFmtId="167" fillId="22" applyFill="true">
      <alignment horizontal="center" vertical="center"/>
    </xf>
    <xf fontId="27479" applyFont="true" borderId="8" applyBorder="true" applyNumberFormat="true" numFmtId="1" fillId="22" applyFill="true">
      <alignment horizontal="center" vertical="center"/>
    </xf>
    <xf fontId="27480" applyFont="true" borderId="8" applyBorder="true" applyNumberFormat="true" numFmtId="167" fillId="22" applyFill="true">
      <alignment horizontal="center" vertical="center"/>
    </xf>
    <xf fontId="27481" applyFont="true" borderId="8" applyBorder="true" applyNumberFormat="true" numFmtId="167" fillId="22" applyFill="true">
      <alignment horizontal="center" vertical="center"/>
    </xf>
    <xf fontId="27482" applyFont="true" borderId="8" applyBorder="true" applyNumberFormat="true" numFmtId="1" fillId="22" applyFill="true">
      <alignment horizontal="center" vertical="center"/>
    </xf>
    <xf fontId="27483" applyFont="true" borderId="8" applyBorder="true" applyNumberFormat="true" numFmtId="1" fillId="22" applyFill="true">
      <alignment horizontal="center" vertical="center"/>
    </xf>
    <xf fontId="27484" applyFont="true" borderId="8" applyBorder="true" applyNumberFormat="true" numFmtId="1" fillId="22" applyFill="true">
      <alignment horizontal="center" vertical="center"/>
    </xf>
    <xf fontId="27485" applyFont="true" borderId="8" applyBorder="true" applyNumberFormat="true" numFmtId="167" fillId="22" applyFill="true">
      <alignment horizontal="center" vertical="center"/>
    </xf>
    <xf fontId="27486" applyFont="true" borderId="8" applyBorder="true" applyNumberFormat="true" numFmtId="166" fillId="22" applyFill="true">
      <alignment horizontal="center" vertical="center"/>
    </xf>
    <xf fontId="27487" applyFont="true" borderId="8" applyBorder="true" applyNumberFormat="true" numFmtId="166" fillId="22" applyFill="true">
      <alignment horizontal="center" vertical="center"/>
    </xf>
    <xf fontId="27488" applyFont="true" borderId="8" applyBorder="true" applyNumberFormat="true" numFmtId="1" fillId="22" applyFill="true">
      <alignment horizontal="center" vertical="center"/>
    </xf>
    <xf fontId="27489" applyFont="true" borderId="8" applyBorder="true" applyNumberFormat="true" numFmtId="1" fillId="22" applyFill="true">
      <alignment horizontal="center" vertical="center"/>
    </xf>
    <xf fontId="27490" applyFont="true" borderId="8" applyBorder="true" applyNumberFormat="true" numFmtId="1" fillId="22" applyFill="true">
      <alignment horizontal="center" vertical="center"/>
    </xf>
    <xf fontId="27491" applyFont="true" borderId="8" applyBorder="true" applyNumberFormat="true" numFmtId="167" fillId="22" applyFill="true">
      <alignment horizontal="center" vertical="center"/>
    </xf>
    <xf fontId="27492" applyFont="true" borderId="8" applyBorder="true" applyNumberFormat="true" numFmtId="1" fillId="22" applyFill="true">
      <alignment horizontal="center" vertical="center"/>
    </xf>
    <xf fontId="27493" applyFont="true" borderId="8" applyBorder="true" applyNumberFormat="true" numFmtId="167" fillId="22" applyFill="true">
      <alignment horizontal="center" vertical="center"/>
    </xf>
    <xf fontId="27494" applyFont="true" borderId="8" applyBorder="true" applyNumberFormat="true" numFmtId="1" fillId="22" applyFill="true">
      <alignment horizontal="center" vertical="center"/>
    </xf>
    <xf fontId="27495" applyFont="true" borderId="8" applyBorder="true" applyNumberFormat="true" numFmtId="1" fillId="22" applyFill="true">
      <alignment horizontal="center" vertical="center"/>
    </xf>
    <xf fontId="27496" applyFont="true" borderId="8" applyBorder="true" applyNumberFormat="true" numFmtId="1" fillId="22" applyFill="true">
      <alignment horizontal="center" vertical="center"/>
    </xf>
    <xf fontId="27497" applyFont="true" borderId="8" applyBorder="true" applyNumberFormat="true" numFmtId="1" fillId="22" applyFill="true">
      <alignment horizontal="center" vertical="center"/>
    </xf>
    <xf fontId="27498" applyFont="true" borderId="8" applyBorder="true" applyNumberFormat="true" numFmtId="167" fillId="22" applyFill="true">
      <alignment horizontal="center" vertical="center"/>
    </xf>
    <xf fontId="27499" applyFont="true" borderId="8" applyBorder="true" applyNumberFormat="true" numFmtId="1" fillId="22" applyFill="true">
      <alignment horizontal="center" vertical="center"/>
    </xf>
    <xf fontId="27500" applyFont="true" borderId="8" applyBorder="true" applyNumberFormat="true" numFmtId="167" fillId="22" applyFill="true">
      <alignment horizontal="center" vertical="center"/>
    </xf>
    <xf fontId="27501" applyFont="true" borderId="8" applyBorder="true" applyNumberFormat="true" numFmtId="1" fillId="22" applyFill="true">
      <alignment horizontal="center" vertical="center"/>
    </xf>
    <xf fontId="27502" applyFont="true" borderId="8" applyBorder="true" applyNumberFormat="true" numFmtId="167" fillId="22" applyFill="true">
      <alignment horizontal="center" vertical="center"/>
    </xf>
    <xf fontId="27503" applyFont="true" borderId="8" applyBorder="true" applyNumberFormat="true" numFmtId="2" fillId="22" applyFill="true">
      <alignment horizontal="center" vertical="center"/>
    </xf>
    <xf fontId="27504" applyFont="true" borderId="8" applyBorder="true" applyNumberFormat="true" numFmtId="2" fillId="22" applyFill="true">
      <alignment horizontal="center" vertical="center"/>
    </xf>
    <xf fontId="27505" applyFont="true" borderId="8" applyBorder="true" applyNumberFormat="true" numFmtId="2" fillId="22" applyFill="true">
      <alignment horizontal="center" vertical="center"/>
    </xf>
    <xf fontId="27506" applyFont="true" borderId="8" applyBorder="true" applyNumberFormat="true" numFmtId="2" fillId="22" applyFill="true">
      <alignment horizontal="center" vertical="center"/>
    </xf>
    <xf fontId="27507" applyFont="true" borderId="8" applyBorder="true" applyNumberFormat="true" numFmtId="2" fillId="22" applyFill="true">
      <alignment horizontal="center" vertical="center"/>
    </xf>
    <xf fontId="27508" applyFont="true" borderId="8" applyBorder="true" applyNumberFormat="true" numFmtId="2" fillId="22" applyFill="true">
      <alignment horizontal="center" vertical="center"/>
    </xf>
    <xf fontId="27509" applyFont="true" borderId="8" applyBorder="true" applyNumberFormat="true" numFmtId="2" fillId="22" applyFill="true">
      <alignment horizontal="center" vertical="center"/>
    </xf>
    <xf fontId="27510" applyFont="true" borderId="8" applyBorder="true" applyNumberFormat="true" numFmtId="2" fillId="22" applyFill="true">
      <alignment horizontal="center" vertical="center"/>
    </xf>
    <xf fontId="27511" applyFont="true" borderId="8" applyBorder="true" applyNumberFormat="true" numFmtId="2" fillId="22" applyFill="true">
      <alignment horizontal="center" vertical="center"/>
    </xf>
    <xf fontId="27512" applyFont="true" borderId="8" applyBorder="true" applyNumberFormat="true" numFmtId="2" fillId="22" applyFill="true">
      <alignment horizontal="center" vertical="center"/>
    </xf>
    <xf fontId="27513" applyFont="true" borderId="8" applyBorder="true" applyNumberFormat="true" numFmtId="2" fillId="22" applyFill="true">
      <alignment horizontal="center" vertical="center"/>
    </xf>
    <xf fontId="27514" applyFont="true" borderId="8" applyBorder="true" applyNumberFormat="true" numFmtId="2" fillId="22" applyFill="true">
      <alignment horizontal="center" vertical="center"/>
    </xf>
    <xf fontId="27515" applyFont="true" borderId="8" applyBorder="true" applyNumberFormat="true" numFmtId="2" fillId="22" applyFill="true">
      <alignment horizontal="center" vertical="center"/>
    </xf>
    <xf fontId="27516" applyFont="true" borderId="8" applyBorder="true" applyNumberFormat="true" numFmtId="2" fillId="22" applyFill="true">
      <alignment horizontal="center" vertical="center"/>
    </xf>
    <xf fontId="27517" applyFont="true" borderId="8" applyBorder="true" applyNumberFormat="true" numFmtId="2" fillId="22" applyFill="true">
      <alignment horizontal="center" vertical="center"/>
    </xf>
    <xf fontId="27518" applyFont="true" borderId="8" applyBorder="true" applyNumberFormat="true" numFmtId="2" fillId="22" applyFill="true">
      <alignment horizontal="center" vertical="center"/>
    </xf>
    <xf fontId="27519" applyFont="true" borderId="8" applyBorder="true" applyNumberFormat="true" numFmtId="2" fillId="22" applyFill="true">
      <alignment horizontal="center" vertical="center"/>
    </xf>
    <xf fontId="27520" applyFont="true" borderId="8" applyBorder="true" applyNumberFormat="true" numFmtId="2" fillId="22" applyFill="true">
      <alignment horizontal="center" vertical="center"/>
    </xf>
    <xf fontId="27521" applyFont="true" borderId="8" applyBorder="true" applyNumberFormat="true" numFmtId="2" fillId="22" applyFill="true">
      <alignment horizontal="center" vertical="center"/>
    </xf>
    <xf fontId="27522" applyFont="true" borderId="8" applyBorder="true" applyNumberFormat="true" numFmtId="2" fillId="22" applyFill="true">
      <alignment horizontal="center" vertical="center"/>
    </xf>
    <xf fontId="27523" applyFont="true" borderId="8" applyBorder="true" applyNumberFormat="true" numFmtId="2" fillId="22" applyFill="true">
      <alignment horizontal="center" vertical="center"/>
    </xf>
    <xf fontId="27524" applyFont="true" borderId="8" applyBorder="true" applyNumberFormat="true" numFmtId="2" fillId="22" applyFill="true">
      <alignment horizontal="center" vertical="center"/>
    </xf>
    <xf fontId="27525" applyFont="true" borderId="8" applyBorder="true" applyNumberFormat="true" numFmtId="2" fillId="22" applyFill="true">
      <alignment horizontal="center" vertical="center"/>
    </xf>
    <xf fontId="27526" applyFont="true" borderId="8" applyBorder="true" applyNumberFormat="true" numFmtId="2" fillId="22" applyFill="true">
      <alignment horizontal="center" vertical="center"/>
    </xf>
    <xf fontId="27527" applyFont="true" borderId="8" applyBorder="true" applyNumberFormat="true" numFmtId="2" fillId="22" applyFill="true">
      <alignment horizontal="center" vertical="center"/>
    </xf>
    <xf fontId="27528" applyFont="true" borderId="8" applyBorder="true" applyNumberFormat="true" numFmtId="2" fillId="22" applyFill="true">
      <alignment horizontal="center" vertical="center"/>
    </xf>
    <xf fontId="27529" applyFont="true" borderId="8" applyBorder="true" applyNumberFormat="true" numFmtId="2" fillId="22" applyFill="true">
      <alignment horizontal="center" vertical="center"/>
    </xf>
    <xf fontId="27530" applyFont="true" borderId="8" applyBorder="true" applyNumberFormat="true" numFmtId="2" fillId="22" applyFill="true">
      <alignment horizontal="center" vertical="center"/>
    </xf>
    <xf fontId="27531" applyFont="true" borderId="8" applyBorder="true" applyNumberFormat="true" numFmtId="2" fillId="22" applyFill="true">
      <alignment horizontal="center" vertical="center"/>
    </xf>
    <xf fontId="27532" applyFont="true" borderId="8" applyBorder="true" applyNumberFormat="true" numFmtId="2" fillId="22" applyFill="true">
      <alignment horizontal="center" vertical="center"/>
    </xf>
    <xf fontId="27533" applyFont="true" borderId="8" applyBorder="true" applyNumberFormat="true" numFmtId="2" fillId="22" applyFill="true">
      <alignment horizontal="center" vertical="center"/>
    </xf>
    <xf fontId="27534" applyFont="true" borderId="8" applyBorder="true" applyNumberFormat="true" numFmtId="2" fillId="22" applyFill="true">
      <alignment horizontal="center" vertical="center"/>
    </xf>
    <xf fontId="27535" applyFont="true" borderId="8" applyBorder="true" applyNumberFormat="true" numFmtId="2" fillId="22" applyFill="true">
      <alignment horizontal="center" vertical="center"/>
    </xf>
    <xf fontId="27536" applyFont="true" borderId="8" applyBorder="true" applyNumberFormat="true" numFmtId="2" fillId="22" applyFill="true">
      <alignment horizontal="center" vertical="center"/>
    </xf>
    <xf fontId="27537" applyFont="true" borderId="8" applyBorder="true" applyNumberFormat="true" numFmtId="165" fillId="19" applyFill="true">
      <alignment horizontal="left" vertical="center"/>
    </xf>
    <xf fontId="27538" applyFont="true" borderId="8" applyBorder="true" applyNumberFormat="true" numFmtId="165" fillId="22" applyFill="true">
      <alignment horizontal="center" vertical="center"/>
    </xf>
    <xf fontId="27539" applyFont="true" borderId="8" applyBorder="true" applyNumberFormat="true" numFmtId="166" fillId="22" applyFill="true">
      <alignment horizontal="center" vertical="center"/>
    </xf>
    <xf fontId="27540" applyFont="true" borderId="8" applyBorder="true" applyNumberFormat="true" numFmtId="1" fillId="22" applyFill="true">
      <alignment horizontal="center" vertical="center"/>
    </xf>
    <xf fontId="27541" applyFont="true" borderId="8" applyBorder="true" applyNumberFormat="true" numFmtId="1" fillId="22" applyFill="true">
      <alignment horizontal="center" vertical="center"/>
    </xf>
    <xf fontId="27542" applyFont="true" borderId="8" applyBorder="true" applyNumberFormat="true" numFmtId="1" fillId="22" applyFill="true">
      <alignment horizontal="center" vertical="center"/>
    </xf>
    <xf fontId="27543" applyFont="true" borderId="8" applyBorder="true" applyNumberFormat="true" numFmtId="1" fillId="22" applyFill="true">
      <alignment horizontal="center" vertical="center"/>
    </xf>
    <xf fontId="27544" applyFont="true" borderId="8" applyBorder="true" applyNumberFormat="true" numFmtId="1" fillId="22" applyFill="true">
      <alignment horizontal="center" vertical="center"/>
    </xf>
    <xf fontId="27545" applyFont="true" borderId="8" applyBorder="true" applyNumberFormat="true" numFmtId="1" fillId="22" applyFill="true">
      <alignment horizontal="center" vertical="center"/>
    </xf>
    <xf fontId="27546" applyFont="true" borderId="8" applyBorder="true" applyNumberFormat="true" numFmtId="1" fillId="22" applyFill="true">
      <alignment horizontal="center" vertical="center"/>
    </xf>
    <xf fontId="27547" applyFont="true" borderId="8" applyBorder="true" applyNumberFormat="true" numFmtId="165" fillId="22" applyFill="true">
      <alignment horizontal="center" vertical="center"/>
    </xf>
    <xf fontId="27548" applyFont="true" borderId="8" applyBorder="true" applyNumberFormat="true" numFmtId="165" fillId="22" applyFill="true">
      <alignment horizontal="center" vertical="center"/>
    </xf>
    <xf fontId="27549" applyFont="true" borderId="8" applyBorder="true" applyNumberFormat="true" numFmtId="1" fillId="22" applyFill="true">
      <alignment horizontal="center" vertical="center"/>
    </xf>
    <xf fontId="27550" applyFont="true" borderId="8" applyBorder="true" applyNumberFormat="true" numFmtId="1" fillId="22" applyFill="true">
      <alignment horizontal="center" vertical="center"/>
    </xf>
    <xf fontId="27551" applyFont="true" borderId="8" applyBorder="true" applyNumberFormat="true" numFmtId="1" fillId="22" applyFill="true">
      <alignment horizontal="center" vertical="center"/>
    </xf>
    <xf fontId="27552" applyFont="true" borderId="8" applyBorder="true" applyNumberFormat="true" numFmtId="167" fillId="22" applyFill="true">
      <alignment horizontal="center" vertical="center"/>
    </xf>
    <xf fontId="27553" applyFont="true" borderId="8" applyBorder="true" applyNumberFormat="true" numFmtId="1" fillId="22" applyFill="true">
      <alignment horizontal="center" vertical="center"/>
    </xf>
    <xf fontId="27554" applyFont="true" borderId="8" applyBorder="true" applyNumberFormat="true" numFmtId="167" fillId="22" applyFill="true">
      <alignment horizontal="center" vertical="center"/>
    </xf>
    <xf fontId="27555" applyFont="true" borderId="8" applyBorder="true" applyNumberFormat="true" numFmtId="1" fillId="22" applyFill="true">
      <alignment horizontal="center" vertical="center"/>
    </xf>
    <xf fontId="27556" applyFont="true" borderId="8" applyBorder="true" applyNumberFormat="true" numFmtId="167" fillId="22" applyFill="true">
      <alignment horizontal="center" vertical="center"/>
    </xf>
    <xf fontId="27557" applyFont="true" borderId="8" applyBorder="true" applyNumberFormat="true" numFmtId="1" fillId="22" applyFill="true">
      <alignment horizontal="center" vertical="center"/>
    </xf>
    <xf fontId="27558" applyFont="true" borderId="8" applyBorder="true" applyNumberFormat="true" numFmtId="167" fillId="22" applyFill="true">
      <alignment horizontal="center" vertical="center"/>
    </xf>
    <xf fontId="27559" applyFont="true" borderId="8" applyBorder="true" applyNumberFormat="true" numFmtId="167" fillId="22" applyFill="true">
      <alignment horizontal="center" vertical="center"/>
    </xf>
    <xf fontId="27560" applyFont="true" borderId="8" applyBorder="true" applyNumberFormat="true" numFmtId="1" fillId="22" applyFill="true">
      <alignment horizontal="center" vertical="center"/>
    </xf>
    <xf fontId="27561" applyFont="true" borderId="8" applyBorder="true" applyNumberFormat="true" numFmtId="1" fillId="22" applyFill="true">
      <alignment horizontal="center" vertical="center"/>
    </xf>
    <xf fontId="27562" applyFont="true" borderId="8" applyBorder="true" applyNumberFormat="true" numFmtId="1" fillId="22" applyFill="true">
      <alignment horizontal="center" vertical="center"/>
    </xf>
    <xf fontId="27563" applyFont="true" borderId="8" applyBorder="true" applyNumberFormat="true" numFmtId="167" fillId="22" applyFill="true">
      <alignment horizontal="center" vertical="center"/>
    </xf>
    <xf fontId="27564" applyFont="true" borderId="8" applyBorder="true" applyNumberFormat="true" numFmtId="166" fillId="22" applyFill="true">
      <alignment horizontal="center" vertical="center"/>
    </xf>
    <xf fontId="27565" applyFont="true" borderId="8" applyBorder="true" applyNumberFormat="true" numFmtId="166" fillId="22" applyFill="true">
      <alignment horizontal="center" vertical="center"/>
    </xf>
    <xf fontId="27566" applyFont="true" borderId="8" applyBorder="true" applyNumberFormat="true" numFmtId="1" fillId="22" applyFill="true">
      <alignment horizontal="center" vertical="center"/>
    </xf>
    <xf fontId="27567" applyFont="true" borderId="8" applyBorder="true" applyNumberFormat="true" numFmtId="1" fillId="22" applyFill="true">
      <alignment horizontal="center" vertical="center"/>
    </xf>
    <xf fontId="27568" applyFont="true" borderId="8" applyBorder="true" applyNumberFormat="true" numFmtId="1" fillId="22" applyFill="true">
      <alignment horizontal="center" vertical="center"/>
    </xf>
    <xf fontId="27569" applyFont="true" borderId="8" applyBorder="true" applyNumberFormat="true" numFmtId="167" fillId="22" applyFill="true">
      <alignment horizontal="center" vertical="center"/>
    </xf>
    <xf fontId="27570" applyFont="true" borderId="8" applyBorder="true" applyNumberFormat="true" numFmtId="1" fillId="22" applyFill="true">
      <alignment horizontal="center" vertical="center"/>
    </xf>
    <xf fontId="27571" applyFont="true" borderId="8" applyBorder="true" applyNumberFormat="true" numFmtId="167" fillId="22" applyFill="true">
      <alignment horizontal="center" vertical="center"/>
    </xf>
    <xf fontId="27572" applyFont="true" borderId="8" applyBorder="true" applyNumberFormat="true" numFmtId="1" fillId="22" applyFill="true">
      <alignment horizontal="center" vertical="center"/>
    </xf>
    <xf fontId="27573" applyFont="true" borderId="8" applyBorder="true" applyNumberFormat="true" numFmtId="1" fillId="22" applyFill="true">
      <alignment horizontal="center" vertical="center"/>
    </xf>
    <xf fontId="27574" applyFont="true" borderId="8" applyBorder="true" applyNumberFormat="true" numFmtId="1" fillId="22" applyFill="true">
      <alignment horizontal="center" vertical="center"/>
    </xf>
    <xf fontId="27575" applyFont="true" borderId="8" applyBorder="true" applyNumberFormat="true" numFmtId="1" fillId="22" applyFill="true">
      <alignment horizontal="center" vertical="center"/>
    </xf>
    <xf fontId="27576" applyFont="true" borderId="8" applyBorder="true" applyNumberFormat="true" numFmtId="167" fillId="22" applyFill="true">
      <alignment horizontal="center" vertical="center"/>
    </xf>
    <xf fontId="27577" applyFont="true" borderId="8" applyBorder="true" applyNumberFormat="true" numFmtId="1" fillId="22" applyFill="true">
      <alignment horizontal="center" vertical="center"/>
    </xf>
    <xf fontId="27578" applyFont="true" borderId="8" applyBorder="true" applyNumberFormat="true" numFmtId="167" fillId="22" applyFill="true">
      <alignment horizontal="center" vertical="center"/>
    </xf>
    <xf fontId="27579" applyFont="true" borderId="8" applyBorder="true" applyNumberFormat="true" numFmtId="1" fillId="22" applyFill="true">
      <alignment horizontal="center" vertical="center"/>
    </xf>
    <xf fontId="27580" applyFont="true" borderId="8" applyBorder="true" applyNumberFormat="true" numFmtId="167" fillId="22" applyFill="true">
      <alignment horizontal="center" vertical="center"/>
    </xf>
    <xf fontId="27581" applyFont="true" borderId="8" applyBorder="true" applyNumberFormat="true" numFmtId="2" fillId="22" applyFill="true">
      <alignment horizontal="center" vertical="center"/>
    </xf>
    <xf fontId="27582" applyFont="true" borderId="8" applyBorder="true" applyNumberFormat="true" numFmtId="2" fillId="22" applyFill="true">
      <alignment horizontal="center" vertical="center"/>
    </xf>
    <xf fontId="27583" applyFont="true" borderId="8" applyBorder="true" applyNumberFormat="true" numFmtId="2" fillId="22" applyFill="true">
      <alignment horizontal="center" vertical="center"/>
    </xf>
    <xf fontId="27584" applyFont="true" borderId="8" applyBorder="true" applyNumberFormat="true" numFmtId="2" fillId="22" applyFill="true">
      <alignment horizontal="center" vertical="center"/>
    </xf>
    <xf fontId="27585" applyFont="true" borderId="8" applyBorder="true" applyNumberFormat="true" numFmtId="2" fillId="22" applyFill="true">
      <alignment horizontal="center" vertical="center"/>
    </xf>
    <xf fontId="27586" applyFont="true" borderId="8" applyBorder="true" applyNumberFormat="true" numFmtId="2" fillId="22" applyFill="true">
      <alignment horizontal="center" vertical="center"/>
    </xf>
    <xf fontId="27587" applyFont="true" borderId="8" applyBorder="true" applyNumberFormat="true" numFmtId="2" fillId="22" applyFill="true">
      <alignment horizontal="center" vertical="center"/>
    </xf>
    <xf fontId="27588" applyFont="true" borderId="8" applyBorder="true" applyNumberFormat="true" numFmtId="2" fillId="22" applyFill="true">
      <alignment horizontal="center" vertical="center"/>
    </xf>
    <xf fontId="27589" applyFont="true" borderId="8" applyBorder="true" applyNumberFormat="true" numFmtId="2" fillId="22" applyFill="true">
      <alignment horizontal="center" vertical="center"/>
    </xf>
    <xf fontId="27590" applyFont="true" borderId="8" applyBorder="true" applyNumberFormat="true" numFmtId="2" fillId="22" applyFill="true">
      <alignment horizontal="center" vertical="center"/>
    </xf>
    <xf fontId="27591" applyFont="true" borderId="8" applyBorder="true" applyNumberFormat="true" numFmtId="2" fillId="22" applyFill="true">
      <alignment horizontal="center" vertical="center"/>
    </xf>
    <xf fontId="27592" applyFont="true" borderId="8" applyBorder="true" applyNumberFormat="true" numFmtId="2" fillId="22" applyFill="true">
      <alignment horizontal="center" vertical="center"/>
    </xf>
    <xf fontId="27593" applyFont="true" borderId="8" applyBorder="true" applyNumberFormat="true" numFmtId="2" fillId="22" applyFill="true">
      <alignment horizontal="center" vertical="center"/>
    </xf>
    <xf fontId="27594" applyFont="true" borderId="8" applyBorder="true" applyNumberFormat="true" numFmtId="2" fillId="22" applyFill="true">
      <alignment horizontal="center" vertical="center"/>
    </xf>
    <xf fontId="27595" applyFont="true" borderId="8" applyBorder="true" applyNumberFormat="true" numFmtId="2" fillId="22" applyFill="true">
      <alignment horizontal="center" vertical="center"/>
    </xf>
    <xf fontId="27596" applyFont="true" borderId="8" applyBorder="true" applyNumberFormat="true" numFmtId="2" fillId="22" applyFill="true">
      <alignment horizontal="center" vertical="center"/>
    </xf>
    <xf fontId="27597" applyFont="true" borderId="8" applyBorder="true" applyNumberFormat="true" numFmtId="2" fillId="22" applyFill="true">
      <alignment horizontal="center" vertical="center"/>
    </xf>
    <xf fontId="27598" applyFont="true" borderId="8" applyBorder="true" applyNumberFormat="true" numFmtId="2" fillId="22" applyFill="true">
      <alignment horizontal="center" vertical="center"/>
    </xf>
    <xf fontId="27599" applyFont="true" borderId="8" applyBorder="true" applyNumberFormat="true" numFmtId="2" fillId="22" applyFill="true">
      <alignment horizontal="center" vertical="center"/>
    </xf>
    <xf fontId="27600" applyFont="true" borderId="8" applyBorder="true" applyNumberFormat="true" numFmtId="2" fillId="22" applyFill="true">
      <alignment horizontal="center" vertical="center"/>
    </xf>
    <xf fontId="27601" applyFont="true" borderId="8" applyBorder="true" applyNumberFormat="true" numFmtId="2" fillId="22" applyFill="true">
      <alignment horizontal="center" vertical="center"/>
    </xf>
    <xf fontId="27602" applyFont="true" borderId="8" applyBorder="true" applyNumberFormat="true" numFmtId="2" fillId="22" applyFill="true">
      <alignment horizontal="center" vertical="center"/>
    </xf>
    <xf fontId="27603" applyFont="true" borderId="8" applyBorder="true" applyNumberFormat="true" numFmtId="2" fillId="22" applyFill="true">
      <alignment horizontal="center" vertical="center"/>
    </xf>
    <xf fontId="27604" applyFont="true" borderId="8" applyBorder="true" applyNumberFormat="true" numFmtId="2" fillId="22" applyFill="true">
      <alignment horizontal="center" vertical="center"/>
    </xf>
    <xf fontId="27605" applyFont="true" borderId="8" applyBorder="true" applyNumberFormat="true" numFmtId="2" fillId="22" applyFill="true">
      <alignment horizontal="center" vertical="center"/>
    </xf>
    <xf fontId="27606" applyFont="true" borderId="8" applyBorder="true" applyNumberFormat="true" numFmtId="2" fillId="22" applyFill="true">
      <alignment horizontal="center" vertical="center"/>
    </xf>
    <xf fontId="27607" applyFont="true" borderId="8" applyBorder="true" applyNumberFormat="true" numFmtId="2" fillId="22" applyFill="true">
      <alignment horizontal="center" vertical="center"/>
    </xf>
    <xf fontId="27608" applyFont="true" borderId="8" applyBorder="true" applyNumberFormat="true" numFmtId="2" fillId="22" applyFill="true">
      <alignment horizontal="center" vertical="center"/>
    </xf>
    <xf fontId="27609" applyFont="true" borderId="8" applyBorder="true" applyNumberFormat="true" numFmtId="2" fillId="22" applyFill="true">
      <alignment horizontal="center" vertical="center"/>
    </xf>
    <xf fontId="27610" applyFont="true" borderId="8" applyBorder="true" applyNumberFormat="true" numFmtId="2" fillId="22" applyFill="true">
      <alignment horizontal="center" vertical="center"/>
    </xf>
    <xf fontId="27611" applyFont="true" borderId="8" applyBorder="true" applyNumberFormat="true" numFmtId="2" fillId="22" applyFill="true">
      <alignment horizontal="center" vertical="center"/>
    </xf>
    <xf fontId="27612" applyFont="true" borderId="8" applyBorder="true" applyNumberFormat="true" numFmtId="2" fillId="22" applyFill="true">
      <alignment horizontal="center" vertical="center"/>
    </xf>
    <xf fontId="27613" applyFont="true" borderId="8" applyBorder="true" applyNumberFormat="true" numFmtId="2" fillId="22" applyFill="true">
      <alignment horizontal="center" vertical="center"/>
    </xf>
    <xf fontId="27614" applyFont="true" borderId="8" applyBorder="true" applyNumberFormat="true" numFmtId="2" fillId="22" applyFill="true">
      <alignment horizontal="center" vertical="center"/>
    </xf>
    <xf fontId="27615" applyFont="true" borderId="8" applyBorder="true" applyNumberFormat="true" numFmtId="165" fillId="19" applyFill="true">
      <alignment horizontal="left" vertical="center"/>
    </xf>
    <xf fontId="27616" applyFont="true" borderId="8" applyBorder="true" applyNumberFormat="true" numFmtId="165" fillId="22" applyFill="true">
      <alignment horizontal="center" vertical="center"/>
    </xf>
    <xf fontId="27617" applyFont="true" borderId="8" applyBorder="true" applyNumberFormat="true" numFmtId="166" fillId="22" applyFill="true">
      <alignment horizontal="center" vertical="center"/>
    </xf>
    <xf fontId="27618" applyFont="true" borderId="8" applyBorder="true" applyNumberFormat="true" numFmtId="1" fillId="22" applyFill="true">
      <alignment horizontal="center" vertical="center"/>
    </xf>
    <xf fontId="27619" applyFont="true" borderId="8" applyBorder="true" applyNumberFormat="true" numFmtId="1" fillId="22" applyFill="true">
      <alignment horizontal="center" vertical="center"/>
    </xf>
    <xf fontId="27620" applyFont="true" borderId="8" applyBorder="true" applyNumberFormat="true" numFmtId="1" fillId="22" applyFill="true">
      <alignment horizontal="center" vertical="center"/>
    </xf>
    <xf fontId="27621" applyFont="true" borderId="8" applyBorder="true" applyNumberFormat="true" numFmtId="1" fillId="22" applyFill="true">
      <alignment horizontal="center" vertical="center"/>
    </xf>
    <xf fontId="27622" applyFont="true" borderId="8" applyBorder="true" applyNumberFormat="true" numFmtId="1" fillId="22" applyFill="true">
      <alignment horizontal="center" vertical="center"/>
    </xf>
    <xf fontId="27623" applyFont="true" borderId="8" applyBorder="true" applyNumberFormat="true" numFmtId="1" fillId="22" applyFill="true">
      <alignment horizontal="center" vertical="center"/>
    </xf>
    <xf fontId="27624" applyFont="true" borderId="8" applyBorder="true" applyNumberFormat="true" numFmtId="1" fillId="22" applyFill="true">
      <alignment horizontal="center" vertical="center"/>
    </xf>
    <xf fontId="27625" applyFont="true" borderId="8" applyBorder="true" applyNumberFormat="true" numFmtId="165" fillId="22" applyFill="true">
      <alignment horizontal="center" vertical="center"/>
    </xf>
    <xf fontId="27626" applyFont="true" borderId="8" applyBorder="true" applyNumberFormat="true" numFmtId="165" fillId="22" applyFill="true">
      <alignment horizontal="center" vertical="center"/>
    </xf>
    <xf fontId="27627" applyFont="true" borderId="8" applyBorder="true" applyNumberFormat="true" numFmtId="1" fillId="22" applyFill="true">
      <alignment horizontal="center" vertical="center"/>
    </xf>
    <xf fontId="27628" applyFont="true" borderId="8" applyBorder="true" applyNumberFormat="true" numFmtId="1" fillId="22" applyFill="true">
      <alignment horizontal="center" vertical="center"/>
    </xf>
    <xf fontId="27629" applyFont="true" borderId="8" applyBorder="true" applyNumberFormat="true" numFmtId="1" fillId="22" applyFill="true">
      <alignment horizontal="center" vertical="center"/>
    </xf>
    <xf fontId="27630" applyFont="true" borderId="8" applyBorder="true" applyNumberFormat="true" numFmtId="167" fillId="22" applyFill="true">
      <alignment horizontal="center" vertical="center"/>
    </xf>
    <xf fontId="27631" applyFont="true" borderId="8" applyBorder="true" applyNumberFormat="true" numFmtId="1" fillId="22" applyFill="true">
      <alignment horizontal="center" vertical="center"/>
    </xf>
    <xf fontId="27632" applyFont="true" borderId="8" applyBorder="true" applyNumberFormat="true" numFmtId="167" fillId="22" applyFill="true">
      <alignment horizontal="center" vertical="center"/>
    </xf>
    <xf fontId="27633" applyFont="true" borderId="8" applyBorder="true" applyNumberFormat="true" numFmtId="1" fillId="22" applyFill="true">
      <alignment horizontal="center" vertical="center"/>
    </xf>
    <xf fontId="27634" applyFont="true" borderId="8" applyBorder="true" applyNumberFormat="true" numFmtId="167" fillId="22" applyFill="true">
      <alignment horizontal="center" vertical="center"/>
    </xf>
    <xf fontId="27635" applyFont="true" borderId="8" applyBorder="true" applyNumberFormat="true" numFmtId="1" fillId="22" applyFill="true">
      <alignment horizontal="center" vertical="center"/>
    </xf>
    <xf fontId="27636" applyFont="true" borderId="8" applyBorder="true" applyNumberFormat="true" numFmtId="167" fillId="22" applyFill="true">
      <alignment horizontal="center" vertical="center"/>
    </xf>
    <xf fontId="27637" applyFont="true" borderId="8" applyBorder="true" applyNumberFormat="true" numFmtId="167" fillId="22" applyFill="true">
      <alignment horizontal="center" vertical="center"/>
    </xf>
    <xf fontId="27638" applyFont="true" borderId="8" applyBorder="true" applyNumberFormat="true" numFmtId="1" fillId="22" applyFill="true">
      <alignment horizontal="center" vertical="center"/>
    </xf>
    <xf fontId="27639" applyFont="true" borderId="8" applyBorder="true" applyNumberFormat="true" numFmtId="1" fillId="22" applyFill="true">
      <alignment horizontal="center" vertical="center"/>
    </xf>
    <xf fontId="27640" applyFont="true" borderId="8" applyBorder="true" applyNumberFormat="true" numFmtId="1" fillId="22" applyFill="true">
      <alignment horizontal="center" vertical="center"/>
    </xf>
    <xf fontId="27641" applyFont="true" borderId="8" applyBorder="true" applyNumberFormat="true" numFmtId="167" fillId="22" applyFill="true">
      <alignment horizontal="center" vertical="center"/>
    </xf>
    <xf fontId="27642" applyFont="true" borderId="8" applyBorder="true" applyNumberFormat="true" numFmtId="166" fillId="22" applyFill="true">
      <alignment horizontal="center" vertical="center"/>
    </xf>
    <xf fontId="27643" applyFont="true" borderId="8" applyBorder="true" applyNumberFormat="true" numFmtId="166" fillId="22" applyFill="true">
      <alignment horizontal="center" vertical="center"/>
    </xf>
    <xf fontId="27644" applyFont="true" borderId="8" applyBorder="true" applyNumberFormat="true" numFmtId="1" fillId="22" applyFill="true">
      <alignment horizontal="center" vertical="center"/>
    </xf>
    <xf fontId="27645" applyFont="true" borderId="8" applyBorder="true" applyNumberFormat="true" numFmtId="1" fillId="22" applyFill="true">
      <alignment horizontal="center" vertical="center"/>
    </xf>
    <xf fontId="27646" applyFont="true" borderId="8" applyBorder="true" applyNumberFormat="true" numFmtId="1" fillId="22" applyFill="true">
      <alignment horizontal="center" vertical="center"/>
    </xf>
    <xf fontId="27647" applyFont="true" borderId="8" applyBorder="true" applyNumberFormat="true" numFmtId="167" fillId="22" applyFill="true">
      <alignment horizontal="center" vertical="center"/>
    </xf>
    <xf fontId="27648" applyFont="true" borderId="8" applyBorder="true" applyNumberFormat="true" numFmtId="1" fillId="22" applyFill="true">
      <alignment horizontal="center" vertical="center"/>
    </xf>
    <xf fontId="27649" applyFont="true" borderId="8" applyBorder="true" applyNumberFormat="true" numFmtId="167" fillId="22" applyFill="true">
      <alignment horizontal="center" vertical="center"/>
    </xf>
    <xf fontId="27650" applyFont="true" borderId="8" applyBorder="true" applyNumberFormat="true" numFmtId="1" fillId="22" applyFill="true">
      <alignment horizontal="center" vertical="center"/>
    </xf>
    <xf fontId="27651" applyFont="true" borderId="8" applyBorder="true" applyNumberFormat="true" numFmtId="1" fillId="22" applyFill="true">
      <alignment horizontal="center" vertical="center"/>
    </xf>
    <xf fontId="27652" applyFont="true" borderId="8" applyBorder="true" applyNumberFormat="true" numFmtId="1" fillId="22" applyFill="true">
      <alignment horizontal="center" vertical="center"/>
    </xf>
    <xf fontId="27653" applyFont="true" borderId="8" applyBorder="true" applyNumberFormat="true" numFmtId="1" fillId="22" applyFill="true">
      <alignment horizontal="center" vertical="center"/>
    </xf>
    <xf fontId="27654" applyFont="true" borderId="8" applyBorder="true" applyNumberFormat="true" numFmtId="167" fillId="22" applyFill="true">
      <alignment horizontal="center" vertical="center"/>
    </xf>
    <xf fontId="27655" applyFont="true" borderId="8" applyBorder="true" applyNumberFormat="true" numFmtId="1" fillId="22" applyFill="true">
      <alignment horizontal="center" vertical="center"/>
    </xf>
    <xf fontId="27656" applyFont="true" borderId="8" applyBorder="true" applyNumberFormat="true" numFmtId="167" fillId="22" applyFill="true">
      <alignment horizontal="center" vertical="center"/>
    </xf>
    <xf fontId="27657" applyFont="true" borderId="8" applyBorder="true" applyNumberFormat="true" numFmtId="1" fillId="22" applyFill="true">
      <alignment horizontal="center" vertical="center"/>
    </xf>
    <xf fontId="27658" applyFont="true" borderId="8" applyBorder="true" applyNumberFormat="true" numFmtId="167" fillId="22" applyFill="true">
      <alignment horizontal="center" vertical="center"/>
    </xf>
    <xf fontId="27659" applyFont="true" borderId="8" applyBorder="true" applyNumberFormat="true" numFmtId="2" fillId="22" applyFill="true">
      <alignment horizontal="center" vertical="center"/>
    </xf>
    <xf fontId="27660" applyFont="true" borderId="8" applyBorder="true" applyNumberFormat="true" numFmtId="2" fillId="22" applyFill="true">
      <alignment horizontal="center" vertical="center"/>
    </xf>
    <xf fontId="27661" applyFont="true" borderId="8" applyBorder="true" applyNumberFormat="true" numFmtId="2" fillId="22" applyFill="true">
      <alignment horizontal="center" vertical="center"/>
    </xf>
    <xf fontId="27662" applyFont="true" borderId="8" applyBorder="true" applyNumberFormat="true" numFmtId="2" fillId="22" applyFill="true">
      <alignment horizontal="center" vertical="center"/>
    </xf>
    <xf fontId="27663" applyFont="true" borderId="8" applyBorder="true" applyNumberFormat="true" numFmtId="2" fillId="22" applyFill="true">
      <alignment horizontal="center" vertical="center"/>
    </xf>
    <xf fontId="27664" applyFont="true" borderId="8" applyBorder="true" applyNumberFormat="true" numFmtId="2" fillId="22" applyFill="true">
      <alignment horizontal="center" vertical="center"/>
    </xf>
    <xf fontId="27665" applyFont="true" borderId="8" applyBorder="true" applyNumberFormat="true" numFmtId="2" fillId="22" applyFill="true">
      <alignment horizontal="center" vertical="center"/>
    </xf>
    <xf fontId="27666" applyFont="true" borderId="8" applyBorder="true" applyNumberFormat="true" numFmtId="2" fillId="22" applyFill="true">
      <alignment horizontal="center" vertical="center"/>
    </xf>
    <xf fontId="27667" applyFont="true" borderId="8" applyBorder="true" applyNumberFormat="true" numFmtId="2" fillId="22" applyFill="true">
      <alignment horizontal="center" vertical="center"/>
    </xf>
    <xf fontId="27668" applyFont="true" borderId="8" applyBorder="true" applyNumberFormat="true" numFmtId="2" fillId="22" applyFill="true">
      <alignment horizontal="center" vertical="center"/>
    </xf>
    <xf fontId="27669" applyFont="true" borderId="8" applyBorder="true" applyNumberFormat="true" numFmtId="2" fillId="22" applyFill="true">
      <alignment horizontal="center" vertical="center"/>
    </xf>
    <xf fontId="27670" applyFont="true" borderId="8" applyBorder="true" applyNumberFormat="true" numFmtId="2" fillId="22" applyFill="true">
      <alignment horizontal="center" vertical="center"/>
    </xf>
    <xf fontId="27671" applyFont="true" borderId="8" applyBorder="true" applyNumberFormat="true" numFmtId="2" fillId="22" applyFill="true">
      <alignment horizontal="center" vertical="center"/>
    </xf>
    <xf fontId="27672" applyFont="true" borderId="8" applyBorder="true" applyNumberFormat="true" numFmtId="2" fillId="22" applyFill="true">
      <alignment horizontal="center" vertical="center"/>
    </xf>
    <xf fontId="27673" applyFont="true" borderId="8" applyBorder="true" applyNumberFormat="true" numFmtId="2" fillId="22" applyFill="true">
      <alignment horizontal="center" vertical="center"/>
    </xf>
    <xf fontId="27674" applyFont="true" borderId="8" applyBorder="true" applyNumberFormat="true" numFmtId="2" fillId="22" applyFill="true">
      <alignment horizontal="center" vertical="center"/>
    </xf>
    <xf fontId="27675" applyFont="true" borderId="8" applyBorder="true" applyNumberFormat="true" numFmtId="2" fillId="22" applyFill="true">
      <alignment horizontal="center" vertical="center"/>
    </xf>
    <xf fontId="27676" applyFont="true" borderId="8" applyBorder="true" applyNumberFormat="true" numFmtId="2" fillId="22" applyFill="true">
      <alignment horizontal="center" vertical="center"/>
    </xf>
    <xf fontId="27677" applyFont="true" borderId="8" applyBorder="true" applyNumberFormat="true" numFmtId="2" fillId="22" applyFill="true">
      <alignment horizontal="center" vertical="center"/>
    </xf>
    <xf fontId="27678" applyFont="true" borderId="8" applyBorder="true" applyNumberFormat="true" numFmtId="2" fillId="22" applyFill="true">
      <alignment horizontal="center" vertical="center"/>
    </xf>
    <xf fontId="27679" applyFont="true" borderId="8" applyBorder="true" applyNumberFormat="true" numFmtId="2" fillId="22" applyFill="true">
      <alignment horizontal="center" vertical="center"/>
    </xf>
    <xf fontId="27680" applyFont="true" borderId="8" applyBorder="true" applyNumberFormat="true" numFmtId="2" fillId="22" applyFill="true">
      <alignment horizontal="center" vertical="center"/>
    </xf>
    <xf fontId="27681" applyFont="true" borderId="8" applyBorder="true" applyNumberFormat="true" numFmtId="2" fillId="22" applyFill="true">
      <alignment horizontal="center" vertical="center"/>
    </xf>
    <xf fontId="27682" applyFont="true" borderId="8" applyBorder="true" applyNumberFormat="true" numFmtId="2" fillId="22" applyFill="true">
      <alignment horizontal="center" vertical="center"/>
    </xf>
    <xf fontId="27683" applyFont="true" borderId="8" applyBorder="true" applyNumberFormat="true" numFmtId="2" fillId="22" applyFill="true">
      <alignment horizontal="center" vertical="center"/>
    </xf>
    <xf fontId="27684" applyFont="true" borderId="8" applyBorder="true" applyNumberFormat="true" numFmtId="2" fillId="22" applyFill="true">
      <alignment horizontal="center" vertical="center"/>
    </xf>
    <xf fontId="27685" applyFont="true" borderId="8" applyBorder="true" applyNumberFormat="true" numFmtId="2" fillId="22" applyFill="true">
      <alignment horizontal="center" vertical="center"/>
    </xf>
    <xf fontId="27686" applyFont="true" borderId="8" applyBorder="true" applyNumberFormat="true" numFmtId="2" fillId="22" applyFill="true">
      <alignment horizontal="center" vertical="center"/>
    </xf>
    <xf fontId="27687" applyFont="true" borderId="8" applyBorder="true" applyNumberFormat="true" numFmtId="2" fillId="22" applyFill="true">
      <alignment horizontal="center" vertical="center"/>
    </xf>
    <xf fontId="27688" applyFont="true" borderId="8" applyBorder="true" applyNumberFormat="true" numFmtId="2" fillId="22" applyFill="true">
      <alignment horizontal="center" vertical="center"/>
    </xf>
    <xf fontId="27689" applyFont="true" borderId="8" applyBorder="true" applyNumberFormat="true" numFmtId="2" fillId="22" applyFill="true">
      <alignment horizontal="center" vertical="center"/>
    </xf>
    <xf fontId="27690" applyFont="true" borderId="8" applyBorder="true" applyNumberFormat="true" numFmtId="2" fillId="22" applyFill="true">
      <alignment horizontal="center" vertical="center"/>
    </xf>
    <xf fontId="27691" applyFont="true" borderId="8" applyBorder="true" applyNumberFormat="true" numFmtId="2" fillId="22" applyFill="true">
      <alignment horizontal="center" vertical="center"/>
    </xf>
    <xf fontId="27692" applyFont="true" borderId="8" applyBorder="true" applyNumberFormat="true" numFmtId="2" fillId="22" applyFill="true">
      <alignment horizontal="center" vertical="center"/>
    </xf>
    <xf fontId="27693" applyFont="true" borderId="8" applyBorder="true" applyNumberFormat="true" numFmtId="165" fillId="19" applyFill="true">
      <alignment horizontal="left" vertical="center"/>
    </xf>
    <xf fontId="27694" applyFont="true" borderId="8" applyBorder="true" applyNumberFormat="true" numFmtId="165" fillId="22" applyFill="true">
      <alignment horizontal="center" vertical="center"/>
    </xf>
    <xf fontId="27695" applyFont="true" borderId="8" applyBorder="true" applyNumberFormat="true" numFmtId="166" fillId="22" applyFill="true">
      <alignment horizontal="center" vertical="center"/>
    </xf>
    <xf fontId="27696" applyFont="true" borderId="8" applyBorder="true" applyNumberFormat="true" numFmtId="1" fillId="22" applyFill="true">
      <alignment horizontal="center" vertical="center"/>
    </xf>
    <xf fontId="27697" applyFont="true" borderId="8" applyBorder="true" applyNumberFormat="true" numFmtId="1" fillId="22" applyFill="true">
      <alignment horizontal="center" vertical="center"/>
    </xf>
    <xf fontId="27698" applyFont="true" borderId="8" applyBorder="true" applyNumberFormat="true" numFmtId="1" fillId="22" applyFill="true">
      <alignment horizontal="center" vertical="center"/>
    </xf>
    <xf fontId="27699" applyFont="true" borderId="8" applyBorder="true" applyNumberFormat="true" numFmtId="1" fillId="22" applyFill="true">
      <alignment horizontal="center" vertical="center"/>
    </xf>
    <xf fontId="27700" applyFont="true" borderId="8" applyBorder="true" applyNumberFormat="true" numFmtId="1" fillId="22" applyFill="true">
      <alignment horizontal="center" vertical="center"/>
    </xf>
    <xf fontId="27701" applyFont="true" borderId="8" applyBorder="true" applyNumberFormat="true" numFmtId="1" fillId="22" applyFill="true">
      <alignment horizontal="center" vertical="center"/>
    </xf>
    <xf fontId="27702" applyFont="true" borderId="8" applyBorder="true" applyNumberFormat="true" numFmtId="1" fillId="22" applyFill="true">
      <alignment horizontal="center" vertical="center"/>
    </xf>
    <xf fontId="27703" applyFont="true" borderId="8" applyBorder="true" applyNumberFormat="true" numFmtId="165" fillId="22" applyFill="true">
      <alignment horizontal="center" vertical="center"/>
    </xf>
    <xf fontId="27704" applyFont="true" borderId="8" applyBorder="true" applyNumberFormat="true" numFmtId="165" fillId="22" applyFill="true">
      <alignment horizontal="center" vertical="center"/>
    </xf>
    <xf fontId="27705" applyFont="true" borderId="8" applyBorder="true" applyNumberFormat="true" numFmtId="1" fillId="22" applyFill="true">
      <alignment horizontal="center" vertical="center"/>
    </xf>
    <xf fontId="27706" applyFont="true" borderId="8" applyBorder="true" applyNumberFormat="true" numFmtId="1" fillId="22" applyFill="true">
      <alignment horizontal="center" vertical="center"/>
    </xf>
    <xf fontId="27707" applyFont="true" borderId="8" applyBorder="true" applyNumberFormat="true" numFmtId="1" fillId="22" applyFill="true">
      <alignment horizontal="center" vertical="center"/>
    </xf>
    <xf fontId="27708" applyFont="true" borderId="8" applyBorder="true" applyNumberFormat="true" numFmtId="167" fillId="22" applyFill="true">
      <alignment horizontal="center" vertical="center"/>
    </xf>
    <xf fontId="27709" applyFont="true" borderId="8" applyBorder="true" applyNumberFormat="true" numFmtId="1" fillId="22" applyFill="true">
      <alignment horizontal="center" vertical="center"/>
    </xf>
    <xf fontId="27710" applyFont="true" borderId="8" applyBorder="true" applyNumberFormat="true" numFmtId="167" fillId="22" applyFill="true">
      <alignment horizontal="center" vertical="center"/>
    </xf>
    <xf fontId="27711" applyFont="true" borderId="8" applyBorder="true" applyNumberFormat="true" numFmtId="1" fillId="22" applyFill="true">
      <alignment horizontal="center" vertical="center"/>
    </xf>
    <xf fontId="27712" applyFont="true" borderId="8" applyBorder="true" applyNumberFormat="true" numFmtId="167" fillId="22" applyFill="true">
      <alignment horizontal="center" vertical="center"/>
    </xf>
    <xf fontId="27713" applyFont="true" borderId="8" applyBorder="true" applyNumberFormat="true" numFmtId="1" fillId="22" applyFill="true">
      <alignment horizontal="center" vertical="center"/>
    </xf>
    <xf fontId="27714" applyFont="true" borderId="8" applyBorder="true" applyNumberFormat="true" numFmtId="167" fillId="22" applyFill="true">
      <alignment horizontal="center" vertical="center"/>
    </xf>
    <xf fontId="27715" applyFont="true" borderId="8" applyBorder="true" applyNumberFormat="true" numFmtId="167" fillId="22" applyFill="true">
      <alignment horizontal="center" vertical="center"/>
    </xf>
    <xf fontId="27716" applyFont="true" borderId="8" applyBorder="true" applyNumberFormat="true" numFmtId="1" fillId="22" applyFill="true">
      <alignment horizontal="center" vertical="center"/>
    </xf>
    <xf fontId="27717" applyFont="true" borderId="8" applyBorder="true" applyNumberFormat="true" numFmtId="1" fillId="22" applyFill="true">
      <alignment horizontal="center" vertical="center"/>
    </xf>
    <xf fontId="27718" applyFont="true" borderId="8" applyBorder="true" applyNumberFormat="true" numFmtId="1" fillId="22" applyFill="true">
      <alignment horizontal="center" vertical="center"/>
    </xf>
    <xf fontId="27719" applyFont="true" borderId="8" applyBorder="true" applyNumberFormat="true" numFmtId="167" fillId="22" applyFill="true">
      <alignment horizontal="center" vertical="center"/>
    </xf>
    <xf fontId="27720" applyFont="true" borderId="8" applyBorder="true" applyNumberFormat="true" numFmtId="166" fillId="22" applyFill="true">
      <alignment horizontal="center" vertical="center"/>
    </xf>
    <xf fontId="27721" applyFont="true" borderId="8" applyBorder="true" applyNumberFormat="true" numFmtId="166" fillId="22" applyFill="true">
      <alignment horizontal="center" vertical="center"/>
    </xf>
    <xf fontId="27722" applyFont="true" borderId="8" applyBorder="true" applyNumberFormat="true" numFmtId="1" fillId="22" applyFill="true">
      <alignment horizontal="center" vertical="center"/>
    </xf>
    <xf fontId="27723" applyFont="true" borderId="8" applyBorder="true" applyNumberFormat="true" numFmtId="1" fillId="22" applyFill="true">
      <alignment horizontal="center" vertical="center"/>
    </xf>
    <xf fontId="27724" applyFont="true" borderId="8" applyBorder="true" applyNumberFormat="true" numFmtId="1" fillId="22" applyFill="true">
      <alignment horizontal="center" vertical="center"/>
    </xf>
    <xf fontId="27725" applyFont="true" borderId="8" applyBorder="true" applyNumberFormat="true" numFmtId="167" fillId="22" applyFill="true">
      <alignment horizontal="center" vertical="center"/>
    </xf>
    <xf fontId="27726" applyFont="true" borderId="8" applyBorder="true" applyNumberFormat="true" numFmtId="1" fillId="22" applyFill="true">
      <alignment horizontal="center" vertical="center"/>
    </xf>
    <xf fontId="27727" applyFont="true" borderId="8" applyBorder="true" applyNumberFormat="true" numFmtId="167" fillId="22" applyFill="true">
      <alignment horizontal="center" vertical="center"/>
    </xf>
    <xf fontId="27728" applyFont="true" borderId="8" applyBorder="true" applyNumberFormat="true" numFmtId="1" fillId="22" applyFill="true">
      <alignment horizontal="center" vertical="center"/>
    </xf>
    <xf fontId="27729" applyFont="true" borderId="8" applyBorder="true" applyNumberFormat="true" numFmtId="1" fillId="22" applyFill="true">
      <alignment horizontal="center" vertical="center"/>
    </xf>
    <xf fontId="27730" applyFont="true" borderId="8" applyBorder="true" applyNumberFormat="true" numFmtId="1" fillId="22" applyFill="true">
      <alignment horizontal="center" vertical="center"/>
    </xf>
    <xf fontId="27731" applyFont="true" borderId="8" applyBorder="true" applyNumberFormat="true" numFmtId="1" fillId="22" applyFill="true">
      <alignment horizontal="center" vertical="center"/>
    </xf>
    <xf fontId="27732" applyFont="true" borderId="8" applyBorder="true" applyNumberFormat="true" numFmtId="167" fillId="22" applyFill="true">
      <alignment horizontal="center" vertical="center"/>
    </xf>
    <xf fontId="27733" applyFont="true" borderId="8" applyBorder="true" applyNumberFormat="true" numFmtId="1" fillId="22" applyFill="true">
      <alignment horizontal="center" vertical="center"/>
    </xf>
    <xf fontId="27734" applyFont="true" borderId="8" applyBorder="true" applyNumberFormat="true" numFmtId="167" fillId="22" applyFill="true">
      <alignment horizontal="center" vertical="center"/>
    </xf>
    <xf fontId="27735" applyFont="true" borderId="8" applyBorder="true" applyNumberFormat="true" numFmtId="1" fillId="22" applyFill="true">
      <alignment horizontal="center" vertical="center"/>
    </xf>
    <xf fontId="27736" applyFont="true" borderId="8" applyBorder="true" applyNumberFormat="true" numFmtId="167" fillId="22" applyFill="true">
      <alignment horizontal="center" vertical="center"/>
    </xf>
    <xf fontId="27737" applyFont="true" borderId="8" applyBorder="true" applyNumberFormat="true" numFmtId="2" fillId="22" applyFill="true">
      <alignment horizontal="center" vertical="center"/>
    </xf>
    <xf fontId="27738" applyFont="true" borderId="8" applyBorder="true" applyNumberFormat="true" numFmtId="2" fillId="22" applyFill="true">
      <alignment horizontal="center" vertical="center"/>
    </xf>
    <xf fontId="27739" applyFont="true" borderId="8" applyBorder="true" applyNumberFormat="true" numFmtId="2" fillId="22" applyFill="true">
      <alignment horizontal="center" vertical="center"/>
    </xf>
    <xf fontId="27740" applyFont="true" borderId="8" applyBorder="true" applyNumberFormat="true" numFmtId="2" fillId="22" applyFill="true">
      <alignment horizontal="center" vertical="center"/>
    </xf>
    <xf fontId="27741" applyFont="true" borderId="8" applyBorder="true" applyNumberFormat="true" numFmtId="2" fillId="22" applyFill="true">
      <alignment horizontal="center" vertical="center"/>
    </xf>
    <xf fontId="27742" applyFont="true" borderId="8" applyBorder="true" applyNumberFormat="true" numFmtId="2" fillId="22" applyFill="true">
      <alignment horizontal="center" vertical="center"/>
    </xf>
    <xf fontId="27743" applyFont="true" borderId="8" applyBorder="true" applyNumberFormat="true" numFmtId="2" fillId="22" applyFill="true">
      <alignment horizontal="center" vertical="center"/>
    </xf>
    <xf fontId="27744" applyFont="true" borderId="8" applyBorder="true" applyNumberFormat="true" numFmtId="2" fillId="22" applyFill="true">
      <alignment horizontal="center" vertical="center"/>
    </xf>
    <xf fontId="27745" applyFont="true" borderId="8" applyBorder="true" applyNumberFormat="true" numFmtId="2" fillId="22" applyFill="true">
      <alignment horizontal="center" vertical="center"/>
    </xf>
    <xf fontId="27746" applyFont="true" borderId="8" applyBorder="true" applyNumberFormat="true" numFmtId="2" fillId="22" applyFill="true">
      <alignment horizontal="center" vertical="center"/>
    </xf>
    <xf fontId="27747" applyFont="true" borderId="8" applyBorder="true" applyNumberFormat="true" numFmtId="2" fillId="22" applyFill="true">
      <alignment horizontal="center" vertical="center"/>
    </xf>
    <xf fontId="27748" applyFont="true" borderId="8" applyBorder="true" applyNumberFormat="true" numFmtId="2" fillId="22" applyFill="true">
      <alignment horizontal="center" vertical="center"/>
    </xf>
    <xf fontId="27749" applyFont="true" borderId="8" applyBorder="true" applyNumberFormat="true" numFmtId="2" fillId="22" applyFill="true">
      <alignment horizontal="center" vertical="center"/>
    </xf>
    <xf fontId="27750" applyFont="true" borderId="8" applyBorder="true" applyNumberFormat="true" numFmtId="2" fillId="22" applyFill="true">
      <alignment horizontal="center" vertical="center"/>
    </xf>
    <xf fontId="27751" applyFont="true" borderId="8" applyBorder="true" applyNumberFormat="true" numFmtId="2" fillId="22" applyFill="true">
      <alignment horizontal="center" vertical="center"/>
    </xf>
    <xf fontId="27752" applyFont="true" borderId="8" applyBorder="true" applyNumberFormat="true" numFmtId="2" fillId="22" applyFill="true">
      <alignment horizontal="center" vertical="center"/>
    </xf>
    <xf fontId="27753" applyFont="true" borderId="8" applyBorder="true" applyNumberFormat="true" numFmtId="2" fillId="22" applyFill="true">
      <alignment horizontal="center" vertical="center"/>
    </xf>
    <xf fontId="27754" applyFont="true" borderId="8" applyBorder="true" applyNumberFormat="true" numFmtId="2" fillId="22" applyFill="true">
      <alignment horizontal="center" vertical="center"/>
    </xf>
    <xf fontId="27755" applyFont="true" borderId="8" applyBorder="true" applyNumberFormat="true" numFmtId="2" fillId="22" applyFill="true">
      <alignment horizontal="center" vertical="center"/>
    </xf>
    <xf fontId="27756" applyFont="true" borderId="8" applyBorder="true" applyNumberFormat="true" numFmtId="2" fillId="22" applyFill="true">
      <alignment horizontal="center" vertical="center"/>
    </xf>
    <xf fontId="27757" applyFont="true" borderId="8" applyBorder="true" applyNumberFormat="true" numFmtId="2" fillId="22" applyFill="true">
      <alignment horizontal="center" vertical="center"/>
    </xf>
    <xf fontId="27758" applyFont="true" borderId="8" applyBorder="true" applyNumberFormat="true" numFmtId="2" fillId="22" applyFill="true">
      <alignment horizontal="center" vertical="center"/>
    </xf>
    <xf fontId="27759" applyFont="true" borderId="8" applyBorder="true" applyNumberFormat="true" numFmtId="2" fillId="22" applyFill="true">
      <alignment horizontal="center" vertical="center"/>
    </xf>
    <xf fontId="27760" applyFont="true" borderId="8" applyBorder="true" applyNumberFormat="true" numFmtId="2" fillId="22" applyFill="true">
      <alignment horizontal="center" vertical="center"/>
    </xf>
    <xf fontId="27761" applyFont="true" borderId="8" applyBorder="true" applyNumberFormat="true" numFmtId="2" fillId="22" applyFill="true">
      <alignment horizontal="center" vertical="center"/>
    </xf>
    <xf fontId="27762" applyFont="true" borderId="8" applyBorder="true" applyNumberFormat="true" numFmtId="2" fillId="22" applyFill="true">
      <alignment horizontal="center" vertical="center"/>
    </xf>
    <xf fontId="27763" applyFont="true" borderId="8" applyBorder="true" applyNumberFormat="true" numFmtId="2" fillId="22" applyFill="true">
      <alignment horizontal="center" vertical="center"/>
    </xf>
    <xf fontId="27764" applyFont="true" borderId="8" applyBorder="true" applyNumberFormat="true" numFmtId="2" fillId="22" applyFill="true">
      <alignment horizontal="center" vertical="center"/>
    </xf>
    <xf fontId="27765" applyFont="true" borderId="8" applyBorder="true" applyNumberFormat="true" numFmtId="2" fillId="22" applyFill="true">
      <alignment horizontal="center" vertical="center"/>
    </xf>
    <xf fontId="27766" applyFont="true" borderId="8" applyBorder="true" applyNumberFormat="true" numFmtId="2" fillId="22" applyFill="true">
      <alignment horizontal="center" vertical="center"/>
    </xf>
    <xf fontId="27767" applyFont="true" borderId="8" applyBorder="true" applyNumberFormat="true" numFmtId="2" fillId="22" applyFill="true">
      <alignment horizontal="center" vertical="center"/>
    </xf>
    <xf fontId="27768" applyFont="true" borderId="8" applyBorder="true" applyNumberFormat="true" numFmtId="2" fillId="22" applyFill="true">
      <alignment horizontal="center" vertical="center"/>
    </xf>
    <xf fontId="27769" applyFont="true" borderId="8" applyBorder="true" applyNumberFormat="true" numFmtId="2" fillId="22" applyFill="true">
      <alignment horizontal="center" vertical="center"/>
    </xf>
    <xf fontId="27770" applyFont="true" borderId="8" applyBorder="true" applyNumberFormat="true" numFmtId="2" fillId="22" applyFill="true">
      <alignment horizontal="center" vertical="center"/>
    </xf>
    <xf fontId="27771" applyFont="true" borderId="8" applyBorder="true" applyNumberFormat="true" numFmtId="165" fillId="19" applyFill="true">
      <alignment horizontal="left" vertical="center"/>
    </xf>
    <xf fontId="27772" applyFont="true" borderId="8" applyBorder="true" applyNumberFormat="true" numFmtId="165" fillId="22" applyFill="true">
      <alignment horizontal="center" vertical="center"/>
    </xf>
    <xf fontId="27773" applyFont="true" borderId="8" applyBorder="true" applyNumberFormat="true" numFmtId="166" fillId="22" applyFill="true">
      <alignment horizontal="center" vertical="center"/>
    </xf>
    <xf fontId="27774" applyFont="true" borderId="8" applyBorder="true" applyNumberFormat="true" numFmtId="1" fillId="22" applyFill="true">
      <alignment horizontal="center" vertical="center"/>
    </xf>
    <xf fontId="27775" applyFont="true" borderId="8" applyBorder="true" applyNumberFormat="true" numFmtId="1" fillId="22" applyFill="true">
      <alignment horizontal="center" vertical="center"/>
    </xf>
    <xf fontId="27776" applyFont="true" borderId="8" applyBorder="true" applyNumberFormat="true" numFmtId="1" fillId="22" applyFill="true">
      <alignment horizontal="center" vertical="center"/>
    </xf>
    <xf fontId="27777" applyFont="true" borderId="8" applyBorder="true" applyNumberFormat="true" numFmtId="1" fillId="22" applyFill="true">
      <alignment horizontal="center" vertical="center"/>
    </xf>
    <xf fontId="27778" applyFont="true" borderId="8" applyBorder="true" applyNumberFormat="true" numFmtId="1" fillId="22" applyFill="true">
      <alignment horizontal="center" vertical="center"/>
    </xf>
    <xf fontId="27779" applyFont="true" borderId="8" applyBorder="true" applyNumberFormat="true" numFmtId="1" fillId="22" applyFill="true">
      <alignment horizontal="center" vertical="center"/>
    </xf>
    <xf fontId="27780" applyFont="true" borderId="8" applyBorder="true" applyNumberFormat="true" numFmtId="1" fillId="22" applyFill="true">
      <alignment horizontal="center" vertical="center"/>
    </xf>
    <xf fontId="27781" applyFont="true" borderId="8" applyBorder="true" applyNumberFormat="true" numFmtId="165" fillId="22" applyFill="true">
      <alignment horizontal="center" vertical="center"/>
    </xf>
    <xf fontId="27782" applyFont="true" borderId="8" applyBorder="true" applyNumberFormat="true" numFmtId="165" fillId="22" applyFill="true">
      <alignment horizontal="center" vertical="center"/>
    </xf>
    <xf fontId="27783" applyFont="true" borderId="8" applyBorder="true" applyNumberFormat="true" numFmtId="1" fillId="22" applyFill="true">
      <alignment horizontal="center" vertical="center"/>
    </xf>
    <xf fontId="27784" applyFont="true" borderId="8" applyBorder="true" applyNumberFormat="true" numFmtId="1" fillId="22" applyFill="true">
      <alignment horizontal="center" vertical="center"/>
    </xf>
    <xf fontId="27785" applyFont="true" borderId="8" applyBorder="true" applyNumberFormat="true" numFmtId="1" fillId="22" applyFill="true">
      <alignment horizontal="center" vertical="center"/>
    </xf>
    <xf fontId="27786" applyFont="true" borderId="8" applyBorder="true" applyNumberFormat="true" numFmtId="167" fillId="22" applyFill="true">
      <alignment horizontal="center" vertical="center"/>
    </xf>
    <xf fontId="27787" applyFont="true" borderId="8" applyBorder="true" applyNumberFormat="true" numFmtId="1" fillId="22" applyFill="true">
      <alignment horizontal="center" vertical="center"/>
    </xf>
    <xf fontId="27788" applyFont="true" borderId="8" applyBorder="true" applyNumberFormat="true" numFmtId="167" fillId="22" applyFill="true">
      <alignment horizontal="center" vertical="center"/>
    </xf>
    <xf fontId="27789" applyFont="true" borderId="8" applyBorder="true" applyNumberFormat="true" numFmtId="1" fillId="22" applyFill="true">
      <alignment horizontal="center" vertical="center"/>
    </xf>
    <xf fontId="27790" applyFont="true" borderId="8" applyBorder="true" applyNumberFormat="true" numFmtId="167" fillId="22" applyFill="true">
      <alignment horizontal="center" vertical="center"/>
    </xf>
    <xf fontId="27791" applyFont="true" borderId="8" applyBorder="true" applyNumberFormat="true" numFmtId="1" fillId="22" applyFill="true">
      <alignment horizontal="center" vertical="center"/>
    </xf>
    <xf fontId="27792" applyFont="true" borderId="8" applyBorder="true" applyNumberFormat="true" numFmtId="167" fillId="22" applyFill="true">
      <alignment horizontal="center" vertical="center"/>
    </xf>
    <xf fontId="27793" applyFont="true" borderId="8" applyBorder="true" applyNumberFormat="true" numFmtId="167" fillId="22" applyFill="true">
      <alignment horizontal="center" vertical="center"/>
    </xf>
    <xf fontId="27794" applyFont="true" borderId="8" applyBorder="true" applyNumberFormat="true" numFmtId="1" fillId="22" applyFill="true">
      <alignment horizontal="center" vertical="center"/>
    </xf>
    <xf fontId="27795" applyFont="true" borderId="8" applyBorder="true" applyNumberFormat="true" numFmtId="1" fillId="22" applyFill="true">
      <alignment horizontal="center" vertical="center"/>
    </xf>
    <xf fontId="27796" applyFont="true" borderId="8" applyBorder="true" applyNumberFormat="true" numFmtId="1" fillId="22" applyFill="true">
      <alignment horizontal="center" vertical="center"/>
    </xf>
    <xf fontId="27797" applyFont="true" borderId="8" applyBorder="true" applyNumberFormat="true" numFmtId="167" fillId="22" applyFill="true">
      <alignment horizontal="center" vertical="center"/>
    </xf>
    <xf fontId="27798" applyFont="true" borderId="8" applyBorder="true" applyNumberFormat="true" numFmtId="166" fillId="22" applyFill="true">
      <alignment horizontal="center" vertical="center"/>
    </xf>
    <xf fontId="27799" applyFont="true" borderId="8" applyBorder="true" applyNumberFormat="true" numFmtId="166" fillId="22" applyFill="true">
      <alignment horizontal="center" vertical="center"/>
    </xf>
    <xf fontId="27800" applyFont="true" borderId="8" applyBorder="true" applyNumberFormat="true" numFmtId="1" fillId="22" applyFill="true">
      <alignment horizontal="center" vertical="center"/>
    </xf>
    <xf fontId="27801" applyFont="true" borderId="8" applyBorder="true" applyNumberFormat="true" numFmtId="1" fillId="22" applyFill="true">
      <alignment horizontal="center" vertical="center"/>
    </xf>
    <xf fontId="27802" applyFont="true" borderId="8" applyBorder="true" applyNumberFormat="true" numFmtId="1" fillId="22" applyFill="true">
      <alignment horizontal="center" vertical="center"/>
    </xf>
    <xf fontId="27803" applyFont="true" borderId="8" applyBorder="true" applyNumberFormat="true" numFmtId="167" fillId="22" applyFill="true">
      <alignment horizontal="center" vertical="center"/>
    </xf>
    <xf fontId="27804" applyFont="true" borderId="8" applyBorder="true" applyNumberFormat="true" numFmtId="1" fillId="22" applyFill="true">
      <alignment horizontal="center" vertical="center"/>
    </xf>
    <xf fontId="27805" applyFont="true" borderId="8" applyBorder="true" applyNumberFormat="true" numFmtId="167" fillId="22" applyFill="true">
      <alignment horizontal="center" vertical="center"/>
    </xf>
    <xf fontId="27806" applyFont="true" borderId="8" applyBorder="true" applyNumberFormat="true" numFmtId="1" fillId="22" applyFill="true">
      <alignment horizontal="center" vertical="center"/>
    </xf>
    <xf fontId="27807" applyFont="true" borderId="8" applyBorder="true" applyNumberFormat="true" numFmtId="1" fillId="22" applyFill="true">
      <alignment horizontal="center" vertical="center"/>
    </xf>
    <xf fontId="27808" applyFont="true" borderId="8" applyBorder="true" applyNumberFormat="true" numFmtId="1" fillId="22" applyFill="true">
      <alignment horizontal="center" vertical="center"/>
    </xf>
    <xf fontId="27809" applyFont="true" borderId="8" applyBorder="true" applyNumberFormat="true" numFmtId="1" fillId="22" applyFill="true">
      <alignment horizontal="center" vertical="center"/>
    </xf>
    <xf fontId="27810" applyFont="true" borderId="8" applyBorder="true" applyNumberFormat="true" numFmtId="167" fillId="22" applyFill="true">
      <alignment horizontal="center" vertical="center"/>
    </xf>
    <xf fontId="27811" applyFont="true" borderId="8" applyBorder="true" applyNumberFormat="true" numFmtId="1" fillId="22" applyFill="true">
      <alignment horizontal="center" vertical="center"/>
    </xf>
    <xf fontId="27812" applyFont="true" borderId="8" applyBorder="true" applyNumberFormat="true" numFmtId="167" fillId="22" applyFill="true">
      <alignment horizontal="center" vertical="center"/>
    </xf>
    <xf fontId="27813" applyFont="true" borderId="8" applyBorder="true" applyNumberFormat="true" numFmtId="1" fillId="22" applyFill="true">
      <alignment horizontal="center" vertical="center"/>
    </xf>
    <xf fontId="27814" applyFont="true" borderId="8" applyBorder="true" applyNumberFormat="true" numFmtId="167" fillId="22" applyFill="true">
      <alignment horizontal="center" vertical="center"/>
    </xf>
    <xf fontId="27815" applyFont="true" borderId="8" applyBorder="true" applyNumberFormat="true" numFmtId="2" fillId="22" applyFill="true">
      <alignment horizontal="center" vertical="center"/>
    </xf>
    <xf fontId="27816" applyFont="true" borderId="8" applyBorder="true" applyNumberFormat="true" numFmtId="2" fillId="22" applyFill="true">
      <alignment horizontal="center" vertical="center"/>
    </xf>
    <xf fontId="27817" applyFont="true" borderId="8" applyBorder="true" applyNumberFormat="true" numFmtId="2" fillId="22" applyFill="true">
      <alignment horizontal="center" vertical="center"/>
    </xf>
    <xf fontId="27818" applyFont="true" borderId="8" applyBorder="true" applyNumberFormat="true" numFmtId="2" fillId="22" applyFill="true">
      <alignment horizontal="center" vertical="center"/>
    </xf>
    <xf fontId="27819" applyFont="true" borderId="8" applyBorder="true" applyNumberFormat="true" numFmtId="2" fillId="22" applyFill="true">
      <alignment horizontal="center" vertical="center"/>
    </xf>
    <xf fontId="27820" applyFont="true" borderId="8" applyBorder="true" applyNumberFormat="true" numFmtId="2" fillId="22" applyFill="true">
      <alignment horizontal="center" vertical="center"/>
    </xf>
    <xf fontId="27821" applyFont="true" borderId="8" applyBorder="true" applyNumberFormat="true" numFmtId="2" fillId="22" applyFill="true">
      <alignment horizontal="center" vertical="center"/>
    </xf>
    <xf fontId="27822" applyFont="true" borderId="8" applyBorder="true" applyNumberFormat="true" numFmtId="2" fillId="22" applyFill="true">
      <alignment horizontal="center" vertical="center"/>
    </xf>
    <xf fontId="27823" applyFont="true" borderId="8" applyBorder="true" applyNumberFormat="true" numFmtId="2" fillId="22" applyFill="true">
      <alignment horizontal="center" vertical="center"/>
    </xf>
    <xf fontId="27824" applyFont="true" borderId="8" applyBorder="true" applyNumberFormat="true" numFmtId="2" fillId="22" applyFill="true">
      <alignment horizontal="center" vertical="center"/>
    </xf>
    <xf fontId="27825" applyFont="true" borderId="8" applyBorder="true" applyNumberFormat="true" numFmtId="2" fillId="22" applyFill="true">
      <alignment horizontal="center" vertical="center"/>
    </xf>
    <xf fontId="27826" applyFont="true" borderId="8" applyBorder="true" applyNumberFormat="true" numFmtId="2" fillId="22" applyFill="true">
      <alignment horizontal="center" vertical="center"/>
    </xf>
    <xf fontId="27827" applyFont="true" borderId="8" applyBorder="true" applyNumberFormat="true" numFmtId="2" fillId="22" applyFill="true">
      <alignment horizontal="center" vertical="center"/>
    </xf>
    <xf fontId="27828" applyFont="true" borderId="8" applyBorder="true" applyNumberFormat="true" numFmtId="2" fillId="22" applyFill="true">
      <alignment horizontal="center" vertical="center"/>
    </xf>
    <xf fontId="27829" applyFont="true" borderId="8" applyBorder="true" applyNumberFormat="true" numFmtId="2" fillId="22" applyFill="true">
      <alignment horizontal="center" vertical="center"/>
    </xf>
    <xf fontId="27830" applyFont="true" borderId="8" applyBorder="true" applyNumberFormat="true" numFmtId="2" fillId="22" applyFill="true">
      <alignment horizontal="center" vertical="center"/>
    </xf>
    <xf fontId="27831" applyFont="true" borderId="8" applyBorder="true" applyNumberFormat="true" numFmtId="2" fillId="22" applyFill="true">
      <alignment horizontal="center" vertical="center"/>
    </xf>
    <xf fontId="27832" applyFont="true" borderId="8" applyBorder="true" applyNumberFormat="true" numFmtId="2" fillId="22" applyFill="true">
      <alignment horizontal="center" vertical="center"/>
    </xf>
    <xf fontId="27833" applyFont="true" borderId="8" applyBorder="true" applyNumberFormat="true" numFmtId="2" fillId="22" applyFill="true">
      <alignment horizontal="center" vertical="center"/>
    </xf>
    <xf fontId="27834" applyFont="true" borderId="8" applyBorder="true" applyNumberFormat="true" numFmtId="2" fillId="22" applyFill="true">
      <alignment horizontal="center" vertical="center"/>
    </xf>
    <xf fontId="27835" applyFont="true" borderId="8" applyBorder="true" applyNumberFormat="true" numFmtId="2" fillId="22" applyFill="true">
      <alignment horizontal="center" vertical="center"/>
    </xf>
    <xf fontId="27836" applyFont="true" borderId="8" applyBorder="true" applyNumberFormat="true" numFmtId="2" fillId="22" applyFill="true">
      <alignment horizontal="center" vertical="center"/>
    </xf>
    <xf fontId="27837" applyFont="true" borderId="8" applyBorder="true" applyNumberFormat="true" numFmtId="2" fillId="22" applyFill="true">
      <alignment horizontal="center" vertical="center"/>
    </xf>
    <xf fontId="27838" applyFont="true" borderId="8" applyBorder="true" applyNumberFormat="true" numFmtId="2" fillId="22" applyFill="true">
      <alignment horizontal="center" vertical="center"/>
    </xf>
    <xf fontId="27839" applyFont="true" borderId="8" applyBorder="true" applyNumberFormat="true" numFmtId="2" fillId="22" applyFill="true">
      <alignment horizontal="center" vertical="center"/>
    </xf>
    <xf fontId="27840" applyFont="true" borderId="8" applyBorder="true" applyNumberFormat="true" numFmtId="2" fillId="22" applyFill="true">
      <alignment horizontal="center" vertical="center"/>
    </xf>
    <xf fontId="27841" applyFont="true" borderId="8" applyBorder="true" applyNumberFormat="true" numFmtId="2" fillId="22" applyFill="true">
      <alignment horizontal="center" vertical="center"/>
    </xf>
    <xf fontId="27842" applyFont="true" borderId="8" applyBorder="true" applyNumberFormat="true" numFmtId="2" fillId="22" applyFill="true">
      <alignment horizontal="center" vertical="center"/>
    </xf>
    <xf fontId="27843" applyFont="true" borderId="8" applyBorder="true" applyNumberFormat="true" numFmtId="2" fillId="22" applyFill="true">
      <alignment horizontal="center" vertical="center"/>
    </xf>
    <xf fontId="27844" applyFont="true" borderId="8" applyBorder="true" applyNumberFormat="true" numFmtId="2" fillId="22" applyFill="true">
      <alignment horizontal="center" vertical="center"/>
    </xf>
    <xf fontId="27845" applyFont="true" borderId="8" applyBorder="true" applyNumberFormat="true" numFmtId="2" fillId="22" applyFill="true">
      <alignment horizontal="center" vertical="center"/>
    </xf>
    <xf fontId="27846" applyFont="true" borderId="8" applyBorder="true" applyNumberFormat="true" numFmtId="2" fillId="22" applyFill="true">
      <alignment horizontal="center" vertical="center"/>
    </xf>
    <xf fontId="27847" applyFont="true" borderId="8" applyBorder="true" applyNumberFormat="true" numFmtId="2" fillId="22" applyFill="true">
      <alignment horizontal="center" vertical="center"/>
    </xf>
    <xf fontId="27848" applyFont="true" borderId="8" applyBorder="true" applyNumberFormat="true" numFmtId="2" fillId="22" applyFill="true">
      <alignment horizontal="center" vertical="center"/>
    </xf>
    <xf fontId="27849" applyFont="true" borderId="8" applyBorder="true" applyNumberFormat="true" numFmtId="165" fillId="19" applyFill="true">
      <alignment horizontal="left" vertical="center"/>
    </xf>
    <xf fontId="27850" applyFont="true" borderId="8" applyBorder="true" applyNumberFormat="true" numFmtId="165" fillId="22" applyFill="true">
      <alignment horizontal="center" vertical="center"/>
    </xf>
    <xf fontId="27851" applyFont="true" borderId="8" applyBorder="true" applyNumberFormat="true" numFmtId="166" fillId="22" applyFill="true">
      <alignment horizontal="center" vertical="center"/>
    </xf>
    <xf fontId="27852" applyFont="true" borderId="8" applyBorder="true" applyNumberFormat="true" numFmtId="1" fillId="22" applyFill="true">
      <alignment horizontal="center" vertical="center"/>
    </xf>
    <xf fontId="27853" applyFont="true" borderId="8" applyBorder="true" applyNumberFormat="true" numFmtId="1" fillId="22" applyFill="true">
      <alignment horizontal="center" vertical="center"/>
    </xf>
    <xf fontId="27854" applyFont="true" borderId="8" applyBorder="true" applyNumberFormat="true" numFmtId="1" fillId="22" applyFill="true">
      <alignment horizontal="center" vertical="center"/>
    </xf>
    <xf fontId="27855" applyFont="true" borderId="8" applyBorder="true" applyNumberFormat="true" numFmtId="1" fillId="22" applyFill="true">
      <alignment horizontal="center" vertical="center"/>
    </xf>
    <xf fontId="27856" applyFont="true" borderId="8" applyBorder="true" applyNumberFormat="true" numFmtId="1" fillId="22" applyFill="true">
      <alignment horizontal="center" vertical="center"/>
    </xf>
    <xf fontId="27857" applyFont="true" borderId="8" applyBorder="true" applyNumberFormat="true" numFmtId="1" fillId="22" applyFill="true">
      <alignment horizontal="center" vertical="center"/>
    </xf>
    <xf fontId="27858" applyFont="true" borderId="8" applyBorder="true" applyNumberFormat="true" numFmtId="1" fillId="22" applyFill="true">
      <alignment horizontal="center" vertical="center"/>
    </xf>
    <xf fontId="27859" applyFont="true" borderId="8" applyBorder="true" applyNumberFormat="true" numFmtId="165" fillId="22" applyFill="true">
      <alignment horizontal="center" vertical="center"/>
    </xf>
    <xf fontId="27860" applyFont="true" borderId="8" applyBorder="true" applyNumberFormat="true" numFmtId="165" fillId="22" applyFill="true">
      <alignment horizontal="center" vertical="center"/>
    </xf>
    <xf fontId="27861" applyFont="true" borderId="8" applyBorder="true" applyNumberFormat="true" numFmtId="1" fillId="22" applyFill="true">
      <alignment horizontal="center" vertical="center"/>
    </xf>
    <xf fontId="27862" applyFont="true" borderId="8" applyBorder="true" applyNumberFormat="true" numFmtId="1" fillId="22" applyFill="true">
      <alignment horizontal="center" vertical="center"/>
    </xf>
    <xf fontId="27863" applyFont="true" borderId="8" applyBorder="true" applyNumberFormat="true" numFmtId="1" fillId="22" applyFill="true">
      <alignment horizontal="center" vertical="center"/>
    </xf>
    <xf fontId="27864" applyFont="true" borderId="8" applyBorder="true" applyNumberFormat="true" numFmtId="167" fillId="22" applyFill="true">
      <alignment horizontal="center" vertical="center"/>
    </xf>
    <xf fontId="27865" applyFont="true" borderId="8" applyBorder="true" applyNumberFormat="true" numFmtId="1" fillId="22" applyFill="true">
      <alignment horizontal="center" vertical="center"/>
    </xf>
    <xf fontId="27866" applyFont="true" borderId="8" applyBorder="true" applyNumberFormat="true" numFmtId="167" fillId="22" applyFill="true">
      <alignment horizontal="center" vertical="center"/>
    </xf>
    <xf fontId="27867" applyFont="true" borderId="8" applyBorder="true" applyNumberFormat="true" numFmtId="1" fillId="22" applyFill="true">
      <alignment horizontal="center" vertical="center"/>
    </xf>
    <xf fontId="27868" applyFont="true" borderId="8" applyBorder="true" applyNumberFormat="true" numFmtId="167" fillId="22" applyFill="true">
      <alignment horizontal="center" vertical="center"/>
    </xf>
    <xf fontId="27869" applyFont="true" borderId="8" applyBorder="true" applyNumberFormat="true" numFmtId="1" fillId="22" applyFill="true">
      <alignment horizontal="center" vertical="center"/>
    </xf>
    <xf fontId="27870" applyFont="true" borderId="8" applyBorder="true" applyNumberFormat="true" numFmtId="167" fillId="22" applyFill="true">
      <alignment horizontal="center" vertical="center"/>
    </xf>
    <xf fontId="27871" applyFont="true" borderId="8" applyBorder="true" applyNumberFormat="true" numFmtId="167" fillId="22" applyFill="true">
      <alignment horizontal="center" vertical="center"/>
    </xf>
    <xf fontId="27872" applyFont="true" borderId="8" applyBorder="true" applyNumberFormat="true" numFmtId="1" fillId="22" applyFill="true">
      <alignment horizontal="center" vertical="center"/>
    </xf>
    <xf fontId="27873" applyFont="true" borderId="8" applyBorder="true" applyNumberFormat="true" numFmtId="1" fillId="22" applyFill="true">
      <alignment horizontal="center" vertical="center"/>
    </xf>
    <xf fontId="27874" applyFont="true" borderId="8" applyBorder="true" applyNumberFormat="true" numFmtId="1" fillId="22" applyFill="true">
      <alignment horizontal="center" vertical="center"/>
    </xf>
    <xf fontId="27875" applyFont="true" borderId="8" applyBorder="true" applyNumberFormat="true" numFmtId="167" fillId="22" applyFill="true">
      <alignment horizontal="center" vertical="center"/>
    </xf>
    <xf fontId="27876" applyFont="true" borderId="8" applyBorder="true" applyNumberFormat="true" numFmtId="166" fillId="22" applyFill="true">
      <alignment horizontal="center" vertical="center"/>
    </xf>
    <xf fontId="27877" applyFont="true" borderId="8" applyBorder="true" applyNumberFormat="true" numFmtId="166" fillId="22" applyFill="true">
      <alignment horizontal="center" vertical="center"/>
    </xf>
    <xf fontId="27878" applyFont="true" borderId="8" applyBorder="true" applyNumberFormat="true" numFmtId="1" fillId="22" applyFill="true">
      <alignment horizontal="center" vertical="center"/>
    </xf>
    <xf fontId="27879" applyFont="true" borderId="8" applyBorder="true" applyNumberFormat="true" numFmtId="1" fillId="22" applyFill="true">
      <alignment horizontal="center" vertical="center"/>
    </xf>
    <xf fontId="27880" applyFont="true" borderId="8" applyBorder="true" applyNumberFormat="true" numFmtId="1" fillId="22" applyFill="true">
      <alignment horizontal="center" vertical="center"/>
    </xf>
    <xf fontId="27881" applyFont="true" borderId="8" applyBorder="true" applyNumberFormat="true" numFmtId="167" fillId="22" applyFill="true">
      <alignment horizontal="center" vertical="center"/>
    </xf>
    <xf fontId="27882" applyFont="true" borderId="8" applyBorder="true" applyNumberFormat="true" numFmtId="1" fillId="22" applyFill="true">
      <alignment horizontal="center" vertical="center"/>
    </xf>
    <xf fontId="27883" applyFont="true" borderId="8" applyBorder="true" applyNumberFormat="true" numFmtId="167" fillId="22" applyFill="true">
      <alignment horizontal="center" vertical="center"/>
    </xf>
    <xf fontId="27884" applyFont="true" borderId="8" applyBorder="true" applyNumberFormat="true" numFmtId="1" fillId="22" applyFill="true">
      <alignment horizontal="center" vertical="center"/>
    </xf>
    <xf fontId="27885" applyFont="true" borderId="8" applyBorder="true" applyNumberFormat="true" numFmtId="1" fillId="22" applyFill="true">
      <alignment horizontal="center" vertical="center"/>
    </xf>
    <xf fontId="27886" applyFont="true" borderId="8" applyBorder="true" applyNumberFormat="true" numFmtId="1" fillId="22" applyFill="true">
      <alignment horizontal="center" vertical="center"/>
    </xf>
    <xf fontId="27887" applyFont="true" borderId="8" applyBorder="true" applyNumberFormat="true" numFmtId="1" fillId="22" applyFill="true">
      <alignment horizontal="center" vertical="center"/>
    </xf>
    <xf fontId="27888" applyFont="true" borderId="8" applyBorder="true" applyNumberFormat="true" numFmtId="167" fillId="22" applyFill="true">
      <alignment horizontal="center" vertical="center"/>
    </xf>
    <xf fontId="27889" applyFont="true" borderId="8" applyBorder="true" applyNumberFormat="true" numFmtId="1" fillId="22" applyFill="true">
      <alignment horizontal="center" vertical="center"/>
    </xf>
    <xf fontId="27890" applyFont="true" borderId="8" applyBorder="true" applyNumberFormat="true" numFmtId="167" fillId="22" applyFill="true">
      <alignment horizontal="center" vertical="center"/>
    </xf>
    <xf fontId="27891" applyFont="true" borderId="8" applyBorder="true" applyNumberFormat="true" numFmtId="1" fillId="22" applyFill="true">
      <alignment horizontal="center" vertical="center"/>
    </xf>
    <xf fontId="27892" applyFont="true" borderId="8" applyBorder="true" applyNumberFormat="true" numFmtId="167" fillId="22" applyFill="true">
      <alignment horizontal="center" vertical="center"/>
    </xf>
    <xf fontId="27893" applyFont="true" borderId="8" applyBorder="true" applyNumberFormat="true" numFmtId="2" fillId="22" applyFill="true">
      <alignment horizontal="center" vertical="center"/>
    </xf>
    <xf fontId="27894" applyFont="true" borderId="8" applyBorder="true" applyNumberFormat="true" numFmtId="2" fillId="22" applyFill="true">
      <alignment horizontal="center" vertical="center"/>
    </xf>
    <xf fontId="27895" applyFont="true" borderId="8" applyBorder="true" applyNumberFormat="true" numFmtId="2" fillId="22" applyFill="true">
      <alignment horizontal="center" vertical="center"/>
    </xf>
    <xf fontId="27896" applyFont="true" borderId="8" applyBorder="true" applyNumberFormat="true" numFmtId="2" fillId="22" applyFill="true">
      <alignment horizontal="center" vertical="center"/>
    </xf>
    <xf fontId="27897" applyFont="true" borderId="8" applyBorder="true" applyNumberFormat="true" numFmtId="2" fillId="22" applyFill="true">
      <alignment horizontal="center" vertical="center"/>
    </xf>
    <xf fontId="27898" applyFont="true" borderId="8" applyBorder="true" applyNumberFormat="true" numFmtId="2" fillId="22" applyFill="true">
      <alignment horizontal="center" vertical="center"/>
    </xf>
    <xf fontId="27899" applyFont="true" borderId="8" applyBorder="true" applyNumberFormat="true" numFmtId="2" fillId="22" applyFill="true">
      <alignment horizontal="center" vertical="center"/>
    </xf>
    <xf fontId="27900" applyFont="true" borderId="8" applyBorder="true" applyNumberFormat="true" numFmtId="2" fillId="22" applyFill="true">
      <alignment horizontal="center" vertical="center"/>
    </xf>
    <xf fontId="27901" applyFont="true" borderId="8" applyBorder="true" applyNumberFormat="true" numFmtId="2" fillId="22" applyFill="true">
      <alignment horizontal="center" vertical="center"/>
    </xf>
    <xf fontId="27902" applyFont="true" borderId="8" applyBorder="true" applyNumberFormat="true" numFmtId="2" fillId="22" applyFill="true">
      <alignment horizontal="center" vertical="center"/>
    </xf>
    <xf fontId="27903" applyFont="true" borderId="8" applyBorder="true" applyNumberFormat="true" numFmtId="2" fillId="22" applyFill="true">
      <alignment horizontal="center" vertical="center"/>
    </xf>
    <xf fontId="27904" applyFont="true" borderId="8" applyBorder="true" applyNumberFormat="true" numFmtId="2" fillId="22" applyFill="true">
      <alignment horizontal="center" vertical="center"/>
    </xf>
    <xf fontId="27905" applyFont="true" borderId="8" applyBorder="true" applyNumberFormat="true" numFmtId="2" fillId="22" applyFill="true">
      <alignment horizontal="center" vertical="center"/>
    </xf>
    <xf fontId="27906" applyFont="true" borderId="8" applyBorder="true" applyNumberFormat="true" numFmtId="2" fillId="22" applyFill="true">
      <alignment horizontal="center" vertical="center"/>
    </xf>
    <xf fontId="27907" applyFont="true" borderId="8" applyBorder="true" applyNumberFormat="true" numFmtId="2" fillId="22" applyFill="true">
      <alignment horizontal="center" vertical="center"/>
    </xf>
    <xf fontId="27908" applyFont="true" borderId="8" applyBorder="true" applyNumberFormat="true" numFmtId="2" fillId="22" applyFill="true">
      <alignment horizontal="center" vertical="center"/>
    </xf>
    <xf fontId="27909" applyFont="true" borderId="8" applyBorder="true" applyNumberFormat="true" numFmtId="2" fillId="22" applyFill="true">
      <alignment horizontal="center" vertical="center"/>
    </xf>
    <xf fontId="27910" applyFont="true" borderId="8" applyBorder="true" applyNumberFormat="true" numFmtId="2" fillId="22" applyFill="true">
      <alignment horizontal="center" vertical="center"/>
    </xf>
    <xf fontId="27911" applyFont="true" borderId="8" applyBorder="true" applyNumberFormat="true" numFmtId="2" fillId="22" applyFill="true">
      <alignment horizontal="center" vertical="center"/>
    </xf>
    <xf fontId="27912" applyFont="true" borderId="8" applyBorder="true" applyNumberFormat="true" numFmtId="2" fillId="22" applyFill="true">
      <alignment horizontal="center" vertical="center"/>
    </xf>
    <xf fontId="27913" applyFont="true" borderId="8" applyBorder="true" applyNumberFormat="true" numFmtId="2" fillId="22" applyFill="true">
      <alignment horizontal="center" vertical="center"/>
    </xf>
    <xf fontId="27914" applyFont="true" borderId="8" applyBorder="true" applyNumberFormat="true" numFmtId="2" fillId="22" applyFill="true">
      <alignment horizontal="center" vertical="center"/>
    </xf>
    <xf fontId="27915" applyFont="true" borderId="8" applyBorder="true" applyNumberFormat="true" numFmtId="2" fillId="22" applyFill="true">
      <alignment horizontal="center" vertical="center"/>
    </xf>
    <xf fontId="27916" applyFont="true" borderId="8" applyBorder="true" applyNumberFormat="true" numFmtId="2" fillId="22" applyFill="true">
      <alignment horizontal="center" vertical="center"/>
    </xf>
    <xf fontId="27917" applyFont="true" borderId="8" applyBorder="true" applyNumberFormat="true" numFmtId="2" fillId="22" applyFill="true">
      <alignment horizontal="center" vertical="center"/>
    </xf>
    <xf fontId="27918" applyFont="true" borderId="8" applyBorder="true" applyNumberFormat="true" numFmtId="2" fillId="22" applyFill="true">
      <alignment horizontal="center" vertical="center"/>
    </xf>
    <xf fontId="27919" applyFont="true" borderId="8" applyBorder="true" applyNumberFormat="true" numFmtId="2" fillId="22" applyFill="true">
      <alignment horizontal="center" vertical="center"/>
    </xf>
    <xf fontId="27920" applyFont="true" borderId="8" applyBorder="true" applyNumberFormat="true" numFmtId="2" fillId="22" applyFill="true">
      <alignment horizontal="center" vertical="center"/>
    </xf>
    <xf fontId="27921" applyFont="true" borderId="8" applyBorder="true" applyNumberFormat="true" numFmtId="2" fillId="22" applyFill="true">
      <alignment horizontal="center" vertical="center"/>
    </xf>
    <xf fontId="27922" applyFont="true" borderId="8" applyBorder="true" applyNumberFormat="true" numFmtId="2" fillId="22" applyFill="true">
      <alignment horizontal="center" vertical="center"/>
    </xf>
    <xf fontId="27923" applyFont="true" borderId="8" applyBorder="true" applyNumberFormat="true" numFmtId="2" fillId="22" applyFill="true">
      <alignment horizontal="center" vertical="center"/>
    </xf>
    <xf fontId="27924" applyFont="true" borderId="8" applyBorder="true" applyNumberFormat="true" numFmtId="2" fillId="22" applyFill="true">
      <alignment horizontal="center" vertical="center"/>
    </xf>
    <xf fontId="27925" applyFont="true" borderId="8" applyBorder="true" applyNumberFormat="true" numFmtId="2" fillId="22" applyFill="true">
      <alignment horizontal="center" vertical="center"/>
    </xf>
    <xf fontId="27926" applyFont="true" borderId="8" applyBorder="true" applyNumberFormat="true" numFmtId="2" fillId="22" applyFill="true">
      <alignment horizontal="center" vertical="center"/>
    </xf>
    <xf fontId="27927" applyFont="true" borderId="8" applyBorder="true" applyNumberFormat="true" numFmtId="165" fillId="19" applyFill="true">
      <alignment horizontal="left" vertical="center"/>
    </xf>
    <xf fontId="27928" applyFont="true" borderId="8" applyBorder="true" applyNumberFormat="true" numFmtId="165" fillId="22" applyFill="true">
      <alignment horizontal="center" vertical="center"/>
    </xf>
    <xf fontId="27929" applyFont="true" borderId="8" applyBorder="true" applyNumberFormat="true" numFmtId="166" fillId="22" applyFill="true">
      <alignment horizontal="center" vertical="center"/>
    </xf>
    <xf fontId="27930" applyFont="true" borderId="8" applyBorder="true" applyNumberFormat="true" numFmtId="1" fillId="22" applyFill="true">
      <alignment horizontal="center" vertical="center"/>
    </xf>
    <xf fontId="27931" applyFont="true" borderId="8" applyBorder="true" applyNumberFormat="true" numFmtId="1" fillId="22" applyFill="true">
      <alignment horizontal="center" vertical="center"/>
    </xf>
    <xf fontId="27932" applyFont="true" borderId="8" applyBorder="true" applyNumberFormat="true" numFmtId="1" fillId="22" applyFill="true">
      <alignment horizontal="center" vertical="center"/>
    </xf>
    <xf fontId="27933" applyFont="true" borderId="8" applyBorder="true" applyNumberFormat="true" numFmtId="1" fillId="22" applyFill="true">
      <alignment horizontal="center" vertical="center"/>
    </xf>
    <xf fontId="27934" applyFont="true" borderId="8" applyBorder="true" applyNumberFormat="true" numFmtId="1" fillId="22" applyFill="true">
      <alignment horizontal="center" vertical="center"/>
    </xf>
    <xf fontId="27935" applyFont="true" borderId="8" applyBorder="true" applyNumberFormat="true" numFmtId="1" fillId="22" applyFill="true">
      <alignment horizontal="center" vertical="center"/>
    </xf>
    <xf fontId="27936" applyFont="true" borderId="8" applyBorder="true" applyNumberFormat="true" numFmtId="1" fillId="22" applyFill="true">
      <alignment horizontal="center" vertical="center"/>
    </xf>
    <xf fontId="27937" applyFont="true" borderId="8" applyBorder="true" applyNumberFormat="true" numFmtId="165" fillId="22" applyFill="true">
      <alignment horizontal="center" vertical="center"/>
    </xf>
    <xf fontId="27938" applyFont="true" borderId="8" applyBorder="true" applyNumberFormat="true" numFmtId="165" fillId="22" applyFill="true">
      <alignment horizontal="center" vertical="center"/>
    </xf>
    <xf fontId="27939" applyFont="true" borderId="8" applyBorder="true" applyNumberFormat="true" numFmtId="1" fillId="22" applyFill="true">
      <alignment horizontal="center" vertical="center"/>
    </xf>
    <xf fontId="27940" applyFont="true" borderId="8" applyBorder="true" applyNumberFormat="true" numFmtId="1" fillId="22" applyFill="true">
      <alignment horizontal="center" vertical="center"/>
    </xf>
    <xf fontId="27941" applyFont="true" borderId="8" applyBorder="true" applyNumberFormat="true" numFmtId="1" fillId="22" applyFill="true">
      <alignment horizontal="center" vertical="center"/>
    </xf>
    <xf fontId="27942" applyFont="true" borderId="8" applyBorder="true" applyNumberFormat="true" numFmtId="167" fillId="22" applyFill="true">
      <alignment horizontal="center" vertical="center"/>
    </xf>
    <xf fontId="27943" applyFont="true" borderId="8" applyBorder="true" applyNumberFormat="true" numFmtId="1" fillId="22" applyFill="true">
      <alignment horizontal="center" vertical="center"/>
    </xf>
    <xf fontId="27944" applyFont="true" borderId="8" applyBorder="true" applyNumberFormat="true" numFmtId="167" fillId="22" applyFill="true">
      <alignment horizontal="center" vertical="center"/>
    </xf>
    <xf fontId="27945" applyFont="true" borderId="8" applyBorder="true" applyNumberFormat="true" numFmtId="1" fillId="22" applyFill="true">
      <alignment horizontal="center" vertical="center"/>
    </xf>
    <xf fontId="27946" applyFont="true" borderId="8" applyBorder="true" applyNumberFormat="true" numFmtId="167" fillId="22" applyFill="true">
      <alignment horizontal="center" vertical="center"/>
    </xf>
    <xf fontId="27947" applyFont="true" borderId="8" applyBorder="true" applyNumberFormat="true" numFmtId="1" fillId="22" applyFill="true">
      <alignment horizontal="center" vertical="center"/>
    </xf>
    <xf fontId="27948" applyFont="true" borderId="8" applyBorder="true" applyNumberFormat="true" numFmtId="167" fillId="22" applyFill="true">
      <alignment horizontal="center" vertical="center"/>
    </xf>
    <xf fontId="27949" applyFont="true" borderId="8" applyBorder="true" applyNumberFormat="true" numFmtId="167" fillId="22" applyFill="true">
      <alignment horizontal="center" vertical="center"/>
    </xf>
    <xf fontId="27950" applyFont="true" borderId="8" applyBorder="true" applyNumberFormat="true" numFmtId="1" fillId="22" applyFill="true">
      <alignment horizontal="center" vertical="center"/>
    </xf>
    <xf fontId="27951" applyFont="true" borderId="8" applyBorder="true" applyNumberFormat="true" numFmtId="1" fillId="22" applyFill="true">
      <alignment horizontal="center" vertical="center"/>
    </xf>
    <xf fontId="27952" applyFont="true" borderId="8" applyBorder="true" applyNumberFormat="true" numFmtId="1" fillId="22" applyFill="true">
      <alignment horizontal="center" vertical="center"/>
    </xf>
    <xf fontId="27953" applyFont="true" borderId="8" applyBorder="true" applyNumberFormat="true" numFmtId="167" fillId="22" applyFill="true">
      <alignment horizontal="center" vertical="center"/>
    </xf>
    <xf fontId="27954" applyFont="true" borderId="8" applyBorder="true" applyNumberFormat="true" numFmtId="166" fillId="22" applyFill="true">
      <alignment horizontal="center" vertical="center"/>
    </xf>
    <xf fontId="27955" applyFont="true" borderId="8" applyBorder="true" applyNumberFormat="true" numFmtId="166" fillId="22" applyFill="true">
      <alignment horizontal="center" vertical="center"/>
    </xf>
    <xf fontId="27956" applyFont="true" borderId="8" applyBorder="true" applyNumberFormat="true" numFmtId="1" fillId="22" applyFill="true">
      <alignment horizontal="center" vertical="center"/>
    </xf>
    <xf fontId="27957" applyFont="true" borderId="8" applyBorder="true" applyNumberFormat="true" numFmtId="1" fillId="22" applyFill="true">
      <alignment horizontal="center" vertical="center"/>
    </xf>
    <xf fontId="27958" applyFont="true" borderId="8" applyBorder="true" applyNumberFormat="true" numFmtId="1" fillId="22" applyFill="true">
      <alignment horizontal="center" vertical="center"/>
    </xf>
    <xf fontId="27959" applyFont="true" borderId="8" applyBorder="true" applyNumberFormat="true" numFmtId="167" fillId="22" applyFill="true">
      <alignment horizontal="center" vertical="center"/>
    </xf>
    <xf fontId="27960" applyFont="true" borderId="8" applyBorder="true" applyNumberFormat="true" numFmtId="1" fillId="22" applyFill="true">
      <alignment horizontal="center" vertical="center"/>
    </xf>
    <xf fontId="27961" applyFont="true" borderId="8" applyBorder="true" applyNumberFormat="true" numFmtId="167" fillId="22" applyFill="true">
      <alignment horizontal="center" vertical="center"/>
    </xf>
    <xf fontId="27962" applyFont="true" borderId="8" applyBorder="true" applyNumberFormat="true" numFmtId="1" fillId="22" applyFill="true">
      <alignment horizontal="center" vertical="center"/>
    </xf>
    <xf fontId="27963" applyFont="true" borderId="8" applyBorder="true" applyNumberFormat="true" numFmtId="1" fillId="22" applyFill="true">
      <alignment horizontal="center" vertical="center"/>
    </xf>
    <xf fontId="27964" applyFont="true" borderId="8" applyBorder="true" applyNumberFormat="true" numFmtId="1" fillId="22" applyFill="true">
      <alignment horizontal="center" vertical="center"/>
    </xf>
    <xf fontId="27965" applyFont="true" borderId="8" applyBorder="true" applyNumberFormat="true" numFmtId="1" fillId="22" applyFill="true">
      <alignment horizontal="center" vertical="center"/>
    </xf>
    <xf fontId="27966" applyFont="true" borderId="8" applyBorder="true" applyNumberFormat="true" numFmtId="167" fillId="22" applyFill="true">
      <alignment horizontal="center" vertical="center"/>
    </xf>
    <xf fontId="27967" applyFont="true" borderId="8" applyBorder="true" applyNumberFormat="true" numFmtId="1" fillId="22" applyFill="true">
      <alignment horizontal="center" vertical="center"/>
    </xf>
    <xf fontId="27968" applyFont="true" borderId="8" applyBorder="true" applyNumberFormat="true" numFmtId="167" fillId="22" applyFill="true">
      <alignment horizontal="center" vertical="center"/>
    </xf>
    <xf fontId="27969" applyFont="true" borderId="8" applyBorder="true" applyNumberFormat="true" numFmtId="1" fillId="22" applyFill="true">
      <alignment horizontal="center" vertical="center"/>
    </xf>
    <xf fontId="27970" applyFont="true" borderId="8" applyBorder="true" applyNumberFormat="true" numFmtId="167" fillId="22" applyFill="true">
      <alignment horizontal="center" vertical="center"/>
    </xf>
    <xf fontId="27971" applyFont="true" borderId="8" applyBorder="true" applyNumberFormat="true" numFmtId="2" fillId="22" applyFill="true">
      <alignment horizontal="center" vertical="center"/>
    </xf>
    <xf fontId="27972" applyFont="true" borderId="8" applyBorder="true" applyNumberFormat="true" numFmtId="2" fillId="22" applyFill="true">
      <alignment horizontal="center" vertical="center"/>
    </xf>
    <xf fontId="27973" applyFont="true" borderId="8" applyBorder="true" applyNumberFormat="true" numFmtId="2" fillId="22" applyFill="true">
      <alignment horizontal="center" vertical="center"/>
    </xf>
    <xf fontId="27974" applyFont="true" borderId="8" applyBorder="true" applyNumberFormat="true" numFmtId="2" fillId="22" applyFill="true">
      <alignment horizontal="center" vertical="center"/>
    </xf>
    <xf fontId="27975" applyFont="true" borderId="8" applyBorder="true" applyNumberFormat="true" numFmtId="2" fillId="22" applyFill="true">
      <alignment horizontal="center" vertical="center"/>
    </xf>
    <xf fontId="27976" applyFont="true" borderId="8" applyBorder="true" applyNumberFormat="true" numFmtId="2" fillId="22" applyFill="true">
      <alignment horizontal="center" vertical="center"/>
    </xf>
    <xf fontId="27977" applyFont="true" borderId="8" applyBorder="true" applyNumberFormat="true" numFmtId="2" fillId="22" applyFill="true">
      <alignment horizontal="center" vertical="center"/>
    </xf>
    <xf fontId="27978" applyFont="true" borderId="8" applyBorder="true" applyNumberFormat="true" numFmtId="2" fillId="22" applyFill="true">
      <alignment horizontal="center" vertical="center"/>
    </xf>
    <xf fontId="27979" applyFont="true" borderId="8" applyBorder="true" applyNumberFormat="true" numFmtId="2" fillId="22" applyFill="true">
      <alignment horizontal="center" vertical="center"/>
    </xf>
    <xf fontId="27980" applyFont="true" borderId="8" applyBorder="true" applyNumberFormat="true" numFmtId="2" fillId="22" applyFill="true">
      <alignment horizontal="center" vertical="center"/>
    </xf>
    <xf fontId="27981" applyFont="true" borderId="8" applyBorder="true" applyNumberFormat="true" numFmtId="2" fillId="22" applyFill="true">
      <alignment horizontal="center" vertical="center"/>
    </xf>
    <xf fontId="27982" applyFont="true" borderId="8" applyBorder="true" applyNumberFormat="true" numFmtId="2" fillId="22" applyFill="true">
      <alignment horizontal="center" vertical="center"/>
    </xf>
    <xf fontId="27983" applyFont="true" borderId="8" applyBorder="true" applyNumberFormat="true" numFmtId="2" fillId="22" applyFill="true">
      <alignment horizontal="center" vertical="center"/>
    </xf>
    <xf fontId="27984" applyFont="true" borderId="8" applyBorder="true" applyNumberFormat="true" numFmtId="2" fillId="22" applyFill="true">
      <alignment horizontal="center" vertical="center"/>
    </xf>
    <xf fontId="27985" applyFont="true" borderId="8" applyBorder="true" applyNumberFormat="true" numFmtId="2" fillId="22" applyFill="true">
      <alignment horizontal="center" vertical="center"/>
    </xf>
    <xf fontId="27986" applyFont="true" borderId="8" applyBorder="true" applyNumberFormat="true" numFmtId="2" fillId="22" applyFill="true">
      <alignment horizontal="center" vertical="center"/>
    </xf>
    <xf fontId="27987" applyFont="true" borderId="8" applyBorder="true" applyNumberFormat="true" numFmtId="2" fillId="22" applyFill="true">
      <alignment horizontal="center" vertical="center"/>
    </xf>
    <xf fontId="27988" applyFont="true" borderId="8" applyBorder="true" applyNumberFormat="true" numFmtId="2" fillId="22" applyFill="true">
      <alignment horizontal="center" vertical="center"/>
    </xf>
    <xf fontId="27989" applyFont="true" borderId="8" applyBorder="true" applyNumberFormat="true" numFmtId="2" fillId="22" applyFill="true">
      <alignment horizontal="center" vertical="center"/>
    </xf>
    <xf fontId="27990" applyFont="true" borderId="8" applyBorder="true" applyNumberFormat="true" numFmtId="2" fillId="22" applyFill="true">
      <alignment horizontal="center" vertical="center"/>
    </xf>
    <xf fontId="27991" applyFont="true" borderId="8" applyBorder="true" applyNumberFormat="true" numFmtId="2" fillId="22" applyFill="true">
      <alignment horizontal="center" vertical="center"/>
    </xf>
    <xf fontId="27992" applyFont="true" borderId="8" applyBorder="true" applyNumberFormat="true" numFmtId="2" fillId="22" applyFill="true">
      <alignment horizontal="center" vertical="center"/>
    </xf>
    <xf fontId="27993" applyFont="true" borderId="8" applyBorder="true" applyNumberFormat="true" numFmtId="2" fillId="22" applyFill="true">
      <alignment horizontal="center" vertical="center"/>
    </xf>
    <xf fontId="27994" applyFont="true" borderId="8" applyBorder="true" applyNumberFormat="true" numFmtId="2" fillId="22" applyFill="true">
      <alignment horizontal="center" vertical="center"/>
    </xf>
    <xf fontId="27995" applyFont="true" borderId="8" applyBorder="true" applyNumberFormat="true" numFmtId="2" fillId="22" applyFill="true">
      <alignment horizontal="center" vertical="center"/>
    </xf>
    <xf fontId="27996" applyFont="true" borderId="8" applyBorder="true" applyNumberFormat="true" numFmtId="2" fillId="22" applyFill="true">
      <alignment horizontal="center" vertical="center"/>
    </xf>
    <xf fontId="27997" applyFont="true" borderId="8" applyBorder="true" applyNumberFormat="true" numFmtId="2" fillId="22" applyFill="true">
      <alignment horizontal="center" vertical="center"/>
    </xf>
    <xf fontId="27998" applyFont="true" borderId="8" applyBorder="true" applyNumberFormat="true" numFmtId="2" fillId="22" applyFill="true">
      <alignment horizontal="center" vertical="center"/>
    </xf>
    <xf fontId="27999" applyFont="true" borderId="8" applyBorder="true" applyNumberFormat="true" numFmtId="2" fillId="22" applyFill="true">
      <alignment horizontal="center" vertical="center"/>
    </xf>
    <xf fontId="28000" applyFont="true" borderId="8" applyBorder="true" applyNumberFormat="true" numFmtId="2" fillId="22" applyFill="true">
      <alignment horizontal="center" vertical="center"/>
    </xf>
    <xf fontId="28001" applyFont="true" borderId="8" applyBorder="true" applyNumberFormat="true" numFmtId="2" fillId="22" applyFill="true">
      <alignment horizontal="center" vertical="center"/>
    </xf>
    <xf fontId="28002" applyFont="true" borderId="8" applyBorder="true" applyNumberFormat="true" numFmtId="2" fillId="22" applyFill="true">
      <alignment horizontal="center" vertical="center"/>
    </xf>
    <xf fontId="28003" applyFont="true" borderId="8" applyBorder="true" applyNumberFormat="true" numFmtId="2" fillId="22" applyFill="true">
      <alignment horizontal="center" vertical="center"/>
    </xf>
    <xf fontId="28004" applyFont="true" borderId="8" applyBorder="true" applyNumberFormat="true" numFmtId="2" fillId="22" applyFill="true">
      <alignment horizontal="center" vertical="center"/>
    </xf>
    <xf fontId="28005" applyFont="true" borderId="8" applyBorder="true" applyNumberFormat="true" numFmtId="165" fillId="19" applyFill="true">
      <alignment horizontal="left" vertical="center"/>
    </xf>
    <xf fontId="28006" applyFont="true" borderId="8" applyBorder="true" applyNumberFormat="true" numFmtId="165" fillId="22" applyFill="true">
      <alignment horizontal="center" vertical="center"/>
    </xf>
    <xf fontId="28007" applyFont="true" borderId="8" applyBorder="true" applyNumberFormat="true" numFmtId="166" fillId="22" applyFill="true">
      <alignment horizontal="center" vertical="center"/>
    </xf>
    <xf fontId="28008" applyFont="true" borderId="8" applyBorder="true" applyNumberFormat="true" numFmtId="1" fillId="22" applyFill="true">
      <alignment horizontal="center" vertical="center"/>
    </xf>
    <xf fontId="28009" applyFont="true" borderId="8" applyBorder="true" applyNumberFormat="true" numFmtId="1" fillId="22" applyFill="true">
      <alignment horizontal="center" vertical="center"/>
    </xf>
    <xf fontId="28010" applyFont="true" borderId="8" applyBorder="true" applyNumberFormat="true" numFmtId="1" fillId="22" applyFill="true">
      <alignment horizontal="center" vertical="center"/>
    </xf>
    <xf fontId="28011" applyFont="true" borderId="8" applyBorder="true" applyNumberFormat="true" numFmtId="1" fillId="22" applyFill="true">
      <alignment horizontal="center" vertical="center"/>
    </xf>
    <xf fontId="28012" applyFont="true" borderId="8" applyBorder="true" applyNumberFormat="true" numFmtId="1" fillId="22" applyFill="true">
      <alignment horizontal="center" vertical="center"/>
    </xf>
    <xf fontId="28013" applyFont="true" borderId="8" applyBorder="true" applyNumberFormat="true" numFmtId="1" fillId="22" applyFill="true">
      <alignment horizontal="center" vertical="center"/>
    </xf>
    <xf fontId="28014" applyFont="true" borderId="8" applyBorder="true" applyNumberFormat="true" numFmtId="1" fillId="22" applyFill="true">
      <alignment horizontal="center" vertical="center"/>
    </xf>
    <xf fontId="28015" applyFont="true" borderId="8" applyBorder="true" applyNumberFormat="true" numFmtId="165" fillId="22" applyFill="true">
      <alignment horizontal="center" vertical="center"/>
    </xf>
    <xf fontId="28016" applyFont="true" borderId="8" applyBorder="true" applyNumberFormat="true" numFmtId="165" fillId="22" applyFill="true">
      <alignment horizontal="center" vertical="center"/>
    </xf>
    <xf fontId="28017" applyFont="true" borderId="8" applyBorder="true" applyNumberFormat="true" numFmtId="1" fillId="22" applyFill="true">
      <alignment horizontal="center" vertical="center"/>
    </xf>
    <xf fontId="28018" applyFont="true" borderId="8" applyBorder="true" applyNumberFormat="true" numFmtId="1" fillId="22" applyFill="true">
      <alignment horizontal="center" vertical="center"/>
    </xf>
    <xf fontId="28019" applyFont="true" borderId="8" applyBorder="true" applyNumberFormat="true" numFmtId="1" fillId="22" applyFill="true">
      <alignment horizontal="center" vertical="center"/>
    </xf>
    <xf fontId="28020" applyFont="true" borderId="8" applyBorder="true" applyNumberFormat="true" numFmtId="167" fillId="22" applyFill="true">
      <alignment horizontal="center" vertical="center"/>
    </xf>
    <xf fontId="28021" applyFont="true" borderId="8" applyBorder="true" applyNumberFormat="true" numFmtId="1" fillId="22" applyFill="true">
      <alignment horizontal="center" vertical="center"/>
    </xf>
    <xf fontId="28022" applyFont="true" borderId="8" applyBorder="true" applyNumberFormat="true" numFmtId="167" fillId="22" applyFill="true">
      <alignment horizontal="center" vertical="center"/>
    </xf>
    <xf fontId="28023" applyFont="true" borderId="8" applyBorder="true" applyNumberFormat="true" numFmtId="1" fillId="22" applyFill="true">
      <alignment horizontal="center" vertical="center"/>
    </xf>
    <xf fontId="28024" applyFont="true" borderId="8" applyBorder="true" applyNumberFormat="true" numFmtId="167" fillId="22" applyFill="true">
      <alignment horizontal="center" vertical="center"/>
    </xf>
    <xf fontId="28025" applyFont="true" borderId="8" applyBorder="true" applyNumberFormat="true" numFmtId="1" fillId="22" applyFill="true">
      <alignment horizontal="center" vertical="center"/>
    </xf>
    <xf fontId="28026" applyFont="true" borderId="8" applyBorder="true" applyNumberFormat="true" numFmtId="167" fillId="22" applyFill="true">
      <alignment horizontal="center" vertical="center"/>
    </xf>
    <xf fontId="28027" applyFont="true" borderId="8" applyBorder="true" applyNumberFormat="true" numFmtId="167" fillId="22" applyFill="true">
      <alignment horizontal="center" vertical="center"/>
    </xf>
    <xf fontId="28028" applyFont="true" borderId="8" applyBorder="true" applyNumberFormat="true" numFmtId="1" fillId="22" applyFill="true">
      <alignment horizontal="center" vertical="center"/>
    </xf>
    <xf fontId="28029" applyFont="true" borderId="8" applyBorder="true" applyNumberFormat="true" numFmtId="1" fillId="22" applyFill="true">
      <alignment horizontal="center" vertical="center"/>
    </xf>
    <xf fontId="28030" applyFont="true" borderId="8" applyBorder="true" applyNumberFormat="true" numFmtId="1" fillId="22" applyFill="true">
      <alignment horizontal="center" vertical="center"/>
    </xf>
    <xf fontId="28031" applyFont="true" borderId="8" applyBorder="true" applyNumberFormat="true" numFmtId="167" fillId="22" applyFill="true">
      <alignment horizontal="center" vertical="center"/>
    </xf>
    <xf fontId="28032" applyFont="true" borderId="8" applyBorder="true" applyNumberFormat="true" numFmtId="166" fillId="22" applyFill="true">
      <alignment horizontal="center" vertical="center"/>
    </xf>
    <xf fontId="28033" applyFont="true" borderId="8" applyBorder="true" applyNumberFormat="true" numFmtId="166" fillId="22" applyFill="true">
      <alignment horizontal="center" vertical="center"/>
    </xf>
    <xf fontId="28034" applyFont="true" borderId="8" applyBorder="true" applyNumberFormat="true" numFmtId="1" fillId="22" applyFill="true">
      <alignment horizontal="center" vertical="center"/>
    </xf>
    <xf fontId="28035" applyFont="true" borderId="8" applyBorder="true" applyNumberFormat="true" numFmtId="1" fillId="22" applyFill="true">
      <alignment horizontal="center" vertical="center"/>
    </xf>
    <xf fontId="28036" applyFont="true" borderId="8" applyBorder="true" applyNumberFormat="true" numFmtId="1" fillId="22" applyFill="true">
      <alignment horizontal="center" vertical="center"/>
    </xf>
    <xf fontId="28037" applyFont="true" borderId="8" applyBorder="true" applyNumberFormat="true" numFmtId="167" fillId="22" applyFill="true">
      <alignment horizontal="center" vertical="center"/>
    </xf>
    <xf fontId="28038" applyFont="true" borderId="8" applyBorder="true" applyNumberFormat="true" numFmtId="1" fillId="22" applyFill="true">
      <alignment horizontal="center" vertical="center"/>
    </xf>
    <xf fontId="28039" applyFont="true" borderId="8" applyBorder="true" applyNumberFormat="true" numFmtId="167" fillId="22" applyFill="true">
      <alignment horizontal="center" vertical="center"/>
    </xf>
    <xf fontId="28040" applyFont="true" borderId="8" applyBorder="true" applyNumberFormat="true" numFmtId="1" fillId="22" applyFill="true">
      <alignment horizontal="center" vertical="center"/>
    </xf>
    <xf fontId="28041" applyFont="true" borderId="8" applyBorder="true" applyNumberFormat="true" numFmtId="1" fillId="22" applyFill="true">
      <alignment horizontal="center" vertical="center"/>
    </xf>
    <xf fontId="28042" applyFont="true" borderId="8" applyBorder="true" applyNumberFormat="true" numFmtId="1" fillId="22" applyFill="true">
      <alignment horizontal="center" vertical="center"/>
    </xf>
    <xf fontId="28043" applyFont="true" borderId="8" applyBorder="true" applyNumberFormat="true" numFmtId="1" fillId="22" applyFill="true">
      <alignment horizontal="center" vertical="center"/>
    </xf>
    <xf fontId="28044" applyFont="true" borderId="8" applyBorder="true" applyNumberFormat="true" numFmtId="167" fillId="22" applyFill="true">
      <alignment horizontal="center" vertical="center"/>
    </xf>
    <xf fontId="28045" applyFont="true" borderId="8" applyBorder="true" applyNumberFormat="true" numFmtId="1" fillId="22" applyFill="true">
      <alignment horizontal="center" vertical="center"/>
    </xf>
    <xf fontId="28046" applyFont="true" borderId="8" applyBorder="true" applyNumberFormat="true" numFmtId="167" fillId="22" applyFill="true">
      <alignment horizontal="center" vertical="center"/>
    </xf>
    <xf fontId="28047" applyFont="true" borderId="8" applyBorder="true" applyNumberFormat="true" numFmtId="1" fillId="22" applyFill="true">
      <alignment horizontal="center" vertical="center"/>
    </xf>
    <xf fontId="28048" applyFont="true" borderId="8" applyBorder="true" applyNumberFormat="true" numFmtId="167" fillId="22" applyFill="true">
      <alignment horizontal="center" vertical="center"/>
    </xf>
    <xf fontId="28049" applyFont="true" borderId="8" applyBorder="true" applyNumberFormat="true" numFmtId="2" fillId="22" applyFill="true">
      <alignment horizontal="center" vertical="center"/>
    </xf>
    <xf fontId="28050" applyFont="true" borderId="8" applyBorder="true" applyNumberFormat="true" numFmtId="2" fillId="22" applyFill="true">
      <alignment horizontal="center" vertical="center"/>
    </xf>
    <xf fontId="28051" applyFont="true" borderId="8" applyBorder="true" applyNumberFormat="true" numFmtId="2" fillId="22" applyFill="true">
      <alignment horizontal="center" vertical="center"/>
    </xf>
    <xf fontId="28052" applyFont="true" borderId="8" applyBorder="true" applyNumberFormat="true" numFmtId="2" fillId="22" applyFill="true">
      <alignment horizontal="center" vertical="center"/>
    </xf>
    <xf fontId="28053" applyFont="true" borderId="8" applyBorder="true" applyNumberFormat="true" numFmtId="2" fillId="22" applyFill="true">
      <alignment horizontal="center" vertical="center"/>
    </xf>
    <xf fontId="28054" applyFont="true" borderId="8" applyBorder="true" applyNumberFormat="true" numFmtId="2" fillId="22" applyFill="true">
      <alignment horizontal="center" vertical="center"/>
    </xf>
    <xf fontId="28055" applyFont="true" borderId="8" applyBorder="true" applyNumberFormat="true" numFmtId="2" fillId="22" applyFill="true">
      <alignment horizontal="center" vertical="center"/>
    </xf>
    <xf fontId="28056" applyFont="true" borderId="8" applyBorder="true" applyNumberFormat="true" numFmtId="2" fillId="22" applyFill="true">
      <alignment horizontal="center" vertical="center"/>
    </xf>
    <xf fontId="28057" applyFont="true" borderId="8" applyBorder="true" applyNumberFormat="true" numFmtId="2" fillId="22" applyFill="true">
      <alignment horizontal="center" vertical="center"/>
    </xf>
    <xf fontId="28058" applyFont="true" borderId="8" applyBorder="true" applyNumberFormat="true" numFmtId="2" fillId="22" applyFill="true">
      <alignment horizontal="center" vertical="center"/>
    </xf>
    <xf fontId="28059" applyFont="true" borderId="8" applyBorder="true" applyNumberFormat="true" numFmtId="2" fillId="22" applyFill="true">
      <alignment horizontal="center" vertical="center"/>
    </xf>
    <xf fontId="28060" applyFont="true" borderId="8" applyBorder="true" applyNumberFormat="true" numFmtId="2" fillId="22" applyFill="true">
      <alignment horizontal="center" vertical="center"/>
    </xf>
    <xf fontId="28061" applyFont="true" borderId="8" applyBorder="true" applyNumberFormat="true" numFmtId="2" fillId="22" applyFill="true">
      <alignment horizontal="center" vertical="center"/>
    </xf>
    <xf fontId="28062" applyFont="true" borderId="8" applyBorder="true" applyNumberFormat="true" numFmtId="2" fillId="22" applyFill="true">
      <alignment horizontal="center" vertical="center"/>
    </xf>
    <xf fontId="28063" applyFont="true" borderId="8" applyBorder="true" applyNumberFormat="true" numFmtId="2" fillId="22" applyFill="true">
      <alignment horizontal="center" vertical="center"/>
    </xf>
    <xf fontId="28064" applyFont="true" borderId="8" applyBorder="true" applyNumberFormat="true" numFmtId="2" fillId="22" applyFill="true">
      <alignment horizontal="center" vertical="center"/>
    </xf>
    <xf fontId="28065" applyFont="true" borderId="8" applyBorder="true" applyNumberFormat="true" numFmtId="2" fillId="22" applyFill="true">
      <alignment horizontal="center" vertical="center"/>
    </xf>
    <xf fontId="28066" applyFont="true" borderId="8" applyBorder="true" applyNumberFormat="true" numFmtId="2" fillId="22" applyFill="true">
      <alignment horizontal="center" vertical="center"/>
    </xf>
    <xf fontId="28067" applyFont="true" borderId="8" applyBorder="true" applyNumberFormat="true" numFmtId="2" fillId="22" applyFill="true">
      <alignment horizontal="center" vertical="center"/>
    </xf>
    <xf fontId="28068" applyFont="true" borderId="8" applyBorder="true" applyNumberFormat="true" numFmtId="2" fillId="22" applyFill="true">
      <alignment horizontal="center" vertical="center"/>
    </xf>
    <xf fontId="28069" applyFont="true" borderId="8" applyBorder="true" applyNumberFormat="true" numFmtId="2" fillId="22" applyFill="true">
      <alignment horizontal="center" vertical="center"/>
    </xf>
    <xf fontId="28070" applyFont="true" borderId="8" applyBorder="true" applyNumberFormat="true" numFmtId="2" fillId="22" applyFill="true">
      <alignment horizontal="center" vertical="center"/>
    </xf>
    <xf fontId="28071" applyFont="true" borderId="8" applyBorder="true" applyNumberFormat="true" numFmtId="2" fillId="22" applyFill="true">
      <alignment horizontal="center" vertical="center"/>
    </xf>
    <xf fontId="28072" applyFont="true" borderId="8" applyBorder="true" applyNumberFormat="true" numFmtId="2" fillId="22" applyFill="true">
      <alignment horizontal="center" vertical="center"/>
    </xf>
    <xf fontId="28073" applyFont="true" borderId="8" applyBorder="true" applyNumberFormat="true" numFmtId="2" fillId="22" applyFill="true">
      <alignment horizontal="center" vertical="center"/>
    </xf>
    <xf fontId="28074" applyFont="true" borderId="8" applyBorder="true" applyNumberFormat="true" numFmtId="2" fillId="22" applyFill="true">
      <alignment horizontal="center" vertical="center"/>
    </xf>
    <xf fontId="28075" applyFont="true" borderId="8" applyBorder="true" applyNumberFormat="true" numFmtId="2" fillId="22" applyFill="true">
      <alignment horizontal="center" vertical="center"/>
    </xf>
    <xf fontId="28076" applyFont="true" borderId="8" applyBorder="true" applyNumberFormat="true" numFmtId="2" fillId="22" applyFill="true">
      <alignment horizontal="center" vertical="center"/>
    </xf>
    <xf fontId="28077" applyFont="true" borderId="8" applyBorder="true" applyNumberFormat="true" numFmtId="2" fillId="22" applyFill="true">
      <alignment horizontal="center" vertical="center"/>
    </xf>
    <xf fontId="28078" applyFont="true" borderId="8" applyBorder="true" applyNumberFormat="true" numFmtId="2" fillId="22" applyFill="true">
      <alignment horizontal="center" vertical="center"/>
    </xf>
    <xf fontId="28079" applyFont="true" borderId="8" applyBorder="true" applyNumberFormat="true" numFmtId="2" fillId="22" applyFill="true">
      <alignment horizontal="center" vertical="center"/>
    </xf>
    <xf fontId="28080" applyFont="true" borderId="8" applyBorder="true" applyNumberFormat="true" numFmtId="2" fillId="22" applyFill="true">
      <alignment horizontal="center" vertical="center"/>
    </xf>
    <xf fontId="28081" applyFont="true" borderId="8" applyBorder="true" applyNumberFormat="true" numFmtId="2" fillId="22" applyFill="true">
      <alignment horizontal="center" vertical="center"/>
    </xf>
    <xf fontId="28082" applyFont="true" borderId="8" applyBorder="true" applyNumberFormat="true" numFmtId="2" fillId="22" applyFill="true">
      <alignment horizontal="center" vertical="center"/>
    </xf>
    <xf fontId="28083" applyFont="true" borderId="8" applyBorder="true" applyNumberFormat="true" numFmtId="165" fillId="19" applyFill="true">
      <alignment horizontal="left" vertical="center"/>
    </xf>
    <xf fontId="28084" applyFont="true" borderId="8" applyBorder="true" applyNumberFormat="true" numFmtId="165" fillId="22" applyFill="true">
      <alignment horizontal="center" vertical="center"/>
    </xf>
    <xf fontId="28085" applyFont="true" borderId="8" applyBorder="true" applyNumberFormat="true" numFmtId="166" fillId="22" applyFill="true">
      <alignment horizontal="center" vertical="center"/>
    </xf>
    <xf fontId="28086" applyFont="true" borderId="8" applyBorder="true" applyNumberFormat="true" numFmtId="1" fillId="22" applyFill="true">
      <alignment horizontal="center" vertical="center"/>
    </xf>
    <xf fontId="28087" applyFont="true" borderId="8" applyBorder="true" applyNumberFormat="true" numFmtId="1" fillId="22" applyFill="true">
      <alignment horizontal="center" vertical="center"/>
    </xf>
    <xf fontId="28088" applyFont="true" borderId="8" applyBorder="true" applyNumberFormat="true" numFmtId="1" fillId="22" applyFill="true">
      <alignment horizontal="center" vertical="center"/>
    </xf>
    <xf fontId="28089" applyFont="true" borderId="8" applyBorder="true" applyNumberFormat="true" numFmtId="1" fillId="22" applyFill="true">
      <alignment horizontal="center" vertical="center"/>
    </xf>
    <xf fontId="28090" applyFont="true" borderId="8" applyBorder="true" applyNumberFormat="true" numFmtId="1" fillId="22" applyFill="true">
      <alignment horizontal="center" vertical="center"/>
    </xf>
    <xf fontId="28091" applyFont="true" borderId="8" applyBorder="true" applyNumberFormat="true" numFmtId="1" fillId="22" applyFill="true">
      <alignment horizontal="center" vertical="center"/>
    </xf>
    <xf fontId="28092" applyFont="true" borderId="8" applyBorder="true" applyNumberFormat="true" numFmtId="1" fillId="22" applyFill="true">
      <alignment horizontal="center" vertical="center"/>
    </xf>
    <xf fontId="28093" applyFont="true" borderId="8" applyBorder="true" applyNumberFormat="true" numFmtId="165" fillId="22" applyFill="true">
      <alignment horizontal="center" vertical="center"/>
    </xf>
    <xf fontId="28094" applyFont="true" borderId="8" applyBorder="true" applyNumberFormat="true" numFmtId="165" fillId="22" applyFill="true">
      <alignment horizontal="center" vertical="center"/>
    </xf>
    <xf fontId="28095" applyFont="true" borderId="8" applyBorder="true" applyNumberFormat="true" numFmtId="1" fillId="22" applyFill="true">
      <alignment horizontal="center" vertical="center"/>
    </xf>
    <xf fontId="28096" applyFont="true" borderId="8" applyBorder="true" applyNumberFormat="true" numFmtId="1" fillId="22" applyFill="true">
      <alignment horizontal="center" vertical="center"/>
    </xf>
    <xf fontId="28097" applyFont="true" borderId="8" applyBorder="true" applyNumberFormat="true" numFmtId="1" fillId="22" applyFill="true">
      <alignment horizontal="center" vertical="center"/>
    </xf>
    <xf fontId="28098" applyFont="true" borderId="8" applyBorder="true" applyNumberFormat="true" numFmtId="167" fillId="22" applyFill="true">
      <alignment horizontal="center" vertical="center"/>
    </xf>
    <xf fontId="28099" applyFont="true" borderId="8" applyBorder="true" applyNumberFormat="true" numFmtId="1" fillId="22" applyFill="true">
      <alignment horizontal="center" vertical="center"/>
    </xf>
    <xf fontId="28100" applyFont="true" borderId="8" applyBorder="true" applyNumberFormat="true" numFmtId="167" fillId="22" applyFill="true">
      <alignment horizontal="center" vertical="center"/>
    </xf>
    <xf fontId="28101" applyFont="true" borderId="8" applyBorder="true" applyNumberFormat="true" numFmtId="1" fillId="22" applyFill="true">
      <alignment horizontal="center" vertical="center"/>
    </xf>
    <xf fontId="28102" applyFont="true" borderId="8" applyBorder="true" applyNumberFormat="true" numFmtId="167" fillId="22" applyFill="true">
      <alignment horizontal="center" vertical="center"/>
    </xf>
    <xf fontId="28103" applyFont="true" borderId="8" applyBorder="true" applyNumberFormat="true" numFmtId="1" fillId="22" applyFill="true">
      <alignment horizontal="center" vertical="center"/>
    </xf>
    <xf fontId="28104" applyFont="true" borderId="8" applyBorder="true" applyNumberFormat="true" numFmtId="167" fillId="22" applyFill="true">
      <alignment horizontal="center" vertical="center"/>
    </xf>
    <xf fontId="28105" applyFont="true" borderId="8" applyBorder="true" applyNumberFormat="true" numFmtId="167" fillId="22" applyFill="true">
      <alignment horizontal="center" vertical="center"/>
    </xf>
    <xf fontId="28106" applyFont="true" borderId="8" applyBorder="true" applyNumberFormat="true" numFmtId="1" fillId="22" applyFill="true">
      <alignment horizontal="center" vertical="center"/>
    </xf>
    <xf fontId="28107" applyFont="true" borderId="8" applyBorder="true" applyNumberFormat="true" numFmtId="1" fillId="22" applyFill="true">
      <alignment horizontal="center" vertical="center"/>
    </xf>
    <xf fontId="28108" applyFont="true" borderId="8" applyBorder="true" applyNumberFormat="true" numFmtId="1" fillId="22" applyFill="true">
      <alignment horizontal="center" vertical="center"/>
    </xf>
    <xf fontId="28109" applyFont="true" borderId="8" applyBorder="true" applyNumberFormat="true" numFmtId="167" fillId="22" applyFill="true">
      <alignment horizontal="center" vertical="center"/>
    </xf>
    <xf fontId="28110" applyFont="true" borderId="8" applyBorder="true" applyNumberFormat="true" numFmtId="166" fillId="22" applyFill="true">
      <alignment horizontal="center" vertical="center"/>
    </xf>
    <xf fontId="28111" applyFont="true" borderId="8" applyBorder="true" applyNumberFormat="true" numFmtId="166" fillId="22" applyFill="true">
      <alignment horizontal="center" vertical="center"/>
    </xf>
    <xf fontId="28112" applyFont="true" borderId="8" applyBorder="true" applyNumberFormat="true" numFmtId="1" fillId="22" applyFill="true">
      <alignment horizontal="center" vertical="center"/>
    </xf>
    <xf fontId="28113" applyFont="true" borderId="8" applyBorder="true" applyNumberFormat="true" numFmtId="1" fillId="22" applyFill="true">
      <alignment horizontal="center" vertical="center"/>
    </xf>
    <xf fontId="28114" applyFont="true" borderId="8" applyBorder="true" applyNumberFormat="true" numFmtId="1" fillId="22" applyFill="true">
      <alignment horizontal="center" vertical="center"/>
    </xf>
    <xf fontId="28115" applyFont="true" borderId="8" applyBorder="true" applyNumberFormat="true" numFmtId="167" fillId="22" applyFill="true">
      <alignment horizontal="center" vertical="center"/>
    </xf>
    <xf fontId="28116" applyFont="true" borderId="8" applyBorder="true" applyNumberFormat="true" numFmtId="1" fillId="22" applyFill="true">
      <alignment horizontal="center" vertical="center"/>
    </xf>
    <xf fontId="28117" applyFont="true" borderId="8" applyBorder="true" applyNumberFormat="true" numFmtId="167" fillId="22" applyFill="true">
      <alignment horizontal="center" vertical="center"/>
    </xf>
    <xf fontId="28118" applyFont="true" borderId="8" applyBorder="true" applyNumberFormat="true" numFmtId="1" fillId="22" applyFill="true">
      <alignment horizontal="center" vertical="center"/>
    </xf>
    <xf fontId="28119" applyFont="true" borderId="8" applyBorder="true" applyNumberFormat="true" numFmtId="1" fillId="22" applyFill="true">
      <alignment horizontal="center" vertical="center"/>
    </xf>
    <xf fontId="28120" applyFont="true" borderId="8" applyBorder="true" applyNumberFormat="true" numFmtId="1" fillId="22" applyFill="true">
      <alignment horizontal="center" vertical="center"/>
    </xf>
    <xf fontId="28121" applyFont="true" borderId="8" applyBorder="true" applyNumberFormat="true" numFmtId="1" fillId="22" applyFill="true">
      <alignment horizontal="center" vertical="center"/>
    </xf>
    <xf fontId="28122" applyFont="true" borderId="8" applyBorder="true" applyNumberFormat="true" numFmtId="167" fillId="22" applyFill="true">
      <alignment horizontal="center" vertical="center"/>
    </xf>
    <xf fontId="28123" applyFont="true" borderId="8" applyBorder="true" applyNumberFormat="true" numFmtId="1" fillId="22" applyFill="true">
      <alignment horizontal="center" vertical="center"/>
    </xf>
    <xf fontId="28124" applyFont="true" borderId="8" applyBorder="true" applyNumberFormat="true" numFmtId="167" fillId="22" applyFill="true">
      <alignment horizontal="center" vertical="center"/>
    </xf>
    <xf fontId="28125" applyFont="true" borderId="8" applyBorder="true" applyNumberFormat="true" numFmtId="1" fillId="22" applyFill="true">
      <alignment horizontal="center" vertical="center"/>
    </xf>
    <xf fontId="28126" applyFont="true" borderId="8" applyBorder="true" applyNumberFormat="true" numFmtId="167" fillId="22" applyFill="true">
      <alignment horizontal="center" vertical="center"/>
    </xf>
    <xf fontId="28127" applyFont="true" borderId="8" applyBorder="true" applyNumberFormat="true" numFmtId="2" fillId="22" applyFill="true">
      <alignment horizontal="center" vertical="center"/>
    </xf>
    <xf fontId="28128" applyFont="true" borderId="8" applyBorder="true" applyNumberFormat="true" numFmtId="2" fillId="22" applyFill="true">
      <alignment horizontal="center" vertical="center"/>
    </xf>
    <xf fontId="28129" applyFont="true" borderId="8" applyBorder="true" applyNumberFormat="true" numFmtId="2" fillId="22" applyFill="true">
      <alignment horizontal="center" vertical="center"/>
    </xf>
    <xf fontId="28130" applyFont="true" borderId="8" applyBorder="true" applyNumberFormat="true" numFmtId="2" fillId="22" applyFill="true">
      <alignment horizontal="center" vertical="center"/>
    </xf>
    <xf fontId="28131" applyFont="true" borderId="8" applyBorder="true" applyNumberFormat="true" numFmtId="2" fillId="22" applyFill="true">
      <alignment horizontal="center" vertical="center"/>
    </xf>
    <xf fontId="28132" applyFont="true" borderId="8" applyBorder="true" applyNumberFormat="true" numFmtId="2" fillId="22" applyFill="true">
      <alignment horizontal="center" vertical="center"/>
    </xf>
    <xf fontId="28133" applyFont="true" borderId="8" applyBorder="true" applyNumberFormat="true" numFmtId="2" fillId="22" applyFill="true">
      <alignment horizontal="center" vertical="center"/>
    </xf>
    <xf fontId="28134" applyFont="true" borderId="8" applyBorder="true" applyNumberFormat="true" numFmtId="2" fillId="22" applyFill="true">
      <alignment horizontal="center" vertical="center"/>
    </xf>
    <xf fontId="28135" applyFont="true" borderId="8" applyBorder="true" applyNumberFormat="true" numFmtId="2" fillId="22" applyFill="true">
      <alignment horizontal="center" vertical="center"/>
    </xf>
    <xf fontId="28136" applyFont="true" borderId="8" applyBorder="true" applyNumberFormat="true" numFmtId="2" fillId="22" applyFill="true">
      <alignment horizontal="center" vertical="center"/>
    </xf>
    <xf fontId="28137" applyFont="true" borderId="8" applyBorder="true" applyNumberFormat="true" numFmtId="2" fillId="22" applyFill="true">
      <alignment horizontal="center" vertical="center"/>
    </xf>
    <xf fontId="28138" applyFont="true" borderId="8" applyBorder="true" applyNumberFormat="true" numFmtId="2" fillId="22" applyFill="true">
      <alignment horizontal="center" vertical="center"/>
    </xf>
    <xf fontId="28139" applyFont="true" borderId="8" applyBorder="true" applyNumberFormat="true" numFmtId="2" fillId="22" applyFill="true">
      <alignment horizontal="center" vertical="center"/>
    </xf>
    <xf fontId="28140" applyFont="true" borderId="8" applyBorder="true" applyNumberFormat="true" numFmtId="2" fillId="22" applyFill="true">
      <alignment horizontal="center" vertical="center"/>
    </xf>
    <xf fontId="28141" applyFont="true" borderId="8" applyBorder="true" applyNumberFormat="true" numFmtId="2" fillId="22" applyFill="true">
      <alignment horizontal="center" vertical="center"/>
    </xf>
    <xf fontId="28142" applyFont="true" borderId="8" applyBorder="true" applyNumberFormat="true" numFmtId="2" fillId="22" applyFill="true">
      <alignment horizontal="center" vertical="center"/>
    </xf>
    <xf fontId="28143" applyFont="true" borderId="8" applyBorder="true" applyNumberFormat="true" numFmtId="2" fillId="22" applyFill="true">
      <alignment horizontal="center" vertical="center"/>
    </xf>
    <xf fontId="28144" applyFont="true" borderId="8" applyBorder="true" applyNumberFormat="true" numFmtId="2" fillId="22" applyFill="true">
      <alignment horizontal="center" vertical="center"/>
    </xf>
    <xf fontId="28145" applyFont="true" borderId="8" applyBorder="true" applyNumberFormat="true" numFmtId="2" fillId="22" applyFill="true">
      <alignment horizontal="center" vertical="center"/>
    </xf>
    <xf fontId="28146" applyFont="true" borderId="8" applyBorder="true" applyNumberFormat="true" numFmtId="2" fillId="22" applyFill="true">
      <alignment horizontal="center" vertical="center"/>
    </xf>
    <xf fontId="28147" applyFont="true" borderId="8" applyBorder="true" applyNumberFormat="true" numFmtId="2" fillId="22" applyFill="true">
      <alignment horizontal="center" vertical="center"/>
    </xf>
    <xf fontId="28148" applyFont="true" borderId="8" applyBorder="true" applyNumberFormat="true" numFmtId="2" fillId="22" applyFill="true">
      <alignment horizontal="center" vertical="center"/>
    </xf>
    <xf fontId="28149" applyFont="true" borderId="8" applyBorder="true" applyNumberFormat="true" numFmtId="2" fillId="22" applyFill="true">
      <alignment horizontal="center" vertical="center"/>
    </xf>
    <xf fontId="28150" applyFont="true" borderId="8" applyBorder="true" applyNumberFormat="true" numFmtId="2" fillId="22" applyFill="true">
      <alignment horizontal="center" vertical="center"/>
    </xf>
    <xf fontId="28151" applyFont="true" borderId="8" applyBorder="true" applyNumberFormat="true" numFmtId="2" fillId="22" applyFill="true">
      <alignment horizontal="center" vertical="center"/>
    </xf>
    <xf fontId="28152" applyFont="true" borderId="8" applyBorder="true" applyNumberFormat="true" numFmtId="2" fillId="22" applyFill="true">
      <alignment horizontal="center" vertical="center"/>
    </xf>
    <xf fontId="28153" applyFont="true" borderId="8" applyBorder="true" applyNumberFormat="true" numFmtId="2" fillId="22" applyFill="true">
      <alignment horizontal="center" vertical="center"/>
    </xf>
    <xf fontId="28154" applyFont="true" borderId="8" applyBorder="true" applyNumberFormat="true" numFmtId="2" fillId="22" applyFill="true">
      <alignment horizontal="center" vertical="center"/>
    </xf>
    <xf fontId="28155" applyFont="true" borderId="8" applyBorder="true" applyNumberFormat="true" numFmtId="2" fillId="22" applyFill="true">
      <alignment horizontal="center" vertical="center"/>
    </xf>
    <xf fontId="28156" applyFont="true" borderId="8" applyBorder="true" applyNumberFormat="true" numFmtId="2" fillId="22" applyFill="true">
      <alignment horizontal="center" vertical="center"/>
    </xf>
    <xf fontId="28157" applyFont="true" borderId="8" applyBorder="true" applyNumberFormat="true" numFmtId="2" fillId="22" applyFill="true">
      <alignment horizontal="center" vertical="center"/>
    </xf>
    <xf fontId="28158" applyFont="true" borderId="8" applyBorder="true" applyNumberFormat="true" numFmtId="2" fillId="22" applyFill="true">
      <alignment horizontal="center" vertical="center"/>
    </xf>
    <xf fontId="28159" applyFont="true" borderId="8" applyBorder="true" applyNumberFormat="true" numFmtId="2" fillId="22" applyFill="true">
      <alignment horizontal="center" vertical="center"/>
    </xf>
    <xf fontId="28160" applyFont="true" borderId="8" applyBorder="true" applyNumberFormat="true" numFmtId="2" fillId="22" applyFill="true">
      <alignment horizontal="center" vertical="center"/>
    </xf>
    <xf fontId="28161" applyFont="true" borderId="8" applyBorder="true" applyNumberFormat="true" numFmtId="165" fillId="19" applyFill="true">
      <alignment horizontal="left" vertical="center"/>
    </xf>
    <xf fontId="28162" applyFont="true" borderId="8" applyBorder="true" applyNumberFormat="true" numFmtId="165" fillId="22" applyFill="true">
      <alignment horizontal="center" vertical="center"/>
    </xf>
    <xf fontId="28163" applyFont="true" borderId="8" applyBorder="true" applyNumberFormat="true" numFmtId="166" fillId="22" applyFill="true">
      <alignment horizontal="center" vertical="center"/>
    </xf>
    <xf fontId="28164" applyFont="true" borderId="8" applyBorder="true" applyNumberFormat="true" numFmtId="1" fillId="22" applyFill="true">
      <alignment horizontal="center" vertical="center"/>
    </xf>
    <xf fontId="28165" applyFont="true" borderId="8" applyBorder="true" applyNumberFormat="true" numFmtId="1" fillId="22" applyFill="true">
      <alignment horizontal="center" vertical="center"/>
    </xf>
    <xf fontId="28166" applyFont="true" borderId="8" applyBorder="true" applyNumberFormat="true" numFmtId="1" fillId="22" applyFill="true">
      <alignment horizontal="center" vertical="center"/>
    </xf>
    <xf fontId="28167" applyFont="true" borderId="8" applyBorder="true" applyNumberFormat="true" numFmtId="1" fillId="22" applyFill="true">
      <alignment horizontal="center" vertical="center"/>
    </xf>
    <xf fontId="28168" applyFont="true" borderId="8" applyBorder="true" applyNumberFormat="true" numFmtId="1" fillId="22" applyFill="true">
      <alignment horizontal="center" vertical="center"/>
    </xf>
    <xf fontId="28169" applyFont="true" borderId="8" applyBorder="true" applyNumberFormat="true" numFmtId="1" fillId="22" applyFill="true">
      <alignment horizontal="center" vertical="center"/>
    </xf>
    <xf fontId="28170" applyFont="true" borderId="8" applyBorder="true" applyNumberFormat="true" numFmtId="1" fillId="22" applyFill="true">
      <alignment horizontal="center" vertical="center"/>
    </xf>
    <xf fontId="28171" applyFont="true" borderId="8" applyBorder="true" applyNumberFormat="true" numFmtId="165" fillId="22" applyFill="true">
      <alignment horizontal="center" vertical="center"/>
    </xf>
    <xf fontId="28172" applyFont="true" borderId="8" applyBorder="true" applyNumberFormat="true" numFmtId="165" fillId="22" applyFill="true">
      <alignment horizontal="center" vertical="center"/>
    </xf>
    <xf fontId="28173" applyFont="true" borderId="8" applyBorder="true" applyNumberFormat="true" numFmtId="1" fillId="22" applyFill="true">
      <alignment horizontal="center" vertical="center"/>
    </xf>
    <xf fontId="28174" applyFont="true" borderId="8" applyBorder="true" applyNumberFormat="true" numFmtId="1" fillId="22" applyFill="true">
      <alignment horizontal="center" vertical="center"/>
    </xf>
    <xf fontId="28175" applyFont="true" borderId="8" applyBorder="true" applyNumberFormat="true" numFmtId="1" fillId="22" applyFill="true">
      <alignment horizontal="center" vertical="center"/>
    </xf>
    <xf fontId="28176" applyFont="true" borderId="8" applyBorder="true" applyNumberFormat="true" numFmtId="167" fillId="22" applyFill="true">
      <alignment horizontal="center" vertical="center"/>
    </xf>
    <xf fontId="28177" applyFont="true" borderId="8" applyBorder="true" applyNumberFormat="true" numFmtId="1" fillId="22" applyFill="true">
      <alignment horizontal="center" vertical="center"/>
    </xf>
    <xf fontId="28178" applyFont="true" borderId="8" applyBorder="true" applyNumberFormat="true" numFmtId="167" fillId="22" applyFill="true">
      <alignment horizontal="center" vertical="center"/>
    </xf>
    <xf fontId="28179" applyFont="true" borderId="8" applyBorder="true" applyNumberFormat="true" numFmtId="1" fillId="22" applyFill="true">
      <alignment horizontal="center" vertical="center"/>
    </xf>
    <xf fontId="28180" applyFont="true" borderId="8" applyBorder="true" applyNumberFormat="true" numFmtId="167" fillId="22" applyFill="true">
      <alignment horizontal="center" vertical="center"/>
    </xf>
    <xf fontId="28181" applyFont="true" borderId="8" applyBorder="true" applyNumberFormat="true" numFmtId="1" fillId="22" applyFill="true">
      <alignment horizontal="center" vertical="center"/>
    </xf>
    <xf fontId="28182" applyFont="true" borderId="8" applyBorder="true" applyNumberFormat="true" numFmtId="167" fillId="22" applyFill="true">
      <alignment horizontal="center" vertical="center"/>
    </xf>
    <xf fontId="28183" applyFont="true" borderId="8" applyBorder="true" applyNumberFormat="true" numFmtId="167" fillId="22" applyFill="true">
      <alignment horizontal="center" vertical="center"/>
    </xf>
    <xf fontId="28184" applyFont="true" borderId="8" applyBorder="true" applyNumberFormat="true" numFmtId="1" fillId="22" applyFill="true">
      <alignment horizontal="center" vertical="center"/>
    </xf>
    <xf fontId="28185" applyFont="true" borderId="8" applyBorder="true" applyNumberFormat="true" numFmtId="1" fillId="22" applyFill="true">
      <alignment horizontal="center" vertical="center"/>
    </xf>
    <xf fontId="28186" applyFont="true" borderId="8" applyBorder="true" applyNumberFormat="true" numFmtId="1" fillId="22" applyFill="true">
      <alignment horizontal="center" vertical="center"/>
    </xf>
    <xf fontId="28187" applyFont="true" borderId="8" applyBorder="true" applyNumberFormat="true" numFmtId="167" fillId="22" applyFill="true">
      <alignment horizontal="center" vertical="center"/>
    </xf>
    <xf fontId="28188" applyFont="true" borderId="8" applyBorder="true" applyNumberFormat="true" numFmtId="166" fillId="22" applyFill="true">
      <alignment horizontal="center" vertical="center"/>
    </xf>
    <xf fontId="28189" applyFont="true" borderId="8" applyBorder="true" applyNumberFormat="true" numFmtId="166" fillId="22" applyFill="true">
      <alignment horizontal="center" vertical="center"/>
    </xf>
    <xf fontId="28190" applyFont="true" borderId="8" applyBorder="true" applyNumberFormat="true" numFmtId="1" fillId="22" applyFill="true">
      <alignment horizontal="center" vertical="center"/>
    </xf>
    <xf fontId="28191" applyFont="true" borderId="8" applyBorder="true" applyNumberFormat="true" numFmtId="1" fillId="22" applyFill="true">
      <alignment horizontal="center" vertical="center"/>
    </xf>
    <xf fontId="28192" applyFont="true" borderId="8" applyBorder="true" applyNumberFormat="true" numFmtId="1" fillId="22" applyFill="true">
      <alignment horizontal="center" vertical="center"/>
    </xf>
    <xf fontId="28193" applyFont="true" borderId="8" applyBorder="true" applyNumberFormat="true" numFmtId="167" fillId="22" applyFill="true">
      <alignment horizontal="center" vertical="center"/>
    </xf>
    <xf fontId="28194" applyFont="true" borderId="8" applyBorder="true" applyNumberFormat="true" numFmtId="1" fillId="22" applyFill="true">
      <alignment horizontal="center" vertical="center"/>
    </xf>
    <xf fontId="28195" applyFont="true" borderId="8" applyBorder="true" applyNumberFormat="true" numFmtId="167" fillId="22" applyFill="true">
      <alignment horizontal="center" vertical="center"/>
    </xf>
    <xf fontId="28196" applyFont="true" borderId="8" applyBorder="true" applyNumberFormat="true" numFmtId="1" fillId="22" applyFill="true">
      <alignment horizontal="center" vertical="center"/>
    </xf>
    <xf fontId="28197" applyFont="true" borderId="8" applyBorder="true" applyNumberFormat="true" numFmtId="1" fillId="22" applyFill="true">
      <alignment horizontal="center" vertical="center"/>
    </xf>
    <xf fontId="28198" applyFont="true" borderId="8" applyBorder="true" applyNumberFormat="true" numFmtId="1" fillId="22" applyFill="true">
      <alignment horizontal="center" vertical="center"/>
    </xf>
    <xf fontId="28199" applyFont="true" borderId="8" applyBorder="true" applyNumberFormat="true" numFmtId="1" fillId="22" applyFill="true">
      <alignment horizontal="center" vertical="center"/>
    </xf>
    <xf fontId="28200" applyFont="true" borderId="8" applyBorder="true" applyNumberFormat="true" numFmtId="167" fillId="22" applyFill="true">
      <alignment horizontal="center" vertical="center"/>
    </xf>
    <xf fontId="28201" applyFont="true" borderId="8" applyBorder="true" applyNumberFormat="true" numFmtId="1" fillId="22" applyFill="true">
      <alignment horizontal="center" vertical="center"/>
    </xf>
    <xf fontId="28202" applyFont="true" borderId="8" applyBorder="true" applyNumberFormat="true" numFmtId="167" fillId="22" applyFill="true">
      <alignment horizontal="center" vertical="center"/>
    </xf>
    <xf fontId="28203" applyFont="true" borderId="8" applyBorder="true" applyNumberFormat="true" numFmtId="1" fillId="22" applyFill="true">
      <alignment horizontal="center" vertical="center"/>
    </xf>
    <xf fontId="28204" applyFont="true" borderId="8" applyBorder="true" applyNumberFormat="true" numFmtId="167" fillId="22" applyFill="true">
      <alignment horizontal="center" vertical="center"/>
    </xf>
    <xf fontId="28205" applyFont="true" borderId="8" applyBorder="true" applyNumberFormat="true" numFmtId="2" fillId="22" applyFill="true">
      <alignment horizontal="center" vertical="center"/>
    </xf>
    <xf fontId="28206" applyFont="true" borderId="8" applyBorder="true" applyNumberFormat="true" numFmtId="2" fillId="22" applyFill="true">
      <alignment horizontal="center" vertical="center"/>
    </xf>
    <xf fontId="28207" applyFont="true" borderId="8" applyBorder="true" applyNumberFormat="true" numFmtId="2" fillId="22" applyFill="true">
      <alignment horizontal="center" vertical="center"/>
    </xf>
    <xf fontId="28208" applyFont="true" borderId="8" applyBorder="true" applyNumberFormat="true" numFmtId="2" fillId="22" applyFill="true">
      <alignment horizontal="center" vertical="center"/>
    </xf>
    <xf fontId="28209" applyFont="true" borderId="8" applyBorder="true" applyNumberFormat="true" numFmtId="2" fillId="22" applyFill="true">
      <alignment horizontal="center" vertical="center"/>
    </xf>
    <xf fontId="28210" applyFont="true" borderId="8" applyBorder="true" applyNumberFormat="true" numFmtId="2" fillId="22" applyFill="true">
      <alignment horizontal="center" vertical="center"/>
    </xf>
    <xf fontId="28211" applyFont="true" borderId="8" applyBorder="true" applyNumberFormat="true" numFmtId="2" fillId="22" applyFill="true">
      <alignment horizontal="center" vertical="center"/>
    </xf>
    <xf fontId="28212" applyFont="true" borderId="8" applyBorder="true" applyNumberFormat="true" numFmtId="2" fillId="22" applyFill="true">
      <alignment horizontal="center" vertical="center"/>
    </xf>
    <xf fontId="28213" applyFont="true" borderId="8" applyBorder="true" applyNumberFormat="true" numFmtId="2" fillId="22" applyFill="true">
      <alignment horizontal="center" vertical="center"/>
    </xf>
    <xf fontId="28214" applyFont="true" borderId="8" applyBorder="true" applyNumberFormat="true" numFmtId="2" fillId="22" applyFill="true">
      <alignment horizontal="center" vertical="center"/>
    </xf>
    <xf fontId="28215" applyFont="true" borderId="8" applyBorder="true" applyNumberFormat="true" numFmtId="2" fillId="22" applyFill="true">
      <alignment horizontal="center" vertical="center"/>
    </xf>
    <xf fontId="28216" applyFont="true" borderId="8" applyBorder="true" applyNumberFormat="true" numFmtId="2" fillId="22" applyFill="true">
      <alignment horizontal="center" vertical="center"/>
    </xf>
    <xf fontId="28217" applyFont="true" borderId="8" applyBorder="true" applyNumberFormat="true" numFmtId="2" fillId="22" applyFill="true">
      <alignment horizontal="center" vertical="center"/>
    </xf>
    <xf fontId="28218" applyFont="true" borderId="8" applyBorder="true" applyNumberFormat="true" numFmtId="2" fillId="22" applyFill="true">
      <alignment horizontal="center" vertical="center"/>
    </xf>
    <xf fontId="28219" applyFont="true" borderId="8" applyBorder="true" applyNumberFormat="true" numFmtId="2" fillId="22" applyFill="true">
      <alignment horizontal="center" vertical="center"/>
    </xf>
    <xf fontId="28220" applyFont="true" borderId="8" applyBorder="true" applyNumberFormat="true" numFmtId="2" fillId="22" applyFill="true">
      <alignment horizontal="center" vertical="center"/>
    </xf>
    <xf fontId="28221" applyFont="true" borderId="8" applyBorder="true" applyNumberFormat="true" numFmtId="2" fillId="22" applyFill="true">
      <alignment horizontal="center" vertical="center"/>
    </xf>
    <xf fontId="28222" applyFont="true" borderId="8" applyBorder="true" applyNumberFormat="true" numFmtId="2" fillId="22" applyFill="true">
      <alignment horizontal="center" vertical="center"/>
    </xf>
    <xf fontId="28223" applyFont="true" borderId="8" applyBorder="true" applyNumberFormat="true" numFmtId="2" fillId="22" applyFill="true">
      <alignment horizontal="center" vertical="center"/>
    </xf>
    <xf fontId="28224" applyFont="true" borderId="8" applyBorder="true" applyNumberFormat="true" numFmtId="2" fillId="22" applyFill="true">
      <alignment horizontal="center" vertical="center"/>
    </xf>
    <xf fontId="28225" applyFont="true" borderId="8" applyBorder="true" applyNumberFormat="true" numFmtId="2" fillId="22" applyFill="true">
      <alignment horizontal="center" vertical="center"/>
    </xf>
    <xf fontId="28226" applyFont="true" borderId="8" applyBorder="true" applyNumberFormat="true" numFmtId="2" fillId="22" applyFill="true">
      <alignment horizontal="center" vertical="center"/>
    </xf>
    <xf fontId="28227" applyFont="true" borderId="8" applyBorder="true" applyNumberFormat="true" numFmtId="2" fillId="22" applyFill="true">
      <alignment horizontal="center" vertical="center"/>
    </xf>
    <xf fontId="28228" applyFont="true" borderId="8" applyBorder="true" applyNumberFormat="true" numFmtId="2" fillId="22" applyFill="true">
      <alignment horizontal="center" vertical="center"/>
    </xf>
    <xf fontId="28229" applyFont="true" borderId="8" applyBorder="true" applyNumberFormat="true" numFmtId="2" fillId="22" applyFill="true">
      <alignment horizontal="center" vertical="center"/>
    </xf>
    <xf fontId="28230" applyFont="true" borderId="8" applyBorder="true" applyNumberFormat="true" numFmtId="2" fillId="22" applyFill="true">
      <alignment horizontal="center" vertical="center"/>
    </xf>
    <xf fontId="28231" applyFont="true" borderId="8" applyBorder="true" applyNumberFormat="true" numFmtId="2" fillId="22" applyFill="true">
      <alignment horizontal="center" vertical="center"/>
    </xf>
    <xf fontId="28232" applyFont="true" borderId="8" applyBorder="true" applyNumberFormat="true" numFmtId="2" fillId="22" applyFill="true">
      <alignment horizontal="center" vertical="center"/>
    </xf>
    <xf fontId="28233" applyFont="true" borderId="8" applyBorder="true" applyNumberFormat="true" numFmtId="2" fillId="22" applyFill="true">
      <alignment horizontal="center" vertical="center"/>
    </xf>
    <xf fontId="28234" applyFont="true" borderId="8" applyBorder="true" applyNumberFormat="true" numFmtId="2" fillId="22" applyFill="true">
      <alignment horizontal="center" vertical="center"/>
    </xf>
    <xf fontId="28235" applyFont="true" borderId="8" applyBorder="true" applyNumberFormat="true" numFmtId="2" fillId="22" applyFill="true">
      <alignment horizontal="center" vertical="center"/>
    </xf>
    <xf fontId="28236" applyFont="true" borderId="8" applyBorder="true" applyNumberFormat="true" numFmtId="2" fillId="22" applyFill="true">
      <alignment horizontal="center" vertical="center"/>
    </xf>
    <xf fontId="28237" applyFont="true" borderId="8" applyBorder="true" applyNumberFormat="true" numFmtId="2" fillId="22" applyFill="true">
      <alignment horizontal="center" vertical="center"/>
    </xf>
    <xf fontId="28238" applyFont="true" borderId="8" applyBorder="true" applyNumberFormat="true" numFmtId="2" fillId="22" applyFill="true">
      <alignment horizontal="center" vertical="center"/>
    </xf>
    <xf fontId="28239" applyFont="true" borderId="8" applyBorder="true" applyNumberFormat="true" numFmtId="165" fillId="19" applyFill="true">
      <alignment horizontal="left" vertical="center"/>
    </xf>
    <xf fontId="28240" applyFont="true" borderId="8" applyBorder="true" applyNumberFormat="true" numFmtId="165" fillId="22" applyFill="true">
      <alignment horizontal="center" vertical="center"/>
    </xf>
    <xf fontId="28241" applyFont="true" borderId="8" applyBorder="true" applyNumberFormat="true" numFmtId="166" fillId="22" applyFill="true">
      <alignment horizontal="center" vertical="center"/>
    </xf>
    <xf fontId="28242" applyFont="true" borderId="8" applyBorder="true" applyNumberFormat="true" numFmtId="1" fillId="22" applyFill="true">
      <alignment horizontal="center" vertical="center"/>
    </xf>
    <xf fontId="28243" applyFont="true" borderId="8" applyBorder="true" applyNumberFormat="true" numFmtId="1" fillId="22" applyFill="true">
      <alignment horizontal="center" vertical="center"/>
    </xf>
    <xf fontId="28244" applyFont="true" borderId="8" applyBorder="true" applyNumberFormat="true" numFmtId="1" fillId="22" applyFill="true">
      <alignment horizontal="center" vertical="center"/>
    </xf>
    <xf fontId="28245" applyFont="true" borderId="8" applyBorder="true" applyNumberFormat="true" numFmtId="1" fillId="22" applyFill="true">
      <alignment horizontal="center" vertical="center"/>
    </xf>
    <xf fontId="28246" applyFont="true" borderId="8" applyBorder="true" applyNumberFormat="true" numFmtId="1" fillId="22" applyFill="true">
      <alignment horizontal="center" vertical="center"/>
    </xf>
    <xf fontId="28247" applyFont="true" borderId="8" applyBorder="true" applyNumberFormat="true" numFmtId="1" fillId="22" applyFill="true">
      <alignment horizontal="center" vertical="center"/>
    </xf>
    <xf fontId="28248" applyFont="true" borderId="8" applyBorder="true" applyNumberFormat="true" numFmtId="1" fillId="22" applyFill="true">
      <alignment horizontal="center" vertical="center"/>
    </xf>
    <xf fontId="28249" applyFont="true" borderId="8" applyBorder="true" applyNumberFormat="true" numFmtId="165" fillId="22" applyFill="true">
      <alignment horizontal="center" vertical="center"/>
    </xf>
    <xf fontId="28250" applyFont="true" borderId="8" applyBorder="true" applyNumberFormat="true" numFmtId="165" fillId="22" applyFill="true">
      <alignment horizontal="center" vertical="center"/>
    </xf>
    <xf fontId="28251" applyFont="true" borderId="8" applyBorder="true" applyNumberFormat="true" numFmtId="1" fillId="22" applyFill="true">
      <alignment horizontal="center" vertical="center"/>
    </xf>
    <xf fontId="28252" applyFont="true" borderId="8" applyBorder="true" applyNumberFormat="true" numFmtId="1" fillId="22" applyFill="true">
      <alignment horizontal="center" vertical="center"/>
    </xf>
    <xf fontId="28253" applyFont="true" borderId="8" applyBorder="true" applyNumberFormat="true" numFmtId="1" fillId="22" applyFill="true">
      <alignment horizontal="center" vertical="center"/>
    </xf>
    <xf fontId="28254" applyFont="true" borderId="8" applyBorder="true" applyNumberFormat="true" numFmtId="167" fillId="22" applyFill="true">
      <alignment horizontal="center" vertical="center"/>
    </xf>
    <xf fontId="28255" applyFont="true" borderId="8" applyBorder="true" applyNumberFormat="true" numFmtId="1" fillId="22" applyFill="true">
      <alignment horizontal="center" vertical="center"/>
    </xf>
    <xf fontId="28256" applyFont="true" borderId="8" applyBorder="true" applyNumberFormat="true" numFmtId="167" fillId="22" applyFill="true">
      <alignment horizontal="center" vertical="center"/>
    </xf>
    <xf fontId="28257" applyFont="true" borderId="8" applyBorder="true" applyNumberFormat="true" numFmtId="1" fillId="22" applyFill="true">
      <alignment horizontal="center" vertical="center"/>
    </xf>
    <xf fontId="28258" applyFont="true" borderId="8" applyBorder="true" applyNumberFormat="true" numFmtId="167" fillId="22" applyFill="true">
      <alignment horizontal="center" vertical="center"/>
    </xf>
    <xf fontId="28259" applyFont="true" borderId="8" applyBorder="true" applyNumberFormat="true" numFmtId="1" fillId="22" applyFill="true">
      <alignment horizontal="center" vertical="center"/>
    </xf>
    <xf fontId="28260" applyFont="true" borderId="8" applyBorder="true" applyNumberFormat="true" numFmtId="167" fillId="22" applyFill="true">
      <alignment horizontal="center" vertical="center"/>
    </xf>
    <xf fontId="28261" applyFont="true" borderId="8" applyBorder="true" applyNumberFormat="true" numFmtId="167" fillId="22" applyFill="true">
      <alignment horizontal="center" vertical="center"/>
    </xf>
    <xf fontId="28262" applyFont="true" borderId="8" applyBorder="true" applyNumberFormat="true" numFmtId="1" fillId="22" applyFill="true">
      <alignment horizontal="center" vertical="center"/>
    </xf>
    <xf fontId="28263" applyFont="true" borderId="8" applyBorder="true" applyNumberFormat="true" numFmtId="1" fillId="22" applyFill="true">
      <alignment horizontal="center" vertical="center"/>
    </xf>
    <xf fontId="28264" applyFont="true" borderId="8" applyBorder="true" applyNumberFormat="true" numFmtId="1" fillId="22" applyFill="true">
      <alignment horizontal="center" vertical="center"/>
    </xf>
    <xf fontId="28265" applyFont="true" borderId="8" applyBorder="true" applyNumberFormat="true" numFmtId="167" fillId="22" applyFill="true">
      <alignment horizontal="center" vertical="center"/>
    </xf>
    <xf fontId="28266" applyFont="true" borderId="8" applyBorder="true" applyNumberFormat="true" numFmtId="166" fillId="22" applyFill="true">
      <alignment horizontal="center" vertical="center"/>
    </xf>
    <xf fontId="28267" applyFont="true" borderId="8" applyBorder="true" applyNumberFormat="true" numFmtId="166" fillId="22" applyFill="true">
      <alignment horizontal="center" vertical="center"/>
    </xf>
    <xf fontId="28268" applyFont="true" borderId="8" applyBorder="true" applyNumberFormat="true" numFmtId="1" fillId="22" applyFill="true">
      <alignment horizontal="center" vertical="center"/>
    </xf>
    <xf fontId="28269" applyFont="true" borderId="8" applyBorder="true" applyNumberFormat="true" numFmtId="1" fillId="22" applyFill="true">
      <alignment horizontal="center" vertical="center"/>
    </xf>
    <xf fontId="28270" applyFont="true" borderId="8" applyBorder="true" applyNumberFormat="true" numFmtId="1" fillId="22" applyFill="true">
      <alignment horizontal="center" vertical="center"/>
    </xf>
    <xf fontId="28271" applyFont="true" borderId="8" applyBorder="true" applyNumberFormat="true" numFmtId="167" fillId="22" applyFill="true">
      <alignment horizontal="center" vertical="center"/>
    </xf>
    <xf fontId="28272" applyFont="true" borderId="8" applyBorder="true" applyNumberFormat="true" numFmtId="1" fillId="22" applyFill="true">
      <alignment horizontal="center" vertical="center"/>
    </xf>
    <xf fontId="28273" applyFont="true" borderId="8" applyBorder="true" applyNumberFormat="true" numFmtId="167" fillId="22" applyFill="true">
      <alignment horizontal="center" vertical="center"/>
    </xf>
    <xf fontId="28274" applyFont="true" borderId="8" applyBorder="true" applyNumberFormat="true" numFmtId="1" fillId="22" applyFill="true">
      <alignment horizontal="center" vertical="center"/>
    </xf>
    <xf fontId="28275" applyFont="true" borderId="8" applyBorder="true" applyNumberFormat="true" numFmtId="1" fillId="22" applyFill="true">
      <alignment horizontal="center" vertical="center"/>
    </xf>
    <xf fontId="28276" applyFont="true" borderId="8" applyBorder="true" applyNumberFormat="true" numFmtId="1" fillId="22" applyFill="true">
      <alignment horizontal="center" vertical="center"/>
    </xf>
    <xf fontId="28277" applyFont="true" borderId="8" applyBorder="true" applyNumberFormat="true" numFmtId="1" fillId="22" applyFill="true">
      <alignment horizontal="center" vertical="center"/>
    </xf>
    <xf fontId="28278" applyFont="true" borderId="8" applyBorder="true" applyNumberFormat="true" numFmtId="167" fillId="22" applyFill="true">
      <alignment horizontal="center" vertical="center"/>
    </xf>
    <xf fontId="28279" applyFont="true" borderId="8" applyBorder="true" applyNumberFormat="true" numFmtId="1" fillId="22" applyFill="true">
      <alignment horizontal="center" vertical="center"/>
    </xf>
    <xf fontId="28280" applyFont="true" borderId="8" applyBorder="true" applyNumberFormat="true" numFmtId="167" fillId="22" applyFill="true">
      <alignment horizontal="center" vertical="center"/>
    </xf>
    <xf fontId="28281" applyFont="true" borderId="8" applyBorder="true" applyNumberFormat="true" numFmtId="1" fillId="22" applyFill="true">
      <alignment horizontal="center" vertical="center"/>
    </xf>
    <xf fontId="28282" applyFont="true" borderId="8" applyBorder="true" applyNumberFormat="true" numFmtId="167" fillId="22" applyFill="true">
      <alignment horizontal="center" vertical="center"/>
    </xf>
    <xf fontId="28283" applyFont="true" borderId="8" applyBorder="true" applyNumberFormat="true" numFmtId="2" fillId="22" applyFill="true">
      <alignment horizontal="center" vertical="center"/>
    </xf>
    <xf fontId="28284" applyFont="true" borderId="8" applyBorder="true" applyNumberFormat="true" numFmtId="2" fillId="22" applyFill="true">
      <alignment horizontal="center" vertical="center"/>
    </xf>
    <xf fontId="28285" applyFont="true" borderId="8" applyBorder="true" applyNumberFormat="true" numFmtId="2" fillId="22" applyFill="true">
      <alignment horizontal="center" vertical="center"/>
    </xf>
    <xf fontId="28286" applyFont="true" borderId="8" applyBorder="true" applyNumberFormat="true" numFmtId="2" fillId="22" applyFill="true">
      <alignment horizontal="center" vertical="center"/>
    </xf>
    <xf fontId="28287" applyFont="true" borderId="8" applyBorder="true" applyNumberFormat="true" numFmtId="2" fillId="22" applyFill="true">
      <alignment horizontal="center" vertical="center"/>
    </xf>
    <xf fontId="28288" applyFont="true" borderId="8" applyBorder="true" applyNumberFormat="true" numFmtId="2" fillId="22" applyFill="true">
      <alignment horizontal="center" vertical="center"/>
    </xf>
    <xf fontId="28289" applyFont="true" borderId="8" applyBorder="true" applyNumberFormat="true" numFmtId="2" fillId="22" applyFill="true">
      <alignment horizontal="center" vertical="center"/>
    </xf>
    <xf fontId="28290" applyFont="true" borderId="8" applyBorder="true" applyNumberFormat="true" numFmtId="2" fillId="22" applyFill="true">
      <alignment horizontal="center" vertical="center"/>
    </xf>
    <xf fontId="28291" applyFont="true" borderId="8" applyBorder="true" applyNumberFormat="true" numFmtId="2" fillId="22" applyFill="true">
      <alignment horizontal="center" vertical="center"/>
    </xf>
    <xf fontId="28292" applyFont="true" borderId="8" applyBorder="true" applyNumberFormat="true" numFmtId="2" fillId="22" applyFill="true">
      <alignment horizontal="center" vertical="center"/>
    </xf>
    <xf fontId="28293" applyFont="true" borderId="8" applyBorder="true" applyNumberFormat="true" numFmtId="2" fillId="22" applyFill="true">
      <alignment horizontal="center" vertical="center"/>
    </xf>
    <xf fontId="28294" applyFont="true" borderId="8" applyBorder="true" applyNumberFormat="true" numFmtId="2" fillId="22" applyFill="true">
      <alignment horizontal="center" vertical="center"/>
    </xf>
    <xf fontId="28295" applyFont="true" borderId="8" applyBorder="true" applyNumberFormat="true" numFmtId="2" fillId="22" applyFill="true">
      <alignment horizontal="center" vertical="center"/>
    </xf>
    <xf fontId="28296" applyFont="true" borderId="8" applyBorder="true" applyNumberFormat="true" numFmtId="2" fillId="22" applyFill="true">
      <alignment horizontal="center" vertical="center"/>
    </xf>
    <xf fontId="28297" applyFont="true" borderId="8" applyBorder="true" applyNumberFormat="true" numFmtId="2" fillId="22" applyFill="true">
      <alignment horizontal="center" vertical="center"/>
    </xf>
    <xf fontId="28298" applyFont="true" borderId="8" applyBorder="true" applyNumberFormat="true" numFmtId="2" fillId="22" applyFill="true">
      <alignment horizontal="center" vertical="center"/>
    </xf>
    <xf fontId="28299" applyFont="true" borderId="8" applyBorder="true" applyNumberFormat="true" numFmtId="2" fillId="22" applyFill="true">
      <alignment horizontal="center" vertical="center"/>
    </xf>
    <xf fontId="28300" applyFont="true" borderId="8" applyBorder="true" applyNumberFormat="true" numFmtId="2" fillId="22" applyFill="true">
      <alignment horizontal="center" vertical="center"/>
    </xf>
    <xf fontId="28301" applyFont="true" borderId="8" applyBorder="true" applyNumberFormat="true" numFmtId="2" fillId="22" applyFill="true">
      <alignment horizontal="center" vertical="center"/>
    </xf>
    <xf fontId="28302" applyFont="true" borderId="8" applyBorder="true" applyNumberFormat="true" numFmtId="2" fillId="22" applyFill="true">
      <alignment horizontal="center" vertical="center"/>
    </xf>
    <xf fontId="28303" applyFont="true" borderId="8" applyBorder="true" applyNumberFormat="true" numFmtId="2" fillId="22" applyFill="true">
      <alignment horizontal="center" vertical="center"/>
    </xf>
    <xf fontId="28304" applyFont="true" borderId="8" applyBorder="true" applyNumberFormat="true" numFmtId="2" fillId="22" applyFill="true">
      <alignment horizontal="center" vertical="center"/>
    </xf>
    <xf fontId="28305" applyFont="true" borderId="8" applyBorder="true" applyNumberFormat="true" numFmtId="2" fillId="22" applyFill="true">
      <alignment horizontal="center" vertical="center"/>
    </xf>
    <xf fontId="28306" applyFont="true" borderId="8" applyBorder="true" applyNumberFormat="true" numFmtId="2" fillId="22" applyFill="true">
      <alignment horizontal="center" vertical="center"/>
    </xf>
    <xf fontId="28307" applyFont="true" borderId="8" applyBorder="true" applyNumberFormat="true" numFmtId="2" fillId="22" applyFill="true">
      <alignment horizontal="center" vertical="center"/>
    </xf>
    <xf fontId="28308" applyFont="true" borderId="8" applyBorder="true" applyNumberFormat="true" numFmtId="2" fillId="22" applyFill="true">
      <alignment horizontal="center" vertical="center"/>
    </xf>
    <xf fontId="28309" applyFont="true" borderId="8" applyBorder="true" applyNumberFormat="true" numFmtId="2" fillId="22" applyFill="true">
      <alignment horizontal="center" vertical="center"/>
    </xf>
    <xf fontId="28310" applyFont="true" borderId="8" applyBorder="true" applyNumberFormat="true" numFmtId="2" fillId="22" applyFill="true">
      <alignment horizontal="center" vertical="center"/>
    </xf>
    <xf fontId="28311" applyFont="true" borderId="8" applyBorder="true" applyNumberFormat="true" numFmtId="2" fillId="22" applyFill="true">
      <alignment horizontal="center" vertical="center"/>
    </xf>
    <xf fontId="28312" applyFont="true" borderId="8" applyBorder="true" applyNumberFormat="true" numFmtId="2" fillId="22" applyFill="true">
      <alignment horizontal="center" vertical="center"/>
    </xf>
    <xf fontId="28313" applyFont="true" borderId="8" applyBorder="true" applyNumberFormat="true" numFmtId="2" fillId="22" applyFill="true">
      <alignment horizontal="center" vertical="center"/>
    </xf>
    <xf fontId="28314" applyFont="true" borderId="8" applyBorder="true" applyNumberFormat="true" numFmtId="2" fillId="22" applyFill="true">
      <alignment horizontal="center" vertical="center"/>
    </xf>
    <xf fontId="28315" applyFont="true" borderId="8" applyBorder="true" applyNumberFormat="true" numFmtId="2" fillId="22" applyFill="true">
      <alignment horizontal="center" vertical="center"/>
    </xf>
    <xf fontId="28316" applyFont="true" borderId="8" applyBorder="true" applyNumberFormat="true" numFmtId="2" fillId="22" applyFill="true">
      <alignment horizontal="center" vertical="center"/>
    </xf>
    <xf fontId="28317" applyFont="true" borderId="8" applyBorder="true" applyNumberFormat="true" numFmtId="165" fillId="19" applyFill="true">
      <alignment horizontal="left" vertical="center"/>
    </xf>
    <xf fontId="28318" applyFont="true" borderId="8" applyBorder="true" applyNumberFormat="true" numFmtId="165" fillId="22" applyFill="true">
      <alignment horizontal="center" vertical="center"/>
    </xf>
    <xf fontId="28319" applyFont="true" borderId="8" applyBorder="true" applyNumberFormat="true" numFmtId="166" fillId="22" applyFill="true">
      <alignment horizontal="center" vertical="center"/>
    </xf>
    <xf fontId="28320" applyFont="true" borderId="8" applyBorder="true" applyNumberFormat="true" numFmtId="1" fillId="22" applyFill="true">
      <alignment horizontal="center" vertical="center"/>
    </xf>
    <xf fontId="28321" applyFont="true" borderId="8" applyBorder="true" applyNumberFormat="true" numFmtId="1" fillId="22" applyFill="true">
      <alignment horizontal="center" vertical="center"/>
    </xf>
    <xf fontId="28322" applyFont="true" borderId="8" applyBorder="true" applyNumberFormat="true" numFmtId="1" fillId="22" applyFill="true">
      <alignment horizontal="center" vertical="center"/>
    </xf>
    <xf fontId="28323" applyFont="true" borderId="8" applyBorder="true" applyNumberFormat="true" numFmtId="1" fillId="22" applyFill="true">
      <alignment horizontal="center" vertical="center"/>
    </xf>
    <xf fontId="28324" applyFont="true" borderId="8" applyBorder="true" applyNumberFormat="true" numFmtId="1" fillId="22" applyFill="true">
      <alignment horizontal="center" vertical="center"/>
    </xf>
    <xf fontId="28325" applyFont="true" borderId="8" applyBorder="true" applyNumberFormat="true" numFmtId="1" fillId="22" applyFill="true">
      <alignment horizontal="center" vertical="center"/>
    </xf>
    <xf fontId="28326" applyFont="true" borderId="8" applyBorder="true" applyNumberFormat="true" numFmtId="1" fillId="22" applyFill="true">
      <alignment horizontal="center" vertical="center"/>
    </xf>
    <xf fontId="28327" applyFont="true" borderId="8" applyBorder="true" applyNumberFormat="true" numFmtId="165" fillId="22" applyFill="true">
      <alignment horizontal="center" vertical="center"/>
    </xf>
    <xf fontId="28328" applyFont="true" borderId="8" applyBorder="true" applyNumberFormat="true" numFmtId="165" fillId="22" applyFill="true">
      <alignment horizontal="center" vertical="center"/>
    </xf>
    <xf fontId="28329" applyFont="true" borderId="8" applyBorder="true" applyNumberFormat="true" numFmtId="1" fillId="22" applyFill="true">
      <alignment horizontal="center" vertical="center"/>
    </xf>
    <xf fontId="28330" applyFont="true" borderId="8" applyBorder="true" applyNumberFormat="true" numFmtId="1" fillId="22" applyFill="true">
      <alignment horizontal="center" vertical="center"/>
    </xf>
    <xf fontId="28331" applyFont="true" borderId="8" applyBorder="true" applyNumberFormat="true" numFmtId="1" fillId="22" applyFill="true">
      <alignment horizontal="center" vertical="center"/>
    </xf>
    <xf fontId="28332" applyFont="true" borderId="8" applyBorder="true" applyNumberFormat="true" numFmtId="167" fillId="22" applyFill="true">
      <alignment horizontal="center" vertical="center"/>
    </xf>
    <xf fontId="28333" applyFont="true" borderId="8" applyBorder="true" applyNumberFormat="true" numFmtId="1" fillId="22" applyFill="true">
      <alignment horizontal="center" vertical="center"/>
    </xf>
    <xf fontId="28334" applyFont="true" borderId="8" applyBorder="true" applyNumberFormat="true" numFmtId="167" fillId="22" applyFill="true">
      <alignment horizontal="center" vertical="center"/>
    </xf>
    <xf fontId="28335" applyFont="true" borderId="8" applyBorder="true" applyNumberFormat="true" numFmtId="1" fillId="22" applyFill="true">
      <alignment horizontal="center" vertical="center"/>
    </xf>
    <xf fontId="28336" applyFont="true" borderId="8" applyBorder="true" applyNumberFormat="true" numFmtId="167" fillId="22" applyFill="true">
      <alignment horizontal="center" vertical="center"/>
    </xf>
    <xf fontId="28337" applyFont="true" borderId="8" applyBorder="true" applyNumberFormat="true" numFmtId="1" fillId="22" applyFill="true">
      <alignment horizontal="center" vertical="center"/>
    </xf>
    <xf fontId="28338" applyFont="true" borderId="8" applyBorder="true" applyNumberFormat="true" numFmtId="167" fillId="22" applyFill="true">
      <alignment horizontal="center" vertical="center"/>
    </xf>
    <xf fontId="28339" applyFont="true" borderId="8" applyBorder="true" applyNumberFormat="true" numFmtId="167" fillId="22" applyFill="true">
      <alignment horizontal="center" vertical="center"/>
    </xf>
    <xf fontId="28340" applyFont="true" borderId="8" applyBorder="true" applyNumberFormat="true" numFmtId="1" fillId="22" applyFill="true">
      <alignment horizontal="center" vertical="center"/>
    </xf>
    <xf fontId="28341" applyFont="true" borderId="8" applyBorder="true" applyNumberFormat="true" numFmtId="1" fillId="22" applyFill="true">
      <alignment horizontal="center" vertical="center"/>
    </xf>
    <xf fontId="28342" applyFont="true" borderId="8" applyBorder="true" applyNumberFormat="true" numFmtId="1" fillId="22" applyFill="true">
      <alignment horizontal="center" vertical="center"/>
    </xf>
    <xf fontId="28343" applyFont="true" borderId="8" applyBorder="true" applyNumberFormat="true" numFmtId="167" fillId="22" applyFill="true">
      <alignment horizontal="center" vertical="center"/>
    </xf>
    <xf fontId="28344" applyFont="true" borderId="8" applyBorder="true" applyNumberFormat="true" numFmtId="166" fillId="22" applyFill="true">
      <alignment horizontal="center" vertical="center"/>
    </xf>
    <xf fontId="28345" applyFont="true" borderId="8" applyBorder="true" applyNumberFormat="true" numFmtId="166" fillId="22" applyFill="true">
      <alignment horizontal="center" vertical="center"/>
    </xf>
    <xf fontId="28346" applyFont="true" borderId="8" applyBorder="true" applyNumberFormat="true" numFmtId="1" fillId="22" applyFill="true">
      <alignment horizontal="center" vertical="center"/>
    </xf>
    <xf fontId="28347" applyFont="true" borderId="8" applyBorder="true" applyNumberFormat="true" numFmtId="1" fillId="22" applyFill="true">
      <alignment horizontal="center" vertical="center"/>
    </xf>
    <xf fontId="28348" applyFont="true" borderId="8" applyBorder="true" applyNumberFormat="true" numFmtId="1" fillId="22" applyFill="true">
      <alignment horizontal="center" vertical="center"/>
    </xf>
    <xf fontId="28349" applyFont="true" borderId="8" applyBorder="true" applyNumberFormat="true" numFmtId="167" fillId="22" applyFill="true">
      <alignment horizontal="center" vertical="center"/>
    </xf>
    <xf fontId="28350" applyFont="true" borderId="8" applyBorder="true" applyNumberFormat="true" numFmtId="1" fillId="22" applyFill="true">
      <alignment horizontal="center" vertical="center"/>
    </xf>
    <xf fontId="28351" applyFont="true" borderId="8" applyBorder="true" applyNumberFormat="true" numFmtId="167" fillId="22" applyFill="true">
      <alignment horizontal="center" vertical="center"/>
    </xf>
    <xf fontId="28352" applyFont="true" borderId="8" applyBorder="true" applyNumberFormat="true" numFmtId="1" fillId="22" applyFill="true">
      <alignment horizontal="center" vertical="center"/>
    </xf>
    <xf fontId="28353" applyFont="true" borderId="8" applyBorder="true" applyNumberFormat="true" numFmtId="1" fillId="22" applyFill="true">
      <alignment horizontal="center" vertical="center"/>
    </xf>
    <xf fontId="28354" applyFont="true" borderId="8" applyBorder="true" applyNumberFormat="true" numFmtId="1" fillId="22" applyFill="true">
      <alignment horizontal="center" vertical="center"/>
    </xf>
    <xf fontId="28355" applyFont="true" borderId="8" applyBorder="true" applyNumberFormat="true" numFmtId="1" fillId="22" applyFill="true">
      <alignment horizontal="center" vertical="center"/>
    </xf>
    <xf fontId="28356" applyFont="true" borderId="8" applyBorder="true" applyNumberFormat="true" numFmtId="167" fillId="22" applyFill="true">
      <alignment horizontal="center" vertical="center"/>
    </xf>
    <xf fontId="28357" applyFont="true" borderId="8" applyBorder="true" applyNumberFormat="true" numFmtId="1" fillId="22" applyFill="true">
      <alignment horizontal="center" vertical="center"/>
    </xf>
    <xf fontId="28358" applyFont="true" borderId="8" applyBorder="true" applyNumberFormat="true" numFmtId="167" fillId="22" applyFill="true">
      <alignment horizontal="center" vertical="center"/>
    </xf>
    <xf fontId="28359" applyFont="true" borderId="8" applyBorder="true" applyNumberFormat="true" numFmtId="1" fillId="22" applyFill="true">
      <alignment horizontal="center" vertical="center"/>
    </xf>
    <xf fontId="28360" applyFont="true" borderId="8" applyBorder="true" applyNumberFormat="true" numFmtId="167" fillId="22" applyFill="true">
      <alignment horizontal="center" vertical="center"/>
    </xf>
    <xf fontId="28361" applyFont="true" borderId="8" applyBorder="true" applyNumberFormat="true" numFmtId="2" fillId="22" applyFill="true">
      <alignment horizontal="center" vertical="center"/>
    </xf>
    <xf fontId="28362" applyFont="true" borderId="8" applyBorder="true" applyNumberFormat="true" numFmtId="2" fillId="22" applyFill="true">
      <alignment horizontal="center" vertical="center"/>
    </xf>
    <xf fontId="28363" applyFont="true" borderId="8" applyBorder="true" applyNumberFormat="true" numFmtId="2" fillId="22" applyFill="true">
      <alignment horizontal="center" vertical="center"/>
    </xf>
    <xf fontId="28364" applyFont="true" borderId="8" applyBorder="true" applyNumberFormat="true" numFmtId="2" fillId="22" applyFill="true">
      <alignment horizontal="center" vertical="center"/>
    </xf>
    <xf fontId="28365" applyFont="true" borderId="8" applyBorder="true" applyNumberFormat="true" numFmtId="2" fillId="22" applyFill="true">
      <alignment horizontal="center" vertical="center"/>
    </xf>
    <xf fontId="28366" applyFont="true" borderId="8" applyBorder="true" applyNumberFormat="true" numFmtId="2" fillId="22" applyFill="true">
      <alignment horizontal="center" vertical="center"/>
    </xf>
    <xf fontId="28367" applyFont="true" borderId="8" applyBorder="true" applyNumberFormat="true" numFmtId="2" fillId="22" applyFill="true">
      <alignment horizontal="center" vertical="center"/>
    </xf>
    <xf fontId="28368" applyFont="true" borderId="8" applyBorder="true" applyNumberFormat="true" numFmtId="2" fillId="22" applyFill="true">
      <alignment horizontal="center" vertical="center"/>
    </xf>
    <xf fontId="28369" applyFont="true" borderId="8" applyBorder="true" applyNumberFormat="true" numFmtId="2" fillId="22" applyFill="true">
      <alignment horizontal="center" vertical="center"/>
    </xf>
    <xf fontId="28370" applyFont="true" borderId="8" applyBorder="true" applyNumberFormat="true" numFmtId="2" fillId="22" applyFill="true">
      <alignment horizontal="center" vertical="center"/>
    </xf>
    <xf fontId="28371" applyFont="true" borderId="8" applyBorder="true" applyNumberFormat="true" numFmtId="2" fillId="22" applyFill="true">
      <alignment horizontal="center" vertical="center"/>
    </xf>
    <xf fontId="28372" applyFont="true" borderId="8" applyBorder="true" applyNumberFormat="true" numFmtId="2" fillId="22" applyFill="true">
      <alignment horizontal="center" vertical="center"/>
    </xf>
    <xf fontId="28373" applyFont="true" borderId="8" applyBorder="true" applyNumberFormat="true" numFmtId="2" fillId="22" applyFill="true">
      <alignment horizontal="center" vertical="center"/>
    </xf>
    <xf fontId="28374" applyFont="true" borderId="8" applyBorder="true" applyNumberFormat="true" numFmtId="2" fillId="22" applyFill="true">
      <alignment horizontal="center" vertical="center"/>
    </xf>
    <xf fontId="28375" applyFont="true" borderId="8" applyBorder="true" applyNumberFormat="true" numFmtId="2" fillId="22" applyFill="true">
      <alignment horizontal="center" vertical="center"/>
    </xf>
    <xf fontId="28376" applyFont="true" borderId="8" applyBorder="true" applyNumberFormat="true" numFmtId="2" fillId="22" applyFill="true">
      <alignment horizontal="center" vertical="center"/>
    </xf>
    <xf fontId="28377" applyFont="true" borderId="8" applyBorder="true" applyNumberFormat="true" numFmtId="2" fillId="22" applyFill="true">
      <alignment horizontal="center" vertical="center"/>
    </xf>
    <xf fontId="28378" applyFont="true" borderId="8" applyBorder="true" applyNumberFormat="true" numFmtId="2" fillId="22" applyFill="true">
      <alignment horizontal="center" vertical="center"/>
    </xf>
    <xf fontId="28379" applyFont="true" borderId="8" applyBorder="true" applyNumberFormat="true" numFmtId="2" fillId="22" applyFill="true">
      <alignment horizontal="center" vertical="center"/>
    </xf>
    <xf fontId="28380" applyFont="true" borderId="8" applyBorder="true" applyNumberFormat="true" numFmtId="2" fillId="22" applyFill="true">
      <alignment horizontal="center" vertical="center"/>
    </xf>
    <xf fontId="28381" applyFont="true" borderId="8" applyBorder="true" applyNumberFormat="true" numFmtId="2" fillId="22" applyFill="true">
      <alignment horizontal="center" vertical="center"/>
    </xf>
    <xf fontId="28382" applyFont="true" borderId="8" applyBorder="true" applyNumberFormat="true" numFmtId="2" fillId="22" applyFill="true">
      <alignment horizontal="center" vertical="center"/>
    </xf>
    <xf fontId="28383" applyFont="true" borderId="8" applyBorder="true" applyNumberFormat="true" numFmtId="2" fillId="22" applyFill="true">
      <alignment horizontal="center" vertical="center"/>
    </xf>
    <xf fontId="28384" applyFont="true" borderId="8" applyBorder="true" applyNumberFormat="true" numFmtId="2" fillId="22" applyFill="true">
      <alignment horizontal="center" vertical="center"/>
    </xf>
    <xf fontId="28385" applyFont="true" borderId="8" applyBorder="true" applyNumberFormat="true" numFmtId="2" fillId="22" applyFill="true">
      <alignment horizontal="center" vertical="center"/>
    </xf>
    <xf fontId="28386" applyFont="true" borderId="8" applyBorder="true" applyNumberFormat="true" numFmtId="2" fillId="22" applyFill="true">
      <alignment horizontal="center" vertical="center"/>
    </xf>
    <xf fontId="28387" applyFont="true" borderId="8" applyBorder="true" applyNumberFormat="true" numFmtId="2" fillId="22" applyFill="true">
      <alignment horizontal="center" vertical="center"/>
    </xf>
    <xf fontId="28388" applyFont="true" borderId="8" applyBorder="true" applyNumberFormat="true" numFmtId="2" fillId="22" applyFill="true">
      <alignment horizontal="center" vertical="center"/>
    </xf>
    <xf fontId="28389" applyFont="true" borderId="8" applyBorder="true" applyNumberFormat="true" numFmtId="2" fillId="22" applyFill="true">
      <alignment horizontal="center" vertical="center"/>
    </xf>
    <xf fontId="28390" applyFont="true" borderId="8" applyBorder="true" applyNumberFormat="true" numFmtId="2" fillId="22" applyFill="true">
      <alignment horizontal="center" vertical="center"/>
    </xf>
    <xf fontId="28391" applyFont="true" borderId="8" applyBorder="true" applyNumberFormat="true" numFmtId="2" fillId="22" applyFill="true">
      <alignment horizontal="center" vertical="center"/>
    </xf>
    <xf fontId="28392" applyFont="true" borderId="8" applyBorder="true" applyNumberFormat="true" numFmtId="2" fillId="22" applyFill="true">
      <alignment horizontal="center" vertical="center"/>
    </xf>
    <xf fontId="28393" applyFont="true" borderId="8" applyBorder="true" applyNumberFormat="true" numFmtId="2" fillId="22" applyFill="true">
      <alignment horizontal="center" vertical="center"/>
    </xf>
    <xf fontId="28394" applyFont="true" borderId="8" applyBorder="true" applyNumberFormat="true" numFmtId="2" fillId="22" applyFill="true">
      <alignment horizontal="center" vertical="center"/>
    </xf>
    <xf fontId="28395" applyFont="true" borderId="8" applyBorder="true" applyNumberFormat="true" numFmtId="165" fillId="19" applyFill="true">
      <alignment horizontal="left" vertical="center"/>
    </xf>
    <xf fontId="28396" applyFont="true" borderId="8" applyBorder="true" applyNumberFormat="true" numFmtId="165" fillId="22" applyFill="true">
      <alignment horizontal="center" vertical="center"/>
    </xf>
    <xf fontId="28397" applyFont="true" borderId="8" applyBorder="true" applyNumberFormat="true" numFmtId="166" fillId="22" applyFill="true">
      <alignment horizontal="center" vertical="center"/>
    </xf>
    <xf fontId="28398" applyFont="true" borderId="8" applyBorder="true" applyNumberFormat="true" numFmtId="1" fillId="22" applyFill="true">
      <alignment horizontal="center" vertical="center"/>
    </xf>
    <xf fontId="28399" applyFont="true" borderId="8" applyBorder="true" applyNumberFormat="true" numFmtId="1" fillId="22" applyFill="true">
      <alignment horizontal="center" vertical="center"/>
    </xf>
    <xf fontId="28400" applyFont="true" borderId="8" applyBorder="true" applyNumberFormat="true" numFmtId="1" fillId="22" applyFill="true">
      <alignment horizontal="center" vertical="center"/>
    </xf>
    <xf fontId="28401" applyFont="true" borderId="8" applyBorder="true" applyNumberFormat="true" numFmtId="1" fillId="22" applyFill="true">
      <alignment horizontal="center" vertical="center"/>
    </xf>
    <xf fontId="28402" applyFont="true" borderId="8" applyBorder="true" applyNumberFormat="true" numFmtId="1" fillId="22" applyFill="true">
      <alignment horizontal="center" vertical="center"/>
    </xf>
    <xf fontId="28403" applyFont="true" borderId="8" applyBorder="true" applyNumberFormat="true" numFmtId="1" fillId="22" applyFill="true">
      <alignment horizontal="center" vertical="center"/>
    </xf>
    <xf fontId="28404" applyFont="true" borderId="8" applyBorder="true" applyNumberFormat="true" numFmtId="1" fillId="22" applyFill="true">
      <alignment horizontal="center" vertical="center"/>
    </xf>
    <xf fontId="28405" applyFont="true" borderId="8" applyBorder="true" applyNumberFormat="true" numFmtId="165" fillId="22" applyFill="true">
      <alignment horizontal="center" vertical="center"/>
    </xf>
    <xf fontId="28406" applyFont="true" borderId="8" applyBorder="true" applyNumberFormat="true" numFmtId="165" fillId="22" applyFill="true">
      <alignment horizontal="center" vertical="center"/>
    </xf>
    <xf fontId="28407" applyFont="true" borderId="8" applyBorder="true" applyNumberFormat="true" numFmtId="1" fillId="22" applyFill="true">
      <alignment horizontal="center" vertical="center"/>
    </xf>
    <xf fontId="28408" applyFont="true" borderId="8" applyBorder="true" applyNumberFormat="true" numFmtId="1" fillId="22" applyFill="true">
      <alignment horizontal="center" vertical="center"/>
    </xf>
    <xf fontId="28409" applyFont="true" borderId="8" applyBorder="true" applyNumberFormat="true" numFmtId="1" fillId="22" applyFill="true">
      <alignment horizontal="center" vertical="center"/>
    </xf>
    <xf fontId="28410" applyFont="true" borderId="8" applyBorder="true" applyNumberFormat="true" numFmtId="167" fillId="22" applyFill="true">
      <alignment horizontal="center" vertical="center"/>
    </xf>
    <xf fontId="28411" applyFont="true" borderId="8" applyBorder="true" applyNumberFormat="true" numFmtId="1" fillId="22" applyFill="true">
      <alignment horizontal="center" vertical="center"/>
    </xf>
    <xf fontId="28412" applyFont="true" borderId="8" applyBorder="true" applyNumberFormat="true" numFmtId="167" fillId="22" applyFill="true">
      <alignment horizontal="center" vertical="center"/>
    </xf>
    <xf fontId="28413" applyFont="true" borderId="8" applyBorder="true" applyNumberFormat="true" numFmtId="1" fillId="22" applyFill="true">
      <alignment horizontal="center" vertical="center"/>
    </xf>
    <xf fontId="28414" applyFont="true" borderId="8" applyBorder="true" applyNumberFormat="true" numFmtId="167" fillId="22" applyFill="true">
      <alignment horizontal="center" vertical="center"/>
    </xf>
    <xf fontId="28415" applyFont="true" borderId="8" applyBorder="true" applyNumberFormat="true" numFmtId="1" fillId="22" applyFill="true">
      <alignment horizontal="center" vertical="center"/>
    </xf>
    <xf fontId="28416" applyFont="true" borderId="8" applyBorder="true" applyNumberFormat="true" numFmtId="167" fillId="22" applyFill="true">
      <alignment horizontal="center" vertical="center"/>
    </xf>
    <xf fontId="28417" applyFont="true" borderId="8" applyBorder="true" applyNumberFormat="true" numFmtId="167" fillId="22" applyFill="true">
      <alignment horizontal="center" vertical="center"/>
    </xf>
    <xf fontId="28418" applyFont="true" borderId="8" applyBorder="true" applyNumberFormat="true" numFmtId="1" fillId="22" applyFill="true">
      <alignment horizontal="center" vertical="center"/>
    </xf>
    <xf fontId="28419" applyFont="true" borderId="8" applyBorder="true" applyNumberFormat="true" numFmtId="1" fillId="22" applyFill="true">
      <alignment horizontal="center" vertical="center"/>
    </xf>
    <xf fontId="28420" applyFont="true" borderId="8" applyBorder="true" applyNumberFormat="true" numFmtId="1" fillId="22" applyFill="true">
      <alignment horizontal="center" vertical="center"/>
    </xf>
    <xf fontId="28421" applyFont="true" borderId="8" applyBorder="true" applyNumberFormat="true" numFmtId="167" fillId="22" applyFill="true">
      <alignment horizontal="center" vertical="center"/>
    </xf>
    <xf fontId="28422" applyFont="true" borderId="8" applyBorder="true" applyNumberFormat="true" numFmtId="166" fillId="22" applyFill="true">
      <alignment horizontal="center" vertical="center"/>
    </xf>
    <xf fontId="28423" applyFont="true" borderId="8" applyBorder="true" applyNumberFormat="true" numFmtId="166" fillId="22" applyFill="true">
      <alignment horizontal="center" vertical="center"/>
    </xf>
    <xf fontId="28424" applyFont="true" borderId="8" applyBorder="true" applyNumberFormat="true" numFmtId="1" fillId="22" applyFill="true">
      <alignment horizontal="center" vertical="center"/>
    </xf>
    <xf fontId="28425" applyFont="true" borderId="8" applyBorder="true" applyNumberFormat="true" numFmtId="1" fillId="22" applyFill="true">
      <alignment horizontal="center" vertical="center"/>
    </xf>
    <xf fontId="28426" applyFont="true" borderId="8" applyBorder="true" applyNumberFormat="true" numFmtId="1" fillId="22" applyFill="true">
      <alignment horizontal="center" vertical="center"/>
    </xf>
    <xf fontId="28427" applyFont="true" borderId="8" applyBorder="true" applyNumberFormat="true" numFmtId="167" fillId="22" applyFill="true">
      <alignment horizontal="center" vertical="center"/>
    </xf>
    <xf fontId="28428" applyFont="true" borderId="8" applyBorder="true" applyNumberFormat="true" numFmtId="1" fillId="22" applyFill="true">
      <alignment horizontal="center" vertical="center"/>
    </xf>
    <xf fontId="28429" applyFont="true" borderId="8" applyBorder="true" applyNumberFormat="true" numFmtId="167" fillId="22" applyFill="true">
      <alignment horizontal="center" vertical="center"/>
    </xf>
    <xf fontId="28430" applyFont="true" borderId="8" applyBorder="true" applyNumberFormat="true" numFmtId="1" fillId="22" applyFill="true">
      <alignment horizontal="center" vertical="center"/>
    </xf>
    <xf fontId="28431" applyFont="true" borderId="8" applyBorder="true" applyNumberFormat="true" numFmtId="1" fillId="22" applyFill="true">
      <alignment horizontal="center" vertical="center"/>
    </xf>
    <xf fontId="28432" applyFont="true" borderId="8" applyBorder="true" applyNumberFormat="true" numFmtId="1" fillId="22" applyFill="true">
      <alignment horizontal="center" vertical="center"/>
    </xf>
    <xf fontId="28433" applyFont="true" borderId="8" applyBorder="true" applyNumberFormat="true" numFmtId="1" fillId="22" applyFill="true">
      <alignment horizontal="center" vertical="center"/>
    </xf>
    <xf fontId="28434" applyFont="true" borderId="8" applyBorder="true" applyNumberFormat="true" numFmtId="167" fillId="22" applyFill="true">
      <alignment horizontal="center" vertical="center"/>
    </xf>
    <xf fontId="28435" applyFont="true" borderId="8" applyBorder="true" applyNumberFormat="true" numFmtId="1" fillId="22" applyFill="true">
      <alignment horizontal="center" vertical="center"/>
    </xf>
    <xf fontId="28436" applyFont="true" borderId="8" applyBorder="true" applyNumberFormat="true" numFmtId="167" fillId="22" applyFill="true">
      <alignment horizontal="center" vertical="center"/>
    </xf>
    <xf fontId="28437" applyFont="true" borderId="8" applyBorder="true" applyNumberFormat="true" numFmtId="1" fillId="22" applyFill="true">
      <alignment horizontal="center" vertical="center"/>
    </xf>
    <xf fontId="28438" applyFont="true" borderId="8" applyBorder="true" applyNumberFormat="true" numFmtId="167" fillId="22" applyFill="true">
      <alignment horizontal="center" vertical="center"/>
    </xf>
    <xf fontId="28439" applyFont="true" borderId="8" applyBorder="true" applyNumberFormat="true" numFmtId="2" fillId="22" applyFill="true">
      <alignment horizontal="center" vertical="center"/>
    </xf>
    <xf fontId="28440" applyFont="true" borderId="8" applyBorder="true" applyNumberFormat="true" numFmtId="2" fillId="22" applyFill="true">
      <alignment horizontal="center" vertical="center"/>
    </xf>
    <xf fontId="28441" applyFont="true" borderId="8" applyBorder="true" applyNumberFormat="true" numFmtId="2" fillId="22" applyFill="true">
      <alignment horizontal="center" vertical="center"/>
    </xf>
    <xf fontId="28442" applyFont="true" borderId="8" applyBorder="true" applyNumberFormat="true" numFmtId="2" fillId="22" applyFill="true">
      <alignment horizontal="center" vertical="center"/>
    </xf>
    <xf fontId="28443" applyFont="true" borderId="8" applyBorder="true" applyNumberFormat="true" numFmtId="2" fillId="22" applyFill="true">
      <alignment horizontal="center" vertical="center"/>
    </xf>
    <xf fontId="28444" applyFont="true" borderId="8" applyBorder="true" applyNumberFormat="true" numFmtId="2" fillId="22" applyFill="true">
      <alignment horizontal="center" vertical="center"/>
    </xf>
    <xf fontId="28445" applyFont="true" borderId="8" applyBorder="true" applyNumberFormat="true" numFmtId="2" fillId="22" applyFill="true">
      <alignment horizontal="center" vertical="center"/>
    </xf>
    <xf fontId="28446" applyFont="true" borderId="8" applyBorder="true" applyNumberFormat="true" numFmtId="2" fillId="22" applyFill="true">
      <alignment horizontal="center" vertical="center"/>
    </xf>
    <xf fontId="28447" applyFont="true" borderId="8" applyBorder="true" applyNumberFormat="true" numFmtId="2" fillId="22" applyFill="true">
      <alignment horizontal="center" vertical="center"/>
    </xf>
    <xf fontId="28448" applyFont="true" borderId="8" applyBorder="true" applyNumberFormat="true" numFmtId="2" fillId="22" applyFill="true">
      <alignment horizontal="center" vertical="center"/>
    </xf>
    <xf fontId="28449" applyFont="true" borderId="8" applyBorder="true" applyNumberFormat="true" numFmtId="2" fillId="22" applyFill="true">
      <alignment horizontal="center" vertical="center"/>
    </xf>
    <xf fontId="28450" applyFont="true" borderId="8" applyBorder="true" applyNumberFormat="true" numFmtId="2" fillId="22" applyFill="true">
      <alignment horizontal="center" vertical="center"/>
    </xf>
    <xf fontId="28451" applyFont="true" borderId="8" applyBorder="true" applyNumberFormat="true" numFmtId="2" fillId="22" applyFill="true">
      <alignment horizontal="center" vertical="center"/>
    </xf>
    <xf fontId="28452" applyFont="true" borderId="8" applyBorder="true" applyNumberFormat="true" numFmtId="2" fillId="22" applyFill="true">
      <alignment horizontal="center" vertical="center"/>
    </xf>
    <xf fontId="28453" applyFont="true" borderId="8" applyBorder="true" applyNumberFormat="true" numFmtId="2" fillId="22" applyFill="true">
      <alignment horizontal="center" vertical="center"/>
    </xf>
    <xf fontId="28454" applyFont="true" borderId="8" applyBorder="true" applyNumberFormat="true" numFmtId="2" fillId="22" applyFill="true">
      <alignment horizontal="center" vertical="center"/>
    </xf>
    <xf fontId="28455" applyFont="true" borderId="8" applyBorder="true" applyNumberFormat="true" numFmtId="2" fillId="22" applyFill="true">
      <alignment horizontal="center" vertical="center"/>
    </xf>
    <xf fontId="28456" applyFont="true" borderId="8" applyBorder="true" applyNumberFormat="true" numFmtId="2" fillId="22" applyFill="true">
      <alignment horizontal="center" vertical="center"/>
    </xf>
    <xf fontId="28457" applyFont="true" borderId="8" applyBorder="true" applyNumberFormat="true" numFmtId="2" fillId="22" applyFill="true">
      <alignment horizontal="center" vertical="center"/>
    </xf>
    <xf fontId="28458" applyFont="true" borderId="8" applyBorder="true" applyNumberFormat="true" numFmtId="2" fillId="22" applyFill="true">
      <alignment horizontal="center" vertical="center"/>
    </xf>
    <xf fontId="28459" applyFont="true" borderId="8" applyBorder="true" applyNumberFormat="true" numFmtId="2" fillId="22" applyFill="true">
      <alignment horizontal="center" vertical="center"/>
    </xf>
    <xf fontId="28460" applyFont="true" borderId="8" applyBorder="true" applyNumberFormat="true" numFmtId="2" fillId="22" applyFill="true">
      <alignment horizontal="center" vertical="center"/>
    </xf>
    <xf fontId="28461" applyFont="true" borderId="8" applyBorder="true" applyNumberFormat="true" numFmtId="2" fillId="22" applyFill="true">
      <alignment horizontal="center" vertical="center"/>
    </xf>
    <xf fontId="28462" applyFont="true" borderId="8" applyBorder="true" applyNumberFormat="true" numFmtId="2" fillId="22" applyFill="true">
      <alignment horizontal="center" vertical="center"/>
    </xf>
    <xf fontId="28463" applyFont="true" borderId="8" applyBorder="true" applyNumberFormat="true" numFmtId="2" fillId="22" applyFill="true">
      <alignment horizontal="center" vertical="center"/>
    </xf>
    <xf fontId="28464" applyFont="true" borderId="8" applyBorder="true" applyNumberFormat="true" numFmtId="2" fillId="22" applyFill="true">
      <alignment horizontal="center" vertical="center"/>
    </xf>
    <xf fontId="28465" applyFont="true" borderId="8" applyBorder="true" applyNumberFormat="true" numFmtId="2" fillId="22" applyFill="true">
      <alignment horizontal="center" vertical="center"/>
    </xf>
    <xf fontId="28466" applyFont="true" borderId="8" applyBorder="true" applyNumberFormat="true" numFmtId="2" fillId="22" applyFill="true">
      <alignment horizontal="center" vertical="center"/>
    </xf>
    <xf fontId="28467" applyFont="true" borderId="8" applyBorder="true" applyNumberFormat="true" numFmtId="2" fillId="22" applyFill="true">
      <alignment horizontal="center" vertical="center"/>
    </xf>
    <xf fontId="28468" applyFont="true" borderId="8" applyBorder="true" applyNumberFormat="true" numFmtId="2" fillId="22" applyFill="true">
      <alignment horizontal="center" vertical="center"/>
    </xf>
    <xf fontId="28469" applyFont="true" borderId="8" applyBorder="true" applyNumberFormat="true" numFmtId="2" fillId="22" applyFill="true">
      <alignment horizontal="center" vertical="center"/>
    </xf>
    <xf fontId="28470" applyFont="true" borderId="8" applyBorder="true" applyNumberFormat="true" numFmtId="2" fillId="22" applyFill="true">
      <alignment horizontal="center" vertical="center"/>
    </xf>
    <xf fontId="28471" applyFont="true" borderId="8" applyBorder="true" applyNumberFormat="true" numFmtId="2" fillId="22" applyFill="true">
      <alignment horizontal="center" vertical="center"/>
    </xf>
    <xf fontId="28472" applyFont="true" borderId="8" applyBorder="true" applyNumberFormat="true" numFmtId="2" fillId="22" applyFill="true">
      <alignment horizontal="center" vertical="center"/>
    </xf>
    <xf fontId="28473" applyFont="true" borderId="8" applyBorder="true" applyNumberFormat="true" numFmtId="165" fillId="19" applyFill="true">
      <alignment horizontal="left" vertical="center"/>
    </xf>
    <xf fontId="28474" applyFont="true" borderId="8" applyBorder="true" applyNumberFormat="true" numFmtId="165" fillId="22" applyFill="true">
      <alignment horizontal="center" vertical="center"/>
    </xf>
    <xf fontId="28475" applyFont="true" borderId="8" applyBorder="true" applyNumberFormat="true" numFmtId="166" fillId="22" applyFill="true">
      <alignment horizontal="center" vertical="center"/>
    </xf>
    <xf fontId="28476" applyFont="true" borderId="8" applyBorder="true" applyNumberFormat="true" numFmtId="1" fillId="22" applyFill="true">
      <alignment horizontal="center" vertical="center"/>
    </xf>
    <xf fontId="28477" applyFont="true" borderId="8" applyBorder="true" applyNumberFormat="true" numFmtId="1" fillId="22" applyFill="true">
      <alignment horizontal="center" vertical="center"/>
    </xf>
    <xf fontId="28478" applyFont="true" borderId="8" applyBorder="true" applyNumberFormat="true" numFmtId="1" fillId="22" applyFill="true">
      <alignment horizontal="center" vertical="center"/>
    </xf>
    <xf fontId="28479" applyFont="true" borderId="8" applyBorder="true" applyNumberFormat="true" numFmtId="1" fillId="22" applyFill="true">
      <alignment horizontal="center" vertical="center"/>
    </xf>
    <xf fontId="28480" applyFont="true" borderId="8" applyBorder="true" applyNumberFormat="true" numFmtId="1" fillId="22" applyFill="true">
      <alignment horizontal="center" vertical="center"/>
    </xf>
    <xf fontId="28481" applyFont="true" borderId="8" applyBorder="true" applyNumberFormat="true" numFmtId="1" fillId="22" applyFill="true">
      <alignment horizontal="center" vertical="center"/>
    </xf>
    <xf fontId="28482" applyFont="true" borderId="8" applyBorder="true" applyNumberFormat="true" numFmtId="1" fillId="22" applyFill="true">
      <alignment horizontal="center" vertical="center"/>
    </xf>
    <xf fontId="28483" applyFont="true" borderId="8" applyBorder="true" applyNumberFormat="true" numFmtId="165" fillId="22" applyFill="true">
      <alignment horizontal="center" vertical="center"/>
    </xf>
    <xf fontId="28484" applyFont="true" borderId="8" applyBorder="true" applyNumberFormat="true" numFmtId="165" fillId="22" applyFill="true">
      <alignment horizontal="center" vertical="center"/>
    </xf>
    <xf fontId="28485" applyFont="true" borderId="8" applyBorder="true" applyNumberFormat="true" numFmtId="1" fillId="22" applyFill="true">
      <alignment horizontal="center" vertical="center"/>
    </xf>
    <xf fontId="28486" applyFont="true" borderId="8" applyBorder="true" applyNumberFormat="true" numFmtId="1" fillId="22" applyFill="true">
      <alignment horizontal="center" vertical="center"/>
    </xf>
    <xf fontId="28487" applyFont="true" borderId="8" applyBorder="true" applyNumberFormat="true" numFmtId="1" fillId="22" applyFill="true">
      <alignment horizontal="center" vertical="center"/>
    </xf>
    <xf fontId="28488" applyFont="true" borderId="8" applyBorder="true" applyNumberFormat="true" numFmtId="167" fillId="22" applyFill="true">
      <alignment horizontal="center" vertical="center"/>
    </xf>
    <xf fontId="28489" applyFont="true" borderId="8" applyBorder="true" applyNumberFormat="true" numFmtId="1" fillId="22" applyFill="true">
      <alignment horizontal="center" vertical="center"/>
    </xf>
    <xf fontId="28490" applyFont="true" borderId="8" applyBorder="true" applyNumberFormat="true" numFmtId="167" fillId="22" applyFill="true">
      <alignment horizontal="center" vertical="center"/>
    </xf>
    <xf fontId="28491" applyFont="true" borderId="8" applyBorder="true" applyNumberFormat="true" numFmtId="1" fillId="22" applyFill="true">
      <alignment horizontal="center" vertical="center"/>
    </xf>
    <xf fontId="28492" applyFont="true" borderId="8" applyBorder="true" applyNumberFormat="true" numFmtId="167" fillId="22" applyFill="true">
      <alignment horizontal="center" vertical="center"/>
    </xf>
    <xf fontId="28493" applyFont="true" borderId="8" applyBorder="true" applyNumberFormat="true" numFmtId="1" fillId="22" applyFill="true">
      <alignment horizontal="center" vertical="center"/>
    </xf>
    <xf fontId="28494" applyFont="true" borderId="8" applyBorder="true" applyNumberFormat="true" numFmtId="167" fillId="22" applyFill="true">
      <alignment horizontal="center" vertical="center"/>
    </xf>
    <xf fontId="28495" applyFont="true" borderId="8" applyBorder="true" applyNumberFormat="true" numFmtId="167" fillId="22" applyFill="true">
      <alignment horizontal="center" vertical="center"/>
    </xf>
    <xf fontId="28496" applyFont="true" borderId="8" applyBorder="true" applyNumberFormat="true" numFmtId="1" fillId="22" applyFill="true">
      <alignment horizontal="center" vertical="center"/>
    </xf>
    <xf fontId="28497" applyFont="true" borderId="8" applyBorder="true" applyNumberFormat="true" numFmtId="1" fillId="22" applyFill="true">
      <alignment horizontal="center" vertical="center"/>
    </xf>
    <xf fontId="28498" applyFont="true" borderId="8" applyBorder="true" applyNumberFormat="true" numFmtId="1" fillId="22" applyFill="true">
      <alignment horizontal="center" vertical="center"/>
    </xf>
    <xf fontId="28499" applyFont="true" borderId="8" applyBorder="true" applyNumberFormat="true" numFmtId="167" fillId="22" applyFill="true">
      <alignment horizontal="center" vertical="center"/>
    </xf>
    <xf fontId="28500" applyFont="true" borderId="8" applyBorder="true" applyNumberFormat="true" numFmtId="166" fillId="22" applyFill="true">
      <alignment horizontal="center" vertical="center"/>
    </xf>
    <xf fontId="28501" applyFont="true" borderId="8" applyBorder="true" applyNumberFormat="true" numFmtId="166" fillId="22" applyFill="true">
      <alignment horizontal="center" vertical="center"/>
    </xf>
    <xf fontId="28502" applyFont="true" borderId="8" applyBorder="true" applyNumberFormat="true" numFmtId="1" fillId="22" applyFill="true">
      <alignment horizontal="center" vertical="center"/>
    </xf>
    <xf fontId="28503" applyFont="true" borderId="8" applyBorder="true" applyNumberFormat="true" numFmtId="1" fillId="22" applyFill="true">
      <alignment horizontal="center" vertical="center"/>
    </xf>
    <xf fontId="28504" applyFont="true" borderId="8" applyBorder="true" applyNumberFormat="true" numFmtId="1" fillId="22" applyFill="true">
      <alignment horizontal="center" vertical="center"/>
    </xf>
    <xf fontId="28505" applyFont="true" borderId="8" applyBorder="true" applyNumberFormat="true" numFmtId="167" fillId="22" applyFill="true">
      <alignment horizontal="center" vertical="center"/>
    </xf>
    <xf fontId="28506" applyFont="true" borderId="8" applyBorder="true" applyNumberFormat="true" numFmtId="1" fillId="22" applyFill="true">
      <alignment horizontal="center" vertical="center"/>
    </xf>
    <xf fontId="28507" applyFont="true" borderId="8" applyBorder="true" applyNumberFormat="true" numFmtId="167" fillId="22" applyFill="true">
      <alignment horizontal="center" vertical="center"/>
    </xf>
    <xf fontId="28508" applyFont="true" borderId="8" applyBorder="true" applyNumberFormat="true" numFmtId="1" fillId="22" applyFill="true">
      <alignment horizontal="center" vertical="center"/>
    </xf>
    <xf fontId="28509" applyFont="true" borderId="8" applyBorder="true" applyNumberFormat="true" numFmtId="1" fillId="22" applyFill="true">
      <alignment horizontal="center" vertical="center"/>
    </xf>
    <xf fontId="28510" applyFont="true" borderId="8" applyBorder="true" applyNumberFormat="true" numFmtId="1" fillId="22" applyFill="true">
      <alignment horizontal="center" vertical="center"/>
    </xf>
    <xf fontId="28511" applyFont="true" borderId="8" applyBorder="true" applyNumberFormat="true" numFmtId="1" fillId="22" applyFill="true">
      <alignment horizontal="center" vertical="center"/>
    </xf>
    <xf fontId="28512" applyFont="true" borderId="8" applyBorder="true" applyNumberFormat="true" numFmtId="167" fillId="22" applyFill="true">
      <alignment horizontal="center" vertical="center"/>
    </xf>
    <xf fontId="28513" applyFont="true" borderId="8" applyBorder="true" applyNumberFormat="true" numFmtId="1" fillId="22" applyFill="true">
      <alignment horizontal="center" vertical="center"/>
    </xf>
    <xf fontId="28514" applyFont="true" borderId="8" applyBorder="true" applyNumberFormat="true" numFmtId="167" fillId="22" applyFill="true">
      <alignment horizontal="center" vertical="center"/>
    </xf>
    <xf fontId="28515" applyFont="true" borderId="8" applyBorder="true" applyNumberFormat="true" numFmtId="1" fillId="22" applyFill="true">
      <alignment horizontal="center" vertical="center"/>
    </xf>
    <xf fontId="28516" applyFont="true" borderId="8" applyBorder="true" applyNumberFormat="true" numFmtId="167" fillId="22" applyFill="true">
      <alignment horizontal="center" vertical="center"/>
    </xf>
    <xf fontId="28517" applyFont="true" borderId="8" applyBorder="true" applyNumberFormat="true" numFmtId="2" fillId="22" applyFill="true">
      <alignment horizontal="center" vertical="center"/>
    </xf>
    <xf fontId="28518" applyFont="true" borderId="8" applyBorder="true" applyNumberFormat="true" numFmtId="2" fillId="22" applyFill="true">
      <alignment horizontal="center" vertical="center"/>
    </xf>
    <xf fontId="28519" applyFont="true" borderId="8" applyBorder="true" applyNumberFormat="true" numFmtId="2" fillId="22" applyFill="true">
      <alignment horizontal="center" vertical="center"/>
    </xf>
    <xf fontId="28520" applyFont="true" borderId="8" applyBorder="true" applyNumberFormat="true" numFmtId="2" fillId="22" applyFill="true">
      <alignment horizontal="center" vertical="center"/>
    </xf>
    <xf fontId="28521" applyFont="true" borderId="8" applyBorder="true" applyNumberFormat="true" numFmtId="2" fillId="22" applyFill="true">
      <alignment horizontal="center" vertical="center"/>
    </xf>
    <xf fontId="28522" applyFont="true" borderId="8" applyBorder="true" applyNumberFormat="true" numFmtId="2" fillId="22" applyFill="true">
      <alignment horizontal="center" vertical="center"/>
    </xf>
    <xf fontId="28523" applyFont="true" borderId="8" applyBorder="true" applyNumberFormat="true" numFmtId="2" fillId="22" applyFill="true">
      <alignment horizontal="center" vertical="center"/>
    </xf>
    <xf fontId="28524" applyFont="true" borderId="8" applyBorder="true" applyNumberFormat="true" numFmtId="2" fillId="22" applyFill="true">
      <alignment horizontal="center" vertical="center"/>
    </xf>
    <xf fontId="28525" applyFont="true" borderId="8" applyBorder="true" applyNumberFormat="true" numFmtId="2" fillId="22" applyFill="true">
      <alignment horizontal="center" vertical="center"/>
    </xf>
    <xf fontId="28526" applyFont="true" borderId="8" applyBorder="true" applyNumberFormat="true" numFmtId="2" fillId="22" applyFill="true">
      <alignment horizontal="center" vertical="center"/>
    </xf>
    <xf fontId="28527" applyFont="true" borderId="8" applyBorder="true" applyNumberFormat="true" numFmtId="2" fillId="22" applyFill="true">
      <alignment horizontal="center" vertical="center"/>
    </xf>
    <xf fontId="28528" applyFont="true" borderId="8" applyBorder="true" applyNumberFormat="true" numFmtId="2" fillId="22" applyFill="true">
      <alignment horizontal="center" vertical="center"/>
    </xf>
    <xf fontId="28529" applyFont="true" borderId="8" applyBorder="true" applyNumberFormat="true" numFmtId="2" fillId="22" applyFill="true">
      <alignment horizontal="center" vertical="center"/>
    </xf>
    <xf fontId="28530" applyFont="true" borderId="8" applyBorder="true" applyNumberFormat="true" numFmtId="2" fillId="22" applyFill="true">
      <alignment horizontal="center" vertical="center"/>
    </xf>
    <xf fontId="28531" applyFont="true" borderId="8" applyBorder="true" applyNumberFormat="true" numFmtId="2" fillId="22" applyFill="true">
      <alignment horizontal="center" vertical="center"/>
    </xf>
    <xf fontId="28532" applyFont="true" borderId="8" applyBorder="true" applyNumberFormat="true" numFmtId="2" fillId="22" applyFill="true">
      <alignment horizontal="center" vertical="center"/>
    </xf>
    <xf fontId="28533" applyFont="true" borderId="8" applyBorder="true" applyNumberFormat="true" numFmtId="2" fillId="22" applyFill="true">
      <alignment horizontal="center" vertical="center"/>
    </xf>
    <xf fontId="28534" applyFont="true" borderId="8" applyBorder="true" applyNumberFormat="true" numFmtId="2" fillId="22" applyFill="true">
      <alignment horizontal="center" vertical="center"/>
    </xf>
    <xf fontId="28535" applyFont="true" borderId="8" applyBorder="true" applyNumberFormat="true" numFmtId="2" fillId="22" applyFill="true">
      <alignment horizontal="center" vertical="center"/>
    </xf>
    <xf fontId="28536" applyFont="true" borderId="8" applyBorder="true" applyNumberFormat="true" numFmtId="2" fillId="22" applyFill="true">
      <alignment horizontal="center" vertical="center"/>
    </xf>
    <xf fontId="28537" applyFont="true" borderId="8" applyBorder="true" applyNumberFormat="true" numFmtId="2" fillId="22" applyFill="true">
      <alignment horizontal="center" vertical="center"/>
    </xf>
    <xf fontId="28538" applyFont="true" borderId="8" applyBorder="true" applyNumberFormat="true" numFmtId="2" fillId="22" applyFill="true">
      <alignment horizontal="center" vertical="center"/>
    </xf>
    <xf fontId="28539" applyFont="true" borderId="8" applyBorder="true" applyNumberFormat="true" numFmtId="2" fillId="22" applyFill="true">
      <alignment horizontal="center" vertical="center"/>
    </xf>
    <xf fontId="28540" applyFont="true" borderId="8" applyBorder="true" applyNumberFormat="true" numFmtId="2" fillId="22" applyFill="true">
      <alignment horizontal="center" vertical="center"/>
    </xf>
    <xf fontId="28541" applyFont="true" borderId="8" applyBorder="true" applyNumberFormat="true" numFmtId="2" fillId="22" applyFill="true">
      <alignment horizontal="center" vertical="center"/>
    </xf>
    <xf fontId="28542" applyFont="true" borderId="8" applyBorder="true" applyNumberFormat="true" numFmtId="2" fillId="22" applyFill="true">
      <alignment horizontal="center" vertical="center"/>
    </xf>
    <xf fontId="28543" applyFont="true" borderId="8" applyBorder="true" applyNumberFormat="true" numFmtId="2" fillId="22" applyFill="true">
      <alignment horizontal="center" vertical="center"/>
    </xf>
    <xf fontId="28544" applyFont="true" borderId="8" applyBorder="true" applyNumberFormat="true" numFmtId="2" fillId="22" applyFill="true">
      <alignment horizontal="center" vertical="center"/>
    </xf>
    <xf fontId="28545" applyFont="true" borderId="8" applyBorder="true" applyNumberFormat="true" numFmtId="2" fillId="22" applyFill="true">
      <alignment horizontal="center" vertical="center"/>
    </xf>
    <xf fontId="28546" applyFont="true" borderId="8" applyBorder="true" applyNumberFormat="true" numFmtId="2" fillId="22" applyFill="true">
      <alignment horizontal="center" vertical="center"/>
    </xf>
    <xf fontId="28547" applyFont="true" borderId="8" applyBorder="true" applyNumberFormat="true" numFmtId="2" fillId="22" applyFill="true">
      <alignment horizontal="center" vertical="center"/>
    </xf>
    <xf fontId="28548" applyFont="true" borderId="8" applyBorder="true" applyNumberFormat="true" numFmtId="2" fillId="22" applyFill="true">
      <alignment horizontal="center" vertical="center"/>
    </xf>
    <xf fontId="28549" applyFont="true" borderId="8" applyBorder="true" applyNumberFormat="true" numFmtId="2" fillId="22" applyFill="true">
      <alignment horizontal="center" vertical="center"/>
    </xf>
    <xf fontId="28550" applyFont="true" borderId="8" applyBorder="true" applyNumberFormat="true" numFmtId="2" fillId="22" applyFill="true">
      <alignment horizontal="center" vertical="center"/>
    </xf>
    <xf fontId="28551" applyFont="true" borderId="8" applyBorder="true" applyNumberFormat="true" numFmtId="165" fillId="19" applyFill="true">
      <alignment horizontal="left" vertical="center"/>
    </xf>
    <xf fontId="28552" applyFont="true" borderId="8" applyBorder="true" applyNumberFormat="true" numFmtId="165" fillId="22" applyFill="true">
      <alignment horizontal="center" vertical="center"/>
    </xf>
    <xf fontId="28553" applyFont="true" borderId="8" applyBorder="true" applyNumberFormat="true" numFmtId="166" fillId="22" applyFill="true">
      <alignment horizontal="center" vertical="center"/>
    </xf>
    <xf fontId="28554" applyFont="true" borderId="8" applyBorder="true" applyNumberFormat="true" numFmtId="1" fillId="22" applyFill="true">
      <alignment horizontal="center" vertical="center"/>
    </xf>
    <xf fontId="28555" applyFont="true" borderId="8" applyBorder="true" applyNumberFormat="true" numFmtId="1" fillId="22" applyFill="true">
      <alignment horizontal="center" vertical="center"/>
    </xf>
    <xf fontId="28556" applyFont="true" borderId="8" applyBorder="true" applyNumberFormat="true" numFmtId="1" fillId="22" applyFill="true">
      <alignment horizontal="center" vertical="center"/>
    </xf>
    <xf fontId="28557" applyFont="true" borderId="8" applyBorder="true" applyNumberFormat="true" numFmtId="1" fillId="22" applyFill="true">
      <alignment horizontal="center" vertical="center"/>
    </xf>
    <xf fontId="28558" applyFont="true" borderId="8" applyBorder="true" applyNumberFormat="true" numFmtId="1" fillId="22" applyFill="true">
      <alignment horizontal="center" vertical="center"/>
    </xf>
    <xf fontId="28559" applyFont="true" borderId="8" applyBorder="true" applyNumberFormat="true" numFmtId="1" fillId="22" applyFill="true">
      <alignment horizontal="center" vertical="center"/>
    </xf>
    <xf fontId="28560" applyFont="true" borderId="8" applyBorder="true" applyNumberFormat="true" numFmtId="1" fillId="22" applyFill="true">
      <alignment horizontal="center" vertical="center"/>
    </xf>
    <xf fontId="28561" applyFont="true" borderId="8" applyBorder="true" applyNumberFormat="true" numFmtId="165" fillId="22" applyFill="true">
      <alignment horizontal="center" vertical="center"/>
    </xf>
    <xf fontId="28562" applyFont="true" borderId="8" applyBorder="true" applyNumberFormat="true" numFmtId="165" fillId="22" applyFill="true">
      <alignment horizontal="center" vertical="center"/>
    </xf>
    <xf fontId="28563" applyFont="true" borderId="8" applyBorder="true" applyNumberFormat="true" numFmtId="1" fillId="22" applyFill="true">
      <alignment horizontal="center" vertical="center"/>
    </xf>
    <xf fontId="28564" applyFont="true" borderId="8" applyBorder="true" applyNumberFormat="true" numFmtId="1" fillId="22" applyFill="true">
      <alignment horizontal="center" vertical="center"/>
    </xf>
    <xf fontId="28565" applyFont="true" borderId="8" applyBorder="true" applyNumberFormat="true" numFmtId="1" fillId="22" applyFill="true">
      <alignment horizontal="center" vertical="center"/>
    </xf>
    <xf fontId="28566" applyFont="true" borderId="8" applyBorder="true" applyNumberFormat="true" numFmtId="167" fillId="22" applyFill="true">
      <alignment horizontal="center" vertical="center"/>
    </xf>
    <xf fontId="28567" applyFont="true" borderId="8" applyBorder="true" applyNumberFormat="true" numFmtId="1" fillId="22" applyFill="true">
      <alignment horizontal="center" vertical="center"/>
    </xf>
    <xf fontId="28568" applyFont="true" borderId="8" applyBorder="true" applyNumberFormat="true" numFmtId="167" fillId="22" applyFill="true">
      <alignment horizontal="center" vertical="center"/>
    </xf>
    <xf fontId="28569" applyFont="true" borderId="8" applyBorder="true" applyNumberFormat="true" numFmtId="1" fillId="22" applyFill="true">
      <alignment horizontal="center" vertical="center"/>
    </xf>
    <xf fontId="28570" applyFont="true" borderId="8" applyBorder="true" applyNumberFormat="true" numFmtId="167" fillId="22" applyFill="true">
      <alignment horizontal="center" vertical="center"/>
    </xf>
    <xf fontId="28571" applyFont="true" borderId="8" applyBorder="true" applyNumberFormat="true" numFmtId="1" fillId="22" applyFill="true">
      <alignment horizontal="center" vertical="center"/>
    </xf>
    <xf fontId="28572" applyFont="true" borderId="8" applyBorder="true" applyNumberFormat="true" numFmtId="167" fillId="22" applyFill="true">
      <alignment horizontal="center" vertical="center"/>
    </xf>
    <xf fontId="28573" applyFont="true" borderId="8" applyBorder="true" applyNumberFormat="true" numFmtId="167" fillId="22" applyFill="true">
      <alignment horizontal="center" vertical="center"/>
    </xf>
    <xf fontId="28574" applyFont="true" borderId="8" applyBorder="true" applyNumberFormat="true" numFmtId="1" fillId="22" applyFill="true">
      <alignment horizontal="center" vertical="center"/>
    </xf>
    <xf fontId="28575" applyFont="true" borderId="8" applyBorder="true" applyNumberFormat="true" numFmtId="1" fillId="22" applyFill="true">
      <alignment horizontal="center" vertical="center"/>
    </xf>
    <xf fontId="28576" applyFont="true" borderId="8" applyBorder="true" applyNumberFormat="true" numFmtId="1" fillId="22" applyFill="true">
      <alignment horizontal="center" vertical="center"/>
    </xf>
    <xf fontId="28577" applyFont="true" borderId="8" applyBorder="true" applyNumberFormat="true" numFmtId="167" fillId="22" applyFill="true">
      <alignment horizontal="center" vertical="center"/>
    </xf>
    <xf fontId="28578" applyFont="true" borderId="8" applyBorder="true" applyNumberFormat="true" numFmtId="166" fillId="22" applyFill="true">
      <alignment horizontal="center" vertical="center"/>
    </xf>
    <xf fontId="28579" applyFont="true" borderId="8" applyBorder="true" applyNumberFormat="true" numFmtId="166" fillId="22" applyFill="true">
      <alignment horizontal="center" vertical="center"/>
    </xf>
    <xf fontId="28580" applyFont="true" borderId="8" applyBorder="true" applyNumberFormat="true" numFmtId="1" fillId="22" applyFill="true">
      <alignment horizontal="center" vertical="center"/>
    </xf>
    <xf fontId="28581" applyFont="true" borderId="8" applyBorder="true" applyNumberFormat="true" numFmtId="1" fillId="22" applyFill="true">
      <alignment horizontal="center" vertical="center"/>
    </xf>
    <xf fontId="28582" applyFont="true" borderId="8" applyBorder="true" applyNumberFormat="true" numFmtId="1" fillId="22" applyFill="true">
      <alignment horizontal="center" vertical="center"/>
    </xf>
    <xf fontId="28583" applyFont="true" borderId="8" applyBorder="true" applyNumberFormat="true" numFmtId="167" fillId="22" applyFill="true">
      <alignment horizontal="center" vertical="center"/>
    </xf>
    <xf fontId="28584" applyFont="true" borderId="8" applyBorder="true" applyNumberFormat="true" numFmtId="1" fillId="22" applyFill="true">
      <alignment horizontal="center" vertical="center"/>
    </xf>
    <xf fontId="28585" applyFont="true" borderId="8" applyBorder="true" applyNumberFormat="true" numFmtId="167" fillId="22" applyFill="true">
      <alignment horizontal="center" vertical="center"/>
    </xf>
    <xf fontId="28586" applyFont="true" borderId="8" applyBorder="true" applyNumberFormat="true" numFmtId="1" fillId="22" applyFill="true">
      <alignment horizontal="center" vertical="center"/>
    </xf>
    <xf fontId="28587" applyFont="true" borderId="8" applyBorder="true" applyNumberFormat="true" numFmtId="1" fillId="22" applyFill="true">
      <alignment horizontal="center" vertical="center"/>
    </xf>
    <xf fontId="28588" applyFont="true" borderId="8" applyBorder="true" applyNumberFormat="true" numFmtId="1" fillId="22" applyFill="true">
      <alignment horizontal="center" vertical="center"/>
    </xf>
    <xf fontId="28589" applyFont="true" borderId="8" applyBorder="true" applyNumberFormat="true" numFmtId="1" fillId="22" applyFill="true">
      <alignment horizontal="center" vertical="center"/>
    </xf>
    <xf fontId="28590" applyFont="true" borderId="8" applyBorder="true" applyNumberFormat="true" numFmtId="167" fillId="22" applyFill="true">
      <alignment horizontal="center" vertical="center"/>
    </xf>
    <xf fontId="28591" applyFont="true" borderId="8" applyBorder="true" applyNumberFormat="true" numFmtId="1" fillId="22" applyFill="true">
      <alignment horizontal="center" vertical="center"/>
    </xf>
    <xf fontId="28592" applyFont="true" borderId="8" applyBorder="true" applyNumberFormat="true" numFmtId="167" fillId="22" applyFill="true">
      <alignment horizontal="center" vertical="center"/>
    </xf>
    <xf fontId="28593" applyFont="true" borderId="8" applyBorder="true" applyNumberFormat="true" numFmtId="1" fillId="22" applyFill="true">
      <alignment horizontal="center" vertical="center"/>
    </xf>
    <xf fontId="28594" applyFont="true" borderId="8" applyBorder="true" applyNumberFormat="true" numFmtId="167" fillId="22" applyFill="true">
      <alignment horizontal="center" vertical="center"/>
    </xf>
    <xf fontId="28595" applyFont="true" borderId="8" applyBorder="true" applyNumberFormat="true" numFmtId="2" fillId="22" applyFill="true">
      <alignment horizontal="center" vertical="center"/>
    </xf>
    <xf fontId="28596" applyFont="true" borderId="8" applyBorder="true" applyNumberFormat="true" numFmtId="2" fillId="22" applyFill="true">
      <alignment horizontal="center" vertical="center"/>
    </xf>
    <xf fontId="28597" applyFont="true" borderId="8" applyBorder="true" applyNumberFormat="true" numFmtId="2" fillId="22" applyFill="true">
      <alignment horizontal="center" vertical="center"/>
    </xf>
    <xf fontId="28598" applyFont="true" borderId="8" applyBorder="true" applyNumberFormat="true" numFmtId="2" fillId="22" applyFill="true">
      <alignment horizontal="center" vertical="center"/>
    </xf>
    <xf fontId="28599" applyFont="true" borderId="8" applyBorder="true" applyNumberFormat="true" numFmtId="2" fillId="22" applyFill="true">
      <alignment horizontal="center" vertical="center"/>
    </xf>
    <xf fontId="28600" applyFont="true" borderId="8" applyBorder="true" applyNumberFormat="true" numFmtId="2" fillId="22" applyFill="true">
      <alignment horizontal="center" vertical="center"/>
    </xf>
    <xf fontId="28601" applyFont="true" borderId="8" applyBorder="true" applyNumberFormat="true" numFmtId="2" fillId="22" applyFill="true">
      <alignment horizontal="center" vertical="center"/>
    </xf>
    <xf fontId="28602" applyFont="true" borderId="8" applyBorder="true" applyNumberFormat="true" numFmtId="2" fillId="22" applyFill="true">
      <alignment horizontal="center" vertical="center"/>
    </xf>
    <xf fontId="28603" applyFont="true" borderId="8" applyBorder="true" applyNumberFormat="true" numFmtId="2" fillId="22" applyFill="true">
      <alignment horizontal="center" vertical="center"/>
    </xf>
    <xf fontId="28604" applyFont="true" borderId="8" applyBorder="true" applyNumberFormat="true" numFmtId="2" fillId="22" applyFill="true">
      <alignment horizontal="center" vertical="center"/>
    </xf>
    <xf fontId="28605" applyFont="true" borderId="8" applyBorder="true" applyNumberFormat="true" numFmtId="2" fillId="22" applyFill="true">
      <alignment horizontal="center" vertical="center"/>
    </xf>
    <xf fontId="28606" applyFont="true" borderId="8" applyBorder="true" applyNumberFormat="true" numFmtId="2" fillId="22" applyFill="true">
      <alignment horizontal="center" vertical="center"/>
    </xf>
    <xf fontId="28607" applyFont="true" borderId="8" applyBorder="true" applyNumberFormat="true" numFmtId="2" fillId="22" applyFill="true">
      <alignment horizontal="center" vertical="center"/>
    </xf>
    <xf fontId="28608" applyFont="true" borderId="8" applyBorder="true" applyNumberFormat="true" numFmtId="2" fillId="22" applyFill="true">
      <alignment horizontal="center" vertical="center"/>
    </xf>
    <xf fontId="28609" applyFont="true" borderId="8" applyBorder="true" applyNumberFormat="true" numFmtId="2" fillId="22" applyFill="true">
      <alignment horizontal="center" vertical="center"/>
    </xf>
    <xf fontId="28610" applyFont="true" borderId="8" applyBorder="true" applyNumberFormat="true" numFmtId="2" fillId="22" applyFill="true">
      <alignment horizontal="center" vertical="center"/>
    </xf>
    <xf fontId="28611" applyFont="true" borderId="8" applyBorder="true" applyNumberFormat="true" numFmtId="2" fillId="22" applyFill="true">
      <alignment horizontal="center" vertical="center"/>
    </xf>
    <xf fontId="28612" applyFont="true" borderId="8" applyBorder="true" applyNumberFormat="true" numFmtId="2" fillId="22" applyFill="true">
      <alignment horizontal="center" vertical="center"/>
    </xf>
    <xf fontId="28613" applyFont="true" borderId="8" applyBorder="true" applyNumberFormat="true" numFmtId="2" fillId="22" applyFill="true">
      <alignment horizontal="center" vertical="center"/>
    </xf>
    <xf fontId="28614" applyFont="true" borderId="8" applyBorder="true" applyNumberFormat="true" numFmtId="2" fillId="22" applyFill="true">
      <alignment horizontal="center" vertical="center"/>
    </xf>
    <xf fontId="28615" applyFont="true" borderId="8" applyBorder="true" applyNumberFormat="true" numFmtId="2" fillId="22" applyFill="true">
      <alignment horizontal="center" vertical="center"/>
    </xf>
    <xf fontId="28616" applyFont="true" borderId="8" applyBorder="true" applyNumberFormat="true" numFmtId="2" fillId="22" applyFill="true">
      <alignment horizontal="center" vertical="center"/>
    </xf>
    <xf fontId="28617" applyFont="true" borderId="8" applyBorder="true" applyNumberFormat="true" numFmtId="2" fillId="22" applyFill="true">
      <alignment horizontal="center" vertical="center"/>
    </xf>
    <xf fontId="28618" applyFont="true" borderId="8" applyBorder="true" applyNumberFormat="true" numFmtId="2" fillId="22" applyFill="true">
      <alignment horizontal="center" vertical="center"/>
    </xf>
    <xf fontId="28619" applyFont="true" borderId="8" applyBorder="true" applyNumberFormat="true" numFmtId="2" fillId="22" applyFill="true">
      <alignment horizontal="center" vertical="center"/>
    </xf>
    <xf fontId="28620" applyFont="true" borderId="8" applyBorder="true" applyNumberFormat="true" numFmtId="2" fillId="22" applyFill="true">
      <alignment horizontal="center" vertical="center"/>
    </xf>
    <xf fontId="28621" applyFont="true" borderId="8" applyBorder="true" applyNumberFormat="true" numFmtId="2" fillId="22" applyFill="true">
      <alignment horizontal="center" vertical="center"/>
    </xf>
    <xf fontId="28622" applyFont="true" borderId="8" applyBorder="true" applyNumberFormat="true" numFmtId="2" fillId="22" applyFill="true">
      <alignment horizontal="center" vertical="center"/>
    </xf>
    <xf fontId="28623" applyFont="true" borderId="8" applyBorder="true" applyNumberFormat="true" numFmtId="2" fillId="22" applyFill="true">
      <alignment horizontal="center" vertical="center"/>
    </xf>
    <xf fontId="28624" applyFont="true" borderId="8" applyBorder="true" applyNumberFormat="true" numFmtId="2" fillId="22" applyFill="true">
      <alignment horizontal="center" vertical="center"/>
    </xf>
    <xf fontId="28625" applyFont="true" borderId="8" applyBorder="true" applyNumberFormat="true" numFmtId="2" fillId="22" applyFill="true">
      <alignment horizontal="center" vertical="center"/>
    </xf>
    <xf fontId="28626" applyFont="true" borderId="8" applyBorder="true" applyNumberFormat="true" numFmtId="2" fillId="22" applyFill="true">
      <alignment horizontal="center" vertical="center"/>
    </xf>
    <xf fontId="28627" applyFont="true" borderId="8" applyBorder="true" applyNumberFormat="true" numFmtId="2" fillId="22" applyFill="true">
      <alignment horizontal="center" vertical="center"/>
    </xf>
    <xf fontId="28628" applyFont="true" borderId="8" applyBorder="true" applyNumberFormat="true" numFmtId="2" fillId="22" applyFill="true">
      <alignment horizontal="center" vertical="center"/>
    </xf>
    <xf fontId="28629" applyFont="true" borderId="8" applyBorder="true" applyNumberFormat="true" numFmtId="165" fillId="19" applyFill="true">
      <alignment horizontal="left" vertical="center"/>
    </xf>
    <xf fontId="28630" applyFont="true" borderId="8" applyBorder="true" applyNumberFormat="true" numFmtId="165" fillId="22" applyFill="true">
      <alignment horizontal="center" vertical="center"/>
    </xf>
    <xf fontId="28631" applyFont="true" borderId="8" applyBorder="true" applyNumberFormat="true" numFmtId="166" fillId="22" applyFill="true">
      <alignment horizontal="center" vertical="center"/>
    </xf>
    <xf fontId="28632" applyFont="true" borderId="8" applyBorder="true" applyNumberFormat="true" numFmtId="1" fillId="22" applyFill="true">
      <alignment horizontal="center" vertical="center"/>
    </xf>
    <xf fontId="28633" applyFont="true" borderId="8" applyBorder="true" applyNumberFormat="true" numFmtId="1" fillId="22" applyFill="true">
      <alignment horizontal="center" vertical="center"/>
    </xf>
    <xf fontId="28634" applyFont="true" borderId="8" applyBorder="true" applyNumberFormat="true" numFmtId="1" fillId="22" applyFill="true">
      <alignment horizontal="center" vertical="center"/>
    </xf>
    <xf fontId="28635" applyFont="true" borderId="8" applyBorder="true" applyNumberFormat="true" numFmtId="1" fillId="22" applyFill="true">
      <alignment horizontal="center" vertical="center"/>
    </xf>
    <xf fontId="28636" applyFont="true" borderId="8" applyBorder="true" applyNumberFormat="true" numFmtId="1" fillId="22" applyFill="true">
      <alignment horizontal="center" vertical="center"/>
    </xf>
    <xf fontId="28637" applyFont="true" borderId="8" applyBorder="true" applyNumberFormat="true" numFmtId="1" fillId="22" applyFill="true">
      <alignment horizontal="center" vertical="center"/>
    </xf>
    <xf fontId="28638" applyFont="true" borderId="8" applyBorder="true" applyNumberFormat="true" numFmtId="1" fillId="22" applyFill="true">
      <alignment horizontal="center" vertical="center"/>
    </xf>
    <xf fontId="28639" applyFont="true" borderId="8" applyBorder="true" applyNumberFormat="true" numFmtId="165" fillId="22" applyFill="true">
      <alignment horizontal="center" vertical="center"/>
    </xf>
    <xf fontId="28640" applyFont="true" borderId="8" applyBorder="true" applyNumberFormat="true" numFmtId="165" fillId="22" applyFill="true">
      <alignment horizontal="center" vertical="center"/>
    </xf>
    <xf fontId="28641" applyFont="true" borderId="8" applyBorder="true" applyNumberFormat="true" numFmtId="1" fillId="22" applyFill="true">
      <alignment horizontal="center" vertical="center"/>
    </xf>
    <xf fontId="28642" applyFont="true" borderId="8" applyBorder="true" applyNumberFormat="true" numFmtId="1" fillId="22" applyFill="true">
      <alignment horizontal="center" vertical="center"/>
    </xf>
    <xf fontId="28643" applyFont="true" borderId="8" applyBorder="true" applyNumberFormat="true" numFmtId="1" fillId="22" applyFill="true">
      <alignment horizontal="center" vertical="center"/>
    </xf>
    <xf fontId="28644" applyFont="true" borderId="8" applyBorder="true" applyNumberFormat="true" numFmtId="167" fillId="22" applyFill="true">
      <alignment horizontal="center" vertical="center"/>
    </xf>
    <xf fontId="28645" applyFont="true" borderId="8" applyBorder="true" applyNumberFormat="true" numFmtId="1" fillId="22" applyFill="true">
      <alignment horizontal="center" vertical="center"/>
    </xf>
    <xf fontId="28646" applyFont="true" borderId="8" applyBorder="true" applyNumberFormat="true" numFmtId="167" fillId="22" applyFill="true">
      <alignment horizontal="center" vertical="center"/>
    </xf>
    <xf fontId="28647" applyFont="true" borderId="8" applyBorder="true" applyNumberFormat="true" numFmtId="1" fillId="22" applyFill="true">
      <alignment horizontal="center" vertical="center"/>
    </xf>
    <xf fontId="28648" applyFont="true" borderId="8" applyBorder="true" applyNumberFormat="true" numFmtId="167" fillId="22" applyFill="true">
      <alignment horizontal="center" vertical="center"/>
    </xf>
    <xf fontId="28649" applyFont="true" borderId="8" applyBorder="true" applyNumberFormat="true" numFmtId="1" fillId="22" applyFill="true">
      <alignment horizontal="center" vertical="center"/>
    </xf>
    <xf fontId="28650" applyFont="true" borderId="8" applyBorder="true" applyNumberFormat="true" numFmtId="167" fillId="22" applyFill="true">
      <alignment horizontal="center" vertical="center"/>
    </xf>
    <xf fontId="28651" applyFont="true" borderId="8" applyBorder="true" applyNumberFormat="true" numFmtId="167" fillId="22" applyFill="true">
      <alignment horizontal="center" vertical="center"/>
    </xf>
    <xf fontId="28652" applyFont="true" borderId="8" applyBorder="true" applyNumberFormat="true" numFmtId="1" fillId="22" applyFill="true">
      <alignment horizontal="center" vertical="center"/>
    </xf>
    <xf fontId="28653" applyFont="true" borderId="8" applyBorder="true" applyNumberFormat="true" numFmtId="1" fillId="22" applyFill="true">
      <alignment horizontal="center" vertical="center"/>
    </xf>
    <xf fontId="28654" applyFont="true" borderId="8" applyBorder="true" applyNumberFormat="true" numFmtId="1" fillId="22" applyFill="true">
      <alignment horizontal="center" vertical="center"/>
    </xf>
    <xf fontId="28655" applyFont="true" borderId="8" applyBorder="true" applyNumberFormat="true" numFmtId="167" fillId="22" applyFill="true">
      <alignment horizontal="center" vertical="center"/>
    </xf>
    <xf fontId="28656" applyFont="true" borderId="8" applyBorder="true" applyNumberFormat="true" numFmtId="166" fillId="22" applyFill="true">
      <alignment horizontal="center" vertical="center"/>
    </xf>
    <xf fontId="28657" applyFont="true" borderId="8" applyBorder="true" applyNumberFormat="true" numFmtId="166" fillId="22" applyFill="true">
      <alignment horizontal="center" vertical="center"/>
    </xf>
    <xf fontId="28658" applyFont="true" borderId="8" applyBorder="true" applyNumberFormat="true" numFmtId="1" fillId="22" applyFill="true">
      <alignment horizontal="center" vertical="center"/>
    </xf>
    <xf fontId="28659" applyFont="true" borderId="8" applyBorder="true" applyNumberFormat="true" numFmtId="1" fillId="22" applyFill="true">
      <alignment horizontal="center" vertical="center"/>
    </xf>
    <xf fontId="28660" applyFont="true" borderId="8" applyBorder="true" applyNumberFormat="true" numFmtId="1" fillId="22" applyFill="true">
      <alignment horizontal="center" vertical="center"/>
    </xf>
    <xf fontId="28661" applyFont="true" borderId="8" applyBorder="true" applyNumberFormat="true" numFmtId="167" fillId="22" applyFill="true">
      <alignment horizontal="center" vertical="center"/>
    </xf>
    <xf fontId="28662" applyFont="true" borderId="8" applyBorder="true" applyNumberFormat="true" numFmtId="1" fillId="22" applyFill="true">
      <alignment horizontal="center" vertical="center"/>
    </xf>
    <xf fontId="28663" applyFont="true" borderId="8" applyBorder="true" applyNumberFormat="true" numFmtId="167" fillId="22" applyFill="true">
      <alignment horizontal="center" vertical="center"/>
    </xf>
    <xf fontId="28664" applyFont="true" borderId="8" applyBorder="true" applyNumberFormat="true" numFmtId="1" fillId="22" applyFill="true">
      <alignment horizontal="center" vertical="center"/>
    </xf>
    <xf fontId="28665" applyFont="true" borderId="8" applyBorder="true" applyNumberFormat="true" numFmtId="1" fillId="22" applyFill="true">
      <alignment horizontal="center" vertical="center"/>
    </xf>
    <xf fontId="28666" applyFont="true" borderId="8" applyBorder="true" applyNumberFormat="true" numFmtId="1" fillId="22" applyFill="true">
      <alignment horizontal="center" vertical="center"/>
    </xf>
    <xf fontId="28667" applyFont="true" borderId="8" applyBorder="true" applyNumberFormat="true" numFmtId="1" fillId="22" applyFill="true">
      <alignment horizontal="center" vertical="center"/>
    </xf>
    <xf fontId="28668" applyFont="true" borderId="8" applyBorder="true" applyNumberFormat="true" numFmtId="167" fillId="22" applyFill="true">
      <alignment horizontal="center" vertical="center"/>
    </xf>
    <xf fontId="28669" applyFont="true" borderId="8" applyBorder="true" applyNumberFormat="true" numFmtId="1" fillId="22" applyFill="true">
      <alignment horizontal="center" vertical="center"/>
    </xf>
    <xf fontId="28670" applyFont="true" borderId="8" applyBorder="true" applyNumberFormat="true" numFmtId="167" fillId="22" applyFill="true">
      <alignment horizontal="center" vertical="center"/>
    </xf>
    <xf fontId="28671" applyFont="true" borderId="8" applyBorder="true" applyNumberFormat="true" numFmtId="1" fillId="22" applyFill="true">
      <alignment horizontal="center" vertical="center"/>
    </xf>
    <xf fontId="28672" applyFont="true" borderId="8" applyBorder="true" applyNumberFormat="true" numFmtId="167" fillId="22" applyFill="true">
      <alignment horizontal="center" vertical="center"/>
    </xf>
    <xf fontId="28673" applyFont="true" borderId="8" applyBorder="true" applyNumberFormat="true" numFmtId="2" fillId="22" applyFill="true">
      <alignment horizontal="center" vertical="center"/>
    </xf>
    <xf fontId="28674" applyFont="true" borderId="8" applyBorder="true" applyNumberFormat="true" numFmtId="2" fillId="22" applyFill="true">
      <alignment horizontal="center" vertical="center"/>
    </xf>
    <xf fontId="28675" applyFont="true" borderId="8" applyBorder="true" applyNumberFormat="true" numFmtId="2" fillId="22" applyFill="true">
      <alignment horizontal="center" vertical="center"/>
    </xf>
    <xf fontId="28676" applyFont="true" borderId="8" applyBorder="true" applyNumberFormat="true" numFmtId="2" fillId="22" applyFill="true">
      <alignment horizontal="center" vertical="center"/>
    </xf>
    <xf fontId="28677" applyFont="true" borderId="8" applyBorder="true" applyNumberFormat="true" numFmtId="2" fillId="22" applyFill="true">
      <alignment horizontal="center" vertical="center"/>
    </xf>
    <xf fontId="28678" applyFont="true" borderId="8" applyBorder="true" applyNumberFormat="true" numFmtId="2" fillId="22" applyFill="true">
      <alignment horizontal="center" vertical="center"/>
    </xf>
    <xf fontId="28679" applyFont="true" borderId="8" applyBorder="true" applyNumberFormat="true" numFmtId="2" fillId="22" applyFill="true">
      <alignment horizontal="center" vertical="center"/>
    </xf>
    <xf fontId="28680" applyFont="true" borderId="8" applyBorder="true" applyNumberFormat="true" numFmtId="2" fillId="22" applyFill="true">
      <alignment horizontal="center" vertical="center"/>
    </xf>
    <xf fontId="28681" applyFont="true" borderId="8" applyBorder="true" applyNumberFormat="true" numFmtId="2" fillId="22" applyFill="true">
      <alignment horizontal="center" vertical="center"/>
    </xf>
    <xf fontId="28682" applyFont="true" borderId="8" applyBorder="true" applyNumberFormat="true" numFmtId="2" fillId="22" applyFill="true">
      <alignment horizontal="center" vertical="center"/>
    </xf>
    <xf fontId="28683" applyFont="true" borderId="8" applyBorder="true" applyNumberFormat="true" numFmtId="2" fillId="22" applyFill="true">
      <alignment horizontal="center" vertical="center"/>
    </xf>
    <xf fontId="28684" applyFont="true" borderId="8" applyBorder="true" applyNumberFormat="true" numFmtId="2" fillId="22" applyFill="true">
      <alignment horizontal="center" vertical="center"/>
    </xf>
    <xf fontId="28685" applyFont="true" borderId="8" applyBorder="true" applyNumberFormat="true" numFmtId="2" fillId="22" applyFill="true">
      <alignment horizontal="center" vertical="center"/>
    </xf>
    <xf fontId="28686" applyFont="true" borderId="8" applyBorder="true" applyNumberFormat="true" numFmtId="2" fillId="22" applyFill="true">
      <alignment horizontal="center" vertical="center"/>
    </xf>
    <xf fontId="28687" applyFont="true" borderId="8" applyBorder="true" applyNumberFormat="true" numFmtId="2" fillId="22" applyFill="true">
      <alignment horizontal="center" vertical="center"/>
    </xf>
    <xf fontId="28688" applyFont="true" borderId="8" applyBorder="true" applyNumberFormat="true" numFmtId="2" fillId="22" applyFill="true">
      <alignment horizontal="center" vertical="center"/>
    </xf>
    <xf fontId="28689" applyFont="true" borderId="8" applyBorder="true" applyNumberFormat="true" numFmtId="2" fillId="22" applyFill="true">
      <alignment horizontal="center" vertical="center"/>
    </xf>
    <xf fontId="28690" applyFont="true" borderId="8" applyBorder="true" applyNumberFormat="true" numFmtId="2" fillId="22" applyFill="true">
      <alignment horizontal="center" vertical="center"/>
    </xf>
    <xf fontId="28691" applyFont="true" borderId="8" applyBorder="true" applyNumberFormat="true" numFmtId="2" fillId="22" applyFill="true">
      <alignment horizontal="center" vertical="center"/>
    </xf>
    <xf fontId="28692" applyFont="true" borderId="8" applyBorder="true" applyNumberFormat="true" numFmtId="2" fillId="22" applyFill="true">
      <alignment horizontal="center" vertical="center"/>
    </xf>
    <xf fontId="28693" applyFont="true" borderId="8" applyBorder="true" applyNumberFormat="true" numFmtId="2" fillId="22" applyFill="true">
      <alignment horizontal="center" vertical="center"/>
    </xf>
    <xf fontId="28694" applyFont="true" borderId="8" applyBorder="true" applyNumberFormat="true" numFmtId="2" fillId="22" applyFill="true">
      <alignment horizontal="center" vertical="center"/>
    </xf>
    <xf fontId="28695" applyFont="true" borderId="8" applyBorder="true" applyNumberFormat="true" numFmtId="2" fillId="22" applyFill="true">
      <alignment horizontal="center" vertical="center"/>
    </xf>
    <xf fontId="28696" applyFont="true" borderId="8" applyBorder="true" applyNumberFormat="true" numFmtId="2" fillId="22" applyFill="true">
      <alignment horizontal="center" vertical="center"/>
    </xf>
    <xf fontId="28697" applyFont="true" borderId="8" applyBorder="true" applyNumberFormat="true" numFmtId="2" fillId="22" applyFill="true">
      <alignment horizontal="center" vertical="center"/>
    </xf>
    <xf fontId="28698" applyFont="true" borderId="8" applyBorder="true" applyNumberFormat="true" numFmtId="2" fillId="22" applyFill="true">
      <alignment horizontal="center" vertical="center"/>
    </xf>
    <xf fontId="28699" applyFont="true" borderId="8" applyBorder="true" applyNumberFormat="true" numFmtId="2" fillId="22" applyFill="true">
      <alignment horizontal="center" vertical="center"/>
    </xf>
    <xf fontId="28700" applyFont="true" borderId="8" applyBorder="true" applyNumberFormat="true" numFmtId="2" fillId="22" applyFill="true">
      <alignment horizontal="center" vertical="center"/>
    </xf>
    <xf fontId="28701" applyFont="true" borderId="8" applyBorder="true" applyNumberFormat="true" numFmtId="2" fillId="22" applyFill="true">
      <alignment horizontal="center" vertical="center"/>
    </xf>
    <xf fontId="28702" applyFont="true" borderId="8" applyBorder="true" applyNumberFormat="true" numFmtId="2" fillId="22" applyFill="true">
      <alignment horizontal="center" vertical="center"/>
    </xf>
    <xf fontId="28703" applyFont="true" borderId="8" applyBorder="true" applyNumberFormat="true" numFmtId="2" fillId="22" applyFill="true">
      <alignment horizontal="center" vertical="center"/>
    </xf>
    <xf fontId="28704" applyFont="true" borderId="8" applyBorder="true" applyNumberFormat="true" numFmtId="2" fillId="22" applyFill="true">
      <alignment horizontal="center" vertical="center"/>
    </xf>
    <xf fontId="28705" applyFont="true" borderId="8" applyBorder="true" applyNumberFormat="true" numFmtId="2" fillId="22" applyFill="true">
      <alignment horizontal="center" vertical="center"/>
    </xf>
    <xf fontId="28706" applyFont="true" borderId="8" applyBorder="true" applyNumberFormat="true" numFmtId="2" fillId="22" applyFill="true">
      <alignment horizontal="center" vertical="center"/>
    </xf>
    <xf fontId="28707" applyFont="true" borderId="8" applyBorder="true" applyNumberFormat="true" numFmtId="165" fillId="19" applyFill="true">
      <alignment horizontal="left" vertical="center"/>
    </xf>
    <xf fontId="28708" applyFont="true" borderId="8" applyBorder="true" applyNumberFormat="true" numFmtId="165" fillId="22" applyFill="true">
      <alignment horizontal="center" vertical="center"/>
    </xf>
    <xf fontId="28709" applyFont="true" borderId="8" applyBorder="true" applyNumberFormat="true" numFmtId="166" fillId="22" applyFill="true">
      <alignment horizontal="center" vertical="center"/>
    </xf>
    <xf fontId="28710" applyFont="true" borderId="8" applyBorder="true" applyNumberFormat="true" numFmtId="1" fillId="22" applyFill="true">
      <alignment horizontal="center" vertical="center"/>
    </xf>
    <xf fontId="28711" applyFont="true" borderId="8" applyBorder="true" applyNumberFormat="true" numFmtId="1" fillId="22" applyFill="true">
      <alignment horizontal="center" vertical="center"/>
    </xf>
    <xf fontId="28712" applyFont="true" borderId="8" applyBorder="true" applyNumberFormat="true" numFmtId="1" fillId="22" applyFill="true">
      <alignment horizontal="center" vertical="center"/>
    </xf>
    <xf fontId="28713" applyFont="true" borderId="8" applyBorder="true" applyNumberFormat="true" numFmtId="1" fillId="22" applyFill="true">
      <alignment horizontal="center" vertical="center"/>
    </xf>
    <xf fontId="28714" applyFont="true" borderId="8" applyBorder="true" applyNumberFormat="true" numFmtId="1" fillId="22" applyFill="true">
      <alignment horizontal="center" vertical="center"/>
    </xf>
    <xf fontId="28715" applyFont="true" borderId="8" applyBorder="true" applyNumberFormat="true" numFmtId="1" fillId="22" applyFill="true">
      <alignment horizontal="center" vertical="center"/>
    </xf>
    <xf fontId="28716" applyFont="true" borderId="8" applyBorder="true" applyNumberFormat="true" numFmtId="1" fillId="22" applyFill="true">
      <alignment horizontal="center" vertical="center"/>
    </xf>
    <xf fontId="28717" applyFont="true" borderId="8" applyBorder="true" applyNumberFormat="true" numFmtId="165" fillId="22" applyFill="true">
      <alignment horizontal="center" vertical="center"/>
    </xf>
    <xf fontId="28718" applyFont="true" borderId="8" applyBorder="true" applyNumberFormat="true" numFmtId="165" fillId="22" applyFill="true">
      <alignment horizontal="center" vertical="center"/>
    </xf>
    <xf fontId="28719" applyFont="true" borderId="8" applyBorder="true" applyNumberFormat="true" numFmtId="1" fillId="22" applyFill="true">
      <alignment horizontal="center" vertical="center"/>
    </xf>
    <xf fontId="28720" applyFont="true" borderId="8" applyBorder="true" applyNumberFormat="true" numFmtId="1" fillId="22" applyFill="true">
      <alignment horizontal="center" vertical="center"/>
    </xf>
    <xf fontId="28721" applyFont="true" borderId="8" applyBorder="true" applyNumberFormat="true" numFmtId="1" fillId="22" applyFill="true">
      <alignment horizontal="center" vertical="center"/>
    </xf>
    <xf fontId="28722" applyFont="true" borderId="8" applyBorder="true" applyNumberFormat="true" numFmtId="167" fillId="22" applyFill="true">
      <alignment horizontal="center" vertical="center"/>
    </xf>
    <xf fontId="28723" applyFont="true" borderId="8" applyBorder="true" applyNumberFormat="true" numFmtId="1" fillId="22" applyFill="true">
      <alignment horizontal="center" vertical="center"/>
    </xf>
    <xf fontId="28724" applyFont="true" borderId="8" applyBorder="true" applyNumberFormat="true" numFmtId="167" fillId="22" applyFill="true">
      <alignment horizontal="center" vertical="center"/>
    </xf>
    <xf fontId="28725" applyFont="true" borderId="8" applyBorder="true" applyNumberFormat="true" numFmtId="1" fillId="22" applyFill="true">
      <alignment horizontal="center" vertical="center"/>
    </xf>
    <xf fontId="28726" applyFont="true" borderId="8" applyBorder="true" applyNumberFormat="true" numFmtId="167" fillId="22" applyFill="true">
      <alignment horizontal="center" vertical="center"/>
    </xf>
    <xf fontId="28727" applyFont="true" borderId="8" applyBorder="true" applyNumberFormat="true" numFmtId="1" fillId="22" applyFill="true">
      <alignment horizontal="center" vertical="center"/>
    </xf>
    <xf fontId="28728" applyFont="true" borderId="8" applyBorder="true" applyNumberFormat="true" numFmtId="167" fillId="22" applyFill="true">
      <alignment horizontal="center" vertical="center"/>
    </xf>
    <xf fontId="28729" applyFont="true" borderId="8" applyBorder="true" applyNumberFormat="true" numFmtId="167" fillId="22" applyFill="true">
      <alignment horizontal="center" vertical="center"/>
    </xf>
    <xf fontId="28730" applyFont="true" borderId="8" applyBorder="true" applyNumberFormat="true" numFmtId="1" fillId="22" applyFill="true">
      <alignment horizontal="center" vertical="center"/>
    </xf>
    <xf fontId="28731" applyFont="true" borderId="8" applyBorder="true" applyNumberFormat="true" numFmtId="1" fillId="22" applyFill="true">
      <alignment horizontal="center" vertical="center"/>
    </xf>
    <xf fontId="28732" applyFont="true" borderId="8" applyBorder="true" applyNumberFormat="true" numFmtId="1" fillId="22" applyFill="true">
      <alignment horizontal="center" vertical="center"/>
    </xf>
    <xf fontId="28733" applyFont="true" borderId="8" applyBorder="true" applyNumberFormat="true" numFmtId="167" fillId="22" applyFill="true">
      <alignment horizontal="center" vertical="center"/>
    </xf>
    <xf fontId="28734" applyFont="true" borderId="8" applyBorder="true" applyNumberFormat="true" numFmtId="166" fillId="22" applyFill="true">
      <alignment horizontal="center" vertical="center"/>
    </xf>
    <xf fontId="28735" applyFont="true" borderId="8" applyBorder="true" applyNumberFormat="true" numFmtId="166" fillId="22" applyFill="true">
      <alignment horizontal="center" vertical="center"/>
    </xf>
    <xf fontId="28736" applyFont="true" borderId="8" applyBorder="true" applyNumberFormat="true" numFmtId="1" fillId="22" applyFill="true">
      <alignment horizontal="center" vertical="center"/>
    </xf>
    <xf fontId="28737" applyFont="true" borderId="8" applyBorder="true" applyNumberFormat="true" numFmtId="1" fillId="22" applyFill="true">
      <alignment horizontal="center" vertical="center"/>
    </xf>
    <xf fontId="28738" applyFont="true" borderId="8" applyBorder="true" applyNumberFormat="true" numFmtId="1" fillId="22" applyFill="true">
      <alignment horizontal="center" vertical="center"/>
    </xf>
    <xf fontId="28739" applyFont="true" borderId="8" applyBorder="true" applyNumberFormat="true" numFmtId="167" fillId="22" applyFill="true">
      <alignment horizontal="center" vertical="center"/>
    </xf>
    <xf fontId="28740" applyFont="true" borderId="8" applyBorder="true" applyNumberFormat="true" numFmtId="1" fillId="22" applyFill="true">
      <alignment horizontal="center" vertical="center"/>
    </xf>
    <xf fontId="28741" applyFont="true" borderId="8" applyBorder="true" applyNumberFormat="true" numFmtId="167" fillId="22" applyFill="true">
      <alignment horizontal="center" vertical="center"/>
    </xf>
    <xf fontId="28742" applyFont="true" borderId="8" applyBorder="true" applyNumberFormat="true" numFmtId="1" fillId="22" applyFill="true">
      <alignment horizontal="center" vertical="center"/>
    </xf>
    <xf fontId="28743" applyFont="true" borderId="8" applyBorder="true" applyNumberFormat="true" numFmtId="1" fillId="22" applyFill="true">
      <alignment horizontal="center" vertical="center"/>
    </xf>
    <xf fontId="28744" applyFont="true" borderId="8" applyBorder="true" applyNumberFormat="true" numFmtId="1" fillId="22" applyFill="true">
      <alignment horizontal="center" vertical="center"/>
    </xf>
    <xf fontId="28745" applyFont="true" borderId="8" applyBorder="true" applyNumberFormat="true" numFmtId="1" fillId="22" applyFill="true">
      <alignment horizontal="center" vertical="center"/>
    </xf>
    <xf fontId="28746" applyFont="true" borderId="8" applyBorder="true" applyNumberFormat="true" numFmtId="167" fillId="22" applyFill="true">
      <alignment horizontal="center" vertical="center"/>
    </xf>
    <xf fontId="28747" applyFont="true" borderId="8" applyBorder="true" applyNumberFormat="true" numFmtId="1" fillId="22" applyFill="true">
      <alignment horizontal="center" vertical="center"/>
    </xf>
    <xf fontId="28748" applyFont="true" borderId="8" applyBorder="true" applyNumberFormat="true" numFmtId="167" fillId="22" applyFill="true">
      <alignment horizontal="center" vertical="center"/>
    </xf>
    <xf fontId="28749" applyFont="true" borderId="8" applyBorder="true" applyNumberFormat="true" numFmtId="1" fillId="22" applyFill="true">
      <alignment horizontal="center" vertical="center"/>
    </xf>
    <xf fontId="28750" applyFont="true" borderId="8" applyBorder="true" applyNumberFormat="true" numFmtId="167" fillId="22" applyFill="true">
      <alignment horizontal="center" vertical="center"/>
    </xf>
    <xf fontId="28751" applyFont="true" borderId="8" applyBorder="true" applyNumberFormat="true" numFmtId="2" fillId="22" applyFill="true">
      <alignment horizontal="center" vertical="center"/>
    </xf>
    <xf fontId="28752" applyFont="true" borderId="8" applyBorder="true" applyNumberFormat="true" numFmtId="2" fillId="22" applyFill="true">
      <alignment horizontal="center" vertical="center"/>
    </xf>
    <xf fontId="28753" applyFont="true" borderId="8" applyBorder="true" applyNumberFormat="true" numFmtId="2" fillId="22" applyFill="true">
      <alignment horizontal="center" vertical="center"/>
    </xf>
    <xf fontId="28754" applyFont="true" borderId="8" applyBorder="true" applyNumberFormat="true" numFmtId="2" fillId="22" applyFill="true">
      <alignment horizontal="center" vertical="center"/>
    </xf>
    <xf fontId="28755" applyFont="true" borderId="8" applyBorder="true" applyNumberFormat="true" numFmtId="2" fillId="22" applyFill="true">
      <alignment horizontal="center" vertical="center"/>
    </xf>
    <xf fontId="28756" applyFont="true" borderId="8" applyBorder="true" applyNumberFormat="true" numFmtId="2" fillId="22" applyFill="true">
      <alignment horizontal="center" vertical="center"/>
    </xf>
    <xf fontId="28757" applyFont="true" borderId="8" applyBorder="true" applyNumberFormat="true" numFmtId="2" fillId="22" applyFill="true">
      <alignment horizontal="center" vertical="center"/>
    </xf>
    <xf fontId="28758" applyFont="true" borderId="8" applyBorder="true" applyNumberFormat="true" numFmtId="2" fillId="22" applyFill="true">
      <alignment horizontal="center" vertical="center"/>
    </xf>
    <xf fontId="28759" applyFont="true" borderId="8" applyBorder="true" applyNumberFormat="true" numFmtId="2" fillId="22" applyFill="true">
      <alignment horizontal="center" vertical="center"/>
    </xf>
    <xf fontId="28760" applyFont="true" borderId="8" applyBorder="true" applyNumberFormat="true" numFmtId="2" fillId="22" applyFill="true">
      <alignment horizontal="center" vertical="center"/>
    </xf>
    <xf fontId="28761" applyFont="true" borderId="8" applyBorder="true" applyNumberFormat="true" numFmtId="2" fillId="22" applyFill="true">
      <alignment horizontal="center" vertical="center"/>
    </xf>
    <xf fontId="28762" applyFont="true" borderId="8" applyBorder="true" applyNumberFormat="true" numFmtId="2" fillId="22" applyFill="true">
      <alignment horizontal="center" vertical="center"/>
    </xf>
    <xf fontId="28763" applyFont="true" borderId="8" applyBorder="true" applyNumberFormat="true" numFmtId="2" fillId="22" applyFill="true">
      <alignment horizontal="center" vertical="center"/>
    </xf>
    <xf fontId="28764" applyFont="true" borderId="8" applyBorder="true" applyNumberFormat="true" numFmtId="2" fillId="22" applyFill="true">
      <alignment horizontal="center" vertical="center"/>
    </xf>
    <xf fontId="28765" applyFont="true" borderId="8" applyBorder="true" applyNumberFormat="true" numFmtId="2" fillId="22" applyFill="true">
      <alignment horizontal="center" vertical="center"/>
    </xf>
    <xf fontId="28766" applyFont="true" borderId="8" applyBorder="true" applyNumberFormat="true" numFmtId="2" fillId="22" applyFill="true">
      <alignment horizontal="center" vertical="center"/>
    </xf>
    <xf fontId="28767" applyFont="true" borderId="8" applyBorder="true" applyNumberFormat="true" numFmtId="2" fillId="22" applyFill="true">
      <alignment horizontal="center" vertical="center"/>
    </xf>
    <xf fontId="28768" applyFont="true" borderId="8" applyBorder="true" applyNumberFormat="true" numFmtId="2" fillId="22" applyFill="true">
      <alignment horizontal="center" vertical="center"/>
    </xf>
    <xf fontId="28769" applyFont="true" borderId="8" applyBorder="true" applyNumberFormat="true" numFmtId="2" fillId="22" applyFill="true">
      <alignment horizontal="center" vertical="center"/>
    </xf>
    <xf fontId="28770" applyFont="true" borderId="8" applyBorder="true" applyNumberFormat="true" numFmtId="2" fillId="22" applyFill="true">
      <alignment horizontal="center" vertical="center"/>
    </xf>
    <xf fontId="28771" applyFont="true" borderId="8" applyBorder="true" applyNumberFormat="true" numFmtId="2" fillId="22" applyFill="true">
      <alignment horizontal="center" vertical="center"/>
    </xf>
    <xf fontId="28772" applyFont="true" borderId="8" applyBorder="true" applyNumberFormat="true" numFmtId="2" fillId="22" applyFill="true">
      <alignment horizontal="center" vertical="center"/>
    </xf>
    <xf fontId="28773" applyFont="true" borderId="8" applyBorder="true" applyNumberFormat="true" numFmtId="2" fillId="22" applyFill="true">
      <alignment horizontal="center" vertical="center"/>
    </xf>
    <xf fontId="28774" applyFont="true" borderId="8" applyBorder="true" applyNumberFormat="true" numFmtId="2" fillId="22" applyFill="true">
      <alignment horizontal="center" vertical="center"/>
    </xf>
    <xf fontId="28775" applyFont="true" borderId="8" applyBorder="true" applyNumberFormat="true" numFmtId="2" fillId="22" applyFill="true">
      <alignment horizontal="center" vertical="center"/>
    </xf>
    <xf fontId="28776" applyFont="true" borderId="8" applyBorder="true" applyNumberFormat="true" numFmtId="2" fillId="22" applyFill="true">
      <alignment horizontal="center" vertical="center"/>
    </xf>
    <xf fontId="28777" applyFont="true" borderId="8" applyBorder="true" applyNumberFormat="true" numFmtId="2" fillId="22" applyFill="true">
      <alignment horizontal="center" vertical="center"/>
    </xf>
    <xf fontId="28778" applyFont="true" borderId="8" applyBorder="true" applyNumberFormat="true" numFmtId="2" fillId="22" applyFill="true">
      <alignment horizontal="center" vertical="center"/>
    </xf>
    <xf fontId="28779" applyFont="true" borderId="8" applyBorder="true" applyNumberFormat="true" numFmtId="2" fillId="22" applyFill="true">
      <alignment horizontal="center" vertical="center"/>
    </xf>
    <xf fontId="28780" applyFont="true" borderId="8" applyBorder="true" applyNumberFormat="true" numFmtId="2" fillId="22" applyFill="true">
      <alignment horizontal="center" vertical="center"/>
    </xf>
    <xf fontId="28781" applyFont="true" borderId="8" applyBorder="true" applyNumberFormat="true" numFmtId="2" fillId="22" applyFill="true">
      <alignment horizontal="center" vertical="center"/>
    </xf>
    <xf fontId="28782" applyFont="true" borderId="8" applyBorder="true" applyNumberFormat="true" numFmtId="2" fillId="22" applyFill="true">
      <alignment horizontal="center" vertical="center"/>
    </xf>
    <xf fontId="28783" applyFont="true" borderId="8" applyBorder="true" applyNumberFormat="true" numFmtId="2" fillId="22" applyFill="true">
      <alignment horizontal="center" vertical="center"/>
    </xf>
    <xf fontId="28784" applyFont="true" borderId="8" applyBorder="true" applyNumberFormat="true" numFmtId="2" fillId="22" applyFill="true">
      <alignment horizontal="center" vertical="center"/>
    </xf>
    <xf fontId="28785" applyFont="true" borderId="8" applyBorder="true" applyNumberFormat="true" numFmtId="165" fillId="19" applyFill="true">
      <alignment horizontal="left" vertical="center"/>
    </xf>
    <xf fontId="28786" applyFont="true" borderId="8" applyBorder="true" applyNumberFormat="true" numFmtId="165" fillId="22" applyFill="true">
      <alignment horizontal="center" vertical="center"/>
    </xf>
    <xf fontId="28787" applyFont="true" borderId="8" applyBorder="true" applyNumberFormat="true" numFmtId="166" fillId="22" applyFill="true">
      <alignment horizontal="center" vertical="center"/>
    </xf>
    <xf fontId="28788" applyFont="true" borderId="8" applyBorder="true" applyNumberFormat="true" numFmtId="1" fillId="22" applyFill="true">
      <alignment horizontal="center" vertical="center"/>
    </xf>
    <xf fontId="28789" applyFont="true" borderId="8" applyBorder="true" applyNumberFormat="true" numFmtId="1" fillId="22" applyFill="true">
      <alignment horizontal="center" vertical="center"/>
    </xf>
    <xf fontId="28790" applyFont="true" borderId="8" applyBorder="true" applyNumberFormat="true" numFmtId="1" fillId="22" applyFill="true">
      <alignment horizontal="center" vertical="center"/>
    </xf>
    <xf fontId="28791" applyFont="true" borderId="8" applyBorder="true" applyNumberFormat="true" numFmtId="1" fillId="22" applyFill="true">
      <alignment horizontal="center" vertical="center"/>
    </xf>
    <xf fontId="28792" applyFont="true" borderId="8" applyBorder="true" applyNumberFormat="true" numFmtId="1" fillId="22" applyFill="true">
      <alignment horizontal="center" vertical="center"/>
    </xf>
    <xf fontId="28793" applyFont="true" borderId="8" applyBorder="true" applyNumberFormat="true" numFmtId="1" fillId="22" applyFill="true">
      <alignment horizontal="center" vertical="center"/>
    </xf>
    <xf fontId="28794" applyFont="true" borderId="8" applyBorder="true" applyNumberFormat="true" numFmtId="1" fillId="22" applyFill="true">
      <alignment horizontal="center" vertical="center"/>
    </xf>
    <xf fontId="28795" applyFont="true" borderId="8" applyBorder="true" applyNumberFormat="true" numFmtId="165" fillId="22" applyFill="true">
      <alignment horizontal="center" vertical="center"/>
    </xf>
    <xf fontId="28796" applyFont="true" borderId="8" applyBorder="true" applyNumberFormat="true" numFmtId="165" fillId="22" applyFill="true">
      <alignment horizontal="center" vertical="center"/>
    </xf>
    <xf fontId="28797" applyFont="true" borderId="8" applyBorder="true" applyNumberFormat="true" numFmtId="1" fillId="22" applyFill="true">
      <alignment horizontal="center" vertical="center"/>
    </xf>
    <xf fontId="28798" applyFont="true" borderId="8" applyBorder="true" applyNumberFormat="true" numFmtId="1" fillId="22" applyFill="true">
      <alignment horizontal="center" vertical="center"/>
    </xf>
    <xf fontId="28799" applyFont="true" borderId="8" applyBorder="true" applyNumberFormat="true" numFmtId="1" fillId="22" applyFill="true">
      <alignment horizontal="center" vertical="center"/>
    </xf>
    <xf fontId="28800" applyFont="true" borderId="8" applyBorder="true" applyNumberFormat="true" numFmtId="167" fillId="22" applyFill="true">
      <alignment horizontal="center" vertical="center"/>
    </xf>
    <xf fontId="28801" applyFont="true" borderId="8" applyBorder="true" applyNumberFormat="true" numFmtId="1" fillId="22" applyFill="true">
      <alignment horizontal="center" vertical="center"/>
    </xf>
    <xf fontId="28802" applyFont="true" borderId="8" applyBorder="true" applyNumberFormat="true" numFmtId="167" fillId="22" applyFill="true">
      <alignment horizontal="center" vertical="center"/>
    </xf>
    <xf fontId="28803" applyFont="true" borderId="8" applyBorder="true" applyNumberFormat="true" numFmtId="1" fillId="22" applyFill="true">
      <alignment horizontal="center" vertical="center"/>
    </xf>
    <xf fontId="28804" applyFont="true" borderId="8" applyBorder="true" applyNumberFormat="true" numFmtId="167" fillId="22" applyFill="true">
      <alignment horizontal="center" vertical="center"/>
    </xf>
    <xf fontId="28805" applyFont="true" borderId="8" applyBorder="true" applyNumberFormat="true" numFmtId="1" fillId="22" applyFill="true">
      <alignment horizontal="center" vertical="center"/>
    </xf>
    <xf fontId="28806" applyFont="true" borderId="8" applyBorder="true" applyNumberFormat="true" numFmtId="167" fillId="22" applyFill="true">
      <alignment horizontal="center" vertical="center"/>
    </xf>
    <xf fontId="28807" applyFont="true" borderId="8" applyBorder="true" applyNumberFormat="true" numFmtId="167" fillId="22" applyFill="true">
      <alignment horizontal="center" vertical="center"/>
    </xf>
    <xf fontId="28808" applyFont="true" borderId="8" applyBorder="true" applyNumberFormat="true" numFmtId="1" fillId="22" applyFill="true">
      <alignment horizontal="center" vertical="center"/>
    </xf>
    <xf fontId="28809" applyFont="true" borderId="8" applyBorder="true" applyNumberFormat="true" numFmtId="1" fillId="22" applyFill="true">
      <alignment horizontal="center" vertical="center"/>
    </xf>
    <xf fontId="28810" applyFont="true" borderId="8" applyBorder="true" applyNumberFormat="true" numFmtId="1" fillId="22" applyFill="true">
      <alignment horizontal="center" vertical="center"/>
    </xf>
    <xf fontId="28811" applyFont="true" borderId="8" applyBorder="true" applyNumberFormat="true" numFmtId="167" fillId="22" applyFill="true">
      <alignment horizontal="center" vertical="center"/>
    </xf>
    <xf fontId="28812" applyFont="true" borderId="8" applyBorder="true" applyNumberFormat="true" numFmtId="166" fillId="22" applyFill="true">
      <alignment horizontal="center" vertical="center"/>
    </xf>
    <xf fontId="28813" applyFont="true" borderId="8" applyBorder="true" applyNumberFormat="true" numFmtId="166" fillId="22" applyFill="true">
      <alignment horizontal="center" vertical="center"/>
    </xf>
    <xf fontId="28814" applyFont="true" borderId="8" applyBorder="true" applyNumberFormat="true" numFmtId="1" fillId="22" applyFill="true">
      <alignment horizontal="center" vertical="center"/>
    </xf>
    <xf fontId="28815" applyFont="true" borderId="8" applyBorder="true" applyNumberFormat="true" numFmtId="1" fillId="22" applyFill="true">
      <alignment horizontal="center" vertical="center"/>
    </xf>
    <xf fontId="28816" applyFont="true" borderId="8" applyBorder="true" applyNumberFormat="true" numFmtId="1" fillId="22" applyFill="true">
      <alignment horizontal="center" vertical="center"/>
    </xf>
    <xf fontId="28817" applyFont="true" borderId="8" applyBorder="true" applyNumberFormat="true" numFmtId="167" fillId="22" applyFill="true">
      <alignment horizontal="center" vertical="center"/>
    </xf>
    <xf fontId="28818" applyFont="true" borderId="8" applyBorder="true" applyNumberFormat="true" numFmtId="1" fillId="22" applyFill="true">
      <alignment horizontal="center" vertical="center"/>
    </xf>
    <xf fontId="28819" applyFont="true" borderId="8" applyBorder="true" applyNumberFormat="true" numFmtId="167" fillId="22" applyFill="true">
      <alignment horizontal="center" vertical="center"/>
    </xf>
    <xf fontId="28820" applyFont="true" borderId="8" applyBorder="true" applyNumberFormat="true" numFmtId="1" fillId="22" applyFill="true">
      <alignment horizontal="center" vertical="center"/>
    </xf>
    <xf fontId="28821" applyFont="true" borderId="8" applyBorder="true" applyNumberFormat="true" numFmtId="1" fillId="22" applyFill="true">
      <alignment horizontal="center" vertical="center"/>
    </xf>
    <xf fontId="28822" applyFont="true" borderId="8" applyBorder="true" applyNumberFormat="true" numFmtId="1" fillId="22" applyFill="true">
      <alignment horizontal="center" vertical="center"/>
    </xf>
    <xf fontId="28823" applyFont="true" borderId="8" applyBorder="true" applyNumberFormat="true" numFmtId="1" fillId="22" applyFill="true">
      <alignment horizontal="center" vertical="center"/>
    </xf>
    <xf fontId="28824" applyFont="true" borderId="8" applyBorder="true" applyNumberFormat="true" numFmtId="167" fillId="22" applyFill="true">
      <alignment horizontal="center" vertical="center"/>
    </xf>
    <xf fontId="28825" applyFont="true" borderId="8" applyBorder="true" applyNumberFormat="true" numFmtId="1" fillId="22" applyFill="true">
      <alignment horizontal="center" vertical="center"/>
    </xf>
    <xf fontId="28826" applyFont="true" borderId="8" applyBorder="true" applyNumberFormat="true" numFmtId="167" fillId="22" applyFill="true">
      <alignment horizontal="center" vertical="center"/>
    </xf>
    <xf fontId="28827" applyFont="true" borderId="8" applyBorder="true" applyNumberFormat="true" numFmtId="1" fillId="22" applyFill="true">
      <alignment horizontal="center" vertical="center"/>
    </xf>
    <xf fontId="28828" applyFont="true" borderId="8" applyBorder="true" applyNumberFormat="true" numFmtId="167" fillId="22" applyFill="true">
      <alignment horizontal="center" vertical="center"/>
    </xf>
    <xf fontId="28829" applyFont="true" borderId="8" applyBorder="true" applyNumberFormat="true" numFmtId="2" fillId="22" applyFill="true">
      <alignment horizontal="center" vertical="center"/>
    </xf>
    <xf fontId="28830" applyFont="true" borderId="8" applyBorder="true" applyNumberFormat="true" numFmtId="2" fillId="22" applyFill="true">
      <alignment horizontal="center" vertical="center"/>
    </xf>
    <xf fontId="28831" applyFont="true" borderId="8" applyBorder="true" applyNumberFormat="true" numFmtId="2" fillId="22" applyFill="true">
      <alignment horizontal="center" vertical="center"/>
    </xf>
    <xf fontId="28832" applyFont="true" borderId="8" applyBorder="true" applyNumberFormat="true" numFmtId="2" fillId="22" applyFill="true">
      <alignment horizontal="center" vertical="center"/>
    </xf>
    <xf fontId="28833" applyFont="true" borderId="8" applyBorder="true" applyNumberFormat="true" numFmtId="2" fillId="22" applyFill="true">
      <alignment horizontal="center" vertical="center"/>
    </xf>
    <xf fontId="28834" applyFont="true" borderId="8" applyBorder="true" applyNumberFormat="true" numFmtId="2" fillId="22" applyFill="true">
      <alignment horizontal="center" vertical="center"/>
    </xf>
    <xf fontId="28835" applyFont="true" borderId="8" applyBorder="true" applyNumberFormat="true" numFmtId="2" fillId="22" applyFill="true">
      <alignment horizontal="center" vertical="center"/>
    </xf>
    <xf fontId="28836" applyFont="true" borderId="8" applyBorder="true" applyNumberFormat="true" numFmtId="2" fillId="22" applyFill="true">
      <alignment horizontal="center" vertical="center"/>
    </xf>
    <xf fontId="28837" applyFont="true" borderId="8" applyBorder="true" applyNumberFormat="true" numFmtId="2" fillId="22" applyFill="true">
      <alignment horizontal="center" vertical="center"/>
    </xf>
    <xf fontId="28838" applyFont="true" borderId="8" applyBorder="true" applyNumberFormat="true" numFmtId="2" fillId="22" applyFill="true">
      <alignment horizontal="center" vertical="center"/>
    </xf>
    <xf fontId="28839" applyFont="true" borderId="8" applyBorder="true" applyNumberFormat="true" numFmtId="2" fillId="22" applyFill="true">
      <alignment horizontal="center" vertical="center"/>
    </xf>
    <xf fontId="28840" applyFont="true" borderId="8" applyBorder="true" applyNumberFormat="true" numFmtId="2" fillId="22" applyFill="true">
      <alignment horizontal="center" vertical="center"/>
    </xf>
    <xf fontId="28841" applyFont="true" borderId="8" applyBorder="true" applyNumberFormat="true" numFmtId="2" fillId="22" applyFill="true">
      <alignment horizontal="center" vertical="center"/>
    </xf>
    <xf fontId="28842" applyFont="true" borderId="8" applyBorder="true" applyNumberFormat="true" numFmtId="2" fillId="22" applyFill="true">
      <alignment horizontal="center" vertical="center"/>
    </xf>
    <xf fontId="28843" applyFont="true" borderId="8" applyBorder="true" applyNumberFormat="true" numFmtId="2" fillId="22" applyFill="true">
      <alignment horizontal="center" vertical="center"/>
    </xf>
    <xf fontId="28844" applyFont="true" borderId="8" applyBorder="true" applyNumberFormat="true" numFmtId="2" fillId="22" applyFill="true">
      <alignment horizontal="center" vertical="center"/>
    </xf>
    <xf fontId="28845" applyFont="true" borderId="8" applyBorder="true" applyNumberFormat="true" numFmtId="2" fillId="22" applyFill="true">
      <alignment horizontal="center" vertical="center"/>
    </xf>
    <xf fontId="28846" applyFont="true" borderId="8" applyBorder="true" applyNumberFormat="true" numFmtId="2" fillId="22" applyFill="true">
      <alignment horizontal="center" vertical="center"/>
    </xf>
    <xf fontId="28847" applyFont="true" borderId="8" applyBorder="true" applyNumberFormat="true" numFmtId="2" fillId="22" applyFill="true">
      <alignment horizontal="center" vertical="center"/>
    </xf>
    <xf fontId="28848" applyFont="true" borderId="8" applyBorder="true" applyNumberFormat="true" numFmtId="2" fillId="22" applyFill="true">
      <alignment horizontal="center" vertical="center"/>
    </xf>
    <xf fontId="28849" applyFont="true" borderId="8" applyBorder="true" applyNumberFormat="true" numFmtId="2" fillId="22" applyFill="true">
      <alignment horizontal="center" vertical="center"/>
    </xf>
    <xf fontId="28850" applyFont="true" borderId="8" applyBorder="true" applyNumberFormat="true" numFmtId="2" fillId="22" applyFill="true">
      <alignment horizontal="center" vertical="center"/>
    </xf>
    <xf fontId="28851" applyFont="true" borderId="8" applyBorder="true" applyNumberFormat="true" numFmtId="2" fillId="22" applyFill="true">
      <alignment horizontal="center" vertical="center"/>
    </xf>
    <xf fontId="28852" applyFont="true" borderId="8" applyBorder="true" applyNumberFormat="true" numFmtId="2" fillId="22" applyFill="true">
      <alignment horizontal="center" vertical="center"/>
    </xf>
    <xf fontId="28853" applyFont="true" borderId="8" applyBorder="true" applyNumberFormat="true" numFmtId="2" fillId="22" applyFill="true">
      <alignment horizontal="center" vertical="center"/>
    </xf>
    <xf fontId="28854" applyFont="true" borderId="8" applyBorder="true" applyNumberFormat="true" numFmtId="2" fillId="22" applyFill="true">
      <alignment horizontal="center" vertical="center"/>
    </xf>
    <xf fontId="28855" applyFont="true" borderId="8" applyBorder="true" applyNumberFormat="true" numFmtId="2" fillId="22" applyFill="true">
      <alignment horizontal="center" vertical="center"/>
    </xf>
    <xf fontId="28856" applyFont="true" borderId="8" applyBorder="true" applyNumberFormat="true" numFmtId="2" fillId="22" applyFill="true">
      <alignment horizontal="center" vertical="center"/>
    </xf>
    <xf fontId="28857" applyFont="true" borderId="8" applyBorder="true" applyNumberFormat="true" numFmtId="2" fillId="22" applyFill="true">
      <alignment horizontal="center" vertical="center"/>
    </xf>
    <xf fontId="28858" applyFont="true" borderId="8" applyBorder="true" applyNumberFormat="true" numFmtId="2" fillId="22" applyFill="true">
      <alignment horizontal="center" vertical="center"/>
    </xf>
    <xf fontId="28859" applyFont="true" borderId="8" applyBorder="true" applyNumberFormat="true" numFmtId="2" fillId="22" applyFill="true">
      <alignment horizontal="center" vertical="center"/>
    </xf>
    <xf fontId="28860" applyFont="true" borderId="8" applyBorder="true" applyNumberFormat="true" numFmtId="2" fillId="22" applyFill="true">
      <alignment horizontal="center" vertical="center"/>
    </xf>
    <xf fontId="28861" applyFont="true" borderId="8" applyBorder="true" applyNumberFormat="true" numFmtId="2" fillId="22" applyFill="true">
      <alignment horizontal="center" vertical="center"/>
    </xf>
    <xf fontId="28862" applyFont="true" borderId="8" applyBorder="true" applyNumberFormat="true" numFmtId="2" fillId="22" applyFill="true">
      <alignment horizontal="center" vertical="center"/>
    </xf>
    <xf fontId="28863" applyFont="true" borderId="8" applyBorder="true" applyNumberFormat="true" numFmtId="165" fillId="19" applyFill="true">
      <alignment horizontal="left" vertical="center"/>
    </xf>
    <xf fontId="28864" applyFont="true" borderId="8" applyBorder="true" applyNumberFormat="true" numFmtId="165" fillId="22" applyFill="true">
      <alignment horizontal="center" vertical="center"/>
    </xf>
    <xf fontId="28865" applyFont="true" borderId="8" applyBorder="true" applyNumberFormat="true" numFmtId="166" fillId="22" applyFill="true">
      <alignment horizontal="center" vertical="center"/>
    </xf>
    <xf fontId="28866" applyFont="true" borderId="8" applyBorder="true" applyNumberFormat="true" numFmtId="1" fillId="22" applyFill="true">
      <alignment horizontal="center" vertical="center"/>
    </xf>
    <xf fontId="28867" applyFont="true" borderId="8" applyBorder="true" applyNumberFormat="true" numFmtId="1" fillId="22" applyFill="true">
      <alignment horizontal="center" vertical="center"/>
    </xf>
    <xf fontId="28868" applyFont="true" borderId="8" applyBorder="true" applyNumberFormat="true" numFmtId="1" fillId="22" applyFill="true">
      <alignment horizontal="center" vertical="center"/>
    </xf>
    <xf fontId="28869" applyFont="true" borderId="8" applyBorder="true" applyNumberFormat="true" numFmtId="1" fillId="22" applyFill="true">
      <alignment horizontal="center" vertical="center"/>
    </xf>
    <xf fontId="28870" applyFont="true" borderId="8" applyBorder="true" applyNumberFormat="true" numFmtId="1" fillId="22" applyFill="true">
      <alignment horizontal="center" vertical="center"/>
    </xf>
    <xf fontId="28871" applyFont="true" borderId="8" applyBorder="true" applyNumberFormat="true" numFmtId="1" fillId="22" applyFill="true">
      <alignment horizontal="center" vertical="center"/>
    </xf>
    <xf fontId="28872" applyFont="true" borderId="8" applyBorder="true" applyNumberFormat="true" numFmtId="1" fillId="22" applyFill="true">
      <alignment horizontal="center" vertical="center"/>
    </xf>
    <xf fontId="28873" applyFont="true" borderId="8" applyBorder="true" applyNumberFormat="true" numFmtId="165" fillId="22" applyFill="true">
      <alignment horizontal="center" vertical="center"/>
    </xf>
    <xf fontId="28874" applyFont="true" borderId="8" applyBorder="true" applyNumberFormat="true" numFmtId="165" fillId="22" applyFill="true">
      <alignment horizontal="center" vertical="center"/>
    </xf>
    <xf fontId="28875" applyFont="true" borderId="8" applyBorder="true" applyNumberFormat="true" numFmtId="1" fillId="22" applyFill="true">
      <alignment horizontal="center" vertical="center"/>
    </xf>
    <xf fontId="28876" applyFont="true" borderId="8" applyBorder="true" applyNumberFormat="true" numFmtId="1" fillId="22" applyFill="true">
      <alignment horizontal="center" vertical="center"/>
    </xf>
    <xf fontId="28877" applyFont="true" borderId="8" applyBorder="true" applyNumberFormat="true" numFmtId="1" fillId="22" applyFill="true">
      <alignment horizontal="center" vertical="center"/>
    </xf>
    <xf fontId="28878" applyFont="true" borderId="8" applyBorder="true" applyNumberFormat="true" numFmtId="167" fillId="22" applyFill="true">
      <alignment horizontal="center" vertical="center"/>
    </xf>
    <xf fontId="28879" applyFont="true" borderId="8" applyBorder="true" applyNumberFormat="true" numFmtId="1" fillId="22" applyFill="true">
      <alignment horizontal="center" vertical="center"/>
    </xf>
    <xf fontId="28880" applyFont="true" borderId="8" applyBorder="true" applyNumberFormat="true" numFmtId="167" fillId="22" applyFill="true">
      <alignment horizontal="center" vertical="center"/>
    </xf>
    <xf fontId="28881" applyFont="true" borderId="8" applyBorder="true" applyNumberFormat="true" numFmtId="1" fillId="22" applyFill="true">
      <alignment horizontal="center" vertical="center"/>
    </xf>
    <xf fontId="28882" applyFont="true" borderId="8" applyBorder="true" applyNumberFormat="true" numFmtId="167" fillId="22" applyFill="true">
      <alignment horizontal="center" vertical="center"/>
    </xf>
    <xf fontId="28883" applyFont="true" borderId="8" applyBorder="true" applyNumberFormat="true" numFmtId="1" fillId="22" applyFill="true">
      <alignment horizontal="center" vertical="center"/>
    </xf>
    <xf fontId="28884" applyFont="true" borderId="8" applyBorder="true" applyNumberFormat="true" numFmtId="167" fillId="22" applyFill="true">
      <alignment horizontal="center" vertical="center"/>
    </xf>
    <xf fontId="28885" applyFont="true" borderId="8" applyBorder="true" applyNumberFormat="true" numFmtId="167" fillId="22" applyFill="true">
      <alignment horizontal="center" vertical="center"/>
    </xf>
    <xf fontId="28886" applyFont="true" borderId="8" applyBorder="true" applyNumberFormat="true" numFmtId="1" fillId="22" applyFill="true">
      <alignment horizontal="center" vertical="center"/>
    </xf>
    <xf fontId="28887" applyFont="true" borderId="8" applyBorder="true" applyNumberFormat="true" numFmtId="1" fillId="22" applyFill="true">
      <alignment horizontal="center" vertical="center"/>
    </xf>
    <xf fontId="28888" applyFont="true" borderId="8" applyBorder="true" applyNumberFormat="true" numFmtId="1" fillId="22" applyFill="true">
      <alignment horizontal="center" vertical="center"/>
    </xf>
    <xf fontId="28889" applyFont="true" borderId="8" applyBorder="true" applyNumberFormat="true" numFmtId="167" fillId="22" applyFill="true">
      <alignment horizontal="center" vertical="center"/>
    </xf>
    <xf fontId="28890" applyFont="true" borderId="8" applyBorder="true" applyNumberFormat="true" numFmtId="166" fillId="22" applyFill="true">
      <alignment horizontal="center" vertical="center"/>
    </xf>
    <xf fontId="28891" applyFont="true" borderId="8" applyBorder="true" applyNumberFormat="true" numFmtId="166" fillId="22" applyFill="true">
      <alignment horizontal="center" vertical="center"/>
    </xf>
    <xf fontId="28892" applyFont="true" borderId="8" applyBorder="true" applyNumberFormat="true" numFmtId="1" fillId="22" applyFill="true">
      <alignment horizontal="center" vertical="center"/>
    </xf>
    <xf fontId="28893" applyFont="true" borderId="8" applyBorder="true" applyNumberFormat="true" numFmtId="1" fillId="22" applyFill="true">
      <alignment horizontal="center" vertical="center"/>
    </xf>
    <xf fontId="28894" applyFont="true" borderId="8" applyBorder="true" applyNumberFormat="true" numFmtId="1" fillId="22" applyFill="true">
      <alignment horizontal="center" vertical="center"/>
    </xf>
    <xf fontId="28895" applyFont="true" borderId="8" applyBorder="true" applyNumberFormat="true" numFmtId="167" fillId="22" applyFill="true">
      <alignment horizontal="center" vertical="center"/>
    </xf>
    <xf fontId="28896" applyFont="true" borderId="8" applyBorder="true" applyNumberFormat="true" numFmtId="1" fillId="22" applyFill="true">
      <alignment horizontal="center" vertical="center"/>
    </xf>
    <xf fontId="28897" applyFont="true" borderId="8" applyBorder="true" applyNumberFormat="true" numFmtId="167" fillId="22" applyFill="true">
      <alignment horizontal="center" vertical="center"/>
    </xf>
    <xf fontId="28898" applyFont="true" borderId="8" applyBorder="true" applyNumberFormat="true" numFmtId="1" fillId="22" applyFill="true">
      <alignment horizontal="center" vertical="center"/>
    </xf>
    <xf fontId="28899" applyFont="true" borderId="8" applyBorder="true" applyNumberFormat="true" numFmtId="1" fillId="22" applyFill="true">
      <alignment horizontal="center" vertical="center"/>
    </xf>
    <xf fontId="28900" applyFont="true" borderId="8" applyBorder="true" applyNumberFormat="true" numFmtId="1" fillId="22" applyFill="true">
      <alignment horizontal="center" vertical="center"/>
    </xf>
    <xf fontId="28901" applyFont="true" borderId="8" applyBorder="true" applyNumberFormat="true" numFmtId="1" fillId="22" applyFill="true">
      <alignment horizontal="center" vertical="center"/>
    </xf>
    <xf fontId="28902" applyFont="true" borderId="8" applyBorder="true" applyNumberFormat="true" numFmtId="167" fillId="22" applyFill="true">
      <alignment horizontal="center" vertical="center"/>
    </xf>
    <xf fontId="28903" applyFont="true" borderId="8" applyBorder="true" applyNumberFormat="true" numFmtId="1" fillId="22" applyFill="true">
      <alignment horizontal="center" vertical="center"/>
    </xf>
    <xf fontId="28904" applyFont="true" borderId="8" applyBorder="true" applyNumberFormat="true" numFmtId="167" fillId="22" applyFill="true">
      <alignment horizontal="center" vertical="center"/>
    </xf>
    <xf fontId="28905" applyFont="true" borderId="8" applyBorder="true" applyNumberFormat="true" numFmtId="1" fillId="22" applyFill="true">
      <alignment horizontal="center" vertical="center"/>
    </xf>
    <xf fontId="28906" applyFont="true" borderId="8" applyBorder="true" applyNumberFormat="true" numFmtId="167" fillId="22" applyFill="true">
      <alignment horizontal="center" vertical="center"/>
    </xf>
    <xf fontId="28907" applyFont="true" borderId="8" applyBorder="true" applyNumberFormat="true" numFmtId="2" fillId="22" applyFill="true">
      <alignment horizontal="center" vertical="center"/>
    </xf>
    <xf fontId="28908" applyFont="true" borderId="8" applyBorder="true" applyNumberFormat="true" numFmtId="2" fillId="22" applyFill="true">
      <alignment horizontal="center" vertical="center"/>
    </xf>
    <xf fontId="28909" applyFont="true" borderId="8" applyBorder="true" applyNumberFormat="true" numFmtId="2" fillId="22" applyFill="true">
      <alignment horizontal="center" vertical="center"/>
    </xf>
    <xf fontId="28910" applyFont="true" borderId="8" applyBorder="true" applyNumberFormat="true" numFmtId="2" fillId="22" applyFill="true">
      <alignment horizontal="center" vertical="center"/>
    </xf>
    <xf fontId="28911" applyFont="true" borderId="8" applyBorder="true" applyNumberFormat="true" numFmtId="2" fillId="22" applyFill="true">
      <alignment horizontal="center" vertical="center"/>
    </xf>
    <xf fontId="28912" applyFont="true" borderId="8" applyBorder="true" applyNumberFormat="true" numFmtId="2" fillId="22" applyFill="true">
      <alignment horizontal="center" vertical="center"/>
    </xf>
    <xf fontId="28913" applyFont="true" borderId="8" applyBorder="true" applyNumberFormat="true" numFmtId="2" fillId="22" applyFill="true">
      <alignment horizontal="center" vertical="center"/>
    </xf>
    <xf fontId="28914" applyFont="true" borderId="8" applyBorder="true" applyNumberFormat="true" numFmtId="2" fillId="22" applyFill="true">
      <alignment horizontal="center" vertical="center"/>
    </xf>
    <xf fontId="28915" applyFont="true" borderId="8" applyBorder="true" applyNumberFormat="true" numFmtId="2" fillId="22" applyFill="true">
      <alignment horizontal="center" vertical="center"/>
    </xf>
    <xf fontId="28916" applyFont="true" borderId="8" applyBorder="true" applyNumberFormat="true" numFmtId="2" fillId="22" applyFill="true">
      <alignment horizontal="center" vertical="center"/>
    </xf>
    <xf fontId="28917" applyFont="true" borderId="8" applyBorder="true" applyNumberFormat="true" numFmtId="2" fillId="22" applyFill="true">
      <alignment horizontal="center" vertical="center"/>
    </xf>
    <xf fontId="28918" applyFont="true" borderId="8" applyBorder="true" applyNumberFormat="true" numFmtId="2" fillId="22" applyFill="true">
      <alignment horizontal="center" vertical="center"/>
    </xf>
    <xf fontId="28919" applyFont="true" borderId="8" applyBorder="true" applyNumberFormat="true" numFmtId="2" fillId="22" applyFill="true">
      <alignment horizontal="center" vertical="center"/>
    </xf>
    <xf fontId="28920" applyFont="true" borderId="8" applyBorder="true" applyNumberFormat="true" numFmtId="2" fillId="22" applyFill="true">
      <alignment horizontal="center" vertical="center"/>
    </xf>
    <xf fontId="28921" applyFont="true" borderId="8" applyBorder="true" applyNumberFormat="true" numFmtId="2" fillId="22" applyFill="true">
      <alignment horizontal="center" vertical="center"/>
    </xf>
    <xf fontId="28922" applyFont="true" borderId="8" applyBorder="true" applyNumberFormat="true" numFmtId="2" fillId="22" applyFill="true">
      <alignment horizontal="center" vertical="center"/>
    </xf>
    <xf fontId="28923" applyFont="true" borderId="8" applyBorder="true" applyNumberFormat="true" numFmtId="2" fillId="22" applyFill="true">
      <alignment horizontal="center" vertical="center"/>
    </xf>
    <xf fontId="28924" applyFont="true" borderId="8" applyBorder="true" applyNumberFormat="true" numFmtId="2" fillId="22" applyFill="true">
      <alignment horizontal="center" vertical="center"/>
    </xf>
    <xf fontId="28925" applyFont="true" borderId="8" applyBorder="true" applyNumberFormat="true" numFmtId="2" fillId="22" applyFill="true">
      <alignment horizontal="center" vertical="center"/>
    </xf>
    <xf fontId="28926" applyFont="true" borderId="8" applyBorder="true" applyNumberFormat="true" numFmtId="2" fillId="22" applyFill="true">
      <alignment horizontal="center" vertical="center"/>
    </xf>
    <xf fontId="28927" applyFont="true" borderId="8" applyBorder="true" applyNumberFormat="true" numFmtId="2" fillId="22" applyFill="true">
      <alignment horizontal="center" vertical="center"/>
    </xf>
    <xf fontId="28928" applyFont="true" borderId="8" applyBorder="true" applyNumberFormat="true" numFmtId="2" fillId="22" applyFill="true">
      <alignment horizontal="center" vertical="center"/>
    </xf>
    <xf fontId="28929" applyFont="true" borderId="8" applyBorder="true" applyNumberFormat="true" numFmtId="2" fillId="22" applyFill="true">
      <alignment horizontal="center" vertical="center"/>
    </xf>
    <xf fontId="28930" applyFont="true" borderId="8" applyBorder="true" applyNumberFormat="true" numFmtId="2" fillId="22" applyFill="true">
      <alignment horizontal="center" vertical="center"/>
    </xf>
    <xf fontId="28931" applyFont="true" borderId="8" applyBorder="true" applyNumberFormat="true" numFmtId="2" fillId="22" applyFill="true">
      <alignment horizontal="center" vertical="center"/>
    </xf>
    <xf fontId="28932" applyFont="true" borderId="8" applyBorder="true" applyNumberFormat="true" numFmtId="2" fillId="22" applyFill="true">
      <alignment horizontal="center" vertical="center"/>
    </xf>
    <xf fontId="28933" applyFont="true" borderId="8" applyBorder="true" applyNumberFormat="true" numFmtId="2" fillId="22" applyFill="true">
      <alignment horizontal="center" vertical="center"/>
    </xf>
    <xf fontId="28934" applyFont="true" borderId="8" applyBorder="true" applyNumberFormat="true" numFmtId="2" fillId="22" applyFill="true">
      <alignment horizontal="center" vertical="center"/>
    </xf>
    <xf fontId="28935" applyFont="true" borderId="8" applyBorder="true" applyNumberFormat="true" numFmtId="2" fillId="22" applyFill="true">
      <alignment horizontal="center" vertical="center"/>
    </xf>
    <xf fontId="28936" applyFont="true" borderId="8" applyBorder="true" applyNumberFormat="true" numFmtId="2" fillId="22" applyFill="true">
      <alignment horizontal="center" vertical="center"/>
    </xf>
    <xf fontId="28937" applyFont="true" borderId="8" applyBorder="true" applyNumberFormat="true" numFmtId="2" fillId="22" applyFill="true">
      <alignment horizontal="center" vertical="center"/>
    </xf>
    <xf fontId="28938" applyFont="true" borderId="8" applyBorder="true" applyNumberFormat="true" numFmtId="2" fillId="22" applyFill="true">
      <alignment horizontal="center" vertical="center"/>
    </xf>
    <xf fontId="28939" applyFont="true" borderId="8" applyBorder="true" applyNumberFormat="true" numFmtId="2" fillId="22" applyFill="true">
      <alignment horizontal="center" vertical="center"/>
    </xf>
    <xf fontId="28940" applyFont="true" borderId="8" applyBorder="true" applyNumberFormat="true" numFmtId="2" fillId="22" applyFill="true">
      <alignment horizontal="center" vertical="center"/>
    </xf>
    <xf fontId="28941" applyFont="true" borderId="8" applyBorder="true" applyNumberFormat="true" numFmtId="165" fillId="19" applyFill="true">
      <alignment horizontal="left" vertical="center"/>
    </xf>
    <xf fontId="28942" applyFont="true" borderId="8" applyBorder="true" applyNumberFormat="true" numFmtId="165" fillId="22" applyFill="true">
      <alignment horizontal="center" vertical="center"/>
    </xf>
    <xf fontId="28943" applyFont="true" borderId="8" applyBorder="true" applyNumberFormat="true" numFmtId="166" fillId="22" applyFill="true">
      <alignment horizontal="center" vertical="center"/>
    </xf>
    <xf fontId="28944" applyFont="true" borderId="8" applyBorder="true" applyNumberFormat="true" numFmtId="1" fillId="22" applyFill="true">
      <alignment horizontal="center" vertical="center"/>
    </xf>
    <xf fontId="28945" applyFont="true" borderId="8" applyBorder="true" applyNumberFormat="true" numFmtId="1" fillId="22" applyFill="true">
      <alignment horizontal="center" vertical="center"/>
    </xf>
    <xf fontId="28946" applyFont="true" borderId="8" applyBorder="true" applyNumberFormat="true" numFmtId="1" fillId="22" applyFill="true">
      <alignment horizontal="center" vertical="center"/>
    </xf>
    <xf fontId="28947" applyFont="true" borderId="8" applyBorder="true" applyNumberFormat="true" numFmtId="1" fillId="22" applyFill="true">
      <alignment horizontal="center" vertical="center"/>
    </xf>
    <xf fontId="28948" applyFont="true" borderId="8" applyBorder="true" applyNumberFormat="true" numFmtId="1" fillId="22" applyFill="true">
      <alignment horizontal="center" vertical="center"/>
    </xf>
    <xf fontId="28949" applyFont="true" borderId="8" applyBorder="true" applyNumberFormat="true" numFmtId="1" fillId="22" applyFill="true">
      <alignment horizontal="center" vertical="center"/>
    </xf>
    <xf fontId="28950" applyFont="true" borderId="8" applyBorder="true" applyNumberFormat="true" numFmtId="1" fillId="22" applyFill="true">
      <alignment horizontal="center" vertical="center"/>
    </xf>
    <xf fontId="28951" applyFont="true" borderId="8" applyBorder="true" applyNumberFormat="true" numFmtId="165" fillId="22" applyFill="true">
      <alignment horizontal="center" vertical="center"/>
    </xf>
    <xf fontId="28952" applyFont="true" borderId="8" applyBorder="true" applyNumberFormat="true" numFmtId="165" fillId="22" applyFill="true">
      <alignment horizontal="center" vertical="center"/>
    </xf>
    <xf fontId="28953" applyFont="true" borderId="8" applyBorder="true" applyNumberFormat="true" numFmtId="1" fillId="22" applyFill="true">
      <alignment horizontal="center" vertical="center"/>
    </xf>
    <xf fontId="28954" applyFont="true" borderId="8" applyBorder="true" applyNumberFormat="true" numFmtId="1" fillId="22" applyFill="true">
      <alignment horizontal="center" vertical="center"/>
    </xf>
    <xf fontId="28955" applyFont="true" borderId="8" applyBorder="true" applyNumberFormat="true" numFmtId="1" fillId="22" applyFill="true">
      <alignment horizontal="center" vertical="center"/>
    </xf>
    <xf fontId="28956" applyFont="true" borderId="8" applyBorder="true" applyNumberFormat="true" numFmtId="167" fillId="22" applyFill="true">
      <alignment horizontal="center" vertical="center"/>
    </xf>
    <xf fontId="28957" applyFont="true" borderId="8" applyBorder="true" applyNumberFormat="true" numFmtId="1" fillId="22" applyFill="true">
      <alignment horizontal="center" vertical="center"/>
    </xf>
    <xf fontId="28958" applyFont="true" borderId="8" applyBorder="true" applyNumberFormat="true" numFmtId="167" fillId="22" applyFill="true">
      <alignment horizontal="center" vertical="center"/>
    </xf>
    <xf fontId="28959" applyFont="true" borderId="8" applyBorder="true" applyNumberFormat="true" numFmtId="1" fillId="22" applyFill="true">
      <alignment horizontal="center" vertical="center"/>
    </xf>
    <xf fontId="28960" applyFont="true" borderId="8" applyBorder="true" applyNumberFormat="true" numFmtId="167" fillId="22" applyFill="true">
      <alignment horizontal="center" vertical="center"/>
    </xf>
    <xf fontId="28961" applyFont="true" borderId="8" applyBorder="true" applyNumberFormat="true" numFmtId="1" fillId="22" applyFill="true">
      <alignment horizontal="center" vertical="center"/>
    </xf>
    <xf fontId="28962" applyFont="true" borderId="8" applyBorder="true" applyNumberFormat="true" numFmtId="167" fillId="22" applyFill="true">
      <alignment horizontal="center" vertical="center"/>
    </xf>
    <xf fontId="28963" applyFont="true" borderId="8" applyBorder="true" applyNumberFormat="true" numFmtId="167" fillId="22" applyFill="true">
      <alignment horizontal="center" vertical="center"/>
    </xf>
    <xf fontId="28964" applyFont="true" borderId="8" applyBorder="true" applyNumberFormat="true" numFmtId="1" fillId="22" applyFill="true">
      <alignment horizontal="center" vertical="center"/>
    </xf>
    <xf fontId="28965" applyFont="true" borderId="8" applyBorder="true" applyNumberFormat="true" numFmtId="1" fillId="22" applyFill="true">
      <alignment horizontal="center" vertical="center"/>
    </xf>
    <xf fontId="28966" applyFont="true" borderId="8" applyBorder="true" applyNumberFormat="true" numFmtId="1" fillId="22" applyFill="true">
      <alignment horizontal="center" vertical="center"/>
    </xf>
    <xf fontId="28967" applyFont="true" borderId="8" applyBorder="true" applyNumberFormat="true" numFmtId="167" fillId="22" applyFill="true">
      <alignment horizontal="center" vertical="center"/>
    </xf>
    <xf fontId="28968" applyFont="true" borderId="8" applyBorder="true" applyNumberFormat="true" numFmtId="166" fillId="22" applyFill="true">
      <alignment horizontal="center" vertical="center"/>
    </xf>
    <xf fontId="28969" applyFont="true" borderId="8" applyBorder="true" applyNumberFormat="true" numFmtId="166" fillId="22" applyFill="true">
      <alignment horizontal="center" vertical="center"/>
    </xf>
    <xf fontId="28970" applyFont="true" borderId="8" applyBorder="true" applyNumberFormat="true" numFmtId="1" fillId="22" applyFill="true">
      <alignment horizontal="center" vertical="center"/>
    </xf>
    <xf fontId="28971" applyFont="true" borderId="8" applyBorder="true" applyNumberFormat="true" numFmtId="1" fillId="22" applyFill="true">
      <alignment horizontal="center" vertical="center"/>
    </xf>
    <xf fontId="28972" applyFont="true" borderId="8" applyBorder="true" applyNumberFormat="true" numFmtId="1" fillId="22" applyFill="true">
      <alignment horizontal="center" vertical="center"/>
    </xf>
    <xf fontId="28973" applyFont="true" borderId="8" applyBorder="true" applyNumberFormat="true" numFmtId="167" fillId="22" applyFill="true">
      <alignment horizontal="center" vertical="center"/>
    </xf>
    <xf fontId="28974" applyFont="true" borderId="8" applyBorder="true" applyNumberFormat="true" numFmtId="1" fillId="22" applyFill="true">
      <alignment horizontal="center" vertical="center"/>
    </xf>
    <xf fontId="28975" applyFont="true" borderId="8" applyBorder="true" applyNumberFormat="true" numFmtId="167" fillId="22" applyFill="true">
      <alignment horizontal="center" vertical="center"/>
    </xf>
    <xf fontId="28976" applyFont="true" borderId="8" applyBorder="true" applyNumberFormat="true" numFmtId="1" fillId="22" applyFill="true">
      <alignment horizontal="center" vertical="center"/>
    </xf>
    <xf fontId="28977" applyFont="true" borderId="8" applyBorder="true" applyNumberFormat="true" numFmtId="1" fillId="22" applyFill="true">
      <alignment horizontal="center" vertical="center"/>
    </xf>
    <xf fontId="28978" applyFont="true" borderId="8" applyBorder="true" applyNumberFormat="true" numFmtId="1" fillId="22" applyFill="true">
      <alignment horizontal="center" vertical="center"/>
    </xf>
    <xf fontId="28979" applyFont="true" borderId="8" applyBorder="true" applyNumberFormat="true" numFmtId="1" fillId="22" applyFill="true">
      <alignment horizontal="center" vertical="center"/>
    </xf>
    <xf fontId="28980" applyFont="true" borderId="8" applyBorder="true" applyNumberFormat="true" numFmtId="167" fillId="22" applyFill="true">
      <alignment horizontal="center" vertical="center"/>
    </xf>
    <xf fontId="28981" applyFont="true" borderId="8" applyBorder="true" applyNumberFormat="true" numFmtId="1" fillId="22" applyFill="true">
      <alignment horizontal="center" vertical="center"/>
    </xf>
    <xf fontId="28982" applyFont="true" borderId="8" applyBorder="true" applyNumberFormat="true" numFmtId="167" fillId="22" applyFill="true">
      <alignment horizontal="center" vertical="center"/>
    </xf>
    <xf fontId="28983" applyFont="true" borderId="8" applyBorder="true" applyNumberFormat="true" numFmtId="1" fillId="22" applyFill="true">
      <alignment horizontal="center" vertical="center"/>
    </xf>
    <xf fontId="28984" applyFont="true" borderId="8" applyBorder="true" applyNumberFormat="true" numFmtId="167" fillId="22" applyFill="true">
      <alignment horizontal="center" vertical="center"/>
    </xf>
    <xf fontId="28985" applyFont="true" borderId="8" applyBorder="true" applyNumberFormat="true" numFmtId="2" fillId="22" applyFill="true">
      <alignment horizontal="center" vertical="center"/>
    </xf>
    <xf fontId="28986" applyFont="true" borderId="8" applyBorder="true" applyNumberFormat="true" numFmtId="2" fillId="22" applyFill="true">
      <alignment horizontal="center" vertical="center"/>
    </xf>
    <xf fontId="28987" applyFont="true" borderId="8" applyBorder="true" applyNumberFormat="true" numFmtId="2" fillId="22" applyFill="true">
      <alignment horizontal="center" vertical="center"/>
    </xf>
    <xf fontId="28988" applyFont="true" borderId="8" applyBorder="true" applyNumberFormat="true" numFmtId="2" fillId="22" applyFill="true">
      <alignment horizontal="center" vertical="center"/>
    </xf>
    <xf fontId="28989" applyFont="true" borderId="8" applyBorder="true" applyNumberFormat="true" numFmtId="2" fillId="22" applyFill="true">
      <alignment horizontal="center" vertical="center"/>
    </xf>
    <xf fontId="28990" applyFont="true" borderId="8" applyBorder="true" applyNumberFormat="true" numFmtId="2" fillId="22" applyFill="true">
      <alignment horizontal="center" vertical="center"/>
    </xf>
    <xf fontId="28991" applyFont="true" borderId="8" applyBorder="true" applyNumberFormat="true" numFmtId="2" fillId="22" applyFill="true">
      <alignment horizontal="center" vertical="center"/>
    </xf>
    <xf fontId="28992" applyFont="true" borderId="8" applyBorder="true" applyNumberFormat="true" numFmtId="2" fillId="22" applyFill="true">
      <alignment horizontal="center" vertical="center"/>
    </xf>
    <xf fontId="28993" applyFont="true" borderId="8" applyBorder="true" applyNumberFormat="true" numFmtId="2" fillId="22" applyFill="true">
      <alignment horizontal="center" vertical="center"/>
    </xf>
    <xf fontId="28994" applyFont="true" borderId="8" applyBorder="true" applyNumberFormat="true" numFmtId="2" fillId="22" applyFill="true">
      <alignment horizontal="center" vertical="center"/>
    </xf>
    <xf fontId="28995" applyFont="true" borderId="8" applyBorder="true" applyNumberFormat="true" numFmtId="2" fillId="22" applyFill="true">
      <alignment horizontal="center" vertical="center"/>
    </xf>
    <xf fontId="28996" applyFont="true" borderId="8" applyBorder="true" applyNumberFormat="true" numFmtId="2" fillId="22" applyFill="true">
      <alignment horizontal="center" vertical="center"/>
    </xf>
    <xf fontId="28997" applyFont="true" borderId="8" applyBorder="true" applyNumberFormat="true" numFmtId="2" fillId="22" applyFill="true">
      <alignment horizontal="center" vertical="center"/>
    </xf>
    <xf fontId="28998" applyFont="true" borderId="8" applyBorder="true" applyNumberFormat="true" numFmtId="2" fillId="22" applyFill="true">
      <alignment horizontal="center" vertical="center"/>
    </xf>
    <xf fontId="28999" applyFont="true" borderId="8" applyBorder="true" applyNumberFormat="true" numFmtId="2" fillId="22" applyFill="true">
      <alignment horizontal="center" vertical="center"/>
    </xf>
    <xf fontId="29000" applyFont="true" borderId="8" applyBorder="true" applyNumberFormat="true" numFmtId="2" fillId="22" applyFill="true">
      <alignment horizontal="center" vertical="center"/>
    </xf>
    <xf fontId="29001" applyFont="true" borderId="8" applyBorder="true" applyNumberFormat="true" numFmtId="2" fillId="22" applyFill="true">
      <alignment horizontal="center" vertical="center"/>
    </xf>
    <xf fontId="29002" applyFont="true" borderId="8" applyBorder="true" applyNumberFormat="true" numFmtId="2" fillId="22" applyFill="true">
      <alignment horizontal="center" vertical="center"/>
    </xf>
    <xf fontId="29003" applyFont="true" borderId="8" applyBorder="true" applyNumberFormat="true" numFmtId="2" fillId="22" applyFill="true">
      <alignment horizontal="center" vertical="center"/>
    </xf>
    <xf fontId="29004" applyFont="true" borderId="8" applyBorder="true" applyNumberFormat="true" numFmtId="2" fillId="22" applyFill="true">
      <alignment horizontal="center" vertical="center"/>
    </xf>
    <xf fontId="29005" applyFont="true" borderId="8" applyBorder="true" applyNumberFormat="true" numFmtId="2" fillId="22" applyFill="true">
      <alignment horizontal="center" vertical="center"/>
    </xf>
    <xf fontId="29006" applyFont="true" borderId="8" applyBorder="true" applyNumberFormat="true" numFmtId="2" fillId="22" applyFill="true">
      <alignment horizontal="center" vertical="center"/>
    </xf>
    <xf fontId="29007" applyFont="true" borderId="8" applyBorder="true" applyNumberFormat="true" numFmtId="2" fillId="22" applyFill="true">
      <alignment horizontal="center" vertical="center"/>
    </xf>
    <xf fontId="29008" applyFont="true" borderId="8" applyBorder="true" applyNumberFormat="true" numFmtId="2" fillId="22" applyFill="true">
      <alignment horizontal="center" vertical="center"/>
    </xf>
    <xf fontId="29009" applyFont="true" borderId="8" applyBorder="true" applyNumberFormat="true" numFmtId="2" fillId="22" applyFill="true">
      <alignment horizontal="center" vertical="center"/>
    </xf>
    <xf fontId="29010" applyFont="true" borderId="8" applyBorder="true" applyNumberFormat="true" numFmtId="2" fillId="22" applyFill="true">
      <alignment horizontal="center" vertical="center"/>
    </xf>
    <xf fontId="29011" applyFont="true" borderId="8" applyBorder="true" applyNumberFormat="true" numFmtId="2" fillId="22" applyFill="true">
      <alignment horizontal="center" vertical="center"/>
    </xf>
    <xf fontId="29012" applyFont="true" borderId="8" applyBorder="true" applyNumberFormat="true" numFmtId="2" fillId="22" applyFill="true">
      <alignment horizontal="center" vertical="center"/>
    </xf>
    <xf fontId="29013" applyFont="true" borderId="8" applyBorder="true" applyNumberFormat="true" numFmtId="2" fillId="22" applyFill="true">
      <alignment horizontal="center" vertical="center"/>
    </xf>
    <xf fontId="29014" applyFont="true" borderId="8" applyBorder="true" applyNumberFormat="true" numFmtId="2" fillId="22" applyFill="true">
      <alignment horizontal="center" vertical="center"/>
    </xf>
    <xf fontId="29015" applyFont="true" borderId="8" applyBorder="true" applyNumberFormat="true" numFmtId="2" fillId="22" applyFill="true">
      <alignment horizontal="center" vertical="center"/>
    </xf>
    <xf fontId="29016" applyFont="true" borderId="8" applyBorder="true" applyNumberFormat="true" numFmtId="2" fillId="22" applyFill="true">
      <alignment horizontal="center" vertical="center"/>
    </xf>
    <xf fontId="29017" applyFont="true" borderId="8" applyBorder="true" applyNumberFormat="true" numFmtId="2" fillId="22" applyFill="true">
      <alignment horizontal="center" vertical="center"/>
    </xf>
    <xf fontId="29018" applyFont="true" borderId="8" applyBorder="true" applyNumberFormat="true" numFmtId="2" fillId="22" applyFill="true">
      <alignment horizontal="center" vertical="center"/>
    </xf>
    <xf fontId="29019" applyFont="true" borderId="8" applyBorder="true" applyNumberFormat="true" numFmtId="165" fillId="19" applyFill="true">
      <alignment horizontal="left" vertical="center"/>
    </xf>
    <xf fontId="29020" applyFont="true" borderId="8" applyBorder="true" applyNumberFormat="true" numFmtId="165" fillId="22" applyFill="true">
      <alignment horizontal="center" vertical="center"/>
    </xf>
    <xf fontId="29021" applyFont="true" borderId="8" applyBorder="true" applyNumberFormat="true" numFmtId="166" fillId="22" applyFill="true">
      <alignment horizontal="center" vertical="center"/>
    </xf>
    <xf fontId="29022" applyFont="true" borderId="8" applyBorder="true" applyNumberFormat="true" numFmtId="1" fillId="22" applyFill="true">
      <alignment horizontal="center" vertical="center"/>
    </xf>
    <xf fontId="29023" applyFont="true" borderId="8" applyBorder="true" applyNumberFormat="true" numFmtId="1" fillId="22" applyFill="true">
      <alignment horizontal="center" vertical="center"/>
    </xf>
    <xf fontId="29024" applyFont="true" borderId="8" applyBorder="true" applyNumberFormat="true" numFmtId="1" fillId="22" applyFill="true">
      <alignment horizontal="center" vertical="center"/>
    </xf>
    <xf fontId="29025" applyFont="true" borderId="8" applyBorder="true" applyNumberFormat="true" numFmtId="1" fillId="22" applyFill="true">
      <alignment horizontal="center" vertical="center"/>
    </xf>
    <xf fontId="29026" applyFont="true" borderId="8" applyBorder="true" applyNumberFormat="true" numFmtId="1" fillId="22" applyFill="true">
      <alignment horizontal="center" vertical="center"/>
    </xf>
    <xf fontId="29027" applyFont="true" borderId="8" applyBorder="true" applyNumberFormat="true" numFmtId="1" fillId="22" applyFill="true">
      <alignment horizontal="center" vertical="center"/>
    </xf>
    <xf fontId="29028" applyFont="true" borderId="8" applyBorder="true" applyNumberFormat="true" numFmtId="1" fillId="22" applyFill="true">
      <alignment horizontal="center" vertical="center"/>
    </xf>
    <xf fontId="29029" applyFont="true" borderId="8" applyBorder="true" applyNumberFormat="true" numFmtId="165" fillId="22" applyFill="true">
      <alignment horizontal="center" vertical="center"/>
    </xf>
    <xf fontId="29030" applyFont="true" borderId="8" applyBorder="true" applyNumberFormat="true" numFmtId="165" fillId="22" applyFill="true">
      <alignment horizontal="center" vertical="center"/>
    </xf>
    <xf fontId="29031" applyFont="true" borderId="8" applyBorder="true" applyNumberFormat="true" numFmtId="1" fillId="22" applyFill="true">
      <alignment horizontal="center" vertical="center"/>
    </xf>
    <xf fontId="29032" applyFont="true" borderId="8" applyBorder="true" applyNumberFormat="true" numFmtId="1" fillId="22" applyFill="true">
      <alignment horizontal="center" vertical="center"/>
    </xf>
    <xf fontId="29033" applyFont="true" borderId="8" applyBorder="true" applyNumberFormat="true" numFmtId="1" fillId="22" applyFill="true">
      <alignment horizontal="center" vertical="center"/>
    </xf>
    <xf fontId="29034" applyFont="true" borderId="8" applyBorder="true" applyNumberFormat="true" numFmtId="167" fillId="22" applyFill="true">
      <alignment horizontal="center" vertical="center"/>
    </xf>
    <xf fontId="29035" applyFont="true" borderId="8" applyBorder="true" applyNumberFormat="true" numFmtId="1" fillId="22" applyFill="true">
      <alignment horizontal="center" vertical="center"/>
    </xf>
    <xf fontId="29036" applyFont="true" borderId="8" applyBorder="true" applyNumberFormat="true" numFmtId="167" fillId="22" applyFill="true">
      <alignment horizontal="center" vertical="center"/>
    </xf>
    <xf fontId="29037" applyFont="true" borderId="8" applyBorder="true" applyNumberFormat="true" numFmtId="1" fillId="22" applyFill="true">
      <alignment horizontal="center" vertical="center"/>
    </xf>
    <xf fontId="29038" applyFont="true" borderId="8" applyBorder="true" applyNumberFormat="true" numFmtId="167" fillId="22" applyFill="true">
      <alignment horizontal="center" vertical="center"/>
    </xf>
    <xf fontId="29039" applyFont="true" borderId="8" applyBorder="true" applyNumberFormat="true" numFmtId="1" fillId="22" applyFill="true">
      <alignment horizontal="center" vertical="center"/>
    </xf>
    <xf fontId="29040" applyFont="true" borderId="8" applyBorder="true" applyNumberFormat="true" numFmtId="167" fillId="22" applyFill="true">
      <alignment horizontal="center" vertical="center"/>
    </xf>
    <xf fontId="29041" applyFont="true" borderId="8" applyBorder="true" applyNumberFormat="true" numFmtId="167" fillId="22" applyFill="true">
      <alignment horizontal="center" vertical="center"/>
    </xf>
    <xf fontId="29042" applyFont="true" borderId="8" applyBorder="true" applyNumberFormat="true" numFmtId="1" fillId="22" applyFill="true">
      <alignment horizontal="center" vertical="center"/>
    </xf>
    <xf fontId="29043" applyFont="true" borderId="8" applyBorder="true" applyNumberFormat="true" numFmtId="1" fillId="22" applyFill="true">
      <alignment horizontal="center" vertical="center"/>
    </xf>
    <xf fontId="29044" applyFont="true" borderId="8" applyBorder="true" applyNumberFormat="true" numFmtId="1" fillId="22" applyFill="true">
      <alignment horizontal="center" vertical="center"/>
    </xf>
    <xf fontId="29045" applyFont="true" borderId="8" applyBorder="true" applyNumberFormat="true" numFmtId="167" fillId="22" applyFill="true">
      <alignment horizontal="center" vertical="center"/>
    </xf>
    <xf fontId="29046" applyFont="true" borderId="8" applyBorder="true" applyNumberFormat="true" numFmtId="166" fillId="22" applyFill="true">
      <alignment horizontal="center" vertical="center"/>
    </xf>
    <xf fontId="29047" applyFont="true" borderId="8" applyBorder="true" applyNumberFormat="true" numFmtId="166" fillId="22" applyFill="true">
      <alignment horizontal="center" vertical="center"/>
    </xf>
    <xf fontId="29048" applyFont="true" borderId="8" applyBorder="true" applyNumberFormat="true" numFmtId="1" fillId="22" applyFill="true">
      <alignment horizontal="center" vertical="center"/>
    </xf>
    <xf fontId="29049" applyFont="true" borderId="8" applyBorder="true" applyNumberFormat="true" numFmtId="1" fillId="22" applyFill="true">
      <alignment horizontal="center" vertical="center"/>
    </xf>
    <xf fontId="29050" applyFont="true" borderId="8" applyBorder="true" applyNumberFormat="true" numFmtId="1" fillId="22" applyFill="true">
      <alignment horizontal="center" vertical="center"/>
    </xf>
    <xf fontId="29051" applyFont="true" borderId="8" applyBorder="true" applyNumberFormat="true" numFmtId="167" fillId="22" applyFill="true">
      <alignment horizontal="center" vertical="center"/>
    </xf>
    <xf fontId="29052" applyFont="true" borderId="8" applyBorder="true" applyNumberFormat="true" numFmtId="1" fillId="22" applyFill="true">
      <alignment horizontal="center" vertical="center"/>
    </xf>
    <xf fontId="29053" applyFont="true" borderId="8" applyBorder="true" applyNumberFormat="true" numFmtId="167" fillId="22" applyFill="true">
      <alignment horizontal="center" vertical="center"/>
    </xf>
    <xf fontId="29054" applyFont="true" borderId="8" applyBorder="true" applyNumberFormat="true" numFmtId="1" fillId="22" applyFill="true">
      <alignment horizontal="center" vertical="center"/>
    </xf>
    <xf fontId="29055" applyFont="true" borderId="8" applyBorder="true" applyNumberFormat="true" numFmtId="1" fillId="22" applyFill="true">
      <alignment horizontal="center" vertical="center"/>
    </xf>
    <xf fontId="29056" applyFont="true" borderId="8" applyBorder="true" applyNumberFormat="true" numFmtId="1" fillId="22" applyFill="true">
      <alignment horizontal="center" vertical="center"/>
    </xf>
    <xf fontId="29057" applyFont="true" borderId="8" applyBorder="true" applyNumberFormat="true" numFmtId="1" fillId="22" applyFill="true">
      <alignment horizontal="center" vertical="center"/>
    </xf>
    <xf fontId="29058" applyFont="true" borderId="8" applyBorder="true" applyNumberFormat="true" numFmtId="167" fillId="22" applyFill="true">
      <alignment horizontal="center" vertical="center"/>
    </xf>
    <xf fontId="29059" applyFont="true" borderId="8" applyBorder="true" applyNumberFormat="true" numFmtId="1" fillId="22" applyFill="true">
      <alignment horizontal="center" vertical="center"/>
    </xf>
    <xf fontId="29060" applyFont="true" borderId="8" applyBorder="true" applyNumberFormat="true" numFmtId="167" fillId="22" applyFill="true">
      <alignment horizontal="center" vertical="center"/>
    </xf>
    <xf fontId="29061" applyFont="true" borderId="8" applyBorder="true" applyNumberFormat="true" numFmtId="1" fillId="22" applyFill="true">
      <alignment horizontal="center" vertical="center"/>
    </xf>
    <xf fontId="29062" applyFont="true" borderId="8" applyBorder="true" applyNumberFormat="true" numFmtId="167" fillId="22" applyFill="true">
      <alignment horizontal="center" vertical="center"/>
    </xf>
    <xf fontId="29063" applyFont="true" borderId="8" applyBorder="true" applyNumberFormat="true" numFmtId="2" fillId="22" applyFill="true">
      <alignment horizontal="center" vertical="center"/>
    </xf>
    <xf fontId="29064" applyFont="true" borderId="8" applyBorder="true" applyNumberFormat="true" numFmtId="2" fillId="22" applyFill="true">
      <alignment horizontal="center" vertical="center"/>
    </xf>
    <xf fontId="29065" applyFont="true" borderId="8" applyBorder="true" applyNumberFormat="true" numFmtId="2" fillId="22" applyFill="true">
      <alignment horizontal="center" vertical="center"/>
    </xf>
    <xf fontId="29066" applyFont="true" borderId="8" applyBorder="true" applyNumberFormat="true" numFmtId="2" fillId="22" applyFill="true">
      <alignment horizontal="center" vertical="center"/>
    </xf>
    <xf fontId="29067" applyFont="true" borderId="8" applyBorder="true" applyNumberFormat="true" numFmtId="2" fillId="22" applyFill="true">
      <alignment horizontal="center" vertical="center"/>
    </xf>
    <xf fontId="29068" applyFont="true" borderId="8" applyBorder="true" applyNumberFormat="true" numFmtId="2" fillId="22" applyFill="true">
      <alignment horizontal="center" vertical="center"/>
    </xf>
    <xf fontId="29069" applyFont="true" borderId="8" applyBorder="true" applyNumberFormat="true" numFmtId="2" fillId="22" applyFill="true">
      <alignment horizontal="center" vertical="center"/>
    </xf>
    <xf fontId="29070" applyFont="true" borderId="8" applyBorder="true" applyNumberFormat="true" numFmtId="2" fillId="22" applyFill="true">
      <alignment horizontal="center" vertical="center"/>
    </xf>
    <xf fontId="29071" applyFont="true" borderId="8" applyBorder="true" applyNumberFormat="true" numFmtId="2" fillId="22" applyFill="true">
      <alignment horizontal="center" vertical="center"/>
    </xf>
    <xf fontId="29072" applyFont="true" borderId="8" applyBorder="true" applyNumberFormat="true" numFmtId="2" fillId="22" applyFill="true">
      <alignment horizontal="center" vertical="center"/>
    </xf>
    <xf fontId="29073" applyFont="true" borderId="8" applyBorder="true" applyNumberFormat="true" numFmtId="2" fillId="22" applyFill="true">
      <alignment horizontal="center" vertical="center"/>
    </xf>
    <xf fontId="29074" applyFont="true" borderId="8" applyBorder="true" applyNumberFormat="true" numFmtId="2" fillId="22" applyFill="true">
      <alignment horizontal="center" vertical="center"/>
    </xf>
    <xf fontId="29075" applyFont="true" borderId="8" applyBorder="true" applyNumberFormat="true" numFmtId="2" fillId="22" applyFill="true">
      <alignment horizontal="center" vertical="center"/>
    </xf>
    <xf fontId="29076" applyFont="true" borderId="8" applyBorder="true" applyNumberFormat="true" numFmtId="2" fillId="22" applyFill="true">
      <alignment horizontal="center" vertical="center"/>
    </xf>
    <xf fontId="29077" applyFont="true" borderId="8" applyBorder="true" applyNumberFormat="true" numFmtId="2" fillId="22" applyFill="true">
      <alignment horizontal="center" vertical="center"/>
    </xf>
    <xf fontId="29078" applyFont="true" borderId="8" applyBorder="true" applyNumberFormat="true" numFmtId="2" fillId="22" applyFill="true">
      <alignment horizontal="center" vertical="center"/>
    </xf>
    <xf fontId="29079" applyFont="true" borderId="8" applyBorder="true" applyNumberFormat="true" numFmtId="2" fillId="22" applyFill="true">
      <alignment horizontal="center" vertical="center"/>
    </xf>
    <xf fontId="29080" applyFont="true" borderId="8" applyBorder="true" applyNumberFormat="true" numFmtId="2" fillId="22" applyFill="true">
      <alignment horizontal="center" vertical="center"/>
    </xf>
    <xf fontId="29081" applyFont="true" borderId="8" applyBorder="true" applyNumberFormat="true" numFmtId="2" fillId="22" applyFill="true">
      <alignment horizontal="center" vertical="center"/>
    </xf>
    <xf fontId="29082" applyFont="true" borderId="8" applyBorder="true" applyNumberFormat="true" numFmtId="2" fillId="22" applyFill="true">
      <alignment horizontal="center" vertical="center"/>
    </xf>
    <xf fontId="29083" applyFont="true" borderId="8" applyBorder="true" applyNumberFormat="true" numFmtId="2" fillId="22" applyFill="true">
      <alignment horizontal="center" vertical="center"/>
    </xf>
    <xf fontId="29084" applyFont="true" borderId="8" applyBorder="true" applyNumberFormat="true" numFmtId="2" fillId="22" applyFill="true">
      <alignment horizontal="center" vertical="center"/>
    </xf>
    <xf fontId="29085" applyFont="true" borderId="8" applyBorder="true" applyNumberFormat="true" numFmtId="2" fillId="22" applyFill="true">
      <alignment horizontal="center" vertical="center"/>
    </xf>
    <xf fontId="29086" applyFont="true" borderId="8" applyBorder="true" applyNumberFormat="true" numFmtId="2" fillId="22" applyFill="true">
      <alignment horizontal="center" vertical="center"/>
    </xf>
    <xf fontId="29087" applyFont="true" borderId="8" applyBorder="true" applyNumberFormat="true" numFmtId="2" fillId="22" applyFill="true">
      <alignment horizontal="center" vertical="center"/>
    </xf>
    <xf fontId="29088" applyFont="true" borderId="8" applyBorder="true" applyNumberFormat="true" numFmtId="2" fillId="22" applyFill="true">
      <alignment horizontal="center" vertical="center"/>
    </xf>
    <xf fontId="29089" applyFont="true" borderId="8" applyBorder="true" applyNumberFormat="true" numFmtId="2" fillId="22" applyFill="true">
      <alignment horizontal="center" vertical="center"/>
    </xf>
    <xf fontId="29090" applyFont="true" borderId="8" applyBorder="true" applyNumberFormat="true" numFmtId="2" fillId="22" applyFill="true">
      <alignment horizontal="center" vertical="center"/>
    </xf>
    <xf fontId="29091" applyFont="true" borderId="8" applyBorder="true" applyNumberFormat="true" numFmtId="2" fillId="22" applyFill="true">
      <alignment horizontal="center" vertical="center"/>
    </xf>
    <xf fontId="29092" applyFont="true" borderId="8" applyBorder="true" applyNumberFormat="true" numFmtId="2" fillId="22" applyFill="true">
      <alignment horizontal="center" vertical="center"/>
    </xf>
    <xf fontId="29093" applyFont="true" borderId="8" applyBorder="true" applyNumberFormat="true" numFmtId="2" fillId="22" applyFill="true">
      <alignment horizontal="center" vertical="center"/>
    </xf>
    <xf fontId="29094" applyFont="true" borderId="8" applyBorder="true" applyNumberFormat="true" numFmtId="2" fillId="22" applyFill="true">
      <alignment horizontal="center" vertical="center"/>
    </xf>
    <xf fontId="29095" applyFont="true" borderId="8" applyBorder="true" applyNumberFormat="true" numFmtId="2" fillId="22" applyFill="true">
      <alignment horizontal="center" vertical="center"/>
    </xf>
    <xf fontId="29096" applyFont="true" borderId="8" applyBorder="true" applyNumberFormat="true" numFmtId="2" fillId="22" applyFill="true">
      <alignment horizontal="center" vertical="center"/>
    </xf>
    <xf fontId="29097" applyFont="true" borderId="8" applyBorder="true" applyNumberFormat="true" numFmtId="165" fillId="19" applyFill="true">
      <alignment horizontal="left" vertical="center"/>
    </xf>
    <xf fontId="29098" applyFont="true" borderId="8" applyBorder="true" applyNumberFormat="true" numFmtId="165" fillId="22" applyFill="true">
      <alignment horizontal="center" vertical="center"/>
    </xf>
    <xf fontId="29099" applyFont="true" borderId="8" applyBorder="true" applyNumberFormat="true" numFmtId="166" fillId="22" applyFill="true">
      <alignment horizontal="center" vertical="center"/>
    </xf>
    <xf fontId="29100" applyFont="true" borderId="8" applyBorder="true" applyNumberFormat="true" numFmtId="1" fillId="22" applyFill="true">
      <alignment horizontal="center" vertical="center"/>
    </xf>
    <xf fontId="29101" applyFont="true" borderId="8" applyBorder="true" applyNumberFormat="true" numFmtId="1" fillId="22" applyFill="true">
      <alignment horizontal="center" vertical="center"/>
    </xf>
    <xf fontId="29102" applyFont="true" borderId="8" applyBorder="true" applyNumberFormat="true" numFmtId="1" fillId="22" applyFill="true">
      <alignment horizontal="center" vertical="center"/>
    </xf>
    <xf fontId="29103" applyFont="true" borderId="8" applyBorder="true" applyNumberFormat="true" numFmtId="1" fillId="22" applyFill="true">
      <alignment horizontal="center" vertical="center"/>
    </xf>
    <xf fontId="29104" applyFont="true" borderId="8" applyBorder="true" applyNumberFormat="true" numFmtId="1" fillId="22" applyFill="true">
      <alignment horizontal="center" vertical="center"/>
    </xf>
    <xf fontId="29105" applyFont="true" borderId="8" applyBorder="true" applyNumberFormat="true" numFmtId="1" fillId="22" applyFill="true">
      <alignment horizontal="center" vertical="center"/>
    </xf>
    <xf fontId="29106" applyFont="true" borderId="8" applyBorder="true" applyNumberFormat="true" numFmtId="1" fillId="22" applyFill="true">
      <alignment horizontal="center" vertical="center"/>
    </xf>
    <xf fontId="29107" applyFont="true" borderId="8" applyBorder="true" applyNumberFormat="true" numFmtId="165" fillId="22" applyFill="true">
      <alignment horizontal="center" vertical="center"/>
    </xf>
    <xf fontId="29108" applyFont="true" borderId="8" applyBorder="true" applyNumberFormat="true" numFmtId="165" fillId="22" applyFill="true">
      <alignment horizontal="center" vertical="center"/>
    </xf>
    <xf fontId="29109" applyFont="true" borderId="8" applyBorder="true" applyNumberFormat="true" numFmtId="1" fillId="22" applyFill="true">
      <alignment horizontal="center" vertical="center"/>
    </xf>
    <xf fontId="29110" applyFont="true" borderId="8" applyBorder="true" applyNumberFormat="true" numFmtId="1" fillId="22" applyFill="true">
      <alignment horizontal="center" vertical="center"/>
    </xf>
    <xf fontId="29111" applyFont="true" borderId="8" applyBorder="true" applyNumberFormat="true" numFmtId="1" fillId="22" applyFill="true">
      <alignment horizontal="center" vertical="center"/>
    </xf>
    <xf fontId="29112" applyFont="true" borderId="8" applyBorder="true" applyNumberFormat="true" numFmtId="167" fillId="22" applyFill="true">
      <alignment horizontal="center" vertical="center"/>
    </xf>
    <xf fontId="29113" applyFont="true" borderId="8" applyBorder="true" applyNumberFormat="true" numFmtId="1" fillId="22" applyFill="true">
      <alignment horizontal="center" vertical="center"/>
    </xf>
    <xf fontId="29114" applyFont="true" borderId="8" applyBorder="true" applyNumberFormat="true" numFmtId="167" fillId="22" applyFill="true">
      <alignment horizontal="center" vertical="center"/>
    </xf>
    <xf fontId="29115" applyFont="true" borderId="8" applyBorder="true" applyNumberFormat="true" numFmtId="1" fillId="22" applyFill="true">
      <alignment horizontal="center" vertical="center"/>
    </xf>
    <xf fontId="29116" applyFont="true" borderId="8" applyBorder="true" applyNumberFormat="true" numFmtId="167" fillId="22" applyFill="true">
      <alignment horizontal="center" vertical="center"/>
    </xf>
    <xf fontId="29117" applyFont="true" borderId="8" applyBorder="true" applyNumberFormat="true" numFmtId="1" fillId="22" applyFill="true">
      <alignment horizontal="center" vertical="center"/>
    </xf>
    <xf fontId="29118" applyFont="true" borderId="8" applyBorder="true" applyNumberFormat="true" numFmtId="167" fillId="22" applyFill="true">
      <alignment horizontal="center" vertical="center"/>
    </xf>
    <xf fontId="29119" applyFont="true" borderId="8" applyBorder="true" applyNumberFormat="true" numFmtId="167" fillId="22" applyFill="true">
      <alignment horizontal="center" vertical="center"/>
    </xf>
    <xf fontId="29120" applyFont="true" borderId="8" applyBorder="true" applyNumberFormat="true" numFmtId="1" fillId="22" applyFill="true">
      <alignment horizontal="center" vertical="center"/>
    </xf>
    <xf fontId="29121" applyFont="true" borderId="8" applyBorder="true" applyNumberFormat="true" numFmtId="1" fillId="22" applyFill="true">
      <alignment horizontal="center" vertical="center"/>
    </xf>
    <xf fontId="29122" applyFont="true" borderId="8" applyBorder="true" applyNumberFormat="true" numFmtId="1" fillId="22" applyFill="true">
      <alignment horizontal="center" vertical="center"/>
    </xf>
    <xf fontId="29123" applyFont="true" borderId="8" applyBorder="true" applyNumberFormat="true" numFmtId="167" fillId="22" applyFill="true">
      <alignment horizontal="center" vertical="center"/>
    </xf>
    <xf fontId="29124" applyFont="true" borderId="8" applyBorder="true" applyNumberFormat="true" numFmtId="166" fillId="22" applyFill="true">
      <alignment horizontal="center" vertical="center"/>
    </xf>
    <xf fontId="29125" applyFont="true" borderId="8" applyBorder="true" applyNumberFormat="true" numFmtId="166" fillId="22" applyFill="true">
      <alignment horizontal="center" vertical="center"/>
    </xf>
    <xf fontId="29126" applyFont="true" borderId="8" applyBorder="true" applyNumberFormat="true" numFmtId="1" fillId="22" applyFill="true">
      <alignment horizontal="center" vertical="center"/>
    </xf>
    <xf fontId="29127" applyFont="true" borderId="8" applyBorder="true" applyNumberFormat="true" numFmtId="1" fillId="22" applyFill="true">
      <alignment horizontal="center" vertical="center"/>
    </xf>
    <xf fontId="29128" applyFont="true" borderId="8" applyBorder="true" applyNumberFormat="true" numFmtId="1" fillId="22" applyFill="true">
      <alignment horizontal="center" vertical="center"/>
    </xf>
    <xf fontId="29129" applyFont="true" borderId="8" applyBorder="true" applyNumberFormat="true" numFmtId="167" fillId="22" applyFill="true">
      <alignment horizontal="center" vertical="center"/>
    </xf>
    <xf fontId="29130" applyFont="true" borderId="8" applyBorder="true" applyNumberFormat="true" numFmtId="1" fillId="22" applyFill="true">
      <alignment horizontal="center" vertical="center"/>
    </xf>
    <xf fontId="29131" applyFont="true" borderId="8" applyBorder="true" applyNumberFormat="true" numFmtId="167" fillId="22" applyFill="true">
      <alignment horizontal="center" vertical="center"/>
    </xf>
    <xf fontId="29132" applyFont="true" borderId="8" applyBorder="true" applyNumberFormat="true" numFmtId="1" fillId="22" applyFill="true">
      <alignment horizontal="center" vertical="center"/>
    </xf>
    <xf fontId="29133" applyFont="true" borderId="8" applyBorder="true" applyNumberFormat="true" numFmtId="1" fillId="22" applyFill="true">
      <alignment horizontal="center" vertical="center"/>
    </xf>
    <xf fontId="29134" applyFont="true" borderId="8" applyBorder="true" applyNumberFormat="true" numFmtId="1" fillId="22" applyFill="true">
      <alignment horizontal="center" vertical="center"/>
    </xf>
    <xf fontId="29135" applyFont="true" borderId="8" applyBorder="true" applyNumberFormat="true" numFmtId="1" fillId="22" applyFill="true">
      <alignment horizontal="center" vertical="center"/>
    </xf>
    <xf fontId="29136" applyFont="true" borderId="8" applyBorder="true" applyNumberFormat="true" numFmtId="167" fillId="22" applyFill="true">
      <alignment horizontal="center" vertical="center"/>
    </xf>
    <xf fontId="29137" applyFont="true" borderId="8" applyBorder="true" applyNumberFormat="true" numFmtId="1" fillId="22" applyFill="true">
      <alignment horizontal="center" vertical="center"/>
    </xf>
    <xf fontId="29138" applyFont="true" borderId="8" applyBorder="true" applyNumberFormat="true" numFmtId="167" fillId="22" applyFill="true">
      <alignment horizontal="center" vertical="center"/>
    </xf>
    <xf fontId="29139" applyFont="true" borderId="8" applyBorder="true" applyNumberFormat="true" numFmtId="1" fillId="22" applyFill="true">
      <alignment horizontal="center" vertical="center"/>
    </xf>
    <xf fontId="29140" applyFont="true" borderId="8" applyBorder="true" applyNumberFormat="true" numFmtId="167" fillId="22" applyFill="true">
      <alignment horizontal="center" vertical="center"/>
    </xf>
    <xf fontId="29141" applyFont="true" borderId="8" applyBorder="true" applyNumberFormat="true" numFmtId="2" fillId="22" applyFill="true">
      <alignment horizontal="center" vertical="center"/>
    </xf>
    <xf fontId="29142" applyFont="true" borderId="8" applyBorder="true" applyNumberFormat="true" numFmtId="2" fillId="22" applyFill="true">
      <alignment horizontal="center" vertical="center"/>
    </xf>
    <xf fontId="29143" applyFont="true" borderId="8" applyBorder="true" applyNumberFormat="true" numFmtId="2" fillId="22" applyFill="true">
      <alignment horizontal="center" vertical="center"/>
    </xf>
    <xf fontId="29144" applyFont="true" borderId="8" applyBorder="true" applyNumberFormat="true" numFmtId="2" fillId="22" applyFill="true">
      <alignment horizontal="center" vertical="center"/>
    </xf>
    <xf fontId="29145" applyFont="true" borderId="8" applyBorder="true" applyNumberFormat="true" numFmtId="2" fillId="22" applyFill="true">
      <alignment horizontal="center" vertical="center"/>
    </xf>
    <xf fontId="29146" applyFont="true" borderId="8" applyBorder="true" applyNumberFormat="true" numFmtId="2" fillId="22" applyFill="true">
      <alignment horizontal="center" vertical="center"/>
    </xf>
    <xf fontId="29147" applyFont="true" borderId="8" applyBorder="true" applyNumberFormat="true" numFmtId="2" fillId="22" applyFill="true">
      <alignment horizontal="center" vertical="center"/>
    </xf>
    <xf fontId="29148" applyFont="true" borderId="8" applyBorder="true" applyNumberFormat="true" numFmtId="2" fillId="22" applyFill="true">
      <alignment horizontal="center" vertical="center"/>
    </xf>
    <xf fontId="29149" applyFont="true" borderId="8" applyBorder="true" applyNumberFormat="true" numFmtId="2" fillId="22" applyFill="true">
      <alignment horizontal="center" vertical="center"/>
    </xf>
    <xf fontId="29150" applyFont="true" borderId="8" applyBorder="true" applyNumberFormat="true" numFmtId="2" fillId="22" applyFill="true">
      <alignment horizontal="center" vertical="center"/>
    </xf>
    <xf fontId="29151" applyFont="true" borderId="8" applyBorder="true" applyNumberFormat="true" numFmtId="2" fillId="22" applyFill="true">
      <alignment horizontal="center" vertical="center"/>
    </xf>
    <xf fontId="29152" applyFont="true" borderId="8" applyBorder="true" applyNumberFormat="true" numFmtId="2" fillId="22" applyFill="true">
      <alignment horizontal="center" vertical="center"/>
    </xf>
    <xf fontId="29153" applyFont="true" borderId="8" applyBorder="true" applyNumberFormat="true" numFmtId="2" fillId="22" applyFill="true">
      <alignment horizontal="center" vertical="center"/>
    </xf>
    <xf fontId="29154" applyFont="true" borderId="8" applyBorder="true" applyNumberFormat="true" numFmtId="2" fillId="22" applyFill="true">
      <alignment horizontal="center" vertical="center"/>
    </xf>
    <xf fontId="29155" applyFont="true" borderId="8" applyBorder="true" applyNumberFormat="true" numFmtId="2" fillId="22" applyFill="true">
      <alignment horizontal="center" vertical="center"/>
    </xf>
    <xf fontId="29156" applyFont="true" borderId="8" applyBorder="true" applyNumberFormat="true" numFmtId="2" fillId="22" applyFill="true">
      <alignment horizontal="center" vertical="center"/>
    </xf>
    <xf fontId="29157" applyFont="true" borderId="8" applyBorder="true" applyNumberFormat="true" numFmtId="2" fillId="22" applyFill="true">
      <alignment horizontal="center" vertical="center"/>
    </xf>
    <xf fontId="29158" applyFont="true" borderId="8" applyBorder="true" applyNumberFormat="true" numFmtId="2" fillId="22" applyFill="true">
      <alignment horizontal="center" vertical="center"/>
    </xf>
    <xf fontId="29159" applyFont="true" borderId="8" applyBorder="true" applyNumberFormat="true" numFmtId="2" fillId="22" applyFill="true">
      <alignment horizontal="center" vertical="center"/>
    </xf>
    <xf fontId="29160" applyFont="true" borderId="8" applyBorder="true" applyNumberFormat="true" numFmtId="2" fillId="22" applyFill="true">
      <alignment horizontal="center" vertical="center"/>
    </xf>
    <xf fontId="29161" applyFont="true" borderId="8" applyBorder="true" applyNumberFormat="true" numFmtId="2" fillId="22" applyFill="true">
      <alignment horizontal="center" vertical="center"/>
    </xf>
    <xf fontId="29162" applyFont="true" borderId="8" applyBorder="true" applyNumberFormat="true" numFmtId="2" fillId="22" applyFill="true">
      <alignment horizontal="center" vertical="center"/>
    </xf>
    <xf fontId="29163" applyFont="true" borderId="8" applyBorder="true" applyNumberFormat="true" numFmtId="2" fillId="22" applyFill="true">
      <alignment horizontal="center" vertical="center"/>
    </xf>
    <xf fontId="29164" applyFont="true" borderId="8" applyBorder="true" applyNumberFormat="true" numFmtId="2" fillId="22" applyFill="true">
      <alignment horizontal="center" vertical="center"/>
    </xf>
    <xf fontId="29165" applyFont="true" borderId="8" applyBorder="true" applyNumberFormat="true" numFmtId="2" fillId="22" applyFill="true">
      <alignment horizontal="center" vertical="center"/>
    </xf>
    <xf fontId="29166" applyFont="true" borderId="8" applyBorder="true" applyNumberFormat="true" numFmtId="2" fillId="22" applyFill="true">
      <alignment horizontal="center" vertical="center"/>
    </xf>
    <xf fontId="29167" applyFont="true" borderId="8" applyBorder="true" applyNumberFormat="true" numFmtId="2" fillId="22" applyFill="true">
      <alignment horizontal="center" vertical="center"/>
    </xf>
    <xf fontId="29168" applyFont="true" borderId="8" applyBorder="true" applyNumberFormat="true" numFmtId="2" fillId="22" applyFill="true">
      <alignment horizontal="center" vertical="center"/>
    </xf>
    <xf fontId="29169" applyFont="true" borderId="8" applyBorder="true" applyNumberFormat="true" numFmtId="2" fillId="22" applyFill="true">
      <alignment horizontal="center" vertical="center"/>
    </xf>
    <xf fontId="29170" applyFont="true" borderId="8" applyBorder="true" applyNumberFormat="true" numFmtId="2" fillId="22" applyFill="true">
      <alignment horizontal="center" vertical="center"/>
    </xf>
    <xf fontId="29171" applyFont="true" borderId="8" applyBorder="true" applyNumberFormat="true" numFmtId="2" fillId="22" applyFill="true">
      <alignment horizontal="center" vertical="center"/>
    </xf>
    <xf fontId="29172" applyFont="true" borderId="8" applyBorder="true" applyNumberFormat="true" numFmtId="2" fillId="22" applyFill="true">
      <alignment horizontal="center" vertical="center"/>
    </xf>
    <xf fontId="29173" applyFont="true" borderId="8" applyBorder="true" applyNumberFormat="true" numFmtId="2" fillId="22" applyFill="true">
      <alignment horizontal="center" vertical="center"/>
    </xf>
    <xf fontId="29174" applyFont="true" borderId="8" applyBorder="true" applyNumberFormat="true" numFmtId="2" fillId="22" applyFill="true">
      <alignment horizontal="center" vertical="center"/>
    </xf>
    <xf fontId="29175" applyFont="true" borderId="8" applyBorder="true" applyNumberFormat="true" numFmtId="165" fillId="19" applyFill="true">
      <alignment horizontal="left" vertical="center"/>
    </xf>
    <xf fontId="29176" applyFont="true" borderId="8" applyBorder="true" applyNumberFormat="true" numFmtId="165" fillId="22" applyFill="true">
      <alignment horizontal="center" vertical="center"/>
    </xf>
    <xf fontId="29177" applyFont="true" borderId="8" applyBorder="true" applyNumberFormat="true" numFmtId="166" fillId="22" applyFill="true">
      <alignment horizontal="center" vertical="center"/>
    </xf>
    <xf fontId="29178" applyFont="true" borderId="8" applyBorder="true" applyNumberFormat="true" numFmtId="1" fillId="22" applyFill="true">
      <alignment horizontal="center" vertical="center"/>
    </xf>
    <xf fontId="29179" applyFont="true" borderId="8" applyBorder="true" applyNumberFormat="true" numFmtId="1" fillId="22" applyFill="true">
      <alignment horizontal="center" vertical="center"/>
    </xf>
    <xf fontId="29180" applyFont="true" borderId="8" applyBorder="true" applyNumberFormat="true" numFmtId="1" fillId="22" applyFill="true">
      <alignment horizontal="center" vertical="center"/>
    </xf>
    <xf fontId="29181" applyFont="true" borderId="8" applyBorder="true" applyNumberFormat="true" numFmtId="1" fillId="22" applyFill="true">
      <alignment horizontal="center" vertical="center"/>
    </xf>
    <xf fontId="29182" applyFont="true" borderId="8" applyBorder="true" applyNumberFormat="true" numFmtId="1" fillId="22" applyFill="true">
      <alignment horizontal="center" vertical="center"/>
    </xf>
    <xf fontId="29183" applyFont="true" borderId="8" applyBorder="true" applyNumberFormat="true" numFmtId="1" fillId="22" applyFill="true">
      <alignment horizontal="center" vertical="center"/>
    </xf>
    <xf fontId="29184" applyFont="true" borderId="8" applyBorder="true" applyNumberFormat="true" numFmtId="1" fillId="22" applyFill="true">
      <alignment horizontal="center" vertical="center"/>
    </xf>
    <xf fontId="29185" applyFont="true" borderId="8" applyBorder="true" applyNumberFormat="true" numFmtId="165" fillId="22" applyFill="true">
      <alignment horizontal="center" vertical="center"/>
    </xf>
    <xf fontId="29186" applyFont="true" borderId="8" applyBorder="true" applyNumberFormat="true" numFmtId="165" fillId="22" applyFill="true">
      <alignment horizontal="center" vertical="center"/>
    </xf>
    <xf fontId="29187" applyFont="true" borderId="8" applyBorder="true" applyNumberFormat="true" numFmtId="1" fillId="22" applyFill="true">
      <alignment horizontal="center" vertical="center"/>
    </xf>
    <xf fontId="29188" applyFont="true" borderId="8" applyBorder="true" applyNumberFormat="true" numFmtId="1" fillId="22" applyFill="true">
      <alignment horizontal="center" vertical="center"/>
    </xf>
    <xf fontId="29189" applyFont="true" borderId="8" applyBorder="true" applyNumberFormat="true" numFmtId="1" fillId="22" applyFill="true">
      <alignment horizontal="center" vertical="center"/>
    </xf>
    <xf fontId="29190" applyFont="true" borderId="8" applyBorder="true" applyNumberFormat="true" numFmtId="167" fillId="22" applyFill="true">
      <alignment horizontal="center" vertical="center"/>
    </xf>
    <xf fontId="29191" applyFont="true" borderId="8" applyBorder="true" applyNumberFormat="true" numFmtId="1" fillId="22" applyFill="true">
      <alignment horizontal="center" vertical="center"/>
    </xf>
    <xf fontId="29192" applyFont="true" borderId="8" applyBorder="true" applyNumberFormat="true" numFmtId="167" fillId="22" applyFill="true">
      <alignment horizontal="center" vertical="center"/>
    </xf>
    <xf fontId="29193" applyFont="true" borderId="8" applyBorder="true" applyNumberFormat="true" numFmtId="1" fillId="22" applyFill="true">
      <alignment horizontal="center" vertical="center"/>
    </xf>
    <xf fontId="29194" applyFont="true" borderId="8" applyBorder="true" applyNumberFormat="true" numFmtId="167" fillId="22" applyFill="true">
      <alignment horizontal="center" vertical="center"/>
    </xf>
    <xf fontId="29195" applyFont="true" borderId="8" applyBorder="true" applyNumberFormat="true" numFmtId="1" fillId="22" applyFill="true">
      <alignment horizontal="center" vertical="center"/>
    </xf>
    <xf fontId="29196" applyFont="true" borderId="8" applyBorder="true" applyNumberFormat="true" numFmtId="167" fillId="22" applyFill="true">
      <alignment horizontal="center" vertical="center"/>
    </xf>
    <xf fontId="29197" applyFont="true" borderId="8" applyBorder="true" applyNumberFormat="true" numFmtId="167" fillId="22" applyFill="true">
      <alignment horizontal="center" vertical="center"/>
    </xf>
    <xf fontId="29198" applyFont="true" borderId="8" applyBorder="true" applyNumberFormat="true" numFmtId="1" fillId="22" applyFill="true">
      <alignment horizontal="center" vertical="center"/>
    </xf>
    <xf fontId="29199" applyFont="true" borderId="8" applyBorder="true" applyNumberFormat="true" numFmtId="1" fillId="22" applyFill="true">
      <alignment horizontal="center" vertical="center"/>
    </xf>
    <xf fontId="29200" applyFont="true" borderId="8" applyBorder="true" applyNumberFormat="true" numFmtId="1" fillId="22" applyFill="true">
      <alignment horizontal="center" vertical="center"/>
    </xf>
    <xf fontId="29201" applyFont="true" borderId="8" applyBorder="true" applyNumberFormat="true" numFmtId="167" fillId="22" applyFill="true">
      <alignment horizontal="center" vertical="center"/>
    </xf>
    <xf fontId="29202" applyFont="true" borderId="8" applyBorder="true" applyNumberFormat="true" numFmtId="166" fillId="22" applyFill="true">
      <alignment horizontal="center" vertical="center"/>
    </xf>
    <xf fontId="29203" applyFont="true" borderId="8" applyBorder="true" applyNumberFormat="true" numFmtId="166" fillId="22" applyFill="true">
      <alignment horizontal="center" vertical="center"/>
    </xf>
    <xf fontId="29204" applyFont="true" borderId="8" applyBorder="true" applyNumberFormat="true" numFmtId="1" fillId="22" applyFill="true">
      <alignment horizontal="center" vertical="center"/>
    </xf>
    <xf fontId="29205" applyFont="true" borderId="8" applyBorder="true" applyNumberFormat="true" numFmtId="1" fillId="22" applyFill="true">
      <alignment horizontal="center" vertical="center"/>
    </xf>
    <xf fontId="29206" applyFont="true" borderId="8" applyBorder="true" applyNumberFormat="true" numFmtId="1" fillId="22" applyFill="true">
      <alignment horizontal="center" vertical="center"/>
    </xf>
    <xf fontId="29207" applyFont="true" borderId="8" applyBorder="true" applyNumberFormat="true" numFmtId="167" fillId="22" applyFill="true">
      <alignment horizontal="center" vertical="center"/>
    </xf>
    <xf fontId="29208" applyFont="true" borderId="8" applyBorder="true" applyNumberFormat="true" numFmtId="1" fillId="22" applyFill="true">
      <alignment horizontal="center" vertical="center"/>
    </xf>
    <xf fontId="29209" applyFont="true" borderId="8" applyBorder="true" applyNumberFormat="true" numFmtId="167" fillId="22" applyFill="true">
      <alignment horizontal="center" vertical="center"/>
    </xf>
    <xf fontId="29210" applyFont="true" borderId="8" applyBorder="true" applyNumberFormat="true" numFmtId="1" fillId="22" applyFill="true">
      <alignment horizontal="center" vertical="center"/>
    </xf>
    <xf fontId="29211" applyFont="true" borderId="8" applyBorder="true" applyNumberFormat="true" numFmtId="1" fillId="22" applyFill="true">
      <alignment horizontal="center" vertical="center"/>
    </xf>
    <xf fontId="29212" applyFont="true" borderId="8" applyBorder="true" applyNumberFormat="true" numFmtId="1" fillId="22" applyFill="true">
      <alignment horizontal="center" vertical="center"/>
    </xf>
    <xf fontId="29213" applyFont="true" borderId="8" applyBorder="true" applyNumberFormat="true" numFmtId="1" fillId="22" applyFill="true">
      <alignment horizontal="center" vertical="center"/>
    </xf>
    <xf fontId="29214" applyFont="true" borderId="8" applyBorder="true" applyNumberFormat="true" numFmtId="167" fillId="22" applyFill="true">
      <alignment horizontal="center" vertical="center"/>
    </xf>
    <xf fontId="29215" applyFont="true" borderId="8" applyBorder="true" applyNumberFormat="true" numFmtId="1" fillId="22" applyFill="true">
      <alignment horizontal="center" vertical="center"/>
    </xf>
    <xf fontId="29216" applyFont="true" borderId="8" applyBorder="true" applyNumberFormat="true" numFmtId="167" fillId="22" applyFill="true">
      <alignment horizontal="center" vertical="center"/>
    </xf>
    <xf fontId="29217" applyFont="true" borderId="8" applyBorder="true" applyNumberFormat="true" numFmtId="1" fillId="22" applyFill="true">
      <alignment horizontal="center" vertical="center"/>
    </xf>
    <xf fontId="29218" applyFont="true" borderId="8" applyBorder="true" applyNumberFormat="true" numFmtId="167" fillId="22" applyFill="true">
      <alignment horizontal="center" vertical="center"/>
    </xf>
    <xf fontId="29219" applyFont="true" borderId="8" applyBorder="true" applyNumberFormat="true" numFmtId="2" fillId="22" applyFill="true">
      <alignment horizontal="center" vertical="center"/>
    </xf>
    <xf fontId="29220" applyFont="true" borderId="8" applyBorder="true" applyNumberFormat="true" numFmtId="2" fillId="22" applyFill="true">
      <alignment horizontal="center" vertical="center"/>
    </xf>
    <xf fontId="29221" applyFont="true" borderId="8" applyBorder="true" applyNumberFormat="true" numFmtId="2" fillId="22" applyFill="true">
      <alignment horizontal="center" vertical="center"/>
    </xf>
    <xf fontId="29222" applyFont="true" borderId="8" applyBorder="true" applyNumberFormat="true" numFmtId="2" fillId="22" applyFill="true">
      <alignment horizontal="center" vertical="center"/>
    </xf>
    <xf fontId="29223" applyFont="true" borderId="8" applyBorder="true" applyNumberFormat="true" numFmtId="2" fillId="22" applyFill="true">
      <alignment horizontal="center" vertical="center"/>
    </xf>
    <xf fontId="29224" applyFont="true" borderId="8" applyBorder="true" applyNumberFormat="true" numFmtId="2" fillId="22" applyFill="true">
      <alignment horizontal="center" vertical="center"/>
    </xf>
    <xf fontId="29225" applyFont="true" borderId="8" applyBorder="true" applyNumberFormat="true" numFmtId="2" fillId="22" applyFill="true">
      <alignment horizontal="center" vertical="center"/>
    </xf>
    <xf fontId="29226" applyFont="true" borderId="8" applyBorder="true" applyNumberFormat="true" numFmtId="2" fillId="22" applyFill="true">
      <alignment horizontal="center" vertical="center"/>
    </xf>
    <xf fontId="29227" applyFont="true" borderId="8" applyBorder="true" applyNumberFormat="true" numFmtId="2" fillId="22" applyFill="true">
      <alignment horizontal="center" vertical="center"/>
    </xf>
    <xf fontId="29228" applyFont="true" borderId="8" applyBorder="true" applyNumberFormat="true" numFmtId="2" fillId="22" applyFill="true">
      <alignment horizontal="center" vertical="center"/>
    </xf>
    <xf fontId="29229" applyFont="true" borderId="8" applyBorder="true" applyNumberFormat="true" numFmtId="2" fillId="22" applyFill="true">
      <alignment horizontal="center" vertical="center"/>
    </xf>
    <xf fontId="29230" applyFont="true" borderId="8" applyBorder="true" applyNumberFormat="true" numFmtId="2" fillId="22" applyFill="true">
      <alignment horizontal="center" vertical="center"/>
    </xf>
    <xf fontId="29231" applyFont="true" borderId="8" applyBorder="true" applyNumberFormat="true" numFmtId="2" fillId="22" applyFill="true">
      <alignment horizontal="center" vertical="center"/>
    </xf>
    <xf fontId="29232" applyFont="true" borderId="8" applyBorder="true" applyNumberFormat="true" numFmtId="2" fillId="22" applyFill="true">
      <alignment horizontal="center" vertical="center"/>
    </xf>
    <xf fontId="29233" applyFont="true" borderId="8" applyBorder="true" applyNumberFormat="true" numFmtId="2" fillId="22" applyFill="true">
      <alignment horizontal="center" vertical="center"/>
    </xf>
    <xf fontId="29234" applyFont="true" borderId="8" applyBorder="true" applyNumberFormat="true" numFmtId="2" fillId="22" applyFill="true">
      <alignment horizontal="center" vertical="center"/>
    </xf>
    <xf fontId="29235" applyFont="true" borderId="8" applyBorder="true" applyNumberFormat="true" numFmtId="2" fillId="22" applyFill="true">
      <alignment horizontal="center" vertical="center"/>
    </xf>
    <xf fontId="29236" applyFont="true" borderId="8" applyBorder="true" applyNumberFormat="true" numFmtId="2" fillId="22" applyFill="true">
      <alignment horizontal="center" vertical="center"/>
    </xf>
    <xf fontId="29237" applyFont="true" borderId="8" applyBorder="true" applyNumberFormat="true" numFmtId="2" fillId="22" applyFill="true">
      <alignment horizontal="center" vertical="center"/>
    </xf>
    <xf fontId="29238" applyFont="true" borderId="8" applyBorder="true" applyNumberFormat="true" numFmtId="2" fillId="22" applyFill="true">
      <alignment horizontal="center" vertical="center"/>
    </xf>
    <xf fontId="29239" applyFont="true" borderId="8" applyBorder="true" applyNumberFormat="true" numFmtId="2" fillId="22" applyFill="true">
      <alignment horizontal="center" vertical="center"/>
    </xf>
    <xf fontId="29240" applyFont="true" borderId="8" applyBorder="true" applyNumberFormat="true" numFmtId="2" fillId="22" applyFill="true">
      <alignment horizontal="center" vertical="center"/>
    </xf>
    <xf fontId="29241" applyFont="true" borderId="8" applyBorder="true" applyNumberFormat="true" numFmtId="2" fillId="22" applyFill="true">
      <alignment horizontal="center" vertical="center"/>
    </xf>
    <xf fontId="29242" applyFont="true" borderId="8" applyBorder="true" applyNumberFormat="true" numFmtId="2" fillId="22" applyFill="true">
      <alignment horizontal="center" vertical="center"/>
    </xf>
    <xf fontId="29243" applyFont="true" borderId="8" applyBorder="true" applyNumberFormat="true" numFmtId="2" fillId="22" applyFill="true">
      <alignment horizontal="center" vertical="center"/>
    </xf>
    <xf fontId="29244" applyFont="true" borderId="8" applyBorder="true" applyNumberFormat="true" numFmtId="2" fillId="22" applyFill="true">
      <alignment horizontal="center" vertical="center"/>
    </xf>
    <xf fontId="29245" applyFont="true" borderId="8" applyBorder="true" applyNumberFormat="true" numFmtId="2" fillId="22" applyFill="true">
      <alignment horizontal="center" vertical="center"/>
    </xf>
    <xf fontId="29246" applyFont="true" borderId="8" applyBorder="true" applyNumberFormat="true" numFmtId="2" fillId="22" applyFill="true">
      <alignment horizontal="center" vertical="center"/>
    </xf>
    <xf fontId="29247" applyFont="true" borderId="8" applyBorder="true" applyNumberFormat="true" numFmtId="2" fillId="22" applyFill="true">
      <alignment horizontal="center" vertical="center"/>
    </xf>
    <xf fontId="29248" applyFont="true" borderId="8" applyBorder="true" applyNumberFormat="true" numFmtId="2" fillId="22" applyFill="true">
      <alignment horizontal="center" vertical="center"/>
    </xf>
    <xf fontId="29249" applyFont="true" borderId="8" applyBorder="true" applyNumberFormat="true" numFmtId="2" fillId="22" applyFill="true">
      <alignment horizontal="center" vertical="center"/>
    </xf>
    <xf fontId="29250" applyFont="true" borderId="8" applyBorder="true" applyNumberFormat="true" numFmtId="2" fillId="22" applyFill="true">
      <alignment horizontal="center" vertical="center"/>
    </xf>
    <xf fontId="29251" applyFont="true" borderId="8" applyBorder="true" applyNumberFormat="true" numFmtId="2" fillId="22" applyFill="true">
      <alignment horizontal="center" vertical="center"/>
    </xf>
    <xf fontId="29252" applyFont="true" borderId="8" applyBorder="true" applyNumberFormat="true" numFmtId="2" fillId="22" applyFill="true">
      <alignment horizontal="center" vertical="center"/>
    </xf>
    <xf fontId="29253" applyFont="true" borderId="8" applyBorder="true" applyNumberFormat="true" numFmtId="165" fillId="19" applyFill="true">
      <alignment horizontal="left" vertical="center"/>
    </xf>
    <xf fontId="29254" applyFont="true" borderId="8" applyBorder="true" applyNumberFormat="true" numFmtId="165" fillId="22" applyFill="true">
      <alignment horizontal="center" vertical="center"/>
    </xf>
    <xf fontId="29255" applyFont="true" borderId="8" applyBorder="true" applyNumberFormat="true" numFmtId="166" fillId="22" applyFill="true">
      <alignment horizontal="center" vertical="center"/>
    </xf>
    <xf fontId="29256" applyFont="true" borderId="8" applyBorder="true" applyNumberFormat="true" numFmtId="1" fillId="22" applyFill="true">
      <alignment horizontal="center" vertical="center"/>
    </xf>
    <xf fontId="29257" applyFont="true" borderId="8" applyBorder="true" applyNumberFormat="true" numFmtId="1" fillId="22" applyFill="true">
      <alignment horizontal="center" vertical="center"/>
    </xf>
    <xf fontId="29258" applyFont="true" borderId="8" applyBorder="true" applyNumberFormat="true" numFmtId="1" fillId="22" applyFill="true">
      <alignment horizontal="center" vertical="center"/>
    </xf>
    <xf fontId="29259" applyFont="true" borderId="8" applyBorder="true" applyNumberFormat="true" numFmtId="1" fillId="22" applyFill="true">
      <alignment horizontal="center" vertical="center"/>
    </xf>
    <xf fontId="29260" applyFont="true" borderId="8" applyBorder="true" applyNumberFormat="true" numFmtId="1" fillId="22" applyFill="true">
      <alignment horizontal="center" vertical="center"/>
    </xf>
    <xf fontId="29261" applyFont="true" borderId="8" applyBorder="true" applyNumberFormat="true" numFmtId="1" fillId="22" applyFill="true">
      <alignment horizontal="center" vertical="center"/>
    </xf>
    <xf fontId="29262" applyFont="true" borderId="8" applyBorder="true" applyNumberFormat="true" numFmtId="1" fillId="22" applyFill="true">
      <alignment horizontal="center" vertical="center"/>
    </xf>
    <xf fontId="29263" applyFont="true" borderId="8" applyBorder="true" applyNumberFormat="true" numFmtId="165" fillId="22" applyFill="true">
      <alignment horizontal="center" vertical="center"/>
    </xf>
    <xf fontId="29264" applyFont="true" borderId="8" applyBorder="true" applyNumberFormat="true" numFmtId="165" fillId="22" applyFill="true">
      <alignment horizontal="center" vertical="center"/>
    </xf>
    <xf fontId="29265" applyFont="true" borderId="8" applyBorder="true" applyNumberFormat="true" numFmtId="1" fillId="22" applyFill="true">
      <alignment horizontal="center" vertical="center"/>
    </xf>
    <xf fontId="29266" applyFont="true" borderId="8" applyBorder="true" applyNumberFormat="true" numFmtId="1" fillId="22" applyFill="true">
      <alignment horizontal="center" vertical="center"/>
    </xf>
    <xf fontId="29267" applyFont="true" borderId="8" applyBorder="true" applyNumberFormat="true" numFmtId="1" fillId="22" applyFill="true">
      <alignment horizontal="center" vertical="center"/>
    </xf>
    <xf fontId="29268" applyFont="true" borderId="8" applyBorder="true" applyNumberFormat="true" numFmtId="167" fillId="22" applyFill="true">
      <alignment horizontal="center" vertical="center"/>
    </xf>
    <xf fontId="29269" applyFont="true" borderId="8" applyBorder="true" applyNumberFormat="true" numFmtId="1" fillId="22" applyFill="true">
      <alignment horizontal="center" vertical="center"/>
    </xf>
    <xf fontId="29270" applyFont="true" borderId="8" applyBorder="true" applyNumberFormat="true" numFmtId="167" fillId="22" applyFill="true">
      <alignment horizontal="center" vertical="center"/>
    </xf>
    <xf fontId="29271" applyFont="true" borderId="8" applyBorder="true" applyNumberFormat="true" numFmtId="1" fillId="22" applyFill="true">
      <alignment horizontal="center" vertical="center"/>
    </xf>
    <xf fontId="29272" applyFont="true" borderId="8" applyBorder="true" applyNumberFormat="true" numFmtId="167" fillId="22" applyFill="true">
      <alignment horizontal="center" vertical="center"/>
    </xf>
    <xf fontId="29273" applyFont="true" borderId="8" applyBorder="true" applyNumberFormat="true" numFmtId="1" fillId="22" applyFill="true">
      <alignment horizontal="center" vertical="center"/>
    </xf>
    <xf fontId="29274" applyFont="true" borderId="8" applyBorder="true" applyNumberFormat="true" numFmtId="167" fillId="22" applyFill="true">
      <alignment horizontal="center" vertical="center"/>
    </xf>
    <xf fontId="29275" applyFont="true" borderId="8" applyBorder="true" applyNumberFormat="true" numFmtId="167" fillId="22" applyFill="true">
      <alignment horizontal="center" vertical="center"/>
    </xf>
    <xf fontId="29276" applyFont="true" borderId="8" applyBorder="true" applyNumberFormat="true" numFmtId="1" fillId="22" applyFill="true">
      <alignment horizontal="center" vertical="center"/>
    </xf>
    <xf fontId="29277" applyFont="true" borderId="8" applyBorder="true" applyNumberFormat="true" numFmtId="1" fillId="22" applyFill="true">
      <alignment horizontal="center" vertical="center"/>
    </xf>
    <xf fontId="29278" applyFont="true" borderId="8" applyBorder="true" applyNumberFormat="true" numFmtId="1" fillId="22" applyFill="true">
      <alignment horizontal="center" vertical="center"/>
    </xf>
    <xf fontId="29279" applyFont="true" borderId="8" applyBorder="true" applyNumberFormat="true" numFmtId="167" fillId="22" applyFill="true">
      <alignment horizontal="center" vertical="center"/>
    </xf>
    <xf fontId="29280" applyFont="true" borderId="8" applyBorder="true" applyNumberFormat="true" numFmtId="166" fillId="22" applyFill="true">
      <alignment horizontal="center" vertical="center"/>
    </xf>
    <xf fontId="29281" applyFont="true" borderId="8" applyBorder="true" applyNumberFormat="true" numFmtId="166" fillId="22" applyFill="true">
      <alignment horizontal="center" vertical="center"/>
    </xf>
    <xf fontId="29282" applyFont="true" borderId="8" applyBorder="true" applyNumberFormat="true" numFmtId="1" fillId="22" applyFill="true">
      <alignment horizontal="center" vertical="center"/>
    </xf>
    <xf fontId="29283" applyFont="true" borderId="8" applyBorder="true" applyNumberFormat="true" numFmtId="1" fillId="22" applyFill="true">
      <alignment horizontal="center" vertical="center"/>
    </xf>
    <xf fontId="29284" applyFont="true" borderId="8" applyBorder="true" applyNumberFormat="true" numFmtId="1" fillId="22" applyFill="true">
      <alignment horizontal="center" vertical="center"/>
    </xf>
    <xf fontId="29285" applyFont="true" borderId="8" applyBorder="true" applyNumberFormat="true" numFmtId="167" fillId="22" applyFill="true">
      <alignment horizontal="center" vertical="center"/>
    </xf>
    <xf fontId="29286" applyFont="true" borderId="8" applyBorder="true" applyNumberFormat="true" numFmtId="1" fillId="22" applyFill="true">
      <alignment horizontal="center" vertical="center"/>
    </xf>
    <xf fontId="29287" applyFont="true" borderId="8" applyBorder="true" applyNumberFormat="true" numFmtId="167" fillId="22" applyFill="true">
      <alignment horizontal="center" vertical="center"/>
    </xf>
    <xf fontId="29288" applyFont="true" borderId="8" applyBorder="true" applyNumberFormat="true" numFmtId="1" fillId="22" applyFill="true">
      <alignment horizontal="center" vertical="center"/>
    </xf>
    <xf fontId="29289" applyFont="true" borderId="8" applyBorder="true" applyNumberFormat="true" numFmtId="1" fillId="22" applyFill="true">
      <alignment horizontal="center" vertical="center"/>
    </xf>
    <xf fontId="29290" applyFont="true" borderId="8" applyBorder="true" applyNumberFormat="true" numFmtId="1" fillId="22" applyFill="true">
      <alignment horizontal="center" vertical="center"/>
    </xf>
    <xf fontId="29291" applyFont="true" borderId="8" applyBorder="true" applyNumberFormat="true" numFmtId="1" fillId="22" applyFill="true">
      <alignment horizontal="center" vertical="center"/>
    </xf>
    <xf fontId="29292" applyFont="true" borderId="8" applyBorder="true" applyNumberFormat="true" numFmtId="167" fillId="22" applyFill="true">
      <alignment horizontal="center" vertical="center"/>
    </xf>
    <xf fontId="29293" applyFont="true" borderId="8" applyBorder="true" applyNumberFormat="true" numFmtId="1" fillId="22" applyFill="true">
      <alignment horizontal="center" vertical="center"/>
    </xf>
    <xf fontId="29294" applyFont="true" borderId="8" applyBorder="true" applyNumberFormat="true" numFmtId="167" fillId="22" applyFill="true">
      <alignment horizontal="center" vertical="center"/>
    </xf>
    <xf fontId="29295" applyFont="true" borderId="8" applyBorder="true" applyNumberFormat="true" numFmtId="1" fillId="22" applyFill="true">
      <alignment horizontal="center" vertical="center"/>
    </xf>
    <xf fontId="29296" applyFont="true" borderId="8" applyBorder="true" applyNumberFormat="true" numFmtId="167" fillId="22" applyFill="true">
      <alignment horizontal="center" vertical="center"/>
    </xf>
    <xf fontId="29297" applyFont="true" borderId="8" applyBorder="true" applyNumberFormat="true" numFmtId="2" fillId="22" applyFill="true">
      <alignment horizontal="center" vertical="center"/>
    </xf>
    <xf fontId="29298" applyFont="true" borderId="8" applyBorder="true" applyNumberFormat="true" numFmtId="2" fillId="22" applyFill="true">
      <alignment horizontal="center" vertical="center"/>
    </xf>
    <xf fontId="29299" applyFont="true" borderId="8" applyBorder="true" applyNumberFormat="true" numFmtId="2" fillId="22" applyFill="true">
      <alignment horizontal="center" vertical="center"/>
    </xf>
    <xf fontId="29300" applyFont="true" borderId="8" applyBorder="true" applyNumberFormat="true" numFmtId="2" fillId="22" applyFill="true">
      <alignment horizontal="center" vertical="center"/>
    </xf>
    <xf fontId="29301" applyFont="true" borderId="8" applyBorder="true" applyNumberFormat="true" numFmtId="2" fillId="22" applyFill="true">
      <alignment horizontal="center" vertical="center"/>
    </xf>
    <xf fontId="29302" applyFont="true" borderId="8" applyBorder="true" applyNumberFormat="true" numFmtId="2" fillId="22" applyFill="true">
      <alignment horizontal="center" vertical="center"/>
    </xf>
    <xf fontId="29303" applyFont="true" borderId="8" applyBorder="true" applyNumberFormat="true" numFmtId="2" fillId="22" applyFill="true">
      <alignment horizontal="center" vertical="center"/>
    </xf>
    <xf fontId="29304" applyFont="true" borderId="8" applyBorder="true" applyNumberFormat="true" numFmtId="2" fillId="22" applyFill="true">
      <alignment horizontal="center" vertical="center"/>
    </xf>
    <xf fontId="29305" applyFont="true" borderId="8" applyBorder="true" applyNumberFormat="true" numFmtId="2" fillId="22" applyFill="true">
      <alignment horizontal="center" vertical="center"/>
    </xf>
    <xf fontId="29306" applyFont="true" borderId="8" applyBorder="true" applyNumberFormat="true" numFmtId="2" fillId="22" applyFill="true">
      <alignment horizontal="center" vertical="center"/>
    </xf>
    <xf fontId="29307" applyFont="true" borderId="8" applyBorder="true" applyNumberFormat="true" numFmtId="2" fillId="22" applyFill="true">
      <alignment horizontal="center" vertical="center"/>
    </xf>
    <xf fontId="29308" applyFont="true" borderId="8" applyBorder="true" applyNumberFormat="true" numFmtId="2" fillId="22" applyFill="true">
      <alignment horizontal="center" vertical="center"/>
    </xf>
    <xf fontId="29309" applyFont="true" borderId="8" applyBorder="true" applyNumberFormat="true" numFmtId="2" fillId="22" applyFill="true">
      <alignment horizontal="center" vertical="center"/>
    </xf>
    <xf fontId="29310" applyFont="true" borderId="8" applyBorder="true" applyNumberFormat="true" numFmtId="2" fillId="22" applyFill="true">
      <alignment horizontal="center" vertical="center"/>
    </xf>
    <xf fontId="29311" applyFont="true" borderId="8" applyBorder="true" applyNumberFormat="true" numFmtId="2" fillId="22" applyFill="true">
      <alignment horizontal="center" vertical="center"/>
    </xf>
    <xf fontId="29312" applyFont="true" borderId="8" applyBorder="true" applyNumberFormat="true" numFmtId="2" fillId="22" applyFill="true">
      <alignment horizontal="center" vertical="center"/>
    </xf>
    <xf fontId="29313" applyFont="true" borderId="8" applyBorder="true" applyNumberFormat="true" numFmtId="2" fillId="22" applyFill="true">
      <alignment horizontal="center" vertical="center"/>
    </xf>
    <xf fontId="29314" applyFont="true" borderId="8" applyBorder="true" applyNumberFormat="true" numFmtId="2" fillId="22" applyFill="true">
      <alignment horizontal="center" vertical="center"/>
    </xf>
    <xf fontId="29315" applyFont="true" borderId="8" applyBorder="true" applyNumberFormat="true" numFmtId="2" fillId="22" applyFill="true">
      <alignment horizontal="center" vertical="center"/>
    </xf>
    <xf fontId="29316" applyFont="true" borderId="8" applyBorder="true" applyNumberFormat="true" numFmtId="2" fillId="22" applyFill="true">
      <alignment horizontal="center" vertical="center"/>
    </xf>
    <xf fontId="29317" applyFont="true" borderId="8" applyBorder="true" applyNumberFormat="true" numFmtId="2" fillId="22" applyFill="true">
      <alignment horizontal="center" vertical="center"/>
    </xf>
    <xf fontId="29318" applyFont="true" borderId="8" applyBorder="true" applyNumberFormat="true" numFmtId="2" fillId="22" applyFill="true">
      <alignment horizontal="center" vertical="center"/>
    </xf>
    <xf fontId="29319" applyFont="true" borderId="8" applyBorder="true" applyNumberFormat="true" numFmtId="2" fillId="22" applyFill="true">
      <alignment horizontal="center" vertical="center"/>
    </xf>
    <xf fontId="29320" applyFont="true" borderId="8" applyBorder="true" applyNumberFormat="true" numFmtId="2" fillId="22" applyFill="true">
      <alignment horizontal="center" vertical="center"/>
    </xf>
    <xf fontId="29321" applyFont="true" borderId="8" applyBorder="true" applyNumberFormat="true" numFmtId="2" fillId="22" applyFill="true">
      <alignment horizontal="center" vertical="center"/>
    </xf>
    <xf fontId="29322" applyFont="true" borderId="8" applyBorder="true" applyNumberFormat="true" numFmtId="2" fillId="22" applyFill="true">
      <alignment horizontal="center" vertical="center"/>
    </xf>
    <xf fontId="29323" applyFont="true" borderId="8" applyBorder="true" applyNumberFormat="true" numFmtId="2" fillId="22" applyFill="true">
      <alignment horizontal="center" vertical="center"/>
    </xf>
    <xf fontId="29324" applyFont="true" borderId="8" applyBorder="true" applyNumberFormat="true" numFmtId="2" fillId="22" applyFill="true">
      <alignment horizontal="center" vertical="center"/>
    </xf>
    <xf fontId="29325" applyFont="true" borderId="8" applyBorder="true" applyNumberFormat="true" numFmtId="2" fillId="22" applyFill="true">
      <alignment horizontal="center" vertical="center"/>
    </xf>
    <xf fontId="29326" applyFont="true" borderId="8" applyBorder="true" applyNumberFormat="true" numFmtId="2" fillId="22" applyFill="true">
      <alignment horizontal="center" vertical="center"/>
    </xf>
    <xf fontId="29327" applyFont="true" borderId="8" applyBorder="true" applyNumberFormat="true" numFmtId="2" fillId="22" applyFill="true">
      <alignment horizontal="center" vertical="center"/>
    </xf>
    <xf fontId="29328" applyFont="true" borderId="8" applyBorder="true" applyNumberFormat="true" numFmtId="2" fillId="22" applyFill="true">
      <alignment horizontal="center" vertical="center"/>
    </xf>
    <xf fontId="29329" applyFont="true" borderId="8" applyBorder="true" applyNumberFormat="true" numFmtId="2" fillId="22" applyFill="true">
      <alignment horizontal="center" vertical="center"/>
    </xf>
    <xf fontId="29330" applyFont="true" borderId="8" applyBorder="true" applyNumberFormat="true" numFmtId="2" fillId="22" applyFill="true">
      <alignment horizontal="center" vertical="center"/>
    </xf>
    <xf fontId="29331" applyFont="true" borderId="8" applyBorder="true" applyNumberFormat="true" numFmtId="165" fillId="19" applyFill="true">
      <alignment horizontal="left" vertical="center"/>
    </xf>
    <xf fontId="29332" applyFont="true" borderId="8" applyBorder="true" applyNumberFormat="true" numFmtId="165" fillId="22" applyFill="true">
      <alignment horizontal="center" vertical="center"/>
    </xf>
    <xf fontId="29333" applyFont="true" borderId="8" applyBorder="true" applyNumberFormat="true" numFmtId="166" fillId="22" applyFill="true">
      <alignment horizontal="center" vertical="center"/>
    </xf>
    <xf fontId="29334" applyFont="true" borderId="8" applyBorder="true" applyNumberFormat="true" numFmtId="1" fillId="22" applyFill="true">
      <alignment horizontal="center" vertical="center"/>
    </xf>
    <xf fontId="29335" applyFont="true" borderId="8" applyBorder="true" applyNumberFormat="true" numFmtId="1" fillId="22" applyFill="true">
      <alignment horizontal="center" vertical="center"/>
    </xf>
    <xf fontId="29336" applyFont="true" borderId="8" applyBorder="true" applyNumberFormat="true" numFmtId="1" fillId="22" applyFill="true">
      <alignment horizontal="center" vertical="center"/>
    </xf>
    <xf fontId="29337" applyFont="true" borderId="8" applyBorder="true" applyNumberFormat="true" numFmtId="1" fillId="22" applyFill="true">
      <alignment horizontal="center" vertical="center"/>
    </xf>
    <xf fontId="29338" applyFont="true" borderId="8" applyBorder="true" applyNumberFormat="true" numFmtId="1" fillId="22" applyFill="true">
      <alignment horizontal="center" vertical="center"/>
    </xf>
    <xf fontId="29339" applyFont="true" borderId="8" applyBorder="true" applyNumberFormat="true" numFmtId="1" fillId="22" applyFill="true">
      <alignment horizontal="center" vertical="center"/>
    </xf>
    <xf fontId="29340" applyFont="true" borderId="8" applyBorder="true" applyNumberFormat="true" numFmtId="1" fillId="22" applyFill="true">
      <alignment horizontal="center" vertical="center"/>
    </xf>
    <xf fontId="29341" applyFont="true" borderId="8" applyBorder="true" applyNumberFormat="true" numFmtId="165" fillId="22" applyFill="true">
      <alignment horizontal="center" vertical="center"/>
    </xf>
    <xf fontId="29342" applyFont="true" borderId="8" applyBorder="true" applyNumberFormat="true" numFmtId="165" fillId="22" applyFill="true">
      <alignment horizontal="center" vertical="center"/>
    </xf>
    <xf fontId="29343" applyFont="true" borderId="8" applyBorder="true" applyNumberFormat="true" numFmtId="1" fillId="22" applyFill="true">
      <alignment horizontal="center" vertical="center"/>
    </xf>
    <xf fontId="29344" applyFont="true" borderId="8" applyBorder="true" applyNumberFormat="true" numFmtId="1" fillId="22" applyFill="true">
      <alignment horizontal="center" vertical="center"/>
    </xf>
    <xf fontId="29345" applyFont="true" borderId="8" applyBorder="true" applyNumberFormat="true" numFmtId="1" fillId="22" applyFill="true">
      <alignment horizontal="center" vertical="center"/>
    </xf>
    <xf fontId="29346" applyFont="true" borderId="8" applyBorder="true" applyNumberFormat="true" numFmtId="167" fillId="22" applyFill="true">
      <alignment horizontal="center" vertical="center"/>
    </xf>
    <xf fontId="29347" applyFont="true" borderId="8" applyBorder="true" applyNumberFormat="true" numFmtId="1" fillId="22" applyFill="true">
      <alignment horizontal="center" vertical="center"/>
    </xf>
    <xf fontId="29348" applyFont="true" borderId="8" applyBorder="true" applyNumberFormat="true" numFmtId="167" fillId="22" applyFill="true">
      <alignment horizontal="center" vertical="center"/>
    </xf>
    <xf fontId="29349" applyFont="true" borderId="8" applyBorder="true" applyNumberFormat="true" numFmtId="1" fillId="22" applyFill="true">
      <alignment horizontal="center" vertical="center"/>
    </xf>
    <xf fontId="29350" applyFont="true" borderId="8" applyBorder="true" applyNumberFormat="true" numFmtId="167" fillId="22" applyFill="true">
      <alignment horizontal="center" vertical="center"/>
    </xf>
    <xf fontId="29351" applyFont="true" borderId="8" applyBorder="true" applyNumberFormat="true" numFmtId="1" fillId="22" applyFill="true">
      <alignment horizontal="center" vertical="center"/>
    </xf>
    <xf fontId="29352" applyFont="true" borderId="8" applyBorder="true" applyNumberFormat="true" numFmtId="167" fillId="22" applyFill="true">
      <alignment horizontal="center" vertical="center"/>
    </xf>
    <xf fontId="29353" applyFont="true" borderId="8" applyBorder="true" applyNumberFormat="true" numFmtId="167" fillId="22" applyFill="true">
      <alignment horizontal="center" vertical="center"/>
    </xf>
    <xf fontId="29354" applyFont="true" borderId="8" applyBorder="true" applyNumberFormat="true" numFmtId="1" fillId="22" applyFill="true">
      <alignment horizontal="center" vertical="center"/>
    </xf>
    <xf fontId="29355" applyFont="true" borderId="8" applyBorder="true" applyNumberFormat="true" numFmtId="1" fillId="22" applyFill="true">
      <alignment horizontal="center" vertical="center"/>
    </xf>
    <xf fontId="29356" applyFont="true" borderId="8" applyBorder="true" applyNumberFormat="true" numFmtId="1" fillId="22" applyFill="true">
      <alignment horizontal="center" vertical="center"/>
    </xf>
    <xf fontId="29357" applyFont="true" borderId="8" applyBorder="true" applyNumberFormat="true" numFmtId="167" fillId="22" applyFill="true">
      <alignment horizontal="center" vertical="center"/>
    </xf>
    <xf fontId="29358" applyFont="true" borderId="8" applyBorder="true" applyNumberFormat="true" numFmtId="166" fillId="22" applyFill="true">
      <alignment horizontal="center" vertical="center"/>
    </xf>
    <xf fontId="29359" applyFont="true" borderId="8" applyBorder="true" applyNumberFormat="true" numFmtId="166" fillId="22" applyFill="true">
      <alignment horizontal="center" vertical="center"/>
    </xf>
    <xf fontId="29360" applyFont="true" borderId="8" applyBorder="true" applyNumberFormat="true" numFmtId="1" fillId="22" applyFill="true">
      <alignment horizontal="center" vertical="center"/>
    </xf>
    <xf fontId="29361" applyFont="true" borderId="8" applyBorder="true" applyNumberFormat="true" numFmtId="1" fillId="22" applyFill="true">
      <alignment horizontal="center" vertical="center"/>
    </xf>
    <xf fontId="29362" applyFont="true" borderId="8" applyBorder="true" applyNumberFormat="true" numFmtId="1" fillId="22" applyFill="true">
      <alignment horizontal="center" vertical="center"/>
    </xf>
    <xf fontId="29363" applyFont="true" borderId="8" applyBorder="true" applyNumberFormat="true" numFmtId="167" fillId="22" applyFill="true">
      <alignment horizontal="center" vertical="center"/>
    </xf>
    <xf fontId="29364" applyFont="true" borderId="8" applyBorder="true" applyNumberFormat="true" numFmtId="1" fillId="22" applyFill="true">
      <alignment horizontal="center" vertical="center"/>
    </xf>
    <xf fontId="29365" applyFont="true" borderId="8" applyBorder="true" applyNumberFormat="true" numFmtId="167" fillId="22" applyFill="true">
      <alignment horizontal="center" vertical="center"/>
    </xf>
    <xf fontId="29366" applyFont="true" borderId="8" applyBorder="true" applyNumberFormat="true" numFmtId="1" fillId="22" applyFill="true">
      <alignment horizontal="center" vertical="center"/>
    </xf>
    <xf fontId="29367" applyFont="true" borderId="8" applyBorder="true" applyNumberFormat="true" numFmtId="1" fillId="22" applyFill="true">
      <alignment horizontal="center" vertical="center"/>
    </xf>
    <xf fontId="29368" applyFont="true" borderId="8" applyBorder="true" applyNumberFormat="true" numFmtId="1" fillId="22" applyFill="true">
      <alignment horizontal="center" vertical="center"/>
    </xf>
    <xf fontId="29369" applyFont="true" borderId="8" applyBorder="true" applyNumberFormat="true" numFmtId="1" fillId="22" applyFill="true">
      <alignment horizontal="center" vertical="center"/>
    </xf>
    <xf fontId="29370" applyFont="true" borderId="8" applyBorder="true" applyNumberFormat="true" numFmtId="167" fillId="22" applyFill="true">
      <alignment horizontal="center" vertical="center"/>
    </xf>
    <xf fontId="29371" applyFont="true" borderId="8" applyBorder="true" applyNumberFormat="true" numFmtId="1" fillId="22" applyFill="true">
      <alignment horizontal="center" vertical="center"/>
    </xf>
    <xf fontId="29372" applyFont="true" borderId="8" applyBorder="true" applyNumberFormat="true" numFmtId="167" fillId="22" applyFill="true">
      <alignment horizontal="center" vertical="center"/>
    </xf>
    <xf fontId="29373" applyFont="true" borderId="8" applyBorder="true" applyNumberFormat="true" numFmtId="1" fillId="22" applyFill="true">
      <alignment horizontal="center" vertical="center"/>
    </xf>
    <xf fontId="29374" applyFont="true" borderId="8" applyBorder="true" applyNumberFormat="true" numFmtId="167" fillId="22" applyFill="true">
      <alignment horizontal="center" vertical="center"/>
    </xf>
    <xf fontId="29375" applyFont="true" borderId="8" applyBorder="true" applyNumberFormat="true" numFmtId="2" fillId="22" applyFill="true">
      <alignment horizontal="center" vertical="center"/>
    </xf>
    <xf fontId="29376" applyFont="true" borderId="8" applyBorder="true" applyNumberFormat="true" numFmtId="2" fillId="22" applyFill="true">
      <alignment horizontal="center" vertical="center"/>
    </xf>
    <xf fontId="29377" applyFont="true" borderId="8" applyBorder="true" applyNumberFormat="true" numFmtId="2" fillId="22" applyFill="true">
      <alignment horizontal="center" vertical="center"/>
    </xf>
    <xf fontId="29378" applyFont="true" borderId="8" applyBorder="true" applyNumberFormat="true" numFmtId="2" fillId="22" applyFill="true">
      <alignment horizontal="center" vertical="center"/>
    </xf>
    <xf fontId="29379" applyFont="true" borderId="8" applyBorder="true" applyNumberFormat="true" numFmtId="2" fillId="22" applyFill="true">
      <alignment horizontal="center" vertical="center"/>
    </xf>
    <xf fontId="29380" applyFont="true" borderId="8" applyBorder="true" applyNumberFormat="true" numFmtId="2" fillId="22" applyFill="true">
      <alignment horizontal="center" vertical="center"/>
    </xf>
    <xf fontId="29381" applyFont="true" borderId="8" applyBorder="true" applyNumberFormat="true" numFmtId="2" fillId="22" applyFill="true">
      <alignment horizontal="center" vertical="center"/>
    </xf>
    <xf fontId="29382" applyFont="true" borderId="8" applyBorder="true" applyNumberFormat="true" numFmtId="2" fillId="22" applyFill="true">
      <alignment horizontal="center" vertical="center"/>
    </xf>
    <xf fontId="29383" applyFont="true" borderId="8" applyBorder="true" applyNumberFormat="true" numFmtId="2" fillId="22" applyFill="true">
      <alignment horizontal="center" vertical="center"/>
    </xf>
    <xf fontId="29384" applyFont="true" borderId="8" applyBorder="true" applyNumberFormat="true" numFmtId="2" fillId="22" applyFill="true">
      <alignment horizontal="center" vertical="center"/>
    </xf>
    <xf fontId="29385" applyFont="true" borderId="8" applyBorder="true" applyNumberFormat="true" numFmtId="2" fillId="22" applyFill="true">
      <alignment horizontal="center" vertical="center"/>
    </xf>
    <xf fontId="29386" applyFont="true" borderId="8" applyBorder="true" applyNumberFormat="true" numFmtId="2" fillId="22" applyFill="true">
      <alignment horizontal="center" vertical="center"/>
    </xf>
    <xf fontId="29387" applyFont="true" borderId="8" applyBorder="true" applyNumberFormat="true" numFmtId="2" fillId="22" applyFill="true">
      <alignment horizontal="center" vertical="center"/>
    </xf>
    <xf fontId="29388" applyFont="true" borderId="8" applyBorder="true" applyNumberFormat="true" numFmtId="2" fillId="22" applyFill="true">
      <alignment horizontal="center" vertical="center"/>
    </xf>
    <xf fontId="29389" applyFont="true" borderId="8" applyBorder="true" applyNumberFormat="true" numFmtId="2" fillId="22" applyFill="true">
      <alignment horizontal="center" vertical="center"/>
    </xf>
    <xf fontId="29390" applyFont="true" borderId="8" applyBorder="true" applyNumberFormat="true" numFmtId="2" fillId="22" applyFill="true">
      <alignment horizontal="center" vertical="center"/>
    </xf>
    <xf fontId="29391" applyFont="true" borderId="8" applyBorder="true" applyNumberFormat="true" numFmtId="2" fillId="22" applyFill="true">
      <alignment horizontal="center" vertical="center"/>
    </xf>
    <xf fontId="29392" applyFont="true" borderId="8" applyBorder="true" applyNumberFormat="true" numFmtId="2" fillId="22" applyFill="true">
      <alignment horizontal="center" vertical="center"/>
    </xf>
    <xf fontId="29393" applyFont="true" borderId="8" applyBorder="true" applyNumberFormat="true" numFmtId="2" fillId="22" applyFill="true">
      <alignment horizontal="center" vertical="center"/>
    </xf>
    <xf fontId="29394" applyFont="true" borderId="8" applyBorder="true" applyNumberFormat="true" numFmtId="2" fillId="22" applyFill="true">
      <alignment horizontal="center" vertical="center"/>
    </xf>
    <xf fontId="29395" applyFont="true" borderId="8" applyBorder="true" applyNumberFormat="true" numFmtId="2" fillId="22" applyFill="true">
      <alignment horizontal="center" vertical="center"/>
    </xf>
    <xf fontId="29396" applyFont="true" borderId="8" applyBorder="true" applyNumberFormat="true" numFmtId="2" fillId="22" applyFill="true">
      <alignment horizontal="center" vertical="center"/>
    </xf>
    <xf fontId="29397" applyFont="true" borderId="8" applyBorder="true" applyNumberFormat="true" numFmtId="2" fillId="22" applyFill="true">
      <alignment horizontal="center" vertical="center"/>
    </xf>
    <xf fontId="29398" applyFont="true" borderId="8" applyBorder="true" applyNumberFormat="true" numFmtId="2" fillId="22" applyFill="true">
      <alignment horizontal="center" vertical="center"/>
    </xf>
    <xf fontId="29399" applyFont="true" borderId="8" applyBorder="true" applyNumberFormat="true" numFmtId="2" fillId="22" applyFill="true">
      <alignment horizontal="center" vertical="center"/>
    </xf>
    <xf fontId="29400" applyFont="true" borderId="8" applyBorder="true" applyNumberFormat="true" numFmtId="2" fillId="22" applyFill="true">
      <alignment horizontal="center" vertical="center"/>
    </xf>
    <xf fontId="29401" applyFont="true" borderId="8" applyBorder="true" applyNumberFormat="true" numFmtId="2" fillId="22" applyFill="true">
      <alignment horizontal="center" vertical="center"/>
    </xf>
    <xf fontId="29402" applyFont="true" borderId="8" applyBorder="true" applyNumberFormat="true" numFmtId="2" fillId="22" applyFill="true">
      <alignment horizontal="center" vertical="center"/>
    </xf>
    <xf fontId="29403" applyFont="true" borderId="8" applyBorder="true" applyNumberFormat="true" numFmtId="2" fillId="22" applyFill="true">
      <alignment horizontal="center" vertical="center"/>
    </xf>
    <xf fontId="29404" applyFont="true" borderId="8" applyBorder="true" applyNumberFormat="true" numFmtId="2" fillId="22" applyFill="true">
      <alignment horizontal="center" vertical="center"/>
    </xf>
    <xf fontId="29405" applyFont="true" borderId="8" applyBorder="true" applyNumberFormat="true" numFmtId="2" fillId="22" applyFill="true">
      <alignment horizontal="center" vertical="center"/>
    </xf>
    <xf fontId="29406" applyFont="true" borderId="8" applyBorder="true" applyNumberFormat="true" numFmtId="2" fillId="22" applyFill="true">
      <alignment horizontal="center" vertical="center"/>
    </xf>
    <xf fontId="29407" applyFont="true" borderId="8" applyBorder="true" applyNumberFormat="true" numFmtId="2" fillId="22" applyFill="true">
      <alignment horizontal="center" vertical="center"/>
    </xf>
    <xf fontId="29408" applyFont="true" borderId="8" applyBorder="true" applyNumberFormat="true" numFmtId="2" fillId="22" applyFill="true">
      <alignment horizontal="center" vertical="center"/>
    </xf>
    <xf fontId="29409" applyFont="true" borderId="8" applyBorder="true" applyNumberFormat="true" numFmtId="165" fillId="19" applyFill="true">
      <alignment horizontal="left" vertical="center"/>
    </xf>
    <xf fontId="29410" applyFont="true" borderId="8" applyBorder="true" applyNumberFormat="true" numFmtId="165" fillId="22" applyFill="true">
      <alignment horizontal="center" vertical="center"/>
    </xf>
    <xf fontId="29411" applyFont="true" borderId="8" applyBorder="true" applyNumberFormat="true" numFmtId="166" fillId="22" applyFill="true">
      <alignment horizontal="center" vertical="center"/>
    </xf>
    <xf fontId="29412" applyFont="true" borderId="8" applyBorder="true" applyNumberFormat="true" numFmtId="1" fillId="22" applyFill="true">
      <alignment horizontal="center" vertical="center"/>
    </xf>
    <xf fontId="29413" applyFont="true" borderId="8" applyBorder="true" applyNumberFormat="true" numFmtId="1" fillId="22" applyFill="true">
      <alignment horizontal="center" vertical="center"/>
    </xf>
    <xf fontId="29414" applyFont="true" borderId="8" applyBorder="true" applyNumberFormat="true" numFmtId="1" fillId="22" applyFill="true">
      <alignment horizontal="center" vertical="center"/>
    </xf>
    <xf fontId="29415" applyFont="true" borderId="8" applyBorder="true" applyNumberFormat="true" numFmtId="1" fillId="22" applyFill="true">
      <alignment horizontal="center" vertical="center"/>
    </xf>
    <xf fontId="29416" applyFont="true" borderId="8" applyBorder="true" applyNumberFormat="true" numFmtId="1" fillId="22" applyFill="true">
      <alignment horizontal="center" vertical="center"/>
    </xf>
    <xf fontId="29417" applyFont="true" borderId="8" applyBorder="true" applyNumberFormat="true" numFmtId="1" fillId="22" applyFill="true">
      <alignment horizontal="center" vertical="center"/>
    </xf>
    <xf fontId="29418" applyFont="true" borderId="8" applyBorder="true" applyNumberFormat="true" numFmtId="1" fillId="22" applyFill="true">
      <alignment horizontal="center" vertical="center"/>
    </xf>
    <xf fontId="29419" applyFont="true" borderId="8" applyBorder="true" applyNumberFormat="true" numFmtId="165" fillId="22" applyFill="true">
      <alignment horizontal="center" vertical="center"/>
    </xf>
    <xf fontId="29420" applyFont="true" borderId="8" applyBorder="true" applyNumberFormat="true" numFmtId="165" fillId="22" applyFill="true">
      <alignment horizontal="center" vertical="center"/>
    </xf>
    <xf fontId="29421" applyFont="true" borderId="8" applyBorder="true" applyNumberFormat="true" numFmtId="1" fillId="22" applyFill="true">
      <alignment horizontal="center" vertical="center"/>
    </xf>
    <xf fontId="29422" applyFont="true" borderId="8" applyBorder="true" applyNumberFormat="true" numFmtId="1" fillId="22" applyFill="true">
      <alignment horizontal="center" vertical="center"/>
    </xf>
    <xf fontId="29423" applyFont="true" borderId="8" applyBorder="true" applyNumberFormat="true" numFmtId="1" fillId="22" applyFill="true">
      <alignment horizontal="center" vertical="center"/>
    </xf>
    <xf fontId="29424" applyFont="true" borderId="8" applyBorder="true" applyNumberFormat="true" numFmtId="167" fillId="22" applyFill="true">
      <alignment horizontal="center" vertical="center"/>
    </xf>
    <xf fontId="29425" applyFont="true" borderId="8" applyBorder="true" applyNumberFormat="true" numFmtId="1" fillId="22" applyFill="true">
      <alignment horizontal="center" vertical="center"/>
    </xf>
    <xf fontId="29426" applyFont="true" borderId="8" applyBorder="true" applyNumberFormat="true" numFmtId="167" fillId="22" applyFill="true">
      <alignment horizontal="center" vertical="center"/>
    </xf>
    <xf fontId="29427" applyFont="true" borderId="8" applyBorder="true" applyNumberFormat="true" numFmtId="1" fillId="22" applyFill="true">
      <alignment horizontal="center" vertical="center"/>
    </xf>
    <xf fontId="29428" applyFont="true" borderId="8" applyBorder="true" applyNumberFormat="true" numFmtId="167" fillId="22" applyFill="true">
      <alignment horizontal="center" vertical="center"/>
    </xf>
    <xf fontId="29429" applyFont="true" borderId="8" applyBorder="true" applyNumberFormat="true" numFmtId="1" fillId="22" applyFill="true">
      <alignment horizontal="center" vertical="center"/>
    </xf>
    <xf fontId="29430" applyFont="true" borderId="8" applyBorder="true" applyNumberFormat="true" numFmtId="167" fillId="22" applyFill="true">
      <alignment horizontal="center" vertical="center"/>
    </xf>
    <xf fontId="29431" applyFont="true" borderId="8" applyBorder="true" applyNumberFormat="true" numFmtId="167" fillId="22" applyFill="true">
      <alignment horizontal="center" vertical="center"/>
    </xf>
    <xf fontId="29432" applyFont="true" borderId="8" applyBorder="true" applyNumberFormat="true" numFmtId="1" fillId="22" applyFill="true">
      <alignment horizontal="center" vertical="center"/>
    </xf>
    <xf fontId="29433" applyFont="true" borderId="8" applyBorder="true" applyNumberFormat="true" numFmtId="1" fillId="22" applyFill="true">
      <alignment horizontal="center" vertical="center"/>
    </xf>
    <xf fontId="29434" applyFont="true" borderId="8" applyBorder="true" applyNumberFormat="true" numFmtId="1" fillId="22" applyFill="true">
      <alignment horizontal="center" vertical="center"/>
    </xf>
    <xf fontId="29435" applyFont="true" borderId="8" applyBorder="true" applyNumberFormat="true" numFmtId="167" fillId="22" applyFill="true">
      <alignment horizontal="center" vertical="center"/>
    </xf>
    <xf fontId="29436" applyFont="true" borderId="8" applyBorder="true" applyNumberFormat="true" numFmtId="166" fillId="22" applyFill="true">
      <alignment horizontal="center" vertical="center"/>
    </xf>
    <xf fontId="29437" applyFont="true" borderId="8" applyBorder="true" applyNumberFormat="true" numFmtId="166" fillId="22" applyFill="true">
      <alignment horizontal="center" vertical="center"/>
    </xf>
    <xf fontId="29438" applyFont="true" borderId="8" applyBorder="true" applyNumberFormat="true" numFmtId="1" fillId="22" applyFill="true">
      <alignment horizontal="center" vertical="center"/>
    </xf>
    <xf fontId="29439" applyFont="true" borderId="8" applyBorder="true" applyNumberFormat="true" numFmtId="1" fillId="22" applyFill="true">
      <alignment horizontal="center" vertical="center"/>
    </xf>
    <xf fontId="29440" applyFont="true" borderId="8" applyBorder="true" applyNumberFormat="true" numFmtId="1" fillId="22" applyFill="true">
      <alignment horizontal="center" vertical="center"/>
    </xf>
    <xf fontId="29441" applyFont="true" borderId="8" applyBorder="true" applyNumberFormat="true" numFmtId="167" fillId="22" applyFill="true">
      <alignment horizontal="center" vertical="center"/>
    </xf>
    <xf fontId="29442" applyFont="true" borderId="8" applyBorder="true" applyNumberFormat="true" numFmtId="1" fillId="22" applyFill="true">
      <alignment horizontal="center" vertical="center"/>
    </xf>
    <xf fontId="29443" applyFont="true" borderId="8" applyBorder="true" applyNumberFormat="true" numFmtId="167" fillId="22" applyFill="true">
      <alignment horizontal="center" vertical="center"/>
    </xf>
    <xf fontId="29444" applyFont="true" borderId="8" applyBorder="true" applyNumberFormat="true" numFmtId="1" fillId="22" applyFill="true">
      <alignment horizontal="center" vertical="center"/>
    </xf>
    <xf fontId="29445" applyFont="true" borderId="8" applyBorder="true" applyNumberFormat="true" numFmtId="1" fillId="22" applyFill="true">
      <alignment horizontal="center" vertical="center"/>
    </xf>
    <xf fontId="29446" applyFont="true" borderId="8" applyBorder="true" applyNumberFormat="true" numFmtId="1" fillId="22" applyFill="true">
      <alignment horizontal="center" vertical="center"/>
    </xf>
    <xf fontId="29447" applyFont="true" borderId="8" applyBorder="true" applyNumberFormat="true" numFmtId="1" fillId="22" applyFill="true">
      <alignment horizontal="center" vertical="center"/>
    </xf>
    <xf fontId="29448" applyFont="true" borderId="8" applyBorder="true" applyNumberFormat="true" numFmtId="167" fillId="22" applyFill="true">
      <alignment horizontal="center" vertical="center"/>
    </xf>
    <xf fontId="29449" applyFont="true" borderId="8" applyBorder="true" applyNumberFormat="true" numFmtId="1" fillId="22" applyFill="true">
      <alignment horizontal="center" vertical="center"/>
    </xf>
    <xf fontId="29450" applyFont="true" borderId="8" applyBorder="true" applyNumberFormat="true" numFmtId="167" fillId="22" applyFill="true">
      <alignment horizontal="center" vertical="center"/>
    </xf>
    <xf fontId="29451" applyFont="true" borderId="8" applyBorder="true" applyNumberFormat="true" numFmtId="1" fillId="22" applyFill="true">
      <alignment horizontal="center" vertical="center"/>
    </xf>
    <xf fontId="29452" applyFont="true" borderId="8" applyBorder="true" applyNumberFormat="true" numFmtId="167" fillId="22" applyFill="true">
      <alignment horizontal="center" vertical="center"/>
    </xf>
    <xf fontId="29453" applyFont="true" borderId="8" applyBorder="true" applyNumberFormat="true" numFmtId="2" fillId="22" applyFill="true">
      <alignment horizontal="center" vertical="center"/>
    </xf>
    <xf fontId="29454" applyFont="true" borderId="8" applyBorder="true" applyNumberFormat="true" numFmtId="2" fillId="22" applyFill="true">
      <alignment horizontal="center" vertical="center"/>
    </xf>
    <xf fontId="29455" applyFont="true" borderId="8" applyBorder="true" applyNumberFormat="true" numFmtId="2" fillId="22" applyFill="true">
      <alignment horizontal="center" vertical="center"/>
    </xf>
    <xf fontId="29456" applyFont="true" borderId="8" applyBorder="true" applyNumberFormat="true" numFmtId="2" fillId="22" applyFill="true">
      <alignment horizontal="center" vertical="center"/>
    </xf>
    <xf fontId="29457" applyFont="true" borderId="8" applyBorder="true" applyNumberFormat="true" numFmtId="2" fillId="22" applyFill="true">
      <alignment horizontal="center" vertical="center"/>
    </xf>
    <xf fontId="29458" applyFont="true" borderId="8" applyBorder="true" applyNumberFormat="true" numFmtId="2" fillId="22" applyFill="true">
      <alignment horizontal="center" vertical="center"/>
    </xf>
    <xf fontId="29459" applyFont="true" borderId="8" applyBorder="true" applyNumberFormat="true" numFmtId="2" fillId="22" applyFill="true">
      <alignment horizontal="center" vertical="center"/>
    </xf>
    <xf fontId="29460" applyFont="true" borderId="8" applyBorder="true" applyNumberFormat="true" numFmtId="2" fillId="22" applyFill="true">
      <alignment horizontal="center" vertical="center"/>
    </xf>
    <xf fontId="29461" applyFont="true" borderId="8" applyBorder="true" applyNumberFormat="true" numFmtId="2" fillId="22" applyFill="true">
      <alignment horizontal="center" vertical="center"/>
    </xf>
    <xf fontId="29462" applyFont="true" borderId="8" applyBorder="true" applyNumberFormat="true" numFmtId="2" fillId="22" applyFill="true">
      <alignment horizontal="center" vertical="center"/>
    </xf>
    <xf fontId="29463" applyFont="true" borderId="8" applyBorder="true" applyNumberFormat="true" numFmtId="2" fillId="22" applyFill="true">
      <alignment horizontal="center" vertical="center"/>
    </xf>
    <xf fontId="29464" applyFont="true" borderId="8" applyBorder="true" applyNumberFormat="true" numFmtId="2" fillId="22" applyFill="true">
      <alignment horizontal="center" vertical="center"/>
    </xf>
    <xf fontId="29465" applyFont="true" borderId="8" applyBorder="true" applyNumberFormat="true" numFmtId="2" fillId="22" applyFill="true">
      <alignment horizontal="center" vertical="center"/>
    </xf>
    <xf fontId="29466" applyFont="true" borderId="8" applyBorder="true" applyNumberFormat="true" numFmtId="2" fillId="22" applyFill="true">
      <alignment horizontal="center" vertical="center"/>
    </xf>
    <xf fontId="29467" applyFont="true" borderId="8" applyBorder="true" applyNumberFormat="true" numFmtId="2" fillId="22" applyFill="true">
      <alignment horizontal="center" vertical="center"/>
    </xf>
    <xf fontId="29468" applyFont="true" borderId="8" applyBorder="true" applyNumberFormat="true" numFmtId="2" fillId="22" applyFill="true">
      <alignment horizontal="center" vertical="center"/>
    </xf>
    <xf fontId="29469" applyFont="true" borderId="8" applyBorder="true" applyNumberFormat="true" numFmtId="2" fillId="22" applyFill="true">
      <alignment horizontal="center" vertical="center"/>
    </xf>
    <xf fontId="29470" applyFont="true" borderId="8" applyBorder="true" applyNumberFormat="true" numFmtId="2" fillId="22" applyFill="true">
      <alignment horizontal="center" vertical="center"/>
    </xf>
    <xf fontId="29471" applyFont="true" borderId="8" applyBorder="true" applyNumberFormat="true" numFmtId="2" fillId="22" applyFill="true">
      <alignment horizontal="center" vertical="center"/>
    </xf>
    <xf fontId="29472" applyFont="true" borderId="8" applyBorder="true" applyNumberFormat="true" numFmtId="2" fillId="22" applyFill="true">
      <alignment horizontal="center" vertical="center"/>
    </xf>
    <xf fontId="29473" applyFont="true" borderId="8" applyBorder="true" applyNumberFormat="true" numFmtId="2" fillId="22" applyFill="true">
      <alignment horizontal="center" vertical="center"/>
    </xf>
    <xf fontId="29474" applyFont="true" borderId="8" applyBorder="true" applyNumberFormat="true" numFmtId="2" fillId="22" applyFill="true">
      <alignment horizontal="center" vertical="center"/>
    </xf>
    <xf fontId="29475" applyFont="true" borderId="8" applyBorder="true" applyNumberFormat="true" numFmtId="2" fillId="22" applyFill="true">
      <alignment horizontal="center" vertical="center"/>
    </xf>
    <xf fontId="29476" applyFont="true" borderId="8" applyBorder="true" applyNumberFormat="true" numFmtId="2" fillId="22" applyFill="true">
      <alignment horizontal="center" vertical="center"/>
    </xf>
    <xf fontId="29477" applyFont="true" borderId="8" applyBorder="true" applyNumberFormat="true" numFmtId="2" fillId="22" applyFill="true">
      <alignment horizontal="center" vertical="center"/>
    </xf>
    <xf fontId="29478" applyFont="true" borderId="8" applyBorder="true" applyNumberFormat="true" numFmtId="2" fillId="22" applyFill="true">
      <alignment horizontal="center" vertical="center"/>
    </xf>
    <xf fontId="29479" applyFont="true" borderId="8" applyBorder="true" applyNumberFormat="true" numFmtId="2" fillId="22" applyFill="true">
      <alignment horizontal="center" vertical="center"/>
    </xf>
    <xf fontId="29480" applyFont="true" borderId="8" applyBorder="true" applyNumberFormat="true" numFmtId="2" fillId="22" applyFill="true">
      <alignment horizontal="center" vertical="center"/>
    </xf>
    <xf fontId="29481" applyFont="true" borderId="8" applyBorder="true" applyNumberFormat="true" numFmtId="2" fillId="22" applyFill="true">
      <alignment horizontal="center" vertical="center"/>
    </xf>
    <xf fontId="29482" applyFont="true" borderId="8" applyBorder="true" applyNumberFormat="true" numFmtId="2" fillId="22" applyFill="true">
      <alignment horizontal="center" vertical="center"/>
    </xf>
    <xf fontId="29483" applyFont="true" borderId="8" applyBorder="true" applyNumberFormat="true" numFmtId="2" fillId="22" applyFill="true">
      <alignment horizontal="center" vertical="center"/>
    </xf>
    <xf fontId="29484" applyFont="true" borderId="8" applyBorder="true" applyNumberFormat="true" numFmtId="2" fillId="22" applyFill="true">
      <alignment horizontal="center" vertical="center"/>
    </xf>
    <xf fontId="29485" applyFont="true" borderId="8" applyBorder="true" applyNumberFormat="true" numFmtId="2" fillId="22" applyFill="true">
      <alignment horizontal="center" vertical="center"/>
    </xf>
    <xf fontId="29486" applyFont="true" borderId="8" applyBorder="true" applyNumberFormat="true" numFmtId="2" fillId="22" applyFill="true">
      <alignment horizontal="center" vertical="center"/>
    </xf>
    <xf fontId="29487" applyFont="true" borderId="8" applyBorder="true" applyNumberFormat="true" numFmtId="165" fillId="19" applyFill="true">
      <alignment horizontal="left" vertical="center"/>
    </xf>
    <xf fontId="29488" applyFont="true" borderId="8" applyBorder="true" applyNumberFormat="true" numFmtId="165" fillId="22" applyFill="true">
      <alignment horizontal="center" vertical="center"/>
    </xf>
    <xf fontId="29489" applyFont="true" borderId="8" applyBorder="true" applyNumberFormat="true" numFmtId="166" fillId="22" applyFill="true">
      <alignment horizontal="center" vertical="center"/>
    </xf>
    <xf fontId="29490" applyFont="true" borderId="8" applyBorder="true" applyNumberFormat="true" numFmtId="1" fillId="22" applyFill="true">
      <alignment horizontal="center" vertical="center"/>
    </xf>
    <xf fontId="29491" applyFont="true" borderId="8" applyBorder="true" applyNumberFormat="true" numFmtId="1" fillId="22" applyFill="true">
      <alignment horizontal="center" vertical="center"/>
    </xf>
    <xf fontId="29492" applyFont="true" borderId="8" applyBorder="true" applyNumberFormat="true" numFmtId="1" fillId="22" applyFill="true">
      <alignment horizontal="center" vertical="center"/>
    </xf>
    <xf fontId="29493" applyFont="true" borderId="8" applyBorder="true" applyNumberFormat="true" numFmtId="1" fillId="22" applyFill="true">
      <alignment horizontal="center" vertical="center"/>
    </xf>
    <xf fontId="29494" applyFont="true" borderId="8" applyBorder="true" applyNumberFormat="true" numFmtId="1" fillId="22" applyFill="true">
      <alignment horizontal="center" vertical="center"/>
    </xf>
    <xf fontId="29495" applyFont="true" borderId="8" applyBorder="true" applyNumberFormat="true" numFmtId="1" fillId="22" applyFill="true">
      <alignment horizontal="center" vertical="center"/>
    </xf>
    <xf fontId="29496" applyFont="true" borderId="8" applyBorder="true" applyNumberFormat="true" numFmtId="1" fillId="22" applyFill="true">
      <alignment horizontal="center" vertical="center"/>
    </xf>
    <xf fontId="29497" applyFont="true" borderId="8" applyBorder="true" applyNumberFormat="true" numFmtId="165" fillId="22" applyFill="true">
      <alignment horizontal="center" vertical="center"/>
    </xf>
    <xf fontId="29498" applyFont="true" borderId="8" applyBorder="true" applyNumberFormat="true" numFmtId="165" fillId="22" applyFill="true">
      <alignment horizontal="center" vertical="center"/>
    </xf>
    <xf fontId="29499" applyFont="true" borderId="8" applyBorder="true" applyNumberFormat="true" numFmtId="1" fillId="22" applyFill="true">
      <alignment horizontal="center" vertical="center"/>
    </xf>
    <xf fontId="29500" applyFont="true" borderId="8" applyBorder="true" applyNumberFormat="true" numFmtId="1" fillId="22" applyFill="true">
      <alignment horizontal="center" vertical="center"/>
    </xf>
    <xf fontId="29501" applyFont="true" borderId="8" applyBorder="true" applyNumberFormat="true" numFmtId="1" fillId="22" applyFill="true">
      <alignment horizontal="center" vertical="center"/>
    </xf>
    <xf fontId="29502" applyFont="true" borderId="8" applyBorder="true" applyNumberFormat="true" numFmtId="167" fillId="22" applyFill="true">
      <alignment horizontal="center" vertical="center"/>
    </xf>
    <xf fontId="29503" applyFont="true" borderId="8" applyBorder="true" applyNumberFormat="true" numFmtId="1" fillId="22" applyFill="true">
      <alignment horizontal="center" vertical="center"/>
    </xf>
    <xf fontId="29504" applyFont="true" borderId="8" applyBorder="true" applyNumberFormat="true" numFmtId="167" fillId="22" applyFill="true">
      <alignment horizontal="center" vertical="center"/>
    </xf>
    <xf fontId="29505" applyFont="true" borderId="8" applyBorder="true" applyNumberFormat="true" numFmtId="1" fillId="22" applyFill="true">
      <alignment horizontal="center" vertical="center"/>
    </xf>
    <xf fontId="29506" applyFont="true" borderId="8" applyBorder="true" applyNumberFormat="true" numFmtId="167" fillId="22" applyFill="true">
      <alignment horizontal="center" vertical="center"/>
    </xf>
    <xf fontId="29507" applyFont="true" borderId="8" applyBorder="true" applyNumberFormat="true" numFmtId="1" fillId="22" applyFill="true">
      <alignment horizontal="center" vertical="center"/>
    </xf>
    <xf fontId="29508" applyFont="true" borderId="8" applyBorder="true" applyNumberFormat="true" numFmtId="167" fillId="22" applyFill="true">
      <alignment horizontal="center" vertical="center"/>
    </xf>
    <xf fontId="29509" applyFont="true" borderId="8" applyBorder="true" applyNumberFormat="true" numFmtId="167" fillId="22" applyFill="true">
      <alignment horizontal="center" vertical="center"/>
    </xf>
    <xf fontId="29510" applyFont="true" borderId="8" applyBorder="true" applyNumberFormat="true" numFmtId="1" fillId="22" applyFill="true">
      <alignment horizontal="center" vertical="center"/>
    </xf>
    <xf fontId="29511" applyFont="true" borderId="8" applyBorder="true" applyNumberFormat="true" numFmtId="1" fillId="22" applyFill="true">
      <alignment horizontal="center" vertical="center"/>
    </xf>
    <xf fontId="29512" applyFont="true" borderId="8" applyBorder="true" applyNumberFormat="true" numFmtId="1" fillId="22" applyFill="true">
      <alignment horizontal="center" vertical="center"/>
    </xf>
    <xf fontId="29513" applyFont="true" borderId="8" applyBorder="true" applyNumberFormat="true" numFmtId="167" fillId="22" applyFill="true">
      <alignment horizontal="center" vertical="center"/>
    </xf>
    <xf fontId="29514" applyFont="true" borderId="8" applyBorder="true" applyNumberFormat="true" numFmtId="166" fillId="22" applyFill="true">
      <alignment horizontal="center" vertical="center"/>
    </xf>
    <xf fontId="29515" applyFont="true" borderId="8" applyBorder="true" applyNumberFormat="true" numFmtId="166" fillId="22" applyFill="true">
      <alignment horizontal="center" vertical="center"/>
    </xf>
    <xf fontId="29516" applyFont="true" borderId="8" applyBorder="true" applyNumberFormat="true" numFmtId="1" fillId="22" applyFill="true">
      <alignment horizontal="center" vertical="center"/>
    </xf>
    <xf fontId="29517" applyFont="true" borderId="8" applyBorder="true" applyNumberFormat="true" numFmtId="1" fillId="22" applyFill="true">
      <alignment horizontal="center" vertical="center"/>
    </xf>
    <xf fontId="29518" applyFont="true" borderId="8" applyBorder="true" applyNumberFormat="true" numFmtId="1" fillId="22" applyFill="true">
      <alignment horizontal="center" vertical="center"/>
    </xf>
    <xf fontId="29519" applyFont="true" borderId="8" applyBorder="true" applyNumberFormat="true" numFmtId="167" fillId="22" applyFill="true">
      <alignment horizontal="center" vertical="center"/>
    </xf>
    <xf fontId="29520" applyFont="true" borderId="8" applyBorder="true" applyNumberFormat="true" numFmtId="1" fillId="22" applyFill="true">
      <alignment horizontal="center" vertical="center"/>
    </xf>
    <xf fontId="29521" applyFont="true" borderId="8" applyBorder="true" applyNumberFormat="true" numFmtId="167" fillId="22" applyFill="true">
      <alignment horizontal="center" vertical="center"/>
    </xf>
    <xf fontId="29522" applyFont="true" borderId="8" applyBorder="true" applyNumberFormat="true" numFmtId="1" fillId="22" applyFill="true">
      <alignment horizontal="center" vertical="center"/>
    </xf>
    <xf fontId="29523" applyFont="true" borderId="8" applyBorder="true" applyNumberFormat="true" numFmtId="1" fillId="22" applyFill="true">
      <alignment horizontal="center" vertical="center"/>
    </xf>
    <xf fontId="29524" applyFont="true" borderId="8" applyBorder="true" applyNumberFormat="true" numFmtId="1" fillId="22" applyFill="true">
      <alignment horizontal="center" vertical="center"/>
    </xf>
    <xf fontId="29525" applyFont="true" borderId="8" applyBorder="true" applyNumberFormat="true" numFmtId="1" fillId="22" applyFill="true">
      <alignment horizontal="center" vertical="center"/>
    </xf>
    <xf fontId="29526" applyFont="true" borderId="8" applyBorder="true" applyNumberFormat="true" numFmtId="167" fillId="22" applyFill="true">
      <alignment horizontal="center" vertical="center"/>
    </xf>
    <xf fontId="29527" applyFont="true" borderId="8" applyBorder="true" applyNumberFormat="true" numFmtId="1" fillId="22" applyFill="true">
      <alignment horizontal="center" vertical="center"/>
    </xf>
    <xf fontId="29528" applyFont="true" borderId="8" applyBorder="true" applyNumberFormat="true" numFmtId="167" fillId="22" applyFill="true">
      <alignment horizontal="center" vertical="center"/>
    </xf>
    <xf fontId="29529" applyFont="true" borderId="8" applyBorder="true" applyNumberFormat="true" numFmtId="1" fillId="22" applyFill="true">
      <alignment horizontal="center" vertical="center"/>
    </xf>
    <xf fontId="29530" applyFont="true" borderId="8" applyBorder="true" applyNumberFormat="true" numFmtId="167" fillId="22" applyFill="true">
      <alignment horizontal="center" vertical="center"/>
    </xf>
    <xf fontId="29531" applyFont="true" borderId="8" applyBorder="true" applyNumberFormat="true" numFmtId="2" fillId="22" applyFill="true">
      <alignment horizontal="center" vertical="center"/>
    </xf>
    <xf fontId="29532" applyFont="true" borderId="8" applyBorder="true" applyNumberFormat="true" numFmtId="2" fillId="22" applyFill="true">
      <alignment horizontal="center" vertical="center"/>
    </xf>
    <xf fontId="29533" applyFont="true" borderId="8" applyBorder="true" applyNumberFormat="true" numFmtId="2" fillId="22" applyFill="true">
      <alignment horizontal="center" vertical="center"/>
    </xf>
    <xf fontId="29534" applyFont="true" borderId="8" applyBorder="true" applyNumberFormat="true" numFmtId="2" fillId="22" applyFill="true">
      <alignment horizontal="center" vertical="center"/>
    </xf>
    <xf fontId="29535" applyFont="true" borderId="8" applyBorder="true" applyNumberFormat="true" numFmtId="2" fillId="22" applyFill="true">
      <alignment horizontal="center" vertical="center"/>
    </xf>
    <xf fontId="29536" applyFont="true" borderId="8" applyBorder="true" applyNumberFormat="true" numFmtId="2" fillId="22" applyFill="true">
      <alignment horizontal="center" vertical="center"/>
    </xf>
    <xf fontId="29537" applyFont="true" borderId="8" applyBorder="true" applyNumberFormat="true" numFmtId="2" fillId="22" applyFill="true">
      <alignment horizontal="center" vertical="center"/>
    </xf>
    <xf fontId="29538" applyFont="true" borderId="8" applyBorder="true" applyNumberFormat="true" numFmtId="2" fillId="22" applyFill="true">
      <alignment horizontal="center" vertical="center"/>
    </xf>
    <xf fontId="29539" applyFont="true" borderId="8" applyBorder="true" applyNumberFormat="true" numFmtId="2" fillId="22" applyFill="true">
      <alignment horizontal="center" vertical="center"/>
    </xf>
    <xf fontId="29540" applyFont="true" borderId="8" applyBorder="true" applyNumberFormat="true" numFmtId="2" fillId="22" applyFill="true">
      <alignment horizontal="center" vertical="center"/>
    </xf>
    <xf fontId="29541" applyFont="true" borderId="8" applyBorder="true" applyNumberFormat="true" numFmtId="2" fillId="22" applyFill="true">
      <alignment horizontal="center" vertical="center"/>
    </xf>
    <xf fontId="29542" applyFont="true" borderId="8" applyBorder="true" applyNumberFormat="true" numFmtId="2" fillId="22" applyFill="true">
      <alignment horizontal="center" vertical="center"/>
    </xf>
    <xf fontId="29543" applyFont="true" borderId="8" applyBorder="true" applyNumberFormat="true" numFmtId="2" fillId="22" applyFill="true">
      <alignment horizontal="center" vertical="center"/>
    </xf>
    <xf fontId="29544" applyFont="true" borderId="8" applyBorder="true" applyNumberFormat="true" numFmtId="2" fillId="22" applyFill="true">
      <alignment horizontal="center" vertical="center"/>
    </xf>
    <xf fontId="29545" applyFont="true" borderId="8" applyBorder="true" applyNumberFormat="true" numFmtId="2" fillId="22" applyFill="true">
      <alignment horizontal="center" vertical="center"/>
    </xf>
    <xf fontId="29546" applyFont="true" borderId="8" applyBorder="true" applyNumberFormat="true" numFmtId="2" fillId="22" applyFill="true">
      <alignment horizontal="center" vertical="center"/>
    </xf>
    <xf fontId="29547" applyFont="true" borderId="8" applyBorder="true" applyNumberFormat="true" numFmtId="2" fillId="22" applyFill="true">
      <alignment horizontal="center" vertical="center"/>
    </xf>
    <xf fontId="29548" applyFont="true" borderId="8" applyBorder="true" applyNumberFormat="true" numFmtId="2" fillId="22" applyFill="true">
      <alignment horizontal="center" vertical="center"/>
    </xf>
    <xf fontId="29549" applyFont="true" borderId="8" applyBorder="true" applyNumberFormat="true" numFmtId="2" fillId="22" applyFill="true">
      <alignment horizontal="center" vertical="center"/>
    </xf>
    <xf fontId="29550" applyFont="true" borderId="8" applyBorder="true" applyNumberFormat="true" numFmtId="2" fillId="22" applyFill="true">
      <alignment horizontal="center" vertical="center"/>
    </xf>
    <xf fontId="29551" applyFont="true" borderId="8" applyBorder="true" applyNumberFormat="true" numFmtId="2" fillId="22" applyFill="true">
      <alignment horizontal="center" vertical="center"/>
    </xf>
    <xf fontId="29552" applyFont="true" borderId="8" applyBorder="true" applyNumberFormat="true" numFmtId="2" fillId="22" applyFill="true">
      <alignment horizontal="center" vertical="center"/>
    </xf>
    <xf fontId="29553" applyFont="true" borderId="8" applyBorder="true" applyNumberFormat="true" numFmtId="2" fillId="22" applyFill="true">
      <alignment horizontal="center" vertical="center"/>
    </xf>
    <xf fontId="29554" applyFont="true" borderId="8" applyBorder="true" applyNumberFormat="true" numFmtId="2" fillId="22" applyFill="true">
      <alignment horizontal="center" vertical="center"/>
    </xf>
    <xf fontId="29555" applyFont="true" borderId="8" applyBorder="true" applyNumberFormat="true" numFmtId="2" fillId="22" applyFill="true">
      <alignment horizontal="center" vertical="center"/>
    </xf>
    <xf fontId="29556" applyFont="true" borderId="8" applyBorder="true" applyNumberFormat="true" numFmtId="2" fillId="22" applyFill="true">
      <alignment horizontal="center" vertical="center"/>
    </xf>
    <xf fontId="29557" applyFont="true" borderId="8" applyBorder="true" applyNumberFormat="true" numFmtId="2" fillId="22" applyFill="true">
      <alignment horizontal="center" vertical="center"/>
    </xf>
    <xf fontId="29558" applyFont="true" borderId="8" applyBorder="true" applyNumberFormat="true" numFmtId="2" fillId="22" applyFill="true">
      <alignment horizontal="center" vertical="center"/>
    </xf>
    <xf fontId="29559" applyFont="true" borderId="8" applyBorder="true" applyNumberFormat="true" numFmtId="2" fillId="22" applyFill="true">
      <alignment horizontal="center" vertical="center"/>
    </xf>
    <xf fontId="29560" applyFont="true" borderId="8" applyBorder="true" applyNumberFormat="true" numFmtId="2" fillId="22" applyFill="true">
      <alignment horizontal="center" vertical="center"/>
    </xf>
    <xf fontId="29561" applyFont="true" borderId="8" applyBorder="true" applyNumberFormat="true" numFmtId="2" fillId="22" applyFill="true">
      <alignment horizontal="center" vertical="center"/>
    </xf>
    <xf fontId="29562" applyFont="true" borderId="8" applyBorder="true" applyNumberFormat="true" numFmtId="2" fillId="22" applyFill="true">
      <alignment horizontal="center" vertical="center"/>
    </xf>
    <xf fontId="29563" applyFont="true" borderId="8" applyBorder="true" applyNumberFormat="true" numFmtId="2" fillId="22" applyFill="true">
      <alignment horizontal="center" vertical="center"/>
    </xf>
    <xf fontId="29564" applyFont="true" borderId="8" applyBorder="true" applyNumberFormat="true" numFmtId="2" fillId="22" applyFill="true">
      <alignment horizontal="center" vertical="center"/>
    </xf>
    <xf fontId="29565" applyFont="true" borderId="8" applyBorder="true" applyNumberFormat="true" numFmtId="165" fillId="19" applyFill="true">
      <alignment horizontal="left" vertical="center"/>
    </xf>
    <xf fontId="29566" applyFont="true" borderId="8" applyBorder="true" applyNumberFormat="true" numFmtId="165" fillId="22" applyFill="true">
      <alignment horizontal="center" vertical="center"/>
    </xf>
    <xf fontId="29567" applyFont="true" borderId="8" applyBorder="true" applyNumberFormat="true" numFmtId="166" fillId="22" applyFill="true">
      <alignment horizontal="center" vertical="center"/>
    </xf>
    <xf fontId="29568" applyFont="true" borderId="8" applyBorder="true" applyNumberFormat="true" numFmtId="1" fillId="22" applyFill="true">
      <alignment horizontal="center" vertical="center"/>
    </xf>
    <xf fontId="29569" applyFont="true" borderId="8" applyBorder="true" applyNumberFormat="true" numFmtId="1" fillId="22" applyFill="true">
      <alignment horizontal="center" vertical="center"/>
    </xf>
    <xf fontId="29570" applyFont="true" borderId="8" applyBorder="true" applyNumberFormat="true" numFmtId="1" fillId="22" applyFill="true">
      <alignment horizontal="center" vertical="center"/>
    </xf>
    <xf fontId="29571" applyFont="true" borderId="8" applyBorder="true" applyNumberFormat="true" numFmtId="1" fillId="22" applyFill="true">
      <alignment horizontal="center" vertical="center"/>
    </xf>
    <xf fontId="29572" applyFont="true" borderId="8" applyBorder="true" applyNumberFormat="true" numFmtId="1" fillId="22" applyFill="true">
      <alignment horizontal="center" vertical="center"/>
    </xf>
    <xf fontId="29573" applyFont="true" borderId="8" applyBorder="true" applyNumberFormat="true" numFmtId="1" fillId="22" applyFill="true">
      <alignment horizontal="center" vertical="center"/>
    </xf>
    <xf fontId="29574" applyFont="true" borderId="8" applyBorder="true" applyNumberFormat="true" numFmtId="1" fillId="22" applyFill="true">
      <alignment horizontal="center" vertical="center"/>
    </xf>
    <xf fontId="29575" applyFont="true" borderId="8" applyBorder="true" applyNumberFormat="true" numFmtId="165" fillId="22" applyFill="true">
      <alignment horizontal="center" vertical="center"/>
    </xf>
    <xf fontId="29576" applyFont="true" borderId="8" applyBorder="true" applyNumberFormat="true" numFmtId="165" fillId="22" applyFill="true">
      <alignment horizontal="center" vertical="center"/>
    </xf>
    <xf fontId="29577" applyFont="true" borderId="8" applyBorder="true" applyNumberFormat="true" numFmtId="1" fillId="22" applyFill="true">
      <alignment horizontal="center" vertical="center"/>
    </xf>
    <xf fontId="29578" applyFont="true" borderId="8" applyBorder="true" applyNumberFormat="true" numFmtId="1" fillId="22" applyFill="true">
      <alignment horizontal="center" vertical="center"/>
    </xf>
    <xf fontId="29579" applyFont="true" borderId="8" applyBorder="true" applyNumberFormat="true" numFmtId="1" fillId="22" applyFill="true">
      <alignment horizontal="center" vertical="center"/>
    </xf>
    <xf fontId="29580" applyFont="true" borderId="8" applyBorder="true" applyNumberFormat="true" numFmtId="167" fillId="22" applyFill="true">
      <alignment horizontal="center" vertical="center"/>
    </xf>
    <xf fontId="29581" applyFont="true" borderId="8" applyBorder="true" applyNumberFormat="true" numFmtId="1" fillId="22" applyFill="true">
      <alignment horizontal="center" vertical="center"/>
    </xf>
    <xf fontId="29582" applyFont="true" borderId="8" applyBorder="true" applyNumberFormat="true" numFmtId="167" fillId="22" applyFill="true">
      <alignment horizontal="center" vertical="center"/>
    </xf>
    <xf fontId="29583" applyFont="true" borderId="8" applyBorder="true" applyNumberFormat="true" numFmtId="1" fillId="22" applyFill="true">
      <alignment horizontal="center" vertical="center"/>
    </xf>
    <xf fontId="29584" applyFont="true" borderId="8" applyBorder="true" applyNumberFormat="true" numFmtId="167" fillId="22" applyFill="true">
      <alignment horizontal="center" vertical="center"/>
    </xf>
    <xf fontId="29585" applyFont="true" borderId="8" applyBorder="true" applyNumberFormat="true" numFmtId="1" fillId="22" applyFill="true">
      <alignment horizontal="center" vertical="center"/>
    </xf>
    <xf fontId="29586" applyFont="true" borderId="8" applyBorder="true" applyNumberFormat="true" numFmtId="167" fillId="22" applyFill="true">
      <alignment horizontal="center" vertical="center"/>
    </xf>
    <xf fontId="29587" applyFont="true" borderId="8" applyBorder="true" applyNumberFormat="true" numFmtId="167" fillId="22" applyFill="true">
      <alignment horizontal="center" vertical="center"/>
    </xf>
    <xf fontId="29588" applyFont="true" borderId="8" applyBorder="true" applyNumberFormat="true" numFmtId="1" fillId="22" applyFill="true">
      <alignment horizontal="center" vertical="center"/>
    </xf>
    <xf fontId="29589" applyFont="true" borderId="8" applyBorder="true" applyNumberFormat="true" numFmtId="1" fillId="22" applyFill="true">
      <alignment horizontal="center" vertical="center"/>
    </xf>
    <xf fontId="29590" applyFont="true" borderId="8" applyBorder="true" applyNumberFormat="true" numFmtId="1" fillId="22" applyFill="true">
      <alignment horizontal="center" vertical="center"/>
    </xf>
    <xf fontId="29591" applyFont="true" borderId="8" applyBorder="true" applyNumberFormat="true" numFmtId="167" fillId="22" applyFill="true">
      <alignment horizontal="center" vertical="center"/>
    </xf>
    <xf fontId="29592" applyFont="true" borderId="8" applyBorder="true" applyNumberFormat="true" numFmtId="166" fillId="22" applyFill="true">
      <alignment horizontal="center" vertical="center"/>
    </xf>
    <xf fontId="29593" applyFont="true" borderId="8" applyBorder="true" applyNumberFormat="true" numFmtId="166" fillId="22" applyFill="true">
      <alignment horizontal="center" vertical="center"/>
    </xf>
    <xf fontId="29594" applyFont="true" borderId="8" applyBorder="true" applyNumberFormat="true" numFmtId="1" fillId="22" applyFill="true">
      <alignment horizontal="center" vertical="center"/>
    </xf>
    <xf fontId="29595" applyFont="true" borderId="8" applyBorder="true" applyNumberFormat="true" numFmtId="1" fillId="22" applyFill="true">
      <alignment horizontal="center" vertical="center"/>
    </xf>
    <xf fontId="29596" applyFont="true" borderId="8" applyBorder="true" applyNumberFormat="true" numFmtId="1" fillId="22" applyFill="true">
      <alignment horizontal="center" vertical="center"/>
    </xf>
    <xf fontId="29597" applyFont="true" borderId="8" applyBorder="true" applyNumberFormat="true" numFmtId="167" fillId="22" applyFill="true">
      <alignment horizontal="center" vertical="center"/>
    </xf>
    <xf fontId="29598" applyFont="true" borderId="8" applyBorder="true" applyNumberFormat="true" numFmtId="1" fillId="22" applyFill="true">
      <alignment horizontal="center" vertical="center"/>
    </xf>
    <xf fontId="29599" applyFont="true" borderId="8" applyBorder="true" applyNumberFormat="true" numFmtId="167" fillId="22" applyFill="true">
      <alignment horizontal="center" vertical="center"/>
    </xf>
    <xf fontId="29600" applyFont="true" borderId="8" applyBorder="true" applyNumberFormat="true" numFmtId="1" fillId="22" applyFill="true">
      <alignment horizontal="center" vertical="center"/>
    </xf>
    <xf fontId="29601" applyFont="true" borderId="8" applyBorder="true" applyNumberFormat="true" numFmtId="1" fillId="22" applyFill="true">
      <alignment horizontal="center" vertical="center"/>
    </xf>
    <xf fontId="29602" applyFont="true" borderId="8" applyBorder="true" applyNumberFormat="true" numFmtId="1" fillId="22" applyFill="true">
      <alignment horizontal="center" vertical="center"/>
    </xf>
    <xf fontId="29603" applyFont="true" borderId="8" applyBorder="true" applyNumberFormat="true" numFmtId="1" fillId="22" applyFill="true">
      <alignment horizontal="center" vertical="center"/>
    </xf>
    <xf fontId="29604" applyFont="true" borderId="8" applyBorder="true" applyNumberFormat="true" numFmtId="167" fillId="22" applyFill="true">
      <alignment horizontal="center" vertical="center"/>
    </xf>
    <xf fontId="29605" applyFont="true" borderId="8" applyBorder="true" applyNumberFormat="true" numFmtId="1" fillId="22" applyFill="true">
      <alignment horizontal="center" vertical="center"/>
    </xf>
    <xf fontId="29606" applyFont="true" borderId="8" applyBorder="true" applyNumberFormat="true" numFmtId="167" fillId="22" applyFill="true">
      <alignment horizontal="center" vertical="center"/>
    </xf>
    <xf fontId="29607" applyFont="true" borderId="8" applyBorder="true" applyNumberFormat="true" numFmtId="1" fillId="22" applyFill="true">
      <alignment horizontal="center" vertical="center"/>
    </xf>
    <xf fontId="29608" applyFont="true" borderId="8" applyBorder="true" applyNumberFormat="true" numFmtId="167" fillId="22" applyFill="true">
      <alignment horizontal="center" vertical="center"/>
    </xf>
    <xf fontId="29609" applyFont="true" borderId="8" applyBorder="true" applyNumberFormat="true" numFmtId="2" fillId="22" applyFill="true">
      <alignment horizontal="center" vertical="center"/>
    </xf>
    <xf fontId="29610" applyFont="true" borderId="8" applyBorder="true" applyNumberFormat="true" numFmtId="2" fillId="22" applyFill="true">
      <alignment horizontal="center" vertical="center"/>
    </xf>
    <xf fontId="29611" applyFont="true" borderId="8" applyBorder="true" applyNumberFormat="true" numFmtId="2" fillId="22" applyFill="true">
      <alignment horizontal="center" vertical="center"/>
    </xf>
    <xf fontId="29612" applyFont="true" borderId="8" applyBorder="true" applyNumberFormat="true" numFmtId="2" fillId="22" applyFill="true">
      <alignment horizontal="center" vertical="center"/>
    </xf>
    <xf fontId="29613" applyFont="true" borderId="8" applyBorder="true" applyNumberFormat="true" numFmtId="2" fillId="22" applyFill="true">
      <alignment horizontal="center" vertical="center"/>
    </xf>
    <xf fontId="29614" applyFont="true" borderId="8" applyBorder="true" applyNumberFormat="true" numFmtId="2" fillId="22" applyFill="true">
      <alignment horizontal="center" vertical="center"/>
    </xf>
    <xf fontId="29615" applyFont="true" borderId="8" applyBorder="true" applyNumberFormat="true" numFmtId="2" fillId="22" applyFill="true">
      <alignment horizontal="center" vertical="center"/>
    </xf>
    <xf fontId="29616" applyFont="true" borderId="8" applyBorder="true" applyNumberFormat="true" numFmtId="2" fillId="22" applyFill="true">
      <alignment horizontal="center" vertical="center"/>
    </xf>
    <xf fontId="29617" applyFont="true" borderId="8" applyBorder="true" applyNumberFormat="true" numFmtId="2" fillId="22" applyFill="true">
      <alignment horizontal="center" vertical="center"/>
    </xf>
    <xf fontId="29618" applyFont="true" borderId="8" applyBorder="true" applyNumberFormat="true" numFmtId="2" fillId="22" applyFill="true">
      <alignment horizontal="center" vertical="center"/>
    </xf>
    <xf fontId="29619" applyFont="true" borderId="8" applyBorder="true" applyNumberFormat="true" numFmtId="2" fillId="22" applyFill="true">
      <alignment horizontal="center" vertical="center"/>
    </xf>
    <xf fontId="29620" applyFont="true" borderId="8" applyBorder="true" applyNumberFormat="true" numFmtId="2" fillId="22" applyFill="true">
      <alignment horizontal="center" vertical="center"/>
    </xf>
    <xf fontId="29621" applyFont="true" borderId="8" applyBorder="true" applyNumberFormat="true" numFmtId="2" fillId="22" applyFill="true">
      <alignment horizontal="center" vertical="center"/>
    </xf>
    <xf fontId="29622" applyFont="true" borderId="8" applyBorder="true" applyNumberFormat="true" numFmtId="2" fillId="22" applyFill="true">
      <alignment horizontal="center" vertical="center"/>
    </xf>
    <xf fontId="29623" applyFont="true" borderId="8" applyBorder="true" applyNumberFormat="true" numFmtId="2" fillId="22" applyFill="true">
      <alignment horizontal="center" vertical="center"/>
    </xf>
    <xf fontId="29624" applyFont="true" borderId="8" applyBorder="true" applyNumberFormat="true" numFmtId="2" fillId="22" applyFill="true">
      <alignment horizontal="center" vertical="center"/>
    </xf>
    <xf fontId="29625" applyFont="true" borderId="8" applyBorder="true" applyNumberFormat="true" numFmtId="2" fillId="22" applyFill="true">
      <alignment horizontal="center" vertical="center"/>
    </xf>
    <xf fontId="29626" applyFont="true" borderId="8" applyBorder="true" applyNumberFormat="true" numFmtId="2" fillId="22" applyFill="true">
      <alignment horizontal="center" vertical="center"/>
    </xf>
    <xf fontId="29627" applyFont="true" borderId="8" applyBorder="true" applyNumberFormat="true" numFmtId="2" fillId="22" applyFill="true">
      <alignment horizontal="center" vertical="center"/>
    </xf>
    <xf fontId="29628" applyFont="true" borderId="8" applyBorder="true" applyNumberFormat="true" numFmtId="2" fillId="22" applyFill="true">
      <alignment horizontal="center" vertical="center"/>
    </xf>
    <xf fontId="29629" applyFont="true" borderId="8" applyBorder="true" applyNumberFormat="true" numFmtId="2" fillId="22" applyFill="true">
      <alignment horizontal="center" vertical="center"/>
    </xf>
    <xf fontId="29630" applyFont="true" borderId="8" applyBorder="true" applyNumberFormat="true" numFmtId="2" fillId="22" applyFill="true">
      <alignment horizontal="center" vertical="center"/>
    </xf>
    <xf fontId="29631" applyFont="true" borderId="8" applyBorder="true" applyNumberFormat="true" numFmtId="2" fillId="22" applyFill="true">
      <alignment horizontal="center" vertical="center"/>
    </xf>
    <xf fontId="29632" applyFont="true" borderId="8" applyBorder="true" applyNumberFormat="true" numFmtId="2" fillId="22" applyFill="true">
      <alignment horizontal="center" vertical="center"/>
    </xf>
    <xf fontId="29633" applyFont="true" borderId="8" applyBorder="true" applyNumberFormat="true" numFmtId="2" fillId="22" applyFill="true">
      <alignment horizontal="center" vertical="center"/>
    </xf>
    <xf fontId="29634" applyFont="true" borderId="8" applyBorder="true" applyNumberFormat="true" numFmtId="2" fillId="22" applyFill="true">
      <alignment horizontal="center" vertical="center"/>
    </xf>
    <xf fontId="29635" applyFont="true" borderId="8" applyBorder="true" applyNumberFormat="true" numFmtId="2" fillId="22" applyFill="true">
      <alignment horizontal="center" vertical="center"/>
    </xf>
    <xf fontId="29636" applyFont="true" borderId="8" applyBorder="true" applyNumberFormat="true" numFmtId="2" fillId="22" applyFill="true">
      <alignment horizontal="center" vertical="center"/>
    </xf>
    <xf fontId="29637" applyFont="true" borderId="8" applyBorder="true" applyNumberFormat="true" numFmtId="2" fillId="22" applyFill="true">
      <alignment horizontal="center" vertical="center"/>
    </xf>
    <xf fontId="29638" applyFont="true" borderId="8" applyBorder="true" applyNumberFormat="true" numFmtId="2" fillId="22" applyFill="true">
      <alignment horizontal="center" vertical="center"/>
    </xf>
    <xf fontId="29639" applyFont="true" borderId="8" applyBorder="true" applyNumberFormat="true" numFmtId="2" fillId="22" applyFill="true">
      <alignment horizontal="center" vertical="center"/>
    </xf>
    <xf fontId="29640" applyFont="true" borderId="8" applyBorder="true" applyNumberFormat="true" numFmtId="2" fillId="22" applyFill="true">
      <alignment horizontal="center" vertical="center"/>
    </xf>
    <xf fontId="29641" applyFont="true" borderId="8" applyBorder="true" applyNumberFormat="true" numFmtId="2" fillId="22" applyFill="true">
      <alignment horizontal="center" vertical="center"/>
    </xf>
    <xf fontId="29642" applyFont="true" borderId="8" applyBorder="true" applyNumberFormat="true" numFmtId="2" fillId="22" applyFill="true">
      <alignment horizontal="center" vertical="center"/>
    </xf>
    <xf fontId="29643" applyFont="true" borderId="8" applyBorder="true" applyNumberFormat="true" numFmtId="165" fillId="19" applyFill="true">
      <alignment horizontal="left" vertical="center"/>
    </xf>
    <xf fontId="29644" applyFont="true" borderId="8" applyBorder="true" applyNumberFormat="true" numFmtId="165" fillId="22" applyFill="true">
      <alignment horizontal="center" vertical="center"/>
    </xf>
    <xf fontId="29645" applyFont="true" borderId="8" applyBorder="true" applyNumberFormat="true" numFmtId="166" fillId="22" applyFill="true">
      <alignment horizontal="center" vertical="center"/>
    </xf>
    <xf fontId="29646" applyFont="true" borderId="8" applyBorder="true" applyNumberFormat="true" numFmtId="1" fillId="22" applyFill="true">
      <alignment horizontal="center" vertical="center"/>
    </xf>
    <xf fontId="29647" applyFont="true" borderId="8" applyBorder="true" applyNumberFormat="true" numFmtId="1" fillId="22" applyFill="true">
      <alignment horizontal="center" vertical="center"/>
    </xf>
    <xf fontId="29648" applyFont="true" borderId="8" applyBorder="true" applyNumberFormat="true" numFmtId="1" fillId="22" applyFill="true">
      <alignment horizontal="center" vertical="center"/>
    </xf>
    <xf fontId="29649" applyFont="true" borderId="8" applyBorder="true" applyNumberFormat="true" numFmtId="1" fillId="22" applyFill="true">
      <alignment horizontal="center" vertical="center"/>
    </xf>
    <xf fontId="29650" applyFont="true" borderId="8" applyBorder="true" applyNumberFormat="true" numFmtId="1" fillId="22" applyFill="true">
      <alignment horizontal="center" vertical="center"/>
    </xf>
    <xf fontId="29651" applyFont="true" borderId="8" applyBorder="true" applyNumberFormat="true" numFmtId="1" fillId="22" applyFill="true">
      <alignment horizontal="center" vertical="center"/>
    </xf>
    <xf fontId="29652" applyFont="true" borderId="8" applyBorder="true" applyNumberFormat="true" numFmtId="1" fillId="22" applyFill="true">
      <alignment horizontal="center" vertical="center"/>
    </xf>
    <xf fontId="29653" applyFont="true" borderId="8" applyBorder="true" applyNumberFormat="true" numFmtId="165" fillId="22" applyFill="true">
      <alignment horizontal="center" vertical="center"/>
    </xf>
    <xf fontId="29654" applyFont="true" borderId="8" applyBorder="true" applyNumberFormat="true" numFmtId="165" fillId="22" applyFill="true">
      <alignment horizontal="center" vertical="center"/>
    </xf>
    <xf fontId="29655" applyFont="true" borderId="8" applyBorder="true" applyNumberFormat="true" numFmtId="1" fillId="22" applyFill="true">
      <alignment horizontal="center" vertical="center"/>
    </xf>
    <xf fontId="29656" applyFont="true" borderId="8" applyBorder="true" applyNumberFormat="true" numFmtId="1" fillId="22" applyFill="true">
      <alignment horizontal="center" vertical="center"/>
    </xf>
    <xf fontId="29657" applyFont="true" borderId="8" applyBorder="true" applyNumberFormat="true" numFmtId="1" fillId="22" applyFill="true">
      <alignment horizontal="center" vertical="center"/>
    </xf>
    <xf fontId="29658" applyFont="true" borderId="8" applyBorder="true" applyNumberFormat="true" numFmtId="167" fillId="22" applyFill="true">
      <alignment horizontal="center" vertical="center"/>
    </xf>
    <xf fontId="29659" applyFont="true" borderId="8" applyBorder="true" applyNumberFormat="true" numFmtId="1" fillId="22" applyFill="true">
      <alignment horizontal="center" vertical="center"/>
    </xf>
    <xf fontId="29660" applyFont="true" borderId="8" applyBorder="true" applyNumberFormat="true" numFmtId="167" fillId="22" applyFill="true">
      <alignment horizontal="center" vertical="center"/>
    </xf>
    <xf fontId="29661" applyFont="true" borderId="8" applyBorder="true" applyNumberFormat="true" numFmtId="1" fillId="22" applyFill="true">
      <alignment horizontal="center" vertical="center"/>
    </xf>
    <xf fontId="29662" applyFont="true" borderId="8" applyBorder="true" applyNumberFormat="true" numFmtId="167" fillId="22" applyFill="true">
      <alignment horizontal="center" vertical="center"/>
    </xf>
    <xf fontId="29663" applyFont="true" borderId="8" applyBorder="true" applyNumberFormat="true" numFmtId="1" fillId="22" applyFill="true">
      <alignment horizontal="center" vertical="center"/>
    </xf>
    <xf fontId="29664" applyFont="true" borderId="8" applyBorder="true" applyNumberFormat="true" numFmtId="167" fillId="22" applyFill="true">
      <alignment horizontal="center" vertical="center"/>
    </xf>
    <xf fontId="29665" applyFont="true" borderId="8" applyBorder="true" applyNumberFormat="true" numFmtId="167" fillId="22" applyFill="true">
      <alignment horizontal="center" vertical="center"/>
    </xf>
    <xf fontId="29666" applyFont="true" borderId="8" applyBorder="true" applyNumberFormat="true" numFmtId="1" fillId="22" applyFill="true">
      <alignment horizontal="center" vertical="center"/>
    </xf>
    <xf fontId="29667" applyFont="true" borderId="8" applyBorder="true" applyNumberFormat="true" numFmtId="1" fillId="22" applyFill="true">
      <alignment horizontal="center" vertical="center"/>
    </xf>
    <xf fontId="29668" applyFont="true" borderId="8" applyBorder="true" applyNumberFormat="true" numFmtId="1" fillId="22" applyFill="true">
      <alignment horizontal="center" vertical="center"/>
    </xf>
    <xf fontId="29669" applyFont="true" borderId="8" applyBorder="true" applyNumberFormat="true" numFmtId="167" fillId="22" applyFill="true">
      <alignment horizontal="center" vertical="center"/>
    </xf>
    <xf fontId="29670" applyFont="true" borderId="8" applyBorder="true" applyNumberFormat="true" numFmtId="166" fillId="22" applyFill="true">
      <alignment horizontal="center" vertical="center"/>
    </xf>
    <xf fontId="29671" applyFont="true" borderId="8" applyBorder="true" applyNumberFormat="true" numFmtId="166" fillId="22" applyFill="true">
      <alignment horizontal="center" vertical="center"/>
    </xf>
    <xf fontId="29672" applyFont="true" borderId="8" applyBorder="true" applyNumberFormat="true" numFmtId="1" fillId="22" applyFill="true">
      <alignment horizontal="center" vertical="center"/>
    </xf>
    <xf fontId="29673" applyFont="true" borderId="8" applyBorder="true" applyNumberFormat="true" numFmtId="1" fillId="22" applyFill="true">
      <alignment horizontal="center" vertical="center"/>
    </xf>
    <xf fontId="29674" applyFont="true" borderId="8" applyBorder="true" applyNumberFormat="true" numFmtId="1" fillId="22" applyFill="true">
      <alignment horizontal="center" vertical="center"/>
    </xf>
    <xf fontId="29675" applyFont="true" borderId="8" applyBorder="true" applyNumberFormat="true" numFmtId="167" fillId="22" applyFill="true">
      <alignment horizontal="center" vertical="center"/>
    </xf>
    <xf fontId="29676" applyFont="true" borderId="8" applyBorder="true" applyNumberFormat="true" numFmtId="1" fillId="22" applyFill="true">
      <alignment horizontal="center" vertical="center"/>
    </xf>
    <xf fontId="29677" applyFont="true" borderId="8" applyBorder="true" applyNumberFormat="true" numFmtId="167" fillId="22" applyFill="true">
      <alignment horizontal="center" vertical="center"/>
    </xf>
    <xf fontId="29678" applyFont="true" borderId="8" applyBorder="true" applyNumberFormat="true" numFmtId="1" fillId="22" applyFill="true">
      <alignment horizontal="center" vertical="center"/>
    </xf>
    <xf fontId="29679" applyFont="true" borderId="8" applyBorder="true" applyNumberFormat="true" numFmtId="1" fillId="22" applyFill="true">
      <alignment horizontal="center" vertical="center"/>
    </xf>
    <xf fontId="29680" applyFont="true" borderId="8" applyBorder="true" applyNumberFormat="true" numFmtId="1" fillId="22" applyFill="true">
      <alignment horizontal="center" vertical="center"/>
    </xf>
    <xf fontId="29681" applyFont="true" borderId="8" applyBorder="true" applyNumberFormat="true" numFmtId="1" fillId="22" applyFill="true">
      <alignment horizontal="center" vertical="center"/>
    </xf>
    <xf fontId="29682" applyFont="true" borderId="8" applyBorder="true" applyNumberFormat="true" numFmtId="167" fillId="22" applyFill="true">
      <alignment horizontal="center" vertical="center"/>
    </xf>
    <xf fontId="29683" applyFont="true" borderId="8" applyBorder="true" applyNumberFormat="true" numFmtId="1" fillId="22" applyFill="true">
      <alignment horizontal="center" vertical="center"/>
    </xf>
    <xf fontId="29684" applyFont="true" borderId="8" applyBorder="true" applyNumberFormat="true" numFmtId="167" fillId="22" applyFill="true">
      <alignment horizontal="center" vertical="center"/>
    </xf>
    <xf fontId="29685" applyFont="true" borderId="8" applyBorder="true" applyNumberFormat="true" numFmtId="1" fillId="22" applyFill="true">
      <alignment horizontal="center" vertical="center"/>
    </xf>
    <xf fontId="29686" applyFont="true" borderId="8" applyBorder="true" applyNumberFormat="true" numFmtId="167" fillId="22" applyFill="true">
      <alignment horizontal="center" vertical="center"/>
    </xf>
    <xf fontId="29687" applyFont="true" borderId="8" applyBorder="true" applyNumberFormat="true" numFmtId="2" fillId="22" applyFill="true">
      <alignment horizontal="center" vertical="center"/>
    </xf>
    <xf fontId="29688" applyFont="true" borderId="8" applyBorder="true" applyNumberFormat="true" numFmtId="2" fillId="22" applyFill="true">
      <alignment horizontal="center" vertical="center"/>
    </xf>
    <xf fontId="29689" applyFont="true" borderId="8" applyBorder="true" applyNumberFormat="true" numFmtId="2" fillId="22" applyFill="true">
      <alignment horizontal="center" vertical="center"/>
    </xf>
    <xf fontId="29690" applyFont="true" borderId="8" applyBorder="true" applyNumberFormat="true" numFmtId="2" fillId="22" applyFill="true">
      <alignment horizontal="center" vertical="center"/>
    </xf>
    <xf fontId="29691" applyFont="true" borderId="8" applyBorder="true" applyNumberFormat="true" numFmtId="2" fillId="22" applyFill="true">
      <alignment horizontal="center" vertical="center"/>
    </xf>
    <xf fontId="29692" applyFont="true" borderId="8" applyBorder="true" applyNumberFormat="true" numFmtId="2" fillId="22" applyFill="true">
      <alignment horizontal="center" vertical="center"/>
    </xf>
    <xf fontId="29693" applyFont="true" borderId="8" applyBorder="true" applyNumberFormat="true" numFmtId="2" fillId="22" applyFill="true">
      <alignment horizontal="center" vertical="center"/>
    </xf>
    <xf fontId="29694" applyFont="true" borderId="8" applyBorder="true" applyNumberFormat="true" numFmtId="2" fillId="22" applyFill="true">
      <alignment horizontal="center" vertical="center"/>
    </xf>
    <xf fontId="29695" applyFont="true" borderId="8" applyBorder="true" applyNumberFormat="true" numFmtId="2" fillId="22" applyFill="true">
      <alignment horizontal="center" vertical="center"/>
    </xf>
    <xf fontId="29696" applyFont="true" borderId="8" applyBorder="true" applyNumberFormat="true" numFmtId="2" fillId="22" applyFill="true">
      <alignment horizontal="center" vertical="center"/>
    </xf>
    <xf fontId="29697" applyFont="true" borderId="8" applyBorder="true" applyNumberFormat="true" numFmtId="2" fillId="22" applyFill="true">
      <alignment horizontal="center" vertical="center"/>
    </xf>
    <xf fontId="29698" applyFont="true" borderId="8" applyBorder="true" applyNumberFormat="true" numFmtId="2" fillId="22" applyFill="true">
      <alignment horizontal="center" vertical="center"/>
    </xf>
    <xf fontId="29699" applyFont="true" borderId="8" applyBorder="true" applyNumberFormat="true" numFmtId="2" fillId="22" applyFill="true">
      <alignment horizontal="center" vertical="center"/>
    </xf>
    <xf fontId="29700" applyFont="true" borderId="8" applyBorder="true" applyNumberFormat="true" numFmtId="2" fillId="22" applyFill="true">
      <alignment horizontal="center" vertical="center"/>
    </xf>
    <xf fontId="29701" applyFont="true" borderId="8" applyBorder="true" applyNumberFormat="true" numFmtId="2" fillId="22" applyFill="true">
      <alignment horizontal="center" vertical="center"/>
    </xf>
    <xf fontId="29702" applyFont="true" borderId="8" applyBorder="true" applyNumberFormat="true" numFmtId="2" fillId="22" applyFill="true">
      <alignment horizontal="center" vertical="center"/>
    </xf>
    <xf fontId="29703" applyFont="true" borderId="8" applyBorder="true" applyNumberFormat="true" numFmtId="2" fillId="22" applyFill="true">
      <alignment horizontal="center" vertical="center"/>
    </xf>
    <xf fontId="29704" applyFont="true" borderId="8" applyBorder="true" applyNumberFormat="true" numFmtId="2" fillId="22" applyFill="true">
      <alignment horizontal="center" vertical="center"/>
    </xf>
    <xf fontId="29705" applyFont="true" borderId="8" applyBorder="true" applyNumberFormat="true" numFmtId="2" fillId="22" applyFill="true">
      <alignment horizontal="center" vertical="center"/>
    </xf>
    <xf fontId="29706" applyFont="true" borderId="8" applyBorder="true" applyNumberFormat="true" numFmtId="2" fillId="22" applyFill="true">
      <alignment horizontal="center" vertical="center"/>
    </xf>
    <xf fontId="29707" applyFont="true" borderId="8" applyBorder="true" applyNumberFormat="true" numFmtId="2" fillId="22" applyFill="true">
      <alignment horizontal="center" vertical="center"/>
    </xf>
    <xf fontId="29708" applyFont="true" borderId="8" applyBorder="true" applyNumberFormat="true" numFmtId="2" fillId="22" applyFill="true">
      <alignment horizontal="center" vertical="center"/>
    </xf>
    <xf fontId="29709" applyFont="true" borderId="8" applyBorder="true" applyNumberFormat="true" numFmtId="2" fillId="22" applyFill="true">
      <alignment horizontal="center" vertical="center"/>
    </xf>
    <xf fontId="29710" applyFont="true" borderId="8" applyBorder="true" applyNumberFormat="true" numFmtId="2" fillId="22" applyFill="true">
      <alignment horizontal="center" vertical="center"/>
    </xf>
    <xf fontId="29711" applyFont="true" borderId="8" applyBorder="true" applyNumberFormat="true" numFmtId="2" fillId="22" applyFill="true">
      <alignment horizontal="center" vertical="center"/>
    </xf>
    <xf fontId="29712" applyFont="true" borderId="8" applyBorder="true" applyNumberFormat="true" numFmtId="2" fillId="22" applyFill="true">
      <alignment horizontal="center" vertical="center"/>
    </xf>
    <xf fontId="29713" applyFont="true" borderId="8" applyBorder="true" applyNumberFormat="true" numFmtId="2" fillId="22" applyFill="true">
      <alignment horizontal="center" vertical="center"/>
    </xf>
    <xf fontId="29714" applyFont="true" borderId="8" applyBorder="true" applyNumberFormat="true" numFmtId="2" fillId="22" applyFill="true">
      <alignment horizontal="center" vertical="center"/>
    </xf>
    <xf fontId="29715" applyFont="true" borderId="8" applyBorder="true" applyNumberFormat="true" numFmtId="2" fillId="22" applyFill="true">
      <alignment horizontal="center" vertical="center"/>
    </xf>
    <xf fontId="29716" applyFont="true" borderId="8" applyBorder="true" applyNumberFormat="true" numFmtId="2" fillId="22" applyFill="true">
      <alignment horizontal="center" vertical="center"/>
    </xf>
    <xf fontId="29717" applyFont="true" borderId="8" applyBorder="true" applyNumberFormat="true" numFmtId="2" fillId="22" applyFill="true">
      <alignment horizontal="center" vertical="center"/>
    </xf>
    <xf fontId="29718" applyFont="true" borderId="8" applyBorder="true" applyNumberFormat="true" numFmtId="2" fillId="22" applyFill="true">
      <alignment horizontal="center" vertical="center"/>
    </xf>
    <xf fontId="29719" applyFont="true" borderId="8" applyBorder="true" applyNumberFormat="true" numFmtId="2" fillId="22" applyFill="true">
      <alignment horizontal="center" vertical="center"/>
    </xf>
    <xf fontId="29720" applyFont="true" borderId="8" applyBorder="true" applyNumberFormat="true" numFmtId="2" fillId="22" applyFill="true">
      <alignment horizontal="center" vertical="center"/>
    </xf>
    <xf fontId="29721" applyFont="true" borderId="8" applyBorder="true" applyNumberFormat="true" numFmtId="165" fillId="19" applyFill="true">
      <alignment horizontal="left" vertical="center"/>
    </xf>
    <xf fontId="29722" applyFont="true" borderId="8" applyBorder="true" applyNumberFormat="true" numFmtId="165" fillId="22" applyFill="true">
      <alignment horizontal="center" vertical="center"/>
    </xf>
    <xf fontId="29723" applyFont="true" borderId="8" applyBorder="true" applyNumberFormat="true" numFmtId="166" fillId="22" applyFill="true">
      <alignment horizontal="center" vertical="center"/>
    </xf>
    <xf fontId="29724" applyFont="true" borderId="8" applyBorder="true" applyNumberFormat="true" numFmtId="1" fillId="22" applyFill="true">
      <alignment horizontal="center" vertical="center"/>
    </xf>
    <xf fontId="29725" applyFont="true" borderId="8" applyBorder="true" applyNumberFormat="true" numFmtId="1" fillId="22" applyFill="true">
      <alignment horizontal="center" vertical="center"/>
    </xf>
    <xf fontId="29726" applyFont="true" borderId="8" applyBorder="true" applyNumberFormat="true" numFmtId="1" fillId="22" applyFill="true">
      <alignment horizontal="center" vertical="center"/>
    </xf>
    <xf fontId="29727" applyFont="true" borderId="8" applyBorder="true" applyNumberFormat="true" numFmtId="1" fillId="22" applyFill="true">
      <alignment horizontal="center" vertical="center"/>
    </xf>
    <xf fontId="29728" applyFont="true" borderId="8" applyBorder="true" applyNumberFormat="true" numFmtId="1" fillId="22" applyFill="true">
      <alignment horizontal="center" vertical="center"/>
    </xf>
    <xf fontId="29729" applyFont="true" borderId="8" applyBorder="true" applyNumberFormat="true" numFmtId="1" fillId="22" applyFill="true">
      <alignment horizontal="center" vertical="center"/>
    </xf>
    <xf fontId="29730" applyFont="true" borderId="8" applyBorder="true" applyNumberFormat="true" numFmtId="1" fillId="22" applyFill="true">
      <alignment horizontal="center" vertical="center"/>
    </xf>
    <xf fontId="29731" applyFont="true" borderId="8" applyBorder="true" applyNumberFormat="true" numFmtId="165" fillId="22" applyFill="true">
      <alignment horizontal="center" vertical="center"/>
    </xf>
    <xf fontId="29732" applyFont="true" borderId="8" applyBorder="true" applyNumberFormat="true" numFmtId="165" fillId="22" applyFill="true">
      <alignment horizontal="center" vertical="center"/>
    </xf>
    <xf fontId="29733" applyFont="true" borderId="8" applyBorder="true" applyNumberFormat="true" numFmtId="1" fillId="22" applyFill="true">
      <alignment horizontal="center" vertical="center"/>
    </xf>
    <xf fontId="29734" applyFont="true" borderId="8" applyBorder="true" applyNumberFormat="true" numFmtId="1" fillId="22" applyFill="true">
      <alignment horizontal="center" vertical="center"/>
    </xf>
    <xf fontId="29735" applyFont="true" borderId="8" applyBorder="true" applyNumberFormat="true" numFmtId="1" fillId="22" applyFill="true">
      <alignment horizontal="center" vertical="center"/>
    </xf>
    <xf fontId="29736" applyFont="true" borderId="8" applyBorder="true" applyNumberFormat="true" numFmtId="167" fillId="22" applyFill="true">
      <alignment horizontal="center" vertical="center"/>
    </xf>
    <xf fontId="29737" applyFont="true" borderId="8" applyBorder="true" applyNumberFormat="true" numFmtId="1" fillId="22" applyFill="true">
      <alignment horizontal="center" vertical="center"/>
    </xf>
    <xf fontId="29738" applyFont="true" borderId="8" applyBorder="true" applyNumberFormat="true" numFmtId="167" fillId="22" applyFill="true">
      <alignment horizontal="center" vertical="center"/>
    </xf>
    <xf fontId="29739" applyFont="true" borderId="8" applyBorder="true" applyNumberFormat="true" numFmtId="1" fillId="22" applyFill="true">
      <alignment horizontal="center" vertical="center"/>
    </xf>
    <xf fontId="29740" applyFont="true" borderId="8" applyBorder="true" applyNumberFormat="true" numFmtId="167" fillId="22" applyFill="true">
      <alignment horizontal="center" vertical="center"/>
    </xf>
    <xf fontId="29741" applyFont="true" borderId="8" applyBorder="true" applyNumberFormat="true" numFmtId="1" fillId="22" applyFill="true">
      <alignment horizontal="center" vertical="center"/>
    </xf>
    <xf fontId="29742" applyFont="true" borderId="8" applyBorder="true" applyNumberFormat="true" numFmtId="167" fillId="22" applyFill="true">
      <alignment horizontal="center" vertical="center"/>
    </xf>
    <xf fontId="29743" applyFont="true" borderId="8" applyBorder="true" applyNumberFormat="true" numFmtId="167" fillId="22" applyFill="true">
      <alignment horizontal="center" vertical="center"/>
    </xf>
    <xf fontId="29744" applyFont="true" borderId="8" applyBorder="true" applyNumberFormat="true" numFmtId="1" fillId="22" applyFill="true">
      <alignment horizontal="center" vertical="center"/>
    </xf>
    <xf fontId="29745" applyFont="true" borderId="8" applyBorder="true" applyNumberFormat="true" numFmtId="1" fillId="22" applyFill="true">
      <alignment horizontal="center" vertical="center"/>
    </xf>
    <xf fontId="29746" applyFont="true" borderId="8" applyBorder="true" applyNumberFormat="true" numFmtId="1" fillId="22" applyFill="true">
      <alignment horizontal="center" vertical="center"/>
    </xf>
    <xf fontId="29747" applyFont="true" borderId="8" applyBorder="true" applyNumberFormat="true" numFmtId="167" fillId="22" applyFill="true">
      <alignment horizontal="center" vertical="center"/>
    </xf>
    <xf fontId="29748" applyFont="true" borderId="8" applyBorder="true" applyNumberFormat="true" numFmtId="166" fillId="22" applyFill="true">
      <alignment horizontal="center" vertical="center"/>
    </xf>
    <xf fontId="29749" applyFont="true" borderId="8" applyBorder="true" applyNumberFormat="true" numFmtId="166" fillId="22" applyFill="true">
      <alignment horizontal="center" vertical="center"/>
    </xf>
    <xf fontId="29750" applyFont="true" borderId="8" applyBorder="true" applyNumberFormat="true" numFmtId="1" fillId="22" applyFill="true">
      <alignment horizontal="center" vertical="center"/>
    </xf>
    <xf fontId="29751" applyFont="true" borderId="8" applyBorder="true" applyNumberFormat="true" numFmtId="1" fillId="22" applyFill="true">
      <alignment horizontal="center" vertical="center"/>
    </xf>
    <xf fontId="29752" applyFont="true" borderId="8" applyBorder="true" applyNumberFormat="true" numFmtId="1" fillId="22" applyFill="true">
      <alignment horizontal="center" vertical="center"/>
    </xf>
    <xf fontId="29753" applyFont="true" borderId="8" applyBorder="true" applyNumberFormat="true" numFmtId="167" fillId="22" applyFill="true">
      <alignment horizontal="center" vertical="center"/>
    </xf>
    <xf fontId="29754" applyFont="true" borderId="8" applyBorder="true" applyNumberFormat="true" numFmtId="1" fillId="22" applyFill="true">
      <alignment horizontal="center" vertical="center"/>
    </xf>
    <xf fontId="29755" applyFont="true" borderId="8" applyBorder="true" applyNumberFormat="true" numFmtId="167" fillId="22" applyFill="true">
      <alignment horizontal="center" vertical="center"/>
    </xf>
    <xf fontId="29756" applyFont="true" borderId="8" applyBorder="true" applyNumberFormat="true" numFmtId="1" fillId="22" applyFill="true">
      <alignment horizontal="center" vertical="center"/>
    </xf>
    <xf fontId="29757" applyFont="true" borderId="8" applyBorder="true" applyNumberFormat="true" numFmtId="1" fillId="22" applyFill="true">
      <alignment horizontal="center" vertical="center"/>
    </xf>
    <xf fontId="29758" applyFont="true" borderId="8" applyBorder="true" applyNumberFormat="true" numFmtId="1" fillId="22" applyFill="true">
      <alignment horizontal="center" vertical="center"/>
    </xf>
    <xf fontId="29759" applyFont="true" borderId="8" applyBorder="true" applyNumberFormat="true" numFmtId="1" fillId="22" applyFill="true">
      <alignment horizontal="center" vertical="center"/>
    </xf>
    <xf fontId="29760" applyFont="true" borderId="8" applyBorder="true" applyNumberFormat="true" numFmtId="167" fillId="22" applyFill="true">
      <alignment horizontal="center" vertical="center"/>
    </xf>
    <xf fontId="29761" applyFont="true" borderId="8" applyBorder="true" applyNumberFormat="true" numFmtId="1" fillId="22" applyFill="true">
      <alignment horizontal="center" vertical="center"/>
    </xf>
    <xf fontId="29762" applyFont="true" borderId="8" applyBorder="true" applyNumberFormat="true" numFmtId="167" fillId="22" applyFill="true">
      <alignment horizontal="center" vertical="center"/>
    </xf>
    <xf fontId="29763" applyFont="true" borderId="8" applyBorder="true" applyNumberFormat="true" numFmtId="1" fillId="22" applyFill="true">
      <alignment horizontal="center" vertical="center"/>
    </xf>
    <xf fontId="29764" applyFont="true" borderId="8" applyBorder="true" applyNumberFormat="true" numFmtId="167" fillId="22" applyFill="true">
      <alignment horizontal="center" vertical="center"/>
    </xf>
    <xf fontId="29765" applyFont="true" borderId="8" applyBorder="true" applyNumberFormat="true" numFmtId="2" fillId="22" applyFill="true">
      <alignment horizontal="center" vertical="center"/>
    </xf>
    <xf fontId="29766" applyFont="true" borderId="8" applyBorder="true" applyNumberFormat="true" numFmtId="2" fillId="22" applyFill="true">
      <alignment horizontal="center" vertical="center"/>
    </xf>
    <xf fontId="29767" applyFont="true" borderId="8" applyBorder="true" applyNumberFormat="true" numFmtId="2" fillId="22" applyFill="true">
      <alignment horizontal="center" vertical="center"/>
    </xf>
    <xf fontId="29768" applyFont="true" borderId="8" applyBorder="true" applyNumberFormat="true" numFmtId="2" fillId="22" applyFill="true">
      <alignment horizontal="center" vertical="center"/>
    </xf>
    <xf fontId="29769" applyFont="true" borderId="8" applyBorder="true" applyNumberFormat="true" numFmtId="2" fillId="22" applyFill="true">
      <alignment horizontal="center" vertical="center"/>
    </xf>
    <xf fontId="29770" applyFont="true" borderId="8" applyBorder="true" applyNumberFormat="true" numFmtId="2" fillId="22" applyFill="true">
      <alignment horizontal="center" vertical="center"/>
    </xf>
    <xf fontId="29771" applyFont="true" borderId="8" applyBorder="true" applyNumberFormat="true" numFmtId="2" fillId="22" applyFill="true">
      <alignment horizontal="center" vertical="center"/>
    </xf>
    <xf fontId="29772" applyFont="true" borderId="8" applyBorder="true" applyNumberFormat="true" numFmtId="2" fillId="22" applyFill="true">
      <alignment horizontal="center" vertical="center"/>
    </xf>
    <xf fontId="29773" applyFont="true" borderId="8" applyBorder="true" applyNumberFormat="true" numFmtId="2" fillId="22" applyFill="true">
      <alignment horizontal="center" vertical="center"/>
    </xf>
    <xf fontId="29774" applyFont="true" borderId="8" applyBorder="true" applyNumberFormat="true" numFmtId="2" fillId="22" applyFill="true">
      <alignment horizontal="center" vertical="center"/>
    </xf>
    <xf fontId="29775" applyFont="true" borderId="8" applyBorder="true" applyNumberFormat="true" numFmtId="2" fillId="22" applyFill="true">
      <alignment horizontal="center" vertical="center"/>
    </xf>
    <xf fontId="29776" applyFont="true" borderId="8" applyBorder="true" applyNumberFormat="true" numFmtId="2" fillId="22" applyFill="true">
      <alignment horizontal="center" vertical="center"/>
    </xf>
    <xf fontId="29777" applyFont="true" borderId="8" applyBorder="true" applyNumberFormat="true" numFmtId="2" fillId="22" applyFill="true">
      <alignment horizontal="center" vertical="center"/>
    </xf>
    <xf fontId="29778" applyFont="true" borderId="8" applyBorder="true" applyNumberFormat="true" numFmtId="2" fillId="22" applyFill="true">
      <alignment horizontal="center" vertical="center"/>
    </xf>
    <xf fontId="29779" applyFont="true" borderId="8" applyBorder="true" applyNumberFormat="true" numFmtId="2" fillId="22" applyFill="true">
      <alignment horizontal="center" vertical="center"/>
    </xf>
    <xf fontId="29780" applyFont="true" borderId="8" applyBorder="true" applyNumberFormat="true" numFmtId="2" fillId="22" applyFill="true">
      <alignment horizontal="center" vertical="center"/>
    </xf>
    <xf fontId="29781" applyFont="true" borderId="8" applyBorder="true" applyNumberFormat="true" numFmtId="2" fillId="22" applyFill="true">
      <alignment horizontal="center" vertical="center"/>
    </xf>
    <xf fontId="29782" applyFont="true" borderId="8" applyBorder="true" applyNumberFormat="true" numFmtId="2" fillId="22" applyFill="true">
      <alignment horizontal="center" vertical="center"/>
    </xf>
    <xf fontId="29783" applyFont="true" borderId="8" applyBorder="true" applyNumberFormat="true" numFmtId="2" fillId="22" applyFill="true">
      <alignment horizontal="center" vertical="center"/>
    </xf>
    <xf fontId="29784" applyFont="true" borderId="8" applyBorder="true" applyNumberFormat="true" numFmtId="2" fillId="22" applyFill="true">
      <alignment horizontal="center" vertical="center"/>
    </xf>
    <xf fontId="29785" applyFont="true" borderId="8" applyBorder="true" applyNumberFormat="true" numFmtId="2" fillId="22" applyFill="true">
      <alignment horizontal="center" vertical="center"/>
    </xf>
    <xf fontId="29786" applyFont="true" borderId="8" applyBorder="true" applyNumberFormat="true" numFmtId="2" fillId="22" applyFill="true">
      <alignment horizontal="center" vertical="center"/>
    </xf>
    <xf fontId="29787" applyFont="true" borderId="8" applyBorder="true" applyNumberFormat="true" numFmtId="2" fillId="22" applyFill="true">
      <alignment horizontal="center" vertical="center"/>
    </xf>
    <xf fontId="29788" applyFont="true" borderId="8" applyBorder="true" applyNumberFormat="true" numFmtId="2" fillId="22" applyFill="true">
      <alignment horizontal="center" vertical="center"/>
    </xf>
    <xf fontId="29789" applyFont="true" borderId="8" applyBorder="true" applyNumberFormat="true" numFmtId="2" fillId="22" applyFill="true">
      <alignment horizontal="center" vertical="center"/>
    </xf>
    <xf fontId="29790" applyFont="true" borderId="8" applyBorder="true" applyNumberFormat="true" numFmtId="2" fillId="22" applyFill="true">
      <alignment horizontal="center" vertical="center"/>
    </xf>
    <xf fontId="29791" applyFont="true" borderId="8" applyBorder="true" applyNumberFormat="true" numFmtId="2" fillId="22" applyFill="true">
      <alignment horizontal="center" vertical="center"/>
    </xf>
    <xf fontId="29792" applyFont="true" borderId="8" applyBorder="true" applyNumberFormat="true" numFmtId="2" fillId="22" applyFill="true">
      <alignment horizontal="center" vertical="center"/>
    </xf>
    <xf fontId="29793" applyFont="true" borderId="8" applyBorder="true" applyNumberFormat="true" numFmtId="2" fillId="22" applyFill="true">
      <alignment horizontal="center" vertical="center"/>
    </xf>
    <xf fontId="29794" applyFont="true" borderId="8" applyBorder="true" applyNumberFormat="true" numFmtId="2" fillId="22" applyFill="true">
      <alignment horizontal="center" vertical="center"/>
    </xf>
    <xf fontId="29795" applyFont="true" borderId="8" applyBorder="true" applyNumberFormat="true" numFmtId="2" fillId="22" applyFill="true">
      <alignment horizontal="center" vertical="center"/>
    </xf>
    <xf fontId="29796" applyFont="true" borderId="8" applyBorder="true" applyNumberFormat="true" numFmtId="2" fillId="22" applyFill="true">
      <alignment horizontal="center" vertical="center"/>
    </xf>
    <xf fontId="29797" applyFont="true" borderId="8" applyBorder="true" applyNumberFormat="true" numFmtId="2" fillId="22" applyFill="true">
      <alignment horizontal="center" vertical="center"/>
    </xf>
    <xf fontId="29798" applyFont="true" borderId="8" applyBorder="true" applyNumberFormat="true" numFmtId="2" fillId="22" applyFill="true">
      <alignment horizontal="center" vertical="center"/>
    </xf>
    <xf fontId="29799" applyFont="true" borderId="8" applyBorder="true" applyNumberFormat="true" numFmtId="165" fillId="19" applyFill="true">
      <alignment horizontal="left" vertical="center"/>
    </xf>
    <xf fontId="29800" applyFont="true" borderId="8" applyBorder="true" applyNumberFormat="true" numFmtId="165" fillId="22" applyFill="true">
      <alignment horizontal="center" vertical="center"/>
    </xf>
    <xf fontId="29801" applyFont="true" borderId="8" applyBorder="true" applyNumberFormat="true" numFmtId="166" fillId="22" applyFill="true">
      <alignment horizontal="center" vertical="center"/>
    </xf>
    <xf fontId="29802" applyFont="true" borderId="8" applyBorder="true" applyNumberFormat="true" numFmtId="1" fillId="22" applyFill="true">
      <alignment horizontal="center" vertical="center"/>
    </xf>
    <xf fontId="29803" applyFont="true" borderId="8" applyBorder="true" applyNumberFormat="true" numFmtId="1" fillId="22" applyFill="true">
      <alignment horizontal="center" vertical="center"/>
    </xf>
    <xf fontId="29804" applyFont="true" borderId="8" applyBorder="true" applyNumberFormat="true" numFmtId="1" fillId="22" applyFill="true">
      <alignment horizontal="center" vertical="center"/>
    </xf>
    <xf fontId="29805" applyFont="true" borderId="8" applyBorder="true" applyNumberFormat="true" numFmtId="1" fillId="22" applyFill="true">
      <alignment horizontal="center" vertical="center"/>
    </xf>
    <xf fontId="29806" applyFont="true" borderId="8" applyBorder="true" applyNumberFormat="true" numFmtId="1" fillId="22" applyFill="true">
      <alignment horizontal="center" vertical="center"/>
    </xf>
    <xf fontId="29807" applyFont="true" borderId="8" applyBorder="true" applyNumberFormat="true" numFmtId="1" fillId="22" applyFill="true">
      <alignment horizontal="center" vertical="center"/>
    </xf>
    <xf fontId="29808" applyFont="true" borderId="8" applyBorder="true" applyNumberFormat="true" numFmtId="1" fillId="22" applyFill="true">
      <alignment horizontal="center" vertical="center"/>
    </xf>
    <xf fontId="29809" applyFont="true" borderId="8" applyBorder="true" applyNumberFormat="true" numFmtId="165" fillId="22" applyFill="true">
      <alignment horizontal="center" vertical="center"/>
    </xf>
    <xf fontId="29810" applyFont="true" borderId="8" applyBorder="true" applyNumberFormat="true" numFmtId="165" fillId="22" applyFill="true">
      <alignment horizontal="center" vertical="center"/>
    </xf>
    <xf fontId="29811" applyFont="true" borderId="8" applyBorder="true" applyNumberFormat="true" numFmtId="1" fillId="22" applyFill="true">
      <alignment horizontal="center" vertical="center"/>
    </xf>
    <xf fontId="29812" applyFont="true" borderId="8" applyBorder="true" applyNumberFormat="true" numFmtId="1" fillId="22" applyFill="true">
      <alignment horizontal="center" vertical="center"/>
    </xf>
    <xf fontId="29813" applyFont="true" borderId="8" applyBorder="true" applyNumberFormat="true" numFmtId="1" fillId="22" applyFill="true">
      <alignment horizontal="center" vertical="center"/>
    </xf>
    <xf fontId="29814" applyFont="true" borderId="8" applyBorder="true" applyNumberFormat="true" numFmtId="167" fillId="22" applyFill="true">
      <alignment horizontal="center" vertical="center"/>
    </xf>
    <xf fontId="29815" applyFont="true" borderId="8" applyBorder="true" applyNumberFormat="true" numFmtId="1" fillId="22" applyFill="true">
      <alignment horizontal="center" vertical="center"/>
    </xf>
    <xf fontId="29816" applyFont="true" borderId="8" applyBorder="true" applyNumberFormat="true" numFmtId="167" fillId="22" applyFill="true">
      <alignment horizontal="center" vertical="center"/>
    </xf>
    <xf fontId="29817" applyFont="true" borderId="8" applyBorder="true" applyNumberFormat="true" numFmtId="1" fillId="22" applyFill="true">
      <alignment horizontal="center" vertical="center"/>
    </xf>
    <xf fontId="29818" applyFont="true" borderId="8" applyBorder="true" applyNumberFormat="true" numFmtId="167" fillId="22" applyFill="true">
      <alignment horizontal="center" vertical="center"/>
    </xf>
    <xf fontId="29819" applyFont="true" borderId="8" applyBorder="true" applyNumberFormat="true" numFmtId="1" fillId="22" applyFill="true">
      <alignment horizontal="center" vertical="center"/>
    </xf>
    <xf fontId="29820" applyFont="true" borderId="8" applyBorder="true" applyNumberFormat="true" numFmtId="167" fillId="22" applyFill="true">
      <alignment horizontal="center" vertical="center"/>
    </xf>
    <xf fontId="29821" applyFont="true" borderId="8" applyBorder="true" applyNumberFormat="true" numFmtId="167" fillId="22" applyFill="true">
      <alignment horizontal="center" vertical="center"/>
    </xf>
    <xf fontId="29822" applyFont="true" borderId="8" applyBorder="true" applyNumberFormat="true" numFmtId="1" fillId="22" applyFill="true">
      <alignment horizontal="center" vertical="center"/>
    </xf>
    <xf fontId="29823" applyFont="true" borderId="8" applyBorder="true" applyNumberFormat="true" numFmtId="1" fillId="22" applyFill="true">
      <alignment horizontal="center" vertical="center"/>
    </xf>
    <xf fontId="29824" applyFont="true" borderId="8" applyBorder="true" applyNumberFormat="true" numFmtId="1" fillId="22" applyFill="true">
      <alignment horizontal="center" vertical="center"/>
    </xf>
    <xf fontId="29825" applyFont="true" borderId="8" applyBorder="true" applyNumberFormat="true" numFmtId="167" fillId="22" applyFill="true">
      <alignment horizontal="center" vertical="center"/>
    </xf>
    <xf fontId="29826" applyFont="true" borderId="8" applyBorder="true" applyNumberFormat="true" numFmtId="166" fillId="22" applyFill="true">
      <alignment horizontal="center" vertical="center"/>
    </xf>
    <xf fontId="29827" applyFont="true" borderId="8" applyBorder="true" applyNumberFormat="true" numFmtId="166" fillId="22" applyFill="true">
      <alignment horizontal="center" vertical="center"/>
    </xf>
    <xf fontId="29828" applyFont="true" borderId="8" applyBorder="true" applyNumberFormat="true" numFmtId="1" fillId="22" applyFill="true">
      <alignment horizontal="center" vertical="center"/>
    </xf>
    <xf fontId="29829" applyFont="true" borderId="8" applyBorder="true" applyNumberFormat="true" numFmtId="1" fillId="22" applyFill="true">
      <alignment horizontal="center" vertical="center"/>
    </xf>
    <xf fontId="29830" applyFont="true" borderId="8" applyBorder="true" applyNumberFormat="true" numFmtId="1" fillId="22" applyFill="true">
      <alignment horizontal="center" vertical="center"/>
    </xf>
    <xf fontId="29831" applyFont="true" borderId="8" applyBorder="true" applyNumberFormat="true" numFmtId="167" fillId="22" applyFill="true">
      <alignment horizontal="center" vertical="center"/>
    </xf>
    <xf fontId="29832" applyFont="true" borderId="8" applyBorder="true" applyNumberFormat="true" numFmtId="1" fillId="22" applyFill="true">
      <alignment horizontal="center" vertical="center"/>
    </xf>
    <xf fontId="29833" applyFont="true" borderId="8" applyBorder="true" applyNumberFormat="true" numFmtId="167" fillId="22" applyFill="true">
      <alignment horizontal="center" vertical="center"/>
    </xf>
    <xf fontId="29834" applyFont="true" borderId="8" applyBorder="true" applyNumberFormat="true" numFmtId="1" fillId="22" applyFill="true">
      <alignment horizontal="center" vertical="center"/>
    </xf>
    <xf fontId="29835" applyFont="true" borderId="8" applyBorder="true" applyNumberFormat="true" numFmtId="1" fillId="22" applyFill="true">
      <alignment horizontal="center" vertical="center"/>
    </xf>
    <xf fontId="29836" applyFont="true" borderId="8" applyBorder="true" applyNumberFormat="true" numFmtId="1" fillId="22" applyFill="true">
      <alignment horizontal="center" vertical="center"/>
    </xf>
    <xf fontId="29837" applyFont="true" borderId="8" applyBorder="true" applyNumberFormat="true" numFmtId="1" fillId="22" applyFill="true">
      <alignment horizontal="center" vertical="center"/>
    </xf>
    <xf fontId="29838" applyFont="true" borderId="8" applyBorder="true" applyNumberFormat="true" numFmtId="167" fillId="22" applyFill="true">
      <alignment horizontal="center" vertical="center"/>
    </xf>
    <xf fontId="29839" applyFont="true" borderId="8" applyBorder="true" applyNumberFormat="true" numFmtId="1" fillId="22" applyFill="true">
      <alignment horizontal="center" vertical="center"/>
    </xf>
    <xf fontId="29840" applyFont="true" borderId="8" applyBorder="true" applyNumberFormat="true" numFmtId="167" fillId="22" applyFill="true">
      <alignment horizontal="center" vertical="center"/>
    </xf>
    <xf fontId="29841" applyFont="true" borderId="8" applyBorder="true" applyNumberFormat="true" numFmtId="1" fillId="22" applyFill="true">
      <alignment horizontal="center" vertical="center"/>
    </xf>
    <xf fontId="29842" applyFont="true" borderId="8" applyBorder="true" applyNumberFormat="true" numFmtId="167" fillId="22" applyFill="true">
      <alignment horizontal="center" vertical="center"/>
    </xf>
    <xf fontId="29843" applyFont="true" borderId="8" applyBorder="true" applyNumberFormat="true" numFmtId="2" fillId="22" applyFill="true">
      <alignment horizontal="center" vertical="center"/>
    </xf>
    <xf fontId="29844" applyFont="true" borderId="8" applyBorder="true" applyNumberFormat="true" numFmtId="2" fillId="22" applyFill="true">
      <alignment horizontal="center" vertical="center"/>
    </xf>
    <xf fontId="29845" applyFont="true" borderId="8" applyBorder="true" applyNumberFormat="true" numFmtId="2" fillId="22" applyFill="true">
      <alignment horizontal="center" vertical="center"/>
    </xf>
    <xf fontId="29846" applyFont="true" borderId="8" applyBorder="true" applyNumberFormat="true" numFmtId="2" fillId="22" applyFill="true">
      <alignment horizontal="center" vertical="center"/>
    </xf>
    <xf fontId="29847" applyFont="true" borderId="8" applyBorder="true" applyNumberFormat="true" numFmtId="2" fillId="22" applyFill="true">
      <alignment horizontal="center" vertical="center"/>
    </xf>
    <xf fontId="29848" applyFont="true" borderId="8" applyBorder="true" applyNumberFormat="true" numFmtId="2" fillId="22" applyFill="true">
      <alignment horizontal="center" vertical="center"/>
    </xf>
    <xf fontId="29849" applyFont="true" borderId="8" applyBorder="true" applyNumberFormat="true" numFmtId="2" fillId="22" applyFill="true">
      <alignment horizontal="center" vertical="center"/>
    </xf>
    <xf fontId="29850" applyFont="true" borderId="8" applyBorder="true" applyNumberFormat="true" numFmtId="2" fillId="22" applyFill="true">
      <alignment horizontal="center" vertical="center"/>
    </xf>
    <xf fontId="29851" applyFont="true" borderId="8" applyBorder="true" applyNumberFormat="true" numFmtId="2" fillId="22" applyFill="true">
      <alignment horizontal="center" vertical="center"/>
    </xf>
    <xf fontId="29852" applyFont="true" borderId="8" applyBorder="true" applyNumberFormat="true" numFmtId="2" fillId="22" applyFill="true">
      <alignment horizontal="center" vertical="center"/>
    </xf>
    <xf fontId="29853" applyFont="true" borderId="8" applyBorder="true" applyNumberFormat="true" numFmtId="2" fillId="22" applyFill="true">
      <alignment horizontal="center" vertical="center"/>
    </xf>
    <xf fontId="29854" applyFont="true" borderId="8" applyBorder="true" applyNumberFormat="true" numFmtId="2" fillId="22" applyFill="true">
      <alignment horizontal="center" vertical="center"/>
    </xf>
    <xf fontId="29855" applyFont="true" borderId="8" applyBorder="true" applyNumberFormat="true" numFmtId="2" fillId="22" applyFill="true">
      <alignment horizontal="center" vertical="center"/>
    </xf>
    <xf fontId="29856" applyFont="true" borderId="8" applyBorder="true" applyNumberFormat="true" numFmtId="2" fillId="22" applyFill="true">
      <alignment horizontal="center" vertical="center"/>
    </xf>
    <xf fontId="29857" applyFont="true" borderId="8" applyBorder="true" applyNumberFormat="true" numFmtId="2" fillId="22" applyFill="true">
      <alignment horizontal="center" vertical="center"/>
    </xf>
    <xf fontId="29858" applyFont="true" borderId="8" applyBorder="true" applyNumberFormat="true" numFmtId="2" fillId="22" applyFill="true">
      <alignment horizontal="center" vertical="center"/>
    </xf>
    <xf fontId="29859" applyFont="true" borderId="8" applyBorder="true" applyNumberFormat="true" numFmtId="2" fillId="22" applyFill="true">
      <alignment horizontal="center" vertical="center"/>
    </xf>
    <xf fontId="29860" applyFont="true" borderId="8" applyBorder="true" applyNumberFormat="true" numFmtId="2" fillId="22" applyFill="true">
      <alignment horizontal="center" vertical="center"/>
    </xf>
    <xf fontId="29861" applyFont="true" borderId="8" applyBorder="true" applyNumberFormat="true" numFmtId="2" fillId="22" applyFill="true">
      <alignment horizontal="center" vertical="center"/>
    </xf>
    <xf fontId="29862" applyFont="true" borderId="8" applyBorder="true" applyNumberFormat="true" numFmtId="2" fillId="22" applyFill="true">
      <alignment horizontal="center" vertical="center"/>
    </xf>
    <xf fontId="29863" applyFont="true" borderId="8" applyBorder="true" applyNumberFormat="true" numFmtId="2" fillId="22" applyFill="true">
      <alignment horizontal="center" vertical="center"/>
    </xf>
    <xf fontId="29864" applyFont="true" borderId="8" applyBorder="true" applyNumberFormat="true" numFmtId="2" fillId="22" applyFill="true">
      <alignment horizontal="center" vertical="center"/>
    </xf>
    <xf fontId="29865" applyFont="true" borderId="8" applyBorder="true" applyNumberFormat="true" numFmtId="2" fillId="22" applyFill="true">
      <alignment horizontal="center" vertical="center"/>
    </xf>
    <xf fontId="29866" applyFont="true" borderId="8" applyBorder="true" applyNumberFormat="true" numFmtId="2" fillId="22" applyFill="true">
      <alignment horizontal="center" vertical="center"/>
    </xf>
    <xf fontId="29867" applyFont="true" borderId="8" applyBorder="true" applyNumberFormat="true" numFmtId="2" fillId="22" applyFill="true">
      <alignment horizontal="center" vertical="center"/>
    </xf>
    <xf fontId="29868" applyFont="true" borderId="8" applyBorder="true" applyNumberFormat="true" numFmtId="2" fillId="22" applyFill="true">
      <alignment horizontal="center" vertical="center"/>
    </xf>
    <xf fontId="29869" applyFont="true" borderId="8" applyBorder="true" applyNumberFormat="true" numFmtId="2" fillId="22" applyFill="true">
      <alignment horizontal="center" vertical="center"/>
    </xf>
    <xf fontId="29870" applyFont="true" borderId="8" applyBorder="true" applyNumberFormat="true" numFmtId="2" fillId="22" applyFill="true">
      <alignment horizontal="center" vertical="center"/>
    </xf>
    <xf fontId="29871" applyFont="true" borderId="8" applyBorder="true" applyNumberFormat="true" numFmtId="2" fillId="22" applyFill="true">
      <alignment horizontal="center" vertical="center"/>
    </xf>
    <xf fontId="29872" applyFont="true" borderId="8" applyBorder="true" applyNumberFormat="true" numFmtId="2" fillId="22" applyFill="true">
      <alignment horizontal="center" vertical="center"/>
    </xf>
    <xf fontId="29873" applyFont="true" borderId="8" applyBorder="true" applyNumberFormat="true" numFmtId="2" fillId="22" applyFill="true">
      <alignment horizontal="center" vertical="center"/>
    </xf>
    <xf fontId="29874" applyFont="true" borderId="8" applyBorder="true" applyNumberFormat="true" numFmtId="2" fillId="22" applyFill="true">
      <alignment horizontal="center" vertical="center"/>
    </xf>
    <xf fontId="29875" applyFont="true" borderId="8" applyBorder="true" applyNumberFormat="true" numFmtId="2" fillId="22" applyFill="true">
      <alignment horizontal="center" vertical="center"/>
    </xf>
    <xf fontId="29876" applyFont="true" borderId="8" applyBorder="true" applyNumberFormat="true" numFmtId="2" fillId="22" applyFill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  <c r="K1" t="s" s="11">
        <v>11</v>
      </c>
      <c r="L1" t="s" s="12">
        <v>12</v>
      </c>
      <c r="M1" t="s" s="13">
        <v>13</v>
      </c>
      <c r="N1" t="s" s="14">
        <v>14</v>
      </c>
      <c r="O1" t="s" s="15">
        <v>15</v>
      </c>
      <c r="P1" t="s" s="16">
        <v>16</v>
      </c>
      <c r="Q1" t="s" s="17">
        <v>17</v>
      </c>
      <c r="R1" t="s" s="18">
        <v>18</v>
      </c>
      <c r="S1" t="s" s="19">
        <v>19</v>
      </c>
      <c r="T1" t="s" s="20">
        <v>20</v>
      </c>
      <c r="U1" t="s" s="21">
        <v>21</v>
      </c>
      <c r="V1" t="s" s="22">
        <v>22</v>
      </c>
      <c r="W1" t="s" s="23">
        <v>23</v>
      </c>
      <c r="X1" t="s" s="24">
        <v>24</v>
      </c>
      <c r="Y1" t="s" s="25">
        <v>25</v>
      </c>
      <c r="Z1" t="s" s="26">
        <v>26</v>
      </c>
      <c r="AA1" t="s" s="27">
        <v>27</v>
      </c>
      <c r="AB1" t="s" s="28">
        <v>28</v>
      </c>
      <c r="AC1" t="s" s="29">
        <v>29</v>
      </c>
      <c r="AD1" t="s" s="30">
        <v>30</v>
      </c>
      <c r="AE1" t="s" s="31">
        <v>31</v>
      </c>
      <c r="AF1" t="s" s="32">
        <v>32</v>
      </c>
      <c r="AG1" t="s" s="33">
        <v>33</v>
      </c>
      <c r="AH1" t="s" s="34">
        <v>34</v>
      </c>
      <c r="AI1" t="s" s="35">
        <v>35</v>
      </c>
      <c r="AJ1" t="s" s="36">
        <v>36</v>
      </c>
      <c r="AK1" t="s" s="37">
        <v>37</v>
      </c>
      <c r="AL1" t="s" s="38">
        <v>38</v>
      </c>
      <c r="AM1" t="s" s="39">
        <v>39</v>
      </c>
      <c r="AN1" t="s" s="40">
        <v>40</v>
      </c>
      <c r="AO1" t="s" s="41">
        <v>41</v>
      </c>
      <c r="AP1" t="s" s="42">
        <v>42</v>
      </c>
      <c r="AQ1" t="s" s="43">
        <v>43</v>
      </c>
      <c r="AR1" t="s" s="44">
        <v>44</v>
      </c>
      <c r="AS1" t="s" s="45">
        <v>45</v>
      </c>
      <c r="AT1" t="s" s="46">
        <v>46</v>
      </c>
      <c r="AU1" t="s" s="47">
        <v>47</v>
      </c>
      <c r="AV1" t="s" s="48">
        <v>48</v>
      </c>
      <c r="AW1" t="s" s="49">
        <v>49</v>
      </c>
      <c r="AX1" t="s" s="50">
        <v>50</v>
      </c>
      <c r="AY1" t="s" s="51">
        <v>51</v>
      </c>
      <c r="AZ1" t="s" s="52">
        <v>52</v>
      </c>
      <c r="BA1" t="s" s="53">
        <v>53</v>
      </c>
      <c r="BB1" t="s" s="54">
        <v>54</v>
      </c>
      <c r="BC1" t="s" s="55">
        <v>55</v>
      </c>
      <c r="BD1" t="s" s="56">
        <v>56</v>
      </c>
      <c r="BE1" t="s" s="57">
        <v>57</v>
      </c>
      <c r="BF1" t="s" s="58">
        <v>58</v>
      </c>
      <c r="BG1" t="s" s="59">
        <v>59</v>
      </c>
      <c r="BH1" t="s" s="60">
        <v>60</v>
      </c>
      <c r="BI1" t="s" s="61">
        <v>61</v>
      </c>
      <c r="BJ1" t="s" s="62">
        <v>62</v>
      </c>
      <c r="BK1" t="s" s="63">
        <v>63</v>
      </c>
      <c r="BL1" t="s" s="64">
        <v>64</v>
      </c>
      <c r="BM1" t="s" s="65">
        <v>65</v>
      </c>
      <c r="BN1" t="s" s="66">
        <v>66</v>
      </c>
      <c r="BO1" t="s" s="67">
        <v>67</v>
      </c>
      <c r="BP1" t="s" s="68">
        <v>68</v>
      </c>
      <c r="BQ1" t="s" s="69">
        <v>69</v>
      </c>
      <c r="BR1" t="s" s="70">
        <v>70</v>
      </c>
      <c r="BS1" t="s" s="71">
        <v>71</v>
      </c>
      <c r="BT1" t="s" s="72">
        <v>72</v>
      </c>
      <c r="BU1" t="s" s="73">
        <v>73</v>
      </c>
      <c r="BV1" t="s" s="74">
        <v>74</v>
      </c>
      <c r="BW1" t="s" s="75">
        <v>75</v>
      </c>
      <c r="BX1" t="s" s="76">
        <v>76</v>
      </c>
      <c r="BY1" t="s" s="77">
        <v>77</v>
      </c>
      <c r="BZ1" t="s" s="78">
        <v>78</v>
      </c>
    </row>
    <row r="2">
      <c r="A2" t="s" s="79">
        <v>79</v>
      </c>
      <c r="B2" t="s" s="80">
        <v>80</v>
      </c>
      <c r="C2" t="n" s="81">
        <v>4.599999904632568</v>
      </c>
      <c r="D2" t="n" s="82">
        <v>289.0</v>
      </c>
      <c r="E2" t="n" s="83">
        <v>4.0</v>
      </c>
      <c r="F2" t="n" s="84">
        <v>39.0</v>
      </c>
      <c r="G2" t="n" s="85">
        <v>2.0</v>
      </c>
      <c r="H2" t="n" s="86">
        <v>5.0</v>
      </c>
      <c r="I2" t="n" s="87">
        <v>129.0</v>
      </c>
      <c r="J2" s="88">
        <f>HLOOKUP("BPS",A1:CV300,2,FALSE)-((-6*HLOOKUP("OG",A1:CV300,2,FALSE))+(-6*HLOOKUP("PK Miss",A1:CV300,2,FALSE))+(9*HLOOKUP("FPL As",A1:CV300,2,FALSE))+(0*HLOOKUP("CS",A1:CV300,2,FALSE))+(24*HLOOKUP("Gs",A1:CV300,2,FALSE)))</f>
      </c>
      <c r="K2" t="n" s="89">
        <v>0.0</v>
      </c>
      <c r="L2" t="n" s="90">
        <v>2.0</v>
      </c>
      <c r="M2" t="n" s="91">
        <v>16.0</v>
      </c>
      <c r="N2" t="n" s="92">
        <v>5.0</v>
      </c>
      <c r="O2" t="n" s="93">
        <v>5.0</v>
      </c>
      <c r="P2" s="94">
        <f>IF(HLOOKUP("Shots",A1:CV300,2,FALSE)=0,0,HLOOKUP("SIB",A1:CV300,2,FALSE)/HLOOKUP("Shots",A1:CV300,2,FALSE))</f>
      </c>
      <c r="Q2" t="n" s="95">
        <v>1.0</v>
      </c>
      <c r="R2" s="96">
        <f>IF(HLOOKUP("Shots",A1:CV300,2,FALSE)=0,0,HLOOKUP("S6YD",A1:CV300,2,FALSE)/HLOOKUP("Shots",A1:CV300,2,FALSE))</f>
      </c>
      <c r="S2" t="n" s="97">
        <v>0.0</v>
      </c>
      <c r="T2" s="98">
        <f>IF(HLOOKUP("Shots",A1:CV300,2,FALSE)=0,0,HLOOKUP("Headers",A1:CV300,2,FALSE)/HLOOKUP("Shots",A1:CV300,2,FALSE))</f>
      </c>
      <c r="U2" t="n" s="99">
        <v>2.0</v>
      </c>
      <c r="V2" s="100">
        <f>IF(HLOOKUP("Shots",A1:CV300,2,FALSE)=0,0,HLOOKUP("SOT",A1:CV300,2,FALSE)/HLOOKUP("Shots",A1:CV300,2,FALSE))</f>
      </c>
      <c r="W2" s="101">
        <f>IF(HLOOKUP("Shots",A1:CV300,2,FALSE)=0,0,HLOOKUP("Gs",A1:CV300,2,FALSE)/HLOOKUP("Shots",A1:CV300,2,FALSE))</f>
      </c>
      <c r="X2" t="n" s="102">
        <v>0.0</v>
      </c>
      <c r="Y2" t="n" s="103">
        <v>1.0</v>
      </c>
      <c r="Z2" t="n" s="104">
        <v>1.0</v>
      </c>
      <c r="AA2" s="105">
        <f>IF(HLOOKUP("KP",A1:CV300,2,FALSE)=0,0,HLOOKUP("As",A1:CV300,2,FALSE)/HLOOKUP("KP",A1:CV300,2,FALSE))</f>
      </c>
      <c r="AB2" t="n" s="106">
        <v>20.8</v>
      </c>
      <c r="AC2" t="n" s="107">
        <v>67.0</v>
      </c>
      <c r="AD2" t="n" s="108">
        <v>0.0</v>
      </c>
      <c r="AE2" t="n" s="109">
        <v>2.0</v>
      </c>
      <c r="AF2" t="n" s="110">
        <v>0.0</v>
      </c>
      <c r="AG2" s="111">
        <f>IF(HLOOKUP("BC",A1:CV300,2,FALSE)=0,0,HLOOKUP("Gs - BC",A1:CV300,2,FALSE)/HLOOKUP("BC",A1:CV300,2,FALSE))</f>
      </c>
      <c r="AH2" s="112">
        <f>HLOOKUP("BC",A1:CV300,2,FALSE) - HLOOKUP("BC Miss",A1:CV300,2,FALSE)</f>
      </c>
      <c r="AI2" s="113">
        <f>IF(HLOOKUP("Gs",A1:CV300,2,FALSE)=0,0,HLOOKUP("Gs - BC",A1:CV300,2,FALSE)/HLOOKUP("Gs",A1:CV300,2,FALSE))</f>
      </c>
      <c r="AJ2" t="n" s="114">
        <v>0.0</v>
      </c>
      <c r="AK2" t="n" s="115">
        <v>0.0</v>
      </c>
      <c r="AL2" s="116">
        <f>HLOOKUP("BC",A1:CV300,2,FALSE) - (HLOOKUP("PK Gs",A1:CV300,2,FALSE) + HLOOKUP("PK Miss",A1:CV300,2,FALSE))</f>
      </c>
      <c r="AM2" s="117">
        <f>HLOOKUP("BC Miss",A1:CV300,2,FALSE) - HLOOKUP("PK Miss",A1:CV300,2,FALSE)</f>
      </c>
      <c r="AN2" s="118">
        <f>IF(HLOOKUP("BC - Open",A1:CV300,2,FALSE)=0,0,HLOOKUP("BC - Open Miss",A1:CV300,2,FALSE)/HLOOKUP("BC - Open",A1:CV300,2,FALSE))</f>
      </c>
      <c r="AO2" t="n" s="119">
        <v>2.0</v>
      </c>
      <c r="AP2" s="120">
        <f>IF(HLOOKUP("Gs",A1:CV300,2,FALSE)=0,0,HLOOKUP("GIB",A1:CV300,2,FALSE)/HLOOKUP("Gs",A1:CV300,2,FALSE))</f>
      </c>
      <c r="AQ2" t="n" s="121">
        <v>1.0</v>
      </c>
      <c r="AR2" s="122">
        <f>IF(HLOOKUP("Gs",A1:CV300,2,FALSE)=0,0,HLOOKUP("Gs - Open",A1:CV300,2,FALSE)/HLOOKUP("Gs",A1:CV300,2,FALSE))</f>
      </c>
      <c r="AS2" t="n" s="123">
        <v>1.41</v>
      </c>
      <c r="AT2" t="n" s="124">
        <v>0.1</v>
      </c>
      <c r="AU2" s="125">
        <f>IF(HLOOKUP("Mins",A1:CV300,2,FALSE)=0,0,HLOOKUP("Pts",A1:CV300,2,FALSE)/HLOOKUP("Mins",A1:CV300,2,FALSE)* 90)</f>
      </c>
      <c r="AV2" s="126">
        <f>IF(HLOOKUP("Apps",A1:CV300,2,FALSE)=0,0,HLOOKUP("Pts",A1:CV300,2,FALSE)/HLOOKUP("Apps",A1:CV300,2,FALSE)* 1)</f>
      </c>
      <c r="AW2" s="127">
        <f>IF(HLOOKUP("Mins",A1:CV300,2,FALSE)=0,0,HLOOKUP("Gs",A1:CV300,2,FALSE)/HLOOKUP("Mins",A1:CV300,2,FALSE)* 90)</f>
      </c>
      <c r="AX2" s="128">
        <f>IF(HLOOKUP("Mins",A1:CV300,2,FALSE)=0,0,HLOOKUP("Bonus",A1:CV300,2,FALSE)/HLOOKUP("Mins",A1:CV300,2,FALSE)* 90)</f>
      </c>
      <c r="AY2" s="129">
        <f>IF(HLOOKUP("Mins",A1:CV300,2,FALSE)=0,0,HLOOKUP("BPS",A1:CV300,2,FALSE)/HLOOKUP("Mins",A1:CV300,2,FALSE)* 90)</f>
      </c>
      <c r="AZ2" s="130">
        <f>IF(HLOOKUP("Mins",A1:CV300,2,FALSE)=0,0,HLOOKUP("Base BPS",A1:CV300,2,FALSE)/HLOOKUP("Mins",A1:CV300,2,FALSE)* 90)</f>
      </c>
      <c r="BA2" s="131">
        <f>IF(HLOOKUP("Mins",A1:CV300,2,FALSE)=0,0,HLOOKUP("PenTchs",A1:CV300,2,FALSE)/HLOOKUP("Mins",A1:CV300,2,FALSE)* 90)</f>
      </c>
      <c r="BB2" s="132">
        <f>IF(HLOOKUP("Mins",A1:CV300,2,FALSE)=0,0,HLOOKUP("Shots",A1:CV300,2,FALSE)/HLOOKUP("Mins",A1:CV300,2,FALSE)* 90)</f>
      </c>
      <c r="BC2" s="133">
        <f>IF(HLOOKUP("Mins",A1:CV300,2,FALSE)=0,0,HLOOKUP("SIB",A1:CV300,2,FALSE)/HLOOKUP("Mins",A1:CV300,2,FALSE)* 90)</f>
      </c>
      <c r="BD2" s="134">
        <f>IF(HLOOKUP("Mins",A1:CV300,2,FALSE)=0,0,HLOOKUP("S6YD",A1:CV300,2,FALSE)/HLOOKUP("Mins",A1:CV300,2,FALSE)* 90)</f>
      </c>
      <c r="BE2" s="135">
        <f>IF(HLOOKUP("Mins",A1:CV300,2,FALSE)=0,0,HLOOKUP("Headers",A1:CV300,2,FALSE)/HLOOKUP("Mins",A1:CV300,2,FALSE)* 90)</f>
      </c>
      <c r="BF2" s="136">
        <f>IF(HLOOKUP("Mins",A1:CV300,2,FALSE)=0,0,HLOOKUP("SOT",A1:CV300,2,FALSE)/HLOOKUP("Mins",A1:CV300,2,FALSE)* 90)</f>
      </c>
      <c r="BG2" s="137">
        <f>IF(HLOOKUP("Mins",A1:CV300,2,FALSE)=0,0,HLOOKUP("As",A1:CV300,2,FALSE)/HLOOKUP("Mins",A1:CV300,2,FALSE)* 90)</f>
      </c>
      <c r="BH2" s="138">
        <f>IF(HLOOKUP("Mins",A1:CV300,2,FALSE)=0,0,HLOOKUP("FPL As",A1:CV300,2,FALSE)/HLOOKUP("Mins",A1:CV300,2,FALSE)* 90)</f>
      </c>
      <c r="BI2" s="139">
        <f>IF(HLOOKUP("Mins",A1:CV300,2,FALSE)=0,0,HLOOKUP("BC Created",A1:CV300,2,FALSE)/HLOOKUP("Mins",A1:CV300,2,FALSE)* 90)</f>
      </c>
      <c r="BJ2" s="140">
        <f>IF(HLOOKUP("Mins",A1:CV300,2,FALSE)=0,0,HLOOKUP("KP",A1:CV300,2,FALSE)/HLOOKUP("Mins",A1:CV300,2,FALSE)* 90)</f>
      </c>
      <c r="BK2" s="141">
        <f>IF(HLOOKUP("Mins",A1:CV300,2,FALSE)=0,0,HLOOKUP("BC",A1:CV300,2,FALSE)/HLOOKUP("Mins",A1:CV300,2,FALSE)* 90)</f>
      </c>
      <c r="BL2" s="142">
        <f>IF(HLOOKUP("Mins",A1:CV300,2,FALSE)=0,0,HLOOKUP("BC Miss",A1:CV300,2,FALSE)/HLOOKUP("Mins",A1:CV300,2,FALSE)* 90)</f>
      </c>
      <c r="BM2" s="143">
        <f>IF(HLOOKUP("Mins",A1:CV300,2,FALSE)=0,0,HLOOKUP("Gs - BC",A1:CV300,2,FALSE)/HLOOKUP("Mins",A1:CV300,2,FALSE)* 90)</f>
      </c>
      <c r="BN2" s="144">
        <f>IF(HLOOKUP("Mins",A1:CV300,2,FALSE)=0,0,HLOOKUP("GIB",A1:CV300,2,FALSE)/HLOOKUP("Mins",A1:CV300,2,FALSE)* 90)</f>
      </c>
      <c r="BO2" s="145">
        <f>IF(HLOOKUP("Mins",A1:CV300,2,FALSE)=0,0,HLOOKUP("Gs - Open",A1:CV300,2,FALSE)/HLOOKUP("Mins",A1:CV300,2,FALSE)* 90)</f>
      </c>
      <c r="BP2" s="146">
        <f>IF(HLOOKUP("Mins",A1:CV300,2,FALSE)=0,0,HLOOKUP("ICT Index",A1:CV300,2,FALSE)/HLOOKUP("Mins",A1:CV300,2,FALSE)* 90)</f>
      </c>
      <c r="BQ2" s="147">
        <f>IF(HLOOKUP("Mins",A1:CV300,2,FALSE)=0,0,(0.043*(HLOOKUP("Shots",A1:CV300,2,FALSE)-HLOOKUP("SIB",A1:CV300,2,FALSE))+0.162*(HLOOKUP("SIB",A1:CV300,2,FALSE)-(HLOOKUP("PK Gs",A1:CV300,2,FALSE)+HLOOKUP("PK Miss",A1:CV300,2,FALSE)))+0.75*(HLOOKUP("PK Gs",A1:CV300,2,FALSE)+HLOOKUP("PK Miss",A1:CV300,2,FALSE)))/HLOOKUP("Mins",A1:CV300,2,FALSE)*90)</f>
      </c>
      <c r="BR2" s="148">
        <f>0.103*HLOOKUP("KP/90",A1:CV300,2,FALSE)</f>
      </c>
      <c r="BS2" s="149">
        <f>4*HLOOKUP("xG/90",A1:CV300,2,FALSE)+3*HLOOKUP("xA/90",A1:CV300,2,FALSE)</f>
      </c>
      <c r="BT2" s="150">
        <f>HLOOKUP("xPts/90",A1:CV300,2,FALSE)-(4*0.75*(HLOOKUP("PK Gs",A1:CV300,2,FALSE)+HLOOKUP("PK Miss",A1:CV300,2,FALSE))*90/HLOOKUP("Mins",A1:CV300,2,FALSE))</f>
      </c>
      <c r="BU2" s="151">
        <f>IF(HLOOKUP("Mins",A1:CV300,2,FALSE)=0,0,HLOOKUP("fsXG",A1:CV300,2,FALSE)/HLOOKUP("Mins",A1:CV300,2,FALSE)* 90)</f>
      </c>
      <c r="BV2" s="152">
        <f>IF(HLOOKUP("Mins",A1:CV300,2,FALSE)=0,0,HLOOKUP("fsXA",A1:CV300,2,FALSE)/HLOOKUP("Mins",A1:CV300,2,FALSE)* 90)</f>
      </c>
      <c r="BW2" s="153">
        <f>4*HLOOKUP("fsXG/90",A1:CV300,2,FALSE)+3*HLOOKUP("fsXA/90",A1:CV300,2,FALSE)</f>
      </c>
      <c r="BX2" t="n" s="154">
        <v>0.4799278676509857</v>
      </c>
      <c r="BY2" t="n" s="155">
        <v>0.005886300001293421</v>
      </c>
      <c r="BZ2" s="156">
        <f>4*HLOOKUP("uXG/90",A1:CV300,2,FALSE)+3*HLOOKUP("uXA/90",A1:CV300,2,FALSE)</f>
      </c>
    </row>
    <row r="3">
      <c r="A3" t="s" s="157">
        <v>81</v>
      </c>
      <c r="B3" t="s" s="158">
        <v>82</v>
      </c>
      <c r="C3" t="n" s="159">
        <v>5.699999809265137</v>
      </c>
      <c r="D3" t="n" s="160">
        <v>168.0</v>
      </c>
      <c r="E3" t="n" s="161">
        <v>5.0</v>
      </c>
      <c r="F3" t="n" s="162">
        <v>40.0</v>
      </c>
      <c r="G3" t="n" s="163">
        <v>0.0</v>
      </c>
      <c r="H3" t="n" s="164">
        <v>5.0</v>
      </c>
      <c r="I3" t="n" s="165">
        <v>142.0</v>
      </c>
      <c r="J3" s="166">
        <f>HLOOKUP("BPS",A1:CV300,3,FALSE)-((-6*HLOOKUP("OG",A1:CV300,3,FALSE))+(-6*HLOOKUP("PK Miss",A1:CV300,3,FALSE))+(9*HLOOKUP("FPL As",A1:CV300,3,FALSE))+(0*HLOOKUP("CS",A1:CV300,3,FALSE))+(24*HLOOKUP("Gs",A1:CV300,3,FALSE)))</f>
      </c>
      <c r="K3" t="n" s="167">
        <v>0.0</v>
      </c>
      <c r="L3" t="n" s="168">
        <v>1.0</v>
      </c>
      <c r="M3" t="n" s="169">
        <v>19.0</v>
      </c>
      <c r="N3" t="n" s="170">
        <v>5.0</v>
      </c>
      <c r="O3" t="n" s="171">
        <v>4.0</v>
      </c>
      <c r="P3" s="172">
        <f>IF(HLOOKUP("Shots",A1:CV300,3,FALSE)=0,0,HLOOKUP("SIB",A1:CV300,3,FALSE)/HLOOKUP("Shots",A1:CV300,3,FALSE))</f>
      </c>
      <c r="Q3" t="n" s="173">
        <v>0.0</v>
      </c>
      <c r="R3" s="174">
        <f>IF(HLOOKUP("Shots",A1:CV300,3,FALSE)=0,0,HLOOKUP("S6YD",A1:CV300,3,FALSE)/HLOOKUP("Shots",A1:CV300,3,FALSE))</f>
      </c>
      <c r="S3" t="n" s="175">
        <v>0.0</v>
      </c>
      <c r="T3" s="176">
        <f>IF(HLOOKUP("Shots",A1:CV300,3,FALSE)=0,0,HLOOKUP("Headers",A1:CV300,3,FALSE)/HLOOKUP("Shots",A1:CV300,3,FALSE))</f>
      </c>
      <c r="U3" t="n" s="177">
        <v>3.0</v>
      </c>
      <c r="V3" s="178">
        <f>IF(HLOOKUP("Shots",A1:CV300,3,FALSE)=0,0,HLOOKUP("SOT",A1:CV300,3,FALSE)/HLOOKUP("Shots",A1:CV300,3,FALSE))</f>
      </c>
      <c r="W3" s="179">
        <f>IF(HLOOKUP("Shots",A1:CV300,3,FALSE)=0,0,HLOOKUP("Gs",A1:CV300,3,FALSE)/HLOOKUP("Shots",A1:CV300,3,FALSE))</f>
      </c>
      <c r="X3" t="n" s="180">
        <v>1.0</v>
      </c>
      <c r="Y3" t="n" s="181">
        <v>4.0</v>
      </c>
      <c r="Z3" t="n" s="182">
        <v>4.0</v>
      </c>
      <c r="AA3" s="183">
        <f>IF(HLOOKUP("KP",A1:CV300,3,FALSE)=0,0,HLOOKUP("As",A1:CV300,3,FALSE)/HLOOKUP("KP",A1:CV300,3,FALSE))</f>
      </c>
      <c r="AB3" t="n" s="184">
        <v>19.2</v>
      </c>
      <c r="AC3" t="n" s="185">
        <v>40.0</v>
      </c>
      <c r="AD3" t="n" s="186">
        <v>1.0</v>
      </c>
      <c r="AE3" t="n" s="187">
        <v>2.0</v>
      </c>
      <c r="AF3" t="n" s="188">
        <v>2.0</v>
      </c>
      <c r="AG3" s="189">
        <f>IF(HLOOKUP("BC",A1:CV300,3,FALSE)=0,0,HLOOKUP("Gs - BC",A1:CV300,3,FALSE)/HLOOKUP("BC",A1:CV300,3,FALSE))</f>
      </c>
      <c r="AH3" s="190">
        <f>HLOOKUP("BC",A1:CV300,3,FALSE) - HLOOKUP("BC Miss",A1:CV300,3,FALSE)</f>
      </c>
      <c r="AI3" s="191">
        <f>IF(HLOOKUP("Gs",A1:CV300,3,FALSE)=0,0,HLOOKUP("Gs - BC",A1:CV300,3,FALSE)/HLOOKUP("Gs",A1:CV300,3,FALSE))</f>
      </c>
      <c r="AJ3" t="n" s="192">
        <v>0.0</v>
      </c>
      <c r="AK3" t="n" s="193">
        <v>0.0</v>
      </c>
      <c r="AL3" s="194">
        <f>HLOOKUP("BC",A1:CV300,3,FALSE) - (HLOOKUP("PK Gs",A1:CV300,3,FALSE) + HLOOKUP("PK Miss",A1:CV300,3,FALSE))</f>
      </c>
      <c r="AM3" s="195">
        <f>HLOOKUP("BC Miss",A1:CV300,3,FALSE) - HLOOKUP("PK Miss",A1:CV300,3,FALSE)</f>
      </c>
      <c r="AN3" s="196">
        <f>IF(HLOOKUP("BC - Open",A1:CV300,3,FALSE)=0,0,HLOOKUP("BC - Open Miss",A1:CV300,3,FALSE)/HLOOKUP("BC - Open",A1:CV300,3,FALSE))</f>
      </c>
      <c r="AO3" t="n" s="197">
        <v>0.0</v>
      </c>
      <c r="AP3" s="198">
        <f>IF(HLOOKUP("Gs",A1:CV300,3,FALSE)=0,0,HLOOKUP("GIB",A1:CV300,3,FALSE)/HLOOKUP("Gs",A1:CV300,3,FALSE))</f>
      </c>
      <c r="AQ3" t="n" s="199">
        <v>0.0</v>
      </c>
      <c r="AR3" s="200">
        <f>IF(HLOOKUP("Gs",A1:CV300,3,FALSE)=0,0,HLOOKUP("Gs - Open",A1:CV300,3,FALSE)/HLOOKUP("Gs",A1:CV300,3,FALSE))</f>
      </c>
      <c r="AS3" t="n" s="201">
        <v>1.11</v>
      </c>
      <c r="AT3" t="n" s="202">
        <v>0.35</v>
      </c>
      <c r="AU3" s="203">
        <f>IF(HLOOKUP("Mins",A1:CV300,3,FALSE)=0,0,HLOOKUP("Pts",A1:CV300,3,FALSE)/HLOOKUP("Mins",A1:CV300,3,FALSE)* 90)</f>
      </c>
      <c r="AV3" s="204">
        <f>IF(HLOOKUP("Apps",A1:CV300,3,FALSE)=0,0,HLOOKUP("Pts",A1:CV300,3,FALSE)/HLOOKUP("Apps",A1:CV300,3,FALSE)* 1)</f>
      </c>
      <c r="AW3" s="205">
        <f>IF(HLOOKUP("Mins",A1:CV300,3,FALSE)=0,0,HLOOKUP("Gs",A1:CV300,3,FALSE)/HLOOKUP("Mins",A1:CV300,3,FALSE)* 90)</f>
      </c>
      <c r="AX3" s="206">
        <f>IF(HLOOKUP("Mins",A1:CV300,3,FALSE)=0,0,HLOOKUP("Bonus",A1:CV300,3,FALSE)/HLOOKUP("Mins",A1:CV300,3,FALSE)* 90)</f>
      </c>
      <c r="AY3" s="207">
        <f>IF(HLOOKUP("Mins",A1:CV300,3,FALSE)=0,0,HLOOKUP("BPS",A1:CV300,3,FALSE)/HLOOKUP("Mins",A1:CV300,3,FALSE)* 90)</f>
      </c>
      <c r="AZ3" s="208">
        <f>IF(HLOOKUP("Mins",A1:CV300,3,FALSE)=0,0,HLOOKUP("Base BPS",A1:CV300,3,FALSE)/HLOOKUP("Mins",A1:CV300,3,FALSE)* 90)</f>
      </c>
      <c r="BA3" s="209">
        <f>IF(HLOOKUP("Mins",A1:CV300,3,FALSE)=0,0,HLOOKUP("PenTchs",A1:CV300,3,FALSE)/HLOOKUP("Mins",A1:CV300,3,FALSE)* 90)</f>
      </c>
      <c r="BB3" s="210">
        <f>IF(HLOOKUP("Mins",A1:CV300,3,FALSE)=0,0,HLOOKUP("Shots",A1:CV300,3,FALSE)/HLOOKUP("Mins",A1:CV300,3,FALSE)* 90)</f>
      </c>
      <c r="BC3" s="211">
        <f>IF(HLOOKUP("Mins",A1:CV300,3,FALSE)=0,0,HLOOKUP("SIB",A1:CV300,3,FALSE)/HLOOKUP("Mins",A1:CV300,3,FALSE)* 90)</f>
      </c>
      <c r="BD3" s="212">
        <f>IF(HLOOKUP("Mins",A1:CV300,3,FALSE)=0,0,HLOOKUP("S6YD",A1:CV300,3,FALSE)/HLOOKUP("Mins",A1:CV300,3,FALSE)* 90)</f>
      </c>
      <c r="BE3" s="213">
        <f>IF(HLOOKUP("Mins",A1:CV300,3,FALSE)=0,0,HLOOKUP("Headers",A1:CV300,3,FALSE)/HLOOKUP("Mins",A1:CV300,3,FALSE)* 90)</f>
      </c>
      <c r="BF3" s="214">
        <f>IF(HLOOKUP("Mins",A1:CV300,3,FALSE)=0,0,HLOOKUP("SOT",A1:CV300,3,FALSE)/HLOOKUP("Mins",A1:CV300,3,FALSE)* 90)</f>
      </c>
      <c r="BG3" s="215">
        <f>IF(HLOOKUP("Mins",A1:CV300,3,FALSE)=0,0,HLOOKUP("As",A1:CV300,3,FALSE)/HLOOKUP("Mins",A1:CV300,3,FALSE)* 90)</f>
      </c>
      <c r="BH3" s="216">
        <f>IF(HLOOKUP("Mins",A1:CV300,3,FALSE)=0,0,HLOOKUP("FPL As",A1:CV300,3,FALSE)/HLOOKUP("Mins",A1:CV300,3,FALSE)* 90)</f>
      </c>
      <c r="BI3" s="217">
        <f>IF(HLOOKUP("Mins",A1:CV300,3,FALSE)=0,0,HLOOKUP("BC Created",A1:CV300,3,FALSE)/HLOOKUP("Mins",A1:CV300,3,FALSE)* 90)</f>
      </c>
      <c r="BJ3" s="218">
        <f>IF(HLOOKUP("Mins",A1:CV300,3,FALSE)=0,0,HLOOKUP("KP",A1:CV300,3,FALSE)/HLOOKUP("Mins",A1:CV300,3,FALSE)* 90)</f>
      </c>
      <c r="BK3" s="219">
        <f>IF(HLOOKUP("Mins",A1:CV300,3,FALSE)=0,0,HLOOKUP("BC",A1:CV300,3,FALSE)/HLOOKUP("Mins",A1:CV300,3,FALSE)* 90)</f>
      </c>
      <c r="BL3" s="220">
        <f>IF(HLOOKUP("Mins",A1:CV300,3,FALSE)=0,0,HLOOKUP("BC Miss",A1:CV300,3,FALSE)/HLOOKUP("Mins",A1:CV300,3,FALSE)* 90)</f>
      </c>
      <c r="BM3" s="221">
        <f>IF(HLOOKUP("Mins",A1:CV300,3,FALSE)=0,0,HLOOKUP("Gs - BC",A1:CV300,3,FALSE)/HLOOKUP("Mins",A1:CV300,3,FALSE)* 90)</f>
      </c>
      <c r="BN3" s="222">
        <f>IF(HLOOKUP("Mins",A1:CV300,3,FALSE)=0,0,HLOOKUP("GIB",A1:CV300,3,FALSE)/HLOOKUP("Mins",A1:CV300,3,FALSE)* 90)</f>
      </c>
      <c r="BO3" s="223">
        <f>IF(HLOOKUP("Mins",A1:CV300,3,FALSE)=0,0,HLOOKUP("Gs - Open",A1:CV300,3,FALSE)/HLOOKUP("Mins",A1:CV300,3,FALSE)* 90)</f>
      </c>
      <c r="BP3" s="224">
        <f>IF(HLOOKUP("Mins",A1:CV300,3,FALSE)=0,0,HLOOKUP("ICT Index",A1:CV300,3,FALSE)/HLOOKUP("Mins",A1:CV300,3,FALSE)* 90)</f>
      </c>
      <c r="BQ3" s="225">
        <f>IF(HLOOKUP("Mins",A1:CV300,3,FALSE)=0,0,(0.043*(HLOOKUP("Shots",A1:CV300,3,FALSE)-HLOOKUP("SIB",A1:CV300,3,FALSE))+0.162*(HLOOKUP("SIB",A1:CV300,3,FALSE)-(HLOOKUP("PK Gs",A1:CV300,3,FALSE)+HLOOKUP("PK Miss",A1:CV300,3,FALSE)))+0.75*(HLOOKUP("PK Gs",A1:CV300,3,FALSE)+HLOOKUP("PK Miss",A1:CV300,3,FALSE)))/HLOOKUP("Mins",A1:CV300,3,FALSE)*90)</f>
      </c>
      <c r="BR3" s="226">
        <f>0.103*HLOOKUP("KP/90",A1:CV300,3,FALSE)</f>
      </c>
      <c r="BS3" s="227">
        <f>4*HLOOKUP("xG/90",A1:CV300,3,FALSE)+3*HLOOKUP("xA/90",A1:CV300,3,FALSE)</f>
      </c>
      <c r="BT3" s="228">
        <f>HLOOKUP("xPts/90",A1:CV300,3,FALSE)-(4*0.75*(HLOOKUP("PK Gs",A1:CV300,3,FALSE)+HLOOKUP("PK Miss",A1:CV300,3,FALSE))*90/HLOOKUP("Mins",A1:CV300,3,FALSE))</f>
      </c>
      <c r="BU3" s="229">
        <f>IF(HLOOKUP("Mins",A1:CV300,3,FALSE)=0,0,HLOOKUP("fsXG",A1:CV300,3,FALSE)/HLOOKUP("Mins",A1:CV300,3,FALSE)* 90)</f>
      </c>
      <c r="BV3" s="230">
        <f>IF(HLOOKUP("Mins",A1:CV300,3,FALSE)=0,0,HLOOKUP("fsXA",A1:CV300,3,FALSE)/HLOOKUP("Mins",A1:CV300,3,FALSE)* 90)</f>
      </c>
      <c r="BW3" s="231">
        <f>4*HLOOKUP("fsXG/90",A1:CV300,3,FALSE)+3*HLOOKUP("fsXA/90",A1:CV300,3,FALSE)</f>
      </c>
      <c r="BX3" t="n" s="232">
        <v>0.3267415165901184</v>
      </c>
      <c r="BY3" t="n" s="233">
        <v>0.26411476731300354</v>
      </c>
      <c r="BZ3" s="234">
        <f>4*HLOOKUP("uXG/90",A1:CV300,3,FALSE)+3*HLOOKUP("uXA/90",A1:CV300,3,FALSE)</f>
      </c>
    </row>
    <row r="4">
      <c r="A4" t="s" s="235">
        <v>83</v>
      </c>
      <c r="B4" t="s" s="236">
        <v>82</v>
      </c>
      <c r="C4" t="n" s="237">
        <v>9.699999809265137</v>
      </c>
      <c r="D4" t="n" s="238">
        <v>393.0</v>
      </c>
      <c r="E4" t="n" s="239">
        <v>5.0</v>
      </c>
      <c r="F4" t="n" s="240">
        <v>154.0</v>
      </c>
      <c r="G4" t="n" s="241">
        <v>0.0</v>
      </c>
      <c r="H4" t="n" s="242">
        <v>25.0</v>
      </c>
      <c r="I4" t="n" s="243">
        <v>565.0</v>
      </c>
      <c r="J4" s="244">
        <f>HLOOKUP("BPS",A1:CV300,4,FALSE)-((-6*HLOOKUP("OG",A1:CV300,4,FALSE))+(-6*HLOOKUP("PK Miss",A1:CV300,4,FALSE))+(9*HLOOKUP("FPL As",A1:CV300,4,FALSE))+(0*HLOOKUP("CS",A1:CV300,4,FALSE))+(24*HLOOKUP("Gs",A1:CV300,4,FALSE)))</f>
      </c>
      <c r="K4" t="n" s="245">
        <v>0.0</v>
      </c>
      <c r="L4" t="n" s="246">
        <v>8.0</v>
      </c>
      <c r="M4" t="n" s="247">
        <v>11.0</v>
      </c>
      <c r="N4" t="n" s="248">
        <v>4.0</v>
      </c>
      <c r="O4" t="n" s="249">
        <v>4.0</v>
      </c>
      <c r="P4" s="250">
        <f>IF(HLOOKUP("Shots",A1:CV300,4,FALSE)=0,0,HLOOKUP("SIB",A1:CV300,4,FALSE)/HLOOKUP("Shots",A1:CV300,4,FALSE))</f>
      </c>
      <c r="Q4" t="n" s="251">
        <v>0.0</v>
      </c>
      <c r="R4" s="252">
        <f>IF(HLOOKUP("Shots",A1:CV300,4,FALSE)=0,0,HLOOKUP("S6YD",A1:CV300,4,FALSE)/HLOOKUP("Shots",A1:CV300,4,FALSE))</f>
      </c>
      <c r="S4" t="n" s="253">
        <v>0.0</v>
      </c>
      <c r="T4" s="254">
        <f>IF(HLOOKUP("Shots",A1:CV300,4,FALSE)=0,0,HLOOKUP("Headers",A1:CV300,4,FALSE)/HLOOKUP("Shots",A1:CV300,4,FALSE))</f>
      </c>
      <c r="U4" t="n" s="255">
        <v>4.0</v>
      </c>
      <c r="V4" s="256">
        <f>IF(HLOOKUP("Shots",A1:CV300,4,FALSE)=0,0,HLOOKUP("SOT",A1:CV300,4,FALSE)/HLOOKUP("Shots",A1:CV300,4,FALSE))</f>
      </c>
      <c r="W4" s="257">
        <f>IF(HLOOKUP("Shots",A1:CV300,4,FALSE)=0,0,HLOOKUP("Gs",A1:CV300,4,FALSE)/HLOOKUP("Shots",A1:CV300,4,FALSE))</f>
      </c>
      <c r="X4" t="n" s="258">
        <v>1.0</v>
      </c>
      <c r="Y4" t="n" s="259">
        <v>6.0</v>
      </c>
      <c r="Z4" t="n" s="260">
        <v>3.0</v>
      </c>
      <c r="AA4" s="261">
        <f>IF(HLOOKUP("KP",A1:CV300,4,FALSE)=0,0,HLOOKUP("As",A1:CV300,4,FALSE)/HLOOKUP("KP",A1:CV300,4,FALSE))</f>
      </c>
      <c r="AB4" t="n" s="262">
        <v>17.4</v>
      </c>
      <c r="AC4" t="n" s="263">
        <v>20.0</v>
      </c>
      <c r="AD4" t="n" s="264">
        <v>3.0</v>
      </c>
      <c r="AE4" t="n" s="265">
        <v>3.0</v>
      </c>
      <c r="AF4" t="n" s="266">
        <v>3.0</v>
      </c>
      <c r="AG4" s="267">
        <f>IF(HLOOKUP("BC",A1:CV300,4,FALSE)=0,0,HLOOKUP("Gs - BC",A1:CV300,4,FALSE)/HLOOKUP("BC",A1:CV300,4,FALSE))</f>
      </c>
      <c r="AH4" s="268">
        <f>HLOOKUP("BC",A1:CV300,4,FALSE) - HLOOKUP("BC Miss",A1:CV300,4,FALSE)</f>
      </c>
      <c r="AI4" s="269">
        <f>IF(HLOOKUP("Gs",A1:CV300,4,FALSE)=0,0,HLOOKUP("Gs - BC",A1:CV300,4,FALSE)/HLOOKUP("Gs",A1:CV300,4,FALSE))</f>
      </c>
      <c r="AJ4" t="n" s="270">
        <v>0.0</v>
      </c>
      <c r="AK4" t="n" s="271">
        <v>1.0</v>
      </c>
      <c r="AL4" s="272">
        <f>HLOOKUP("BC",A1:CV300,4,FALSE) - (HLOOKUP("PK Gs",A1:CV300,4,FALSE) + HLOOKUP("PK Miss",A1:CV300,4,FALSE))</f>
      </c>
      <c r="AM4" s="273">
        <f>HLOOKUP("BC Miss",A1:CV300,4,FALSE) - HLOOKUP("PK Miss",A1:CV300,4,FALSE)</f>
      </c>
      <c r="AN4" s="274">
        <f>IF(HLOOKUP("BC - Open",A1:CV300,4,FALSE)=0,0,HLOOKUP("BC - Open Miss",A1:CV300,4,FALSE)/HLOOKUP("BC - Open",A1:CV300,4,FALSE))</f>
      </c>
      <c r="AO4" t="n" s="275">
        <v>0.0</v>
      </c>
      <c r="AP4" s="276">
        <f>IF(HLOOKUP("Gs",A1:CV300,4,FALSE)=0,0,HLOOKUP("GIB",A1:CV300,4,FALSE)/HLOOKUP("Gs",A1:CV300,4,FALSE))</f>
      </c>
      <c r="AQ4" t="n" s="277">
        <v>0.0</v>
      </c>
      <c r="AR4" s="278">
        <f>IF(HLOOKUP("Gs",A1:CV300,4,FALSE)=0,0,HLOOKUP("Gs - Open",A1:CV300,4,FALSE)/HLOOKUP("Gs",A1:CV300,4,FALSE))</f>
      </c>
      <c r="AS4" t="n" s="279">
        <v>1.61</v>
      </c>
      <c r="AT4" t="n" s="280">
        <v>0.71</v>
      </c>
      <c r="AU4" s="281">
        <f>IF(HLOOKUP("Mins",A1:CV300,4,FALSE)=0,0,HLOOKUP("Pts",A1:CV300,4,FALSE)/HLOOKUP("Mins",A1:CV300,4,FALSE)* 90)</f>
      </c>
      <c r="AV4" s="282">
        <f>IF(HLOOKUP("Apps",A1:CV300,4,FALSE)=0,0,HLOOKUP("Pts",A1:CV300,4,FALSE)/HLOOKUP("Apps",A1:CV300,4,FALSE)* 1)</f>
      </c>
      <c r="AW4" s="283">
        <f>IF(HLOOKUP("Mins",A1:CV300,4,FALSE)=0,0,HLOOKUP("Gs",A1:CV300,4,FALSE)/HLOOKUP("Mins",A1:CV300,4,FALSE)* 90)</f>
      </c>
      <c r="AX4" s="284">
        <f>IF(HLOOKUP("Mins",A1:CV300,4,FALSE)=0,0,HLOOKUP("Bonus",A1:CV300,4,FALSE)/HLOOKUP("Mins",A1:CV300,4,FALSE)* 90)</f>
      </c>
      <c r="AY4" s="285">
        <f>IF(HLOOKUP("Mins",A1:CV300,4,FALSE)=0,0,HLOOKUP("BPS",A1:CV300,4,FALSE)/HLOOKUP("Mins",A1:CV300,4,FALSE)* 90)</f>
      </c>
      <c r="AZ4" s="286">
        <f>IF(HLOOKUP("Mins",A1:CV300,4,FALSE)=0,0,HLOOKUP("Base BPS",A1:CV300,4,FALSE)/HLOOKUP("Mins",A1:CV300,4,FALSE)* 90)</f>
      </c>
      <c r="BA4" s="287">
        <f>IF(HLOOKUP("Mins",A1:CV300,4,FALSE)=0,0,HLOOKUP("PenTchs",A1:CV300,4,FALSE)/HLOOKUP("Mins",A1:CV300,4,FALSE)* 90)</f>
      </c>
      <c r="BB4" s="288">
        <f>IF(HLOOKUP("Mins",A1:CV300,4,FALSE)=0,0,HLOOKUP("Shots",A1:CV300,4,FALSE)/HLOOKUP("Mins",A1:CV300,4,FALSE)* 90)</f>
      </c>
      <c r="BC4" s="289">
        <f>IF(HLOOKUP("Mins",A1:CV300,4,FALSE)=0,0,HLOOKUP("SIB",A1:CV300,4,FALSE)/HLOOKUP("Mins",A1:CV300,4,FALSE)* 90)</f>
      </c>
      <c r="BD4" s="290">
        <f>IF(HLOOKUP("Mins",A1:CV300,4,FALSE)=0,0,HLOOKUP("S6YD",A1:CV300,4,FALSE)/HLOOKUP("Mins",A1:CV300,4,FALSE)* 90)</f>
      </c>
      <c r="BE4" s="291">
        <f>IF(HLOOKUP("Mins",A1:CV300,4,FALSE)=0,0,HLOOKUP("Headers",A1:CV300,4,FALSE)/HLOOKUP("Mins",A1:CV300,4,FALSE)* 90)</f>
      </c>
      <c r="BF4" s="292">
        <f>IF(HLOOKUP("Mins",A1:CV300,4,FALSE)=0,0,HLOOKUP("SOT",A1:CV300,4,FALSE)/HLOOKUP("Mins",A1:CV300,4,FALSE)* 90)</f>
      </c>
      <c r="BG4" s="293">
        <f>IF(HLOOKUP("Mins",A1:CV300,4,FALSE)=0,0,HLOOKUP("As",A1:CV300,4,FALSE)/HLOOKUP("Mins",A1:CV300,4,FALSE)* 90)</f>
      </c>
      <c r="BH4" s="294">
        <f>IF(HLOOKUP("Mins",A1:CV300,4,FALSE)=0,0,HLOOKUP("FPL As",A1:CV300,4,FALSE)/HLOOKUP("Mins",A1:CV300,4,FALSE)* 90)</f>
      </c>
      <c r="BI4" s="295">
        <f>IF(HLOOKUP("Mins",A1:CV300,4,FALSE)=0,0,HLOOKUP("BC Created",A1:CV300,4,FALSE)/HLOOKUP("Mins",A1:CV300,4,FALSE)* 90)</f>
      </c>
      <c r="BJ4" s="296">
        <f>IF(HLOOKUP("Mins",A1:CV300,4,FALSE)=0,0,HLOOKUP("KP",A1:CV300,4,FALSE)/HLOOKUP("Mins",A1:CV300,4,FALSE)* 90)</f>
      </c>
      <c r="BK4" s="297">
        <f>IF(HLOOKUP("Mins",A1:CV300,4,FALSE)=0,0,HLOOKUP("BC",A1:CV300,4,FALSE)/HLOOKUP("Mins",A1:CV300,4,FALSE)* 90)</f>
      </c>
      <c r="BL4" s="298">
        <f>IF(HLOOKUP("Mins",A1:CV300,4,FALSE)=0,0,HLOOKUP("BC Miss",A1:CV300,4,FALSE)/HLOOKUP("Mins",A1:CV300,4,FALSE)* 90)</f>
      </c>
      <c r="BM4" s="299">
        <f>IF(HLOOKUP("Mins",A1:CV300,4,FALSE)=0,0,HLOOKUP("Gs - BC",A1:CV300,4,FALSE)/HLOOKUP("Mins",A1:CV300,4,FALSE)* 90)</f>
      </c>
      <c r="BN4" s="300">
        <f>IF(HLOOKUP("Mins",A1:CV300,4,FALSE)=0,0,HLOOKUP("GIB",A1:CV300,4,FALSE)/HLOOKUP("Mins",A1:CV300,4,FALSE)* 90)</f>
      </c>
      <c r="BO4" s="301">
        <f>IF(HLOOKUP("Mins",A1:CV300,4,FALSE)=0,0,HLOOKUP("Gs - Open",A1:CV300,4,FALSE)/HLOOKUP("Mins",A1:CV300,4,FALSE)* 90)</f>
      </c>
      <c r="BP4" s="302">
        <f>IF(HLOOKUP("Mins",A1:CV300,4,FALSE)=0,0,HLOOKUP("ICT Index",A1:CV300,4,FALSE)/HLOOKUP("Mins",A1:CV300,4,FALSE)* 90)</f>
      </c>
      <c r="BQ4" s="303">
        <f>IF(HLOOKUP("Mins",A1:CV300,4,FALSE)=0,0,(0.043*(HLOOKUP("Shots",A1:CV300,4,FALSE)-HLOOKUP("SIB",A1:CV300,4,FALSE))+0.162*(HLOOKUP("SIB",A1:CV300,4,FALSE)-(HLOOKUP("PK Gs",A1:CV300,4,FALSE)+HLOOKUP("PK Miss",A1:CV300,4,FALSE)))+0.75*(HLOOKUP("PK Gs",A1:CV300,4,FALSE)+HLOOKUP("PK Miss",A1:CV300,4,FALSE)))/HLOOKUP("Mins",A1:CV300,4,FALSE)*90)</f>
      </c>
      <c r="BR4" s="304">
        <f>0.103*HLOOKUP("KP/90",A1:CV300,4,FALSE)</f>
      </c>
      <c r="BS4" s="305">
        <f>4*HLOOKUP("xG/90",A1:CV300,4,FALSE)+3*HLOOKUP("xA/90",A1:CV300,4,FALSE)</f>
      </c>
      <c r="BT4" s="306">
        <f>HLOOKUP("xPts/90",A1:CV300,4,FALSE)-(4*0.75*(HLOOKUP("PK Gs",A1:CV300,4,FALSE)+HLOOKUP("PK Miss",A1:CV300,4,FALSE))*90/HLOOKUP("Mins",A1:CV300,4,FALSE))</f>
      </c>
      <c r="BU4" s="307">
        <f>IF(HLOOKUP("Mins",A1:CV300,4,FALSE)=0,0,HLOOKUP("fsXG",A1:CV300,4,FALSE)/HLOOKUP("Mins",A1:CV300,4,FALSE)* 90)</f>
      </c>
      <c r="BV4" s="308">
        <f>IF(HLOOKUP("Mins",A1:CV300,4,FALSE)=0,0,HLOOKUP("fsXA",A1:CV300,4,FALSE)/HLOOKUP("Mins",A1:CV300,4,FALSE)* 90)</f>
      </c>
      <c r="BW4" s="309">
        <f>4*HLOOKUP("fsXG/90",A1:CV300,4,FALSE)+3*HLOOKUP("fsXA/90",A1:CV300,4,FALSE)</f>
      </c>
      <c r="BX4" t="n" s="310">
        <v>0.3330840468406677</v>
      </c>
      <c r="BY4" t="n" s="311">
        <v>0.24491171538829803</v>
      </c>
      <c r="BZ4" s="312">
        <f>4*HLOOKUP("uXG/90",A1:CV300,4,FALSE)+3*HLOOKUP("uXA/90",A1:CV300,4,FALSE)</f>
      </c>
    </row>
    <row r="5">
      <c r="A5" t="s" s="313">
        <v>84</v>
      </c>
      <c r="B5" t="s" s="314">
        <v>85</v>
      </c>
      <c r="C5" t="n" s="315">
        <v>4.599999904632568</v>
      </c>
      <c r="D5" t="n" s="316">
        <v>224.0</v>
      </c>
      <c r="E5" t="n" s="317">
        <v>6.0</v>
      </c>
      <c r="F5" t="n" s="318">
        <v>71.0</v>
      </c>
      <c r="G5" t="n" s="319">
        <v>0.0</v>
      </c>
      <c r="H5" t="n" s="320">
        <v>9.0</v>
      </c>
      <c r="I5" t="n" s="321">
        <v>214.0</v>
      </c>
      <c r="J5" s="322">
        <f>HLOOKUP("BPS",A1:CV300,5,FALSE)-((-6*HLOOKUP("OG",A1:CV300,5,FALSE))+(-6*HLOOKUP("PK Miss",A1:CV300,5,FALSE))+(9*HLOOKUP("FPL As",A1:CV300,5,FALSE))+(0*HLOOKUP("CS",A1:CV300,5,FALSE))+(24*HLOOKUP("Gs",A1:CV300,5,FALSE)))</f>
      </c>
      <c r="K5" t="n" s="323">
        <v>0.0</v>
      </c>
      <c r="L5" t="n" s="324">
        <v>3.0</v>
      </c>
      <c r="M5" t="n" s="325">
        <v>16.0</v>
      </c>
      <c r="N5" t="n" s="326">
        <v>8.0</v>
      </c>
      <c r="O5" t="n" s="327">
        <v>6.0</v>
      </c>
      <c r="P5" s="328">
        <f>IF(HLOOKUP("Shots",A1:CV300,5,FALSE)=0,0,HLOOKUP("SIB",A1:CV300,5,FALSE)/HLOOKUP("Shots",A1:CV300,5,FALSE))</f>
      </c>
      <c r="Q5" t="n" s="329">
        <v>0.0</v>
      </c>
      <c r="R5" s="330">
        <f>IF(HLOOKUP("Shots",A1:CV300,5,FALSE)=0,0,HLOOKUP("S6YD",A1:CV300,5,FALSE)/HLOOKUP("Shots",A1:CV300,5,FALSE))</f>
      </c>
      <c r="S5" t="n" s="331">
        <v>2.0</v>
      </c>
      <c r="T5" s="332">
        <f>IF(HLOOKUP("Shots",A1:CV300,5,FALSE)=0,0,HLOOKUP("Headers",A1:CV300,5,FALSE)/HLOOKUP("Shots",A1:CV300,5,FALSE))</f>
      </c>
      <c r="U5" t="n" s="333">
        <v>3.0</v>
      </c>
      <c r="V5" s="334">
        <f>IF(HLOOKUP("Shots",A1:CV300,5,FALSE)=0,0,HLOOKUP("SOT",A1:CV300,5,FALSE)/HLOOKUP("Shots",A1:CV300,5,FALSE))</f>
      </c>
      <c r="W5" s="335">
        <f>IF(HLOOKUP("Shots",A1:CV300,5,FALSE)=0,0,HLOOKUP("Gs",A1:CV300,5,FALSE)/HLOOKUP("Shots",A1:CV300,5,FALSE))</f>
      </c>
      <c r="X5" t="n" s="336">
        <v>1.0</v>
      </c>
      <c r="Y5" t="n" s="337">
        <v>4.0</v>
      </c>
      <c r="Z5" t="n" s="338">
        <v>2.0</v>
      </c>
      <c r="AA5" s="339">
        <f>IF(HLOOKUP("KP",A1:CV300,5,FALSE)=0,0,HLOOKUP("As",A1:CV300,5,FALSE)/HLOOKUP("KP",A1:CV300,5,FALSE))</f>
      </c>
      <c r="AB5" t="n" s="340">
        <v>15.7</v>
      </c>
      <c r="AC5" t="n" s="341">
        <v>100.0</v>
      </c>
      <c r="AD5" t="n" s="342">
        <v>2.0</v>
      </c>
      <c r="AE5" t="n" s="343">
        <v>2.0</v>
      </c>
      <c r="AF5" t="n" s="344">
        <v>2.0</v>
      </c>
      <c r="AG5" s="345">
        <f>IF(HLOOKUP("BC",A1:CV300,5,FALSE)=0,0,HLOOKUP("Gs - BC",A1:CV300,5,FALSE)/HLOOKUP("BC",A1:CV300,5,FALSE))</f>
      </c>
      <c r="AH5" s="346">
        <f>HLOOKUP("BC",A1:CV300,5,FALSE) - HLOOKUP("BC Miss",A1:CV300,5,FALSE)</f>
      </c>
      <c r="AI5" s="347">
        <f>IF(HLOOKUP("Gs",A1:CV300,5,FALSE)=0,0,HLOOKUP("Gs - BC",A1:CV300,5,FALSE)/HLOOKUP("Gs",A1:CV300,5,FALSE))</f>
      </c>
      <c r="AJ5" t="n" s="348">
        <v>0.0</v>
      </c>
      <c r="AK5" t="n" s="349">
        <v>0.0</v>
      </c>
      <c r="AL5" s="350">
        <f>HLOOKUP("BC",A1:CV300,5,FALSE) - (HLOOKUP("PK Gs",A1:CV300,5,FALSE) + HLOOKUP("PK Miss",A1:CV300,5,FALSE))</f>
      </c>
      <c r="AM5" s="351">
        <f>HLOOKUP("BC Miss",A1:CV300,5,FALSE) - HLOOKUP("PK Miss",A1:CV300,5,FALSE)</f>
      </c>
      <c r="AN5" s="352">
        <f>IF(HLOOKUP("BC - Open",A1:CV300,5,FALSE)=0,0,HLOOKUP("BC - Open Miss",A1:CV300,5,FALSE)/HLOOKUP("BC - Open",A1:CV300,5,FALSE))</f>
      </c>
      <c r="AO5" t="n" s="353">
        <v>0.0</v>
      </c>
      <c r="AP5" s="354">
        <f>IF(HLOOKUP("Gs",A1:CV300,5,FALSE)=0,0,HLOOKUP("GIB",A1:CV300,5,FALSE)/HLOOKUP("Gs",A1:CV300,5,FALSE))</f>
      </c>
      <c r="AQ5" t="n" s="355">
        <v>0.0</v>
      </c>
      <c r="AR5" s="356">
        <f>IF(HLOOKUP("Gs",A1:CV300,5,FALSE)=0,0,HLOOKUP("Gs - Open",A1:CV300,5,FALSE)/HLOOKUP("Gs",A1:CV300,5,FALSE))</f>
      </c>
      <c r="AS5" t="n" s="357">
        <v>0.85</v>
      </c>
      <c r="AT5" t="n" s="358">
        <v>0.29</v>
      </c>
      <c r="AU5" s="359">
        <f>IF(HLOOKUP("Mins",A1:CV300,5,FALSE)=0,0,HLOOKUP("Pts",A1:CV300,5,FALSE)/HLOOKUP("Mins",A1:CV300,5,FALSE)* 90)</f>
      </c>
      <c r="AV5" s="360">
        <f>IF(HLOOKUP("Apps",A1:CV300,5,FALSE)=0,0,HLOOKUP("Pts",A1:CV300,5,FALSE)/HLOOKUP("Apps",A1:CV300,5,FALSE)* 1)</f>
      </c>
      <c r="AW5" s="361">
        <f>IF(HLOOKUP("Mins",A1:CV300,5,FALSE)=0,0,HLOOKUP("Gs",A1:CV300,5,FALSE)/HLOOKUP("Mins",A1:CV300,5,FALSE)* 90)</f>
      </c>
      <c r="AX5" s="362">
        <f>IF(HLOOKUP("Mins",A1:CV300,5,FALSE)=0,0,HLOOKUP("Bonus",A1:CV300,5,FALSE)/HLOOKUP("Mins",A1:CV300,5,FALSE)* 90)</f>
      </c>
      <c r="AY5" s="363">
        <f>IF(HLOOKUP("Mins",A1:CV300,5,FALSE)=0,0,HLOOKUP("BPS",A1:CV300,5,FALSE)/HLOOKUP("Mins",A1:CV300,5,FALSE)* 90)</f>
      </c>
      <c r="AZ5" s="364">
        <f>IF(HLOOKUP("Mins",A1:CV300,5,FALSE)=0,0,HLOOKUP("Base BPS",A1:CV300,5,FALSE)/HLOOKUP("Mins",A1:CV300,5,FALSE)* 90)</f>
      </c>
      <c r="BA5" s="365">
        <f>IF(HLOOKUP("Mins",A1:CV300,5,FALSE)=0,0,HLOOKUP("PenTchs",A1:CV300,5,FALSE)/HLOOKUP("Mins",A1:CV300,5,FALSE)* 90)</f>
      </c>
      <c r="BB5" s="366">
        <f>IF(HLOOKUP("Mins",A1:CV300,5,FALSE)=0,0,HLOOKUP("Shots",A1:CV300,5,FALSE)/HLOOKUP("Mins",A1:CV300,5,FALSE)* 90)</f>
      </c>
      <c r="BC5" s="367">
        <f>IF(HLOOKUP("Mins",A1:CV300,5,FALSE)=0,0,HLOOKUP("SIB",A1:CV300,5,FALSE)/HLOOKUP("Mins",A1:CV300,5,FALSE)* 90)</f>
      </c>
      <c r="BD5" s="368">
        <f>IF(HLOOKUP("Mins",A1:CV300,5,FALSE)=0,0,HLOOKUP("S6YD",A1:CV300,5,FALSE)/HLOOKUP("Mins",A1:CV300,5,FALSE)* 90)</f>
      </c>
      <c r="BE5" s="369">
        <f>IF(HLOOKUP("Mins",A1:CV300,5,FALSE)=0,0,HLOOKUP("Headers",A1:CV300,5,FALSE)/HLOOKUP("Mins",A1:CV300,5,FALSE)* 90)</f>
      </c>
      <c r="BF5" s="370">
        <f>IF(HLOOKUP("Mins",A1:CV300,5,FALSE)=0,0,HLOOKUP("SOT",A1:CV300,5,FALSE)/HLOOKUP("Mins",A1:CV300,5,FALSE)* 90)</f>
      </c>
      <c r="BG5" s="371">
        <f>IF(HLOOKUP("Mins",A1:CV300,5,FALSE)=0,0,HLOOKUP("As",A1:CV300,5,FALSE)/HLOOKUP("Mins",A1:CV300,5,FALSE)* 90)</f>
      </c>
      <c r="BH5" s="372">
        <f>IF(HLOOKUP("Mins",A1:CV300,5,FALSE)=0,0,HLOOKUP("FPL As",A1:CV300,5,FALSE)/HLOOKUP("Mins",A1:CV300,5,FALSE)* 90)</f>
      </c>
      <c r="BI5" s="373">
        <f>IF(HLOOKUP("Mins",A1:CV300,5,FALSE)=0,0,HLOOKUP("BC Created",A1:CV300,5,FALSE)/HLOOKUP("Mins",A1:CV300,5,FALSE)* 90)</f>
      </c>
      <c r="BJ5" s="374">
        <f>IF(HLOOKUP("Mins",A1:CV300,5,FALSE)=0,0,HLOOKUP("KP",A1:CV300,5,FALSE)/HLOOKUP("Mins",A1:CV300,5,FALSE)* 90)</f>
      </c>
      <c r="BK5" s="375">
        <f>IF(HLOOKUP("Mins",A1:CV300,5,FALSE)=0,0,HLOOKUP("BC",A1:CV300,5,FALSE)/HLOOKUP("Mins",A1:CV300,5,FALSE)* 90)</f>
      </c>
      <c r="BL5" s="376">
        <f>IF(HLOOKUP("Mins",A1:CV300,5,FALSE)=0,0,HLOOKUP("BC Miss",A1:CV300,5,FALSE)/HLOOKUP("Mins",A1:CV300,5,FALSE)* 90)</f>
      </c>
      <c r="BM5" s="377">
        <f>IF(HLOOKUP("Mins",A1:CV300,5,FALSE)=0,0,HLOOKUP("Gs - BC",A1:CV300,5,FALSE)/HLOOKUP("Mins",A1:CV300,5,FALSE)* 90)</f>
      </c>
      <c r="BN5" s="378">
        <f>IF(HLOOKUP("Mins",A1:CV300,5,FALSE)=0,0,HLOOKUP("GIB",A1:CV300,5,FALSE)/HLOOKUP("Mins",A1:CV300,5,FALSE)* 90)</f>
      </c>
      <c r="BO5" s="379">
        <f>IF(HLOOKUP("Mins",A1:CV300,5,FALSE)=0,0,HLOOKUP("Gs - Open",A1:CV300,5,FALSE)/HLOOKUP("Mins",A1:CV300,5,FALSE)* 90)</f>
      </c>
      <c r="BP5" s="380">
        <f>IF(HLOOKUP("Mins",A1:CV300,5,FALSE)=0,0,HLOOKUP("ICT Index",A1:CV300,5,FALSE)/HLOOKUP("Mins",A1:CV300,5,FALSE)* 90)</f>
      </c>
      <c r="BQ5" s="381">
        <f>IF(HLOOKUP("Mins",A1:CV300,5,FALSE)=0,0,(0.043*(HLOOKUP("Shots",A1:CV300,5,FALSE)-HLOOKUP("SIB",A1:CV300,5,FALSE))+0.162*(HLOOKUP("SIB",A1:CV300,5,FALSE)-(HLOOKUP("PK Gs",A1:CV300,5,FALSE)+HLOOKUP("PK Miss",A1:CV300,5,FALSE)))+0.75*(HLOOKUP("PK Gs",A1:CV300,5,FALSE)+HLOOKUP("PK Miss",A1:CV300,5,FALSE)))/HLOOKUP("Mins",A1:CV300,5,FALSE)*90)</f>
      </c>
      <c r="BR5" s="382">
        <f>0.103*HLOOKUP("KP/90",A1:CV300,5,FALSE)</f>
      </c>
      <c r="BS5" s="383">
        <f>4*HLOOKUP("xG/90",A1:CV300,5,FALSE)+3*HLOOKUP("xA/90",A1:CV300,5,FALSE)</f>
      </c>
      <c r="BT5" s="384">
        <f>HLOOKUP("xPts/90",A1:CV300,5,FALSE)-(4*0.75*(HLOOKUP("PK Gs",A1:CV300,5,FALSE)+HLOOKUP("PK Miss",A1:CV300,5,FALSE))*90/HLOOKUP("Mins",A1:CV300,5,FALSE))</f>
      </c>
      <c r="BU5" s="385">
        <f>IF(HLOOKUP("Mins",A1:CV300,5,FALSE)=0,0,HLOOKUP("fsXG",A1:CV300,5,FALSE)/HLOOKUP("Mins",A1:CV300,5,FALSE)* 90)</f>
      </c>
      <c r="BV5" s="386">
        <f>IF(HLOOKUP("Mins",A1:CV300,5,FALSE)=0,0,HLOOKUP("fsXA",A1:CV300,5,FALSE)/HLOOKUP("Mins",A1:CV300,5,FALSE)* 90)</f>
      </c>
      <c r="BW5" s="387">
        <f>4*HLOOKUP("fsXG/90",A1:CV300,5,FALSE)+3*HLOOKUP("fsXA/90",A1:CV300,5,FALSE)</f>
      </c>
      <c r="BX5" t="n" s="388">
        <v>0.48062998056411743</v>
      </c>
      <c r="BY5" t="n" s="389">
        <v>0.3653230369091034</v>
      </c>
      <c r="BZ5" s="390">
        <f>4*HLOOKUP("uXG/90",A1:CV300,5,FALSE)+3*HLOOKUP("uXA/90",A1:CV300,5,FALSE)</f>
      </c>
    </row>
    <row r="6">
      <c r="A6" t="s" s="391">
        <v>86</v>
      </c>
      <c r="B6" t="s" s="392">
        <v>87</v>
      </c>
      <c r="C6" t="n" s="393">
        <v>5.5</v>
      </c>
      <c r="D6" t="n" s="394">
        <v>71.0</v>
      </c>
      <c r="E6" t="n" s="395">
        <v>1.0</v>
      </c>
      <c r="F6" t="n" s="396">
        <v>67.0</v>
      </c>
      <c r="G6" t="n" s="397">
        <v>1.0</v>
      </c>
      <c r="H6" t="n" s="398">
        <v>7.0</v>
      </c>
      <c r="I6" t="n" s="399">
        <v>180.0</v>
      </c>
      <c r="J6" s="400">
        <f>HLOOKUP("BPS",A1:CV300,6,FALSE)-((-6*HLOOKUP("OG",A1:CV300,6,FALSE))+(-6*HLOOKUP("PK Miss",A1:CV300,6,FALSE))+(9*HLOOKUP("FPL As",A1:CV300,6,FALSE))+(0*HLOOKUP("CS",A1:CV300,6,FALSE))+(24*HLOOKUP("Gs",A1:CV300,6,FALSE)))</f>
      </c>
      <c r="K6" t="n" s="401">
        <v>0.0</v>
      </c>
      <c r="L6" t="n" s="402">
        <v>6.0</v>
      </c>
      <c r="M6" t="n" s="403">
        <v>4.0</v>
      </c>
      <c r="N6" t="n" s="404">
        <v>3.0</v>
      </c>
      <c r="O6" t="n" s="405">
        <v>3.0</v>
      </c>
      <c r="P6" s="406">
        <f>IF(HLOOKUP("Shots",A1:CV300,6,FALSE)=0,0,HLOOKUP("SIB",A1:CV300,6,FALSE)/HLOOKUP("Shots",A1:CV300,6,FALSE))</f>
      </c>
      <c r="Q6" t="n" s="407">
        <v>0.0</v>
      </c>
      <c r="R6" s="408">
        <f>IF(HLOOKUP("Shots",A1:CV300,6,FALSE)=0,0,HLOOKUP("S6YD",A1:CV300,6,FALSE)/HLOOKUP("Shots",A1:CV300,6,FALSE))</f>
      </c>
      <c r="S6" t="n" s="409">
        <v>0.0</v>
      </c>
      <c r="T6" s="410">
        <f>IF(HLOOKUP("Shots",A1:CV300,6,FALSE)=0,0,HLOOKUP("Headers",A1:CV300,6,FALSE)/HLOOKUP("Shots",A1:CV300,6,FALSE))</f>
      </c>
      <c r="U6" t="n" s="411">
        <v>2.0</v>
      </c>
      <c r="V6" s="412">
        <f>IF(HLOOKUP("Shots",A1:CV300,6,FALSE)=0,0,HLOOKUP("SOT",A1:CV300,6,FALSE)/HLOOKUP("Shots",A1:CV300,6,FALSE))</f>
      </c>
      <c r="W6" s="413">
        <f>IF(HLOOKUP("Shots",A1:CV300,6,FALSE)=0,0,HLOOKUP("Gs",A1:CV300,6,FALSE)/HLOOKUP("Shots",A1:CV300,6,FALSE))</f>
      </c>
      <c r="X6" t="n" s="414">
        <v>0.0</v>
      </c>
      <c r="Y6" t="n" s="415">
        <v>1.0</v>
      </c>
      <c r="Z6" t="n" s="416">
        <v>0.0</v>
      </c>
      <c r="AA6" s="417">
        <f>IF(HLOOKUP("KP",A1:CV300,6,FALSE)=0,0,HLOOKUP("As",A1:CV300,6,FALSE)/HLOOKUP("KP",A1:CV300,6,FALSE))</f>
      </c>
      <c r="AB6" t="n" s="418">
        <v>9.9</v>
      </c>
      <c r="AC6" t="n" s="419">
        <v>50.0</v>
      </c>
      <c r="AD6" t="n" s="420">
        <v>0.0</v>
      </c>
      <c r="AE6" t="n" s="421">
        <v>2.0</v>
      </c>
      <c r="AF6" t="n" s="422">
        <v>1.0</v>
      </c>
      <c r="AG6" s="423">
        <f>IF(HLOOKUP("BC",A1:CV300,6,FALSE)=0,0,HLOOKUP("Gs - BC",A1:CV300,6,FALSE)/HLOOKUP("BC",A1:CV300,6,FALSE))</f>
      </c>
      <c r="AH6" s="424">
        <f>HLOOKUP("BC",A1:CV300,6,FALSE) - HLOOKUP("BC Miss",A1:CV300,6,FALSE)</f>
      </c>
      <c r="AI6" s="425">
        <f>IF(HLOOKUP("Gs",A1:CV300,6,FALSE)=0,0,HLOOKUP("Gs - BC",A1:CV300,6,FALSE)/HLOOKUP("Gs",A1:CV300,6,FALSE))</f>
      </c>
      <c r="AJ6" t="n" s="426">
        <v>0.0</v>
      </c>
      <c r="AK6" t="n" s="427">
        <v>0.0</v>
      </c>
      <c r="AL6" s="428">
        <f>HLOOKUP("BC",A1:CV300,6,FALSE) - (HLOOKUP("PK Gs",A1:CV300,6,FALSE) + HLOOKUP("PK Miss",A1:CV300,6,FALSE))</f>
      </c>
      <c r="AM6" s="429">
        <f>HLOOKUP("BC Miss",A1:CV300,6,FALSE) - HLOOKUP("PK Miss",A1:CV300,6,FALSE)</f>
      </c>
      <c r="AN6" s="430">
        <f>IF(HLOOKUP("BC - Open",A1:CV300,6,FALSE)=0,0,HLOOKUP("BC - Open Miss",A1:CV300,6,FALSE)/HLOOKUP("BC - Open",A1:CV300,6,FALSE))</f>
      </c>
      <c r="AO6" t="n" s="431">
        <v>1.0</v>
      </c>
      <c r="AP6" s="432">
        <f>IF(HLOOKUP("Gs",A1:CV300,6,FALSE)=0,0,HLOOKUP("GIB",A1:CV300,6,FALSE)/HLOOKUP("Gs",A1:CV300,6,FALSE))</f>
      </c>
      <c r="AQ6" t="n" s="433">
        <v>1.0</v>
      </c>
      <c r="AR6" s="434">
        <f>IF(HLOOKUP("Gs",A1:CV300,6,FALSE)=0,0,HLOOKUP("Gs - Open",A1:CV300,6,FALSE)/HLOOKUP("Gs",A1:CV300,6,FALSE))</f>
      </c>
      <c r="AS6" t="n" s="435">
        <v>0.49</v>
      </c>
      <c r="AT6" t="n" s="436">
        <v>0.02</v>
      </c>
      <c r="AU6" s="437">
        <f>IF(HLOOKUP("Mins",A1:CV300,6,FALSE)=0,0,HLOOKUP("Pts",A1:CV300,6,FALSE)/HLOOKUP("Mins",A1:CV300,6,FALSE)* 90)</f>
      </c>
      <c r="AV6" s="438">
        <f>IF(HLOOKUP("Apps",A1:CV300,6,FALSE)=0,0,HLOOKUP("Pts",A1:CV300,6,FALSE)/HLOOKUP("Apps",A1:CV300,6,FALSE)* 1)</f>
      </c>
      <c r="AW6" s="439">
        <f>IF(HLOOKUP("Mins",A1:CV300,6,FALSE)=0,0,HLOOKUP("Gs",A1:CV300,6,FALSE)/HLOOKUP("Mins",A1:CV300,6,FALSE)* 90)</f>
      </c>
      <c r="AX6" s="440">
        <f>IF(HLOOKUP("Mins",A1:CV300,6,FALSE)=0,0,HLOOKUP("Bonus",A1:CV300,6,FALSE)/HLOOKUP("Mins",A1:CV300,6,FALSE)* 90)</f>
      </c>
      <c r="AY6" s="441">
        <f>IF(HLOOKUP("Mins",A1:CV300,6,FALSE)=0,0,HLOOKUP("BPS",A1:CV300,6,FALSE)/HLOOKUP("Mins",A1:CV300,6,FALSE)* 90)</f>
      </c>
      <c r="AZ6" s="442">
        <f>IF(HLOOKUP("Mins",A1:CV300,6,FALSE)=0,0,HLOOKUP("Base BPS",A1:CV300,6,FALSE)/HLOOKUP("Mins",A1:CV300,6,FALSE)* 90)</f>
      </c>
      <c r="BA6" s="443">
        <f>IF(HLOOKUP("Mins",A1:CV300,6,FALSE)=0,0,HLOOKUP("PenTchs",A1:CV300,6,FALSE)/HLOOKUP("Mins",A1:CV300,6,FALSE)* 90)</f>
      </c>
      <c r="BB6" s="444">
        <f>IF(HLOOKUP("Mins",A1:CV300,6,FALSE)=0,0,HLOOKUP("Shots",A1:CV300,6,FALSE)/HLOOKUP("Mins",A1:CV300,6,FALSE)* 90)</f>
      </c>
      <c r="BC6" s="445">
        <f>IF(HLOOKUP("Mins",A1:CV300,6,FALSE)=0,0,HLOOKUP("SIB",A1:CV300,6,FALSE)/HLOOKUP("Mins",A1:CV300,6,FALSE)* 90)</f>
      </c>
      <c r="BD6" s="446">
        <f>IF(HLOOKUP("Mins",A1:CV300,6,FALSE)=0,0,HLOOKUP("S6YD",A1:CV300,6,FALSE)/HLOOKUP("Mins",A1:CV300,6,FALSE)* 90)</f>
      </c>
      <c r="BE6" s="447">
        <f>IF(HLOOKUP("Mins",A1:CV300,6,FALSE)=0,0,HLOOKUP("Headers",A1:CV300,6,FALSE)/HLOOKUP("Mins",A1:CV300,6,FALSE)* 90)</f>
      </c>
      <c r="BF6" s="448">
        <f>IF(HLOOKUP("Mins",A1:CV300,6,FALSE)=0,0,HLOOKUP("SOT",A1:CV300,6,FALSE)/HLOOKUP("Mins",A1:CV300,6,FALSE)* 90)</f>
      </c>
      <c r="BG6" s="449">
        <f>IF(HLOOKUP("Mins",A1:CV300,6,FALSE)=0,0,HLOOKUP("As",A1:CV300,6,FALSE)/HLOOKUP("Mins",A1:CV300,6,FALSE)* 90)</f>
      </c>
      <c r="BH6" s="450">
        <f>IF(HLOOKUP("Mins",A1:CV300,6,FALSE)=0,0,HLOOKUP("FPL As",A1:CV300,6,FALSE)/HLOOKUP("Mins",A1:CV300,6,FALSE)* 90)</f>
      </c>
      <c r="BI6" s="451">
        <f>IF(HLOOKUP("Mins",A1:CV300,6,FALSE)=0,0,HLOOKUP("BC Created",A1:CV300,6,FALSE)/HLOOKUP("Mins",A1:CV300,6,FALSE)* 90)</f>
      </c>
      <c r="BJ6" s="452">
        <f>IF(HLOOKUP("Mins",A1:CV300,6,FALSE)=0,0,HLOOKUP("KP",A1:CV300,6,FALSE)/HLOOKUP("Mins",A1:CV300,6,FALSE)* 90)</f>
      </c>
      <c r="BK6" s="453">
        <f>IF(HLOOKUP("Mins",A1:CV300,6,FALSE)=0,0,HLOOKUP("BC",A1:CV300,6,FALSE)/HLOOKUP("Mins",A1:CV300,6,FALSE)* 90)</f>
      </c>
      <c r="BL6" s="454">
        <f>IF(HLOOKUP("Mins",A1:CV300,6,FALSE)=0,0,HLOOKUP("BC Miss",A1:CV300,6,FALSE)/HLOOKUP("Mins",A1:CV300,6,FALSE)* 90)</f>
      </c>
      <c r="BM6" s="455">
        <f>IF(HLOOKUP("Mins",A1:CV300,6,FALSE)=0,0,HLOOKUP("Gs - BC",A1:CV300,6,FALSE)/HLOOKUP("Mins",A1:CV300,6,FALSE)* 90)</f>
      </c>
      <c r="BN6" s="456">
        <f>IF(HLOOKUP("Mins",A1:CV300,6,FALSE)=0,0,HLOOKUP("GIB",A1:CV300,6,FALSE)/HLOOKUP("Mins",A1:CV300,6,FALSE)* 90)</f>
      </c>
      <c r="BO6" s="457">
        <f>IF(HLOOKUP("Mins",A1:CV300,6,FALSE)=0,0,HLOOKUP("Gs - Open",A1:CV300,6,FALSE)/HLOOKUP("Mins",A1:CV300,6,FALSE)* 90)</f>
      </c>
      <c r="BP6" s="458">
        <f>IF(HLOOKUP("Mins",A1:CV300,6,FALSE)=0,0,HLOOKUP("ICT Index",A1:CV300,6,FALSE)/HLOOKUP("Mins",A1:CV300,6,FALSE)* 90)</f>
      </c>
      <c r="BQ6" s="459">
        <f>IF(HLOOKUP("Mins",A1:CV300,6,FALSE)=0,0,(0.043*(HLOOKUP("Shots",A1:CV300,6,FALSE)-HLOOKUP("SIB",A1:CV300,6,FALSE))+0.162*(HLOOKUP("SIB",A1:CV300,6,FALSE)-(HLOOKUP("PK Gs",A1:CV300,6,FALSE)+HLOOKUP("PK Miss",A1:CV300,6,FALSE)))+0.75*(HLOOKUP("PK Gs",A1:CV300,6,FALSE)+HLOOKUP("PK Miss",A1:CV300,6,FALSE)))/HLOOKUP("Mins",A1:CV300,6,FALSE)*90)</f>
      </c>
      <c r="BR6" s="460">
        <f>0.103*HLOOKUP("KP/90",A1:CV300,6,FALSE)</f>
      </c>
      <c r="BS6" s="461">
        <f>4*HLOOKUP("xG/90",A1:CV300,6,FALSE)+3*HLOOKUP("xA/90",A1:CV300,6,FALSE)</f>
      </c>
      <c r="BT6" s="462">
        <f>HLOOKUP("xPts/90",A1:CV300,6,FALSE)-(4*0.75*(HLOOKUP("PK Gs",A1:CV300,6,FALSE)+HLOOKUP("PK Miss",A1:CV300,6,FALSE))*90/HLOOKUP("Mins",A1:CV300,6,FALSE))</f>
      </c>
      <c r="BU6" s="463">
        <f>IF(HLOOKUP("Mins",A1:CV300,6,FALSE)=0,0,HLOOKUP("fsXG",A1:CV300,6,FALSE)/HLOOKUP("Mins",A1:CV300,6,FALSE)* 90)</f>
      </c>
      <c r="BV6" s="464">
        <f>IF(HLOOKUP("Mins",A1:CV300,6,FALSE)=0,0,HLOOKUP("fsXA",A1:CV300,6,FALSE)/HLOOKUP("Mins",A1:CV300,6,FALSE)* 90)</f>
      </c>
      <c r="BW6" s="465">
        <f>4*HLOOKUP("fsXG/90",A1:CV300,6,FALSE)+3*HLOOKUP("fsXA/90",A1:CV300,6,FALSE)</f>
      </c>
      <c r="BX6" t="n" s="466">
        <v>0.4959644675254822</v>
      </c>
      <c r="BY6" t="n" s="467">
        <v>0.0</v>
      </c>
      <c r="BZ6" s="468">
        <f>4*HLOOKUP("uXG/90",A1:CV300,6,FALSE)+3*HLOOKUP("uXA/90",A1:CV300,6,FALSE)</f>
      </c>
    </row>
    <row r="7">
      <c r="A7" t="s" s="469">
        <v>88</v>
      </c>
      <c r="B7" t="s" s="470">
        <v>85</v>
      </c>
      <c r="C7" t="n" s="471">
        <v>5.699999809265137</v>
      </c>
      <c r="D7" t="n" s="472">
        <v>468.0</v>
      </c>
      <c r="E7" t="n" s="473">
        <v>6.0</v>
      </c>
      <c r="F7" t="n" s="474">
        <v>54.0</v>
      </c>
      <c r="G7" t="n" s="475">
        <v>1.0</v>
      </c>
      <c r="H7" t="n" s="476">
        <v>4.0</v>
      </c>
      <c r="I7" t="n" s="477">
        <v>192.0</v>
      </c>
      <c r="J7" s="478">
        <f>HLOOKUP("BPS",A1:CV300,7,FALSE)-((-6*HLOOKUP("OG",A1:CV300,7,FALSE))+(-6*HLOOKUP("PK Miss",A1:CV300,7,FALSE))+(9*HLOOKUP("FPL As",A1:CV300,7,FALSE))+(0*HLOOKUP("CS",A1:CV300,7,FALSE))+(24*HLOOKUP("Gs",A1:CV300,7,FALSE)))</f>
      </c>
      <c r="K7" t="n" s="479">
        <v>0.0</v>
      </c>
      <c r="L7" t="n" s="480">
        <v>6.0</v>
      </c>
      <c r="M7" t="n" s="481">
        <v>24.0</v>
      </c>
      <c r="N7" t="n" s="482">
        <v>11.0</v>
      </c>
      <c r="O7" t="n" s="483">
        <v>11.0</v>
      </c>
      <c r="P7" s="484">
        <f>IF(HLOOKUP("Shots",A1:CV300,7,FALSE)=0,0,HLOOKUP("SIB",A1:CV300,7,FALSE)/HLOOKUP("Shots",A1:CV300,7,FALSE))</f>
      </c>
      <c r="Q7" t="n" s="485">
        <v>3.0</v>
      </c>
      <c r="R7" s="486">
        <f>IF(HLOOKUP("Shots",A1:CV300,7,FALSE)=0,0,HLOOKUP("S6YD",A1:CV300,7,FALSE)/HLOOKUP("Shots",A1:CV300,7,FALSE))</f>
      </c>
      <c r="S7" t="n" s="487">
        <v>6.0</v>
      </c>
      <c r="T7" s="488">
        <f>IF(HLOOKUP("Shots",A1:CV300,7,FALSE)=0,0,HLOOKUP("Headers",A1:CV300,7,FALSE)/HLOOKUP("Shots",A1:CV300,7,FALSE))</f>
      </c>
      <c r="U7" t="n" s="489">
        <v>5.0</v>
      </c>
      <c r="V7" s="490">
        <f>IF(HLOOKUP("Shots",A1:CV300,7,FALSE)=0,0,HLOOKUP("SOT",A1:CV300,7,FALSE)/HLOOKUP("Shots",A1:CV300,7,FALSE))</f>
      </c>
      <c r="W7" s="491">
        <f>IF(HLOOKUP("Shots",A1:CV300,7,FALSE)=0,0,HLOOKUP("Gs",A1:CV300,7,FALSE)/HLOOKUP("Shots",A1:CV300,7,FALSE))</f>
      </c>
      <c r="X7" t="n" s="492">
        <v>0.0</v>
      </c>
      <c r="Y7" t="n" s="493">
        <v>0.0</v>
      </c>
      <c r="Z7" t="n" s="494">
        <v>4.0</v>
      </c>
      <c r="AA7" s="495">
        <f>IF(HLOOKUP("KP",A1:CV300,7,FALSE)=0,0,HLOOKUP("As",A1:CV300,7,FALSE)/HLOOKUP("KP",A1:CV300,7,FALSE))</f>
      </c>
      <c r="AB7" t="n" s="496">
        <v>38.9</v>
      </c>
      <c r="AC7" t="n" s="497">
        <v>20.0</v>
      </c>
      <c r="AD7" t="n" s="498">
        <v>0.0</v>
      </c>
      <c r="AE7" t="n" s="499">
        <v>5.0</v>
      </c>
      <c r="AF7" t="n" s="500">
        <v>4.0</v>
      </c>
      <c r="AG7" s="501">
        <f>IF(HLOOKUP("BC",A1:CV300,7,FALSE)=0,0,HLOOKUP("Gs - BC",A1:CV300,7,FALSE)/HLOOKUP("BC",A1:CV300,7,FALSE))</f>
      </c>
      <c r="AH7" s="502">
        <f>HLOOKUP("BC",A1:CV300,7,FALSE) - HLOOKUP("BC Miss",A1:CV300,7,FALSE)</f>
      </c>
      <c r="AI7" s="503">
        <f>IF(HLOOKUP("Gs",A1:CV300,7,FALSE)=0,0,HLOOKUP("Gs - BC",A1:CV300,7,FALSE)/HLOOKUP("Gs",A1:CV300,7,FALSE))</f>
      </c>
      <c r="AJ7" t="n" s="504">
        <v>0.0</v>
      </c>
      <c r="AK7" t="n" s="505">
        <v>0.0</v>
      </c>
      <c r="AL7" s="506">
        <f>HLOOKUP("BC",A1:CV300,7,FALSE) - (HLOOKUP("PK Gs",A1:CV300,7,FALSE) + HLOOKUP("PK Miss",A1:CV300,7,FALSE))</f>
      </c>
      <c r="AM7" s="507">
        <f>HLOOKUP("BC Miss",A1:CV300,7,FALSE) - HLOOKUP("PK Miss",A1:CV300,7,FALSE)</f>
      </c>
      <c r="AN7" s="508">
        <f>IF(HLOOKUP("BC - Open",A1:CV300,7,FALSE)=0,0,HLOOKUP("BC - Open Miss",A1:CV300,7,FALSE)/HLOOKUP("BC - Open",A1:CV300,7,FALSE))</f>
      </c>
      <c r="AO7" t="n" s="509">
        <v>1.0</v>
      </c>
      <c r="AP7" s="510">
        <f>IF(HLOOKUP("Gs",A1:CV300,7,FALSE)=0,0,HLOOKUP("GIB",A1:CV300,7,FALSE)/HLOOKUP("Gs",A1:CV300,7,FALSE))</f>
      </c>
      <c r="AQ7" t="n" s="511">
        <v>1.0</v>
      </c>
      <c r="AR7" s="512">
        <f>IF(HLOOKUP("Gs",A1:CV300,7,FALSE)=0,0,HLOOKUP("Gs - Open",A1:CV300,7,FALSE)/HLOOKUP("Gs",A1:CV300,7,FALSE))</f>
      </c>
      <c r="AS7" t="n" s="513">
        <v>2.14</v>
      </c>
      <c r="AT7" t="n" s="514">
        <v>0.58</v>
      </c>
      <c r="AU7" s="515">
        <f>IF(HLOOKUP("Mins",A1:CV300,7,FALSE)=0,0,HLOOKUP("Pts",A1:CV300,7,FALSE)/HLOOKUP("Mins",A1:CV300,7,FALSE)* 90)</f>
      </c>
      <c r="AV7" s="516">
        <f>IF(HLOOKUP("Apps",A1:CV300,7,FALSE)=0,0,HLOOKUP("Pts",A1:CV300,7,FALSE)/HLOOKUP("Apps",A1:CV300,7,FALSE)* 1)</f>
      </c>
      <c r="AW7" s="517">
        <f>IF(HLOOKUP("Mins",A1:CV300,7,FALSE)=0,0,HLOOKUP("Gs",A1:CV300,7,FALSE)/HLOOKUP("Mins",A1:CV300,7,FALSE)* 90)</f>
      </c>
      <c r="AX7" s="518">
        <f>IF(HLOOKUP("Mins",A1:CV300,7,FALSE)=0,0,HLOOKUP("Bonus",A1:CV300,7,FALSE)/HLOOKUP("Mins",A1:CV300,7,FALSE)* 90)</f>
      </c>
      <c r="AY7" s="519">
        <f>IF(HLOOKUP("Mins",A1:CV300,7,FALSE)=0,0,HLOOKUP("BPS",A1:CV300,7,FALSE)/HLOOKUP("Mins",A1:CV300,7,FALSE)* 90)</f>
      </c>
      <c r="AZ7" s="520">
        <f>IF(HLOOKUP("Mins",A1:CV300,7,FALSE)=0,0,HLOOKUP("Base BPS",A1:CV300,7,FALSE)/HLOOKUP("Mins",A1:CV300,7,FALSE)* 90)</f>
      </c>
      <c r="BA7" s="521">
        <f>IF(HLOOKUP("Mins",A1:CV300,7,FALSE)=0,0,HLOOKUP("PenTchs",A1:CV300,7,FALSE)/HLOOKUP("Mins",A1:CV300,7,FALSE)* 90)</f>
      </c>
      <c r="BB7" s="522">
        <f>IF(HLOOKUP("Mins",A1:CV300,7,FALSE)=0,0,HLOOKUP("Shots",A1:CV300,7,FALSE)/HLOOKUP("Mins",A1:CV300,7,FALSE)* 90)</f>
      </c>
      <c r="BC7" s="523">
        <f>IF(HLOOKUP("Mins",A1:CV300,7,FALSE)=0,0,HLOOKUP("SIB",A1:CV300,7,FALSE)/HLOOKUP("Mins",A1:CV300,7,FALSE)* 90)</f>
      </c>
      <c r="BD7" s="524">
        <f>IF(HLOOKUP("Mins",A1:CV300,7,FALSE)=0,0,HLOOKUP("S6YD",A1:CV300,7,FALSE)/HLOOKUP("Mins",A1:CV300,7,FALSE)* 90)</f>
      </c>
      <c r="BE7" s="525">
        <f>IF(HLOOKUP("Mins",A1:CV300,7,FALSE)=0,0,HLOOKUP("Headers",A1:CV300,7,FALSE)/HLOOKUP("Mins",A1:CV300,7,FALSE)* 90)</f>
      </c>
      <c r="BF7" s="526">
        <f>IF(HLOOKUP("Mins",A1:CV300,7,FALSE)=0,0,HLOOKUP("SOT",A1:CV300,7,FALSE)/HLOOKUP("Mins",A1:CV300,7,FALSE)* 90)</f>
      </c>
      <c r="BG7" s="527">
        <f>IF(HLOOKUP("Mins",A1:CV300,7,FALSE)=0,0,HLOOKUP("As",A1:CV300,7,FALSE)/HLOOKUP("Mins",A1:CV300,7,FALSE)* 90)</f>
      </c>
      <c r="BH7" s="528">
        <f>IF(HLOOKUP("Mins",A1:CV300,7,FALSE)=0,0,HLOOKUP("FPL As",A1:CV300,7,FALSE)/HLOOKUP("Mins",A1:CV300,7,FALSE)* 90)</f>
      </c>
      <c r="BI7" s="529">
        <f>IF(HLOOKUP("Mins",A1:CV300,7,FALSE)=0,0,HLOOKUP("BC Created",A1:CV300,7,FALSE)/HLOOKUP("Mins",A1:CV300,7,FALSE)* 90)</f>
      </c>
      <c r="BJ7" s="530">
        <f>IF(HLOOKUP("Mins",A1:CV300,7,FALSE)=0,0,HLOOKUP("KP",A1:CV300,7,FALSE)/HLOOKUP("Mins",A1:CV300,7,FALSE)* 90)</f>
      </c>
      <c r="BK7" s="531">
        <f>IF(HLOOKUP("Mins",A1:CV300,7,FALSE)=0,0,HLOOKUP("BC",A1:CV300,7,FALSE)/HLOOKUP("Mins",A1:CV300,7,FALSE)* 90)</f>
      </c>
      <c r="BL7" s="532">
        <f>IF(HLOOKUP("Mins",A1:CV300,7,FALSE)=0,0,HLOOKUP("BC Miss",A1:CV300,7,FALSE)/HLOOKUP("Mins",A1:CV300,7,FALSE)* 90)</f>
      </c>
      <c r="BM7" s="533">
        <f>IF(HLOOKUP("Mins",A1:CV300,7,FALSE)=0,0,HLOOKUP("Gs - BC",A1:CV300,7,FALSE)/HLOOKUP("Mins",A1:CV300,7,FALSE)* 90)</f>
      </c>
      <c r="BN7" s="534">
        <f>IF(HLOOKUP("Mins",A1:CV300,7,FALSE)=0,0,HLOOKUP("GIB",A1:CV300,7,FALSE)/HLOOKUP("Mins",A1:CV300,7,FALSE)* 90)</f>
      </c>
      <c r="BO7" s="535">
        <f>IF(HLOOKUP("Mins",A1:CV300,7,FALSE)=0,0,HLOOKUP("Gs - Open",A1:CV300,7,FALSE)/HLOOKUP("Mins",A1:CV300,7,FALSE)* 90)</f>
      </c>
      <c r="BP7" s="536">
        <f>IF(HLOOKUP("Mins",A1:CV300,7,FALSE)=0,0,HLOOKUP("ICT Index",A1:CV300,7,FALSE)/HLOOKUP("Mins",A1:CV300,7,FALSE)* 90)</f>
      </c>
      <c r="BQ7" s="537">
        <f>IF(HLOOKUP("Mins",A1:CV300,7,FALSE)=0,0,(0.043*(HLOOKUP("Shots",A1:CV300,7,FALSE)-HLOOKUP("SIB",A1:CV300,7,FALSE))+0.162*(HLOOKUP("SIB",A1:CV300,7,FALSE)-(HLOOKUP("PK Gs",A1:CV300,7,FALSE)+HLOOKUP("PK Miss",A1:CV300,7,FALSE)))+0.75*(HLOOKUP("PK Gs",A1:CV300,7,FALSE)+HLOOKUP("PK Miss",A1:CV300,7,FALSE)))/HLOOKUP("Mins",A1:CV300,7,FALSE)*90)</f>
      </c>
      <c r="BR7" s="538">
        <f>0.103*HLOOKUP("KP/90",A1:CV300,7,FALSE)</f>
      </c>
      <c r="BS7" s="539">
        <f>4*HLOOKUP("xG/90",A1:CV300,7,FALSE)+3*HLOOKUP("xA/90",A1:CV300,7,FALSE)</f>
      </c>
      <c r="BT7" s="540">
        <f>HLOOKUP("xPts/90",A1:CV300,7,FALSE)-(4*0.75*(HLOOKUP("PK Gs",A1:CV300,7,FALSE)+HLOOKUP("PK Miss",A1:CV300,7,FALSE))*90/HLOOKUP("Mins",A1:CV300,7,FALSE))</f>
      </c>
      <c r="BU7" s="541">
        <f>IF(HLOOKUP("Mins",A1:CV300,7,FALSE)=0,0,HLOOKUP("fsXG",A1:CV300,7,FALSE)/HLOOKUP("Mins",A1:CV300,7,FALSE)* 90)</f>
      </c>
      <c r="BV7" s="542">
        <f>IF(HLOOKUP("Mins",A1:CV300,7,FALSE)=0,0,HLOOKUP("fsXA",A1:CV300,7,FALSE)/HLOOKUP("Mins",A1:CV300,7,FALSE)* 90)</f>
      </c>
      <c r="BW7" s="543">
        <f>4*HLOOKUP("fsXG/90",A1:CV300,7,FALSE)+3*HLOOKUP("fsXA/90",A1:CV300,7,FALSE)</f>
      </c>
      <c r="BX7" t="n" s="544">
        <v>0.4596305787563324</v>
      </c>
      <c r="BY7" t="n" s="545">
        <v>0.0468711219727993</v>
      </c>
      <c r="BZ7" s="546">
        <f>4*HLOOKUP("uXG/90",A1:CV300,7,FALSE)+3*HLOOKUP("uXA/90",A1:CV300,7,FALSE)</f>
      </c>
    </row>
    <row r="8">
      <c r="A8" t="s" s="547">
        <v>89</v>
      </c>
      <c r="B8" t="s" s="548">
        <v>90</v>
      </c>
      <c r="C8" t="n" s="549">
        <v>4.400000095367432</v>
      </c>
      <c r="D8" t="n" s="550">
        <v>66.0</v>
      </c>
      <c r="E8" t="n" s="551">
        <v>2.0</v>
      </c>
      <c r="F8" t="n" s="552">
        <v>3.0</v>
      </c>
      <c r="G8" t="n" s="553">
        <v>0.0</v>
      </c>
      <c r="H8" t="n" s="554">
        <v>0.0</v>
      </c>
      <c r="I8" t="n" s="555">
        <v>9.0</v>
      </c>
      <c r="J8" s="556">
        <f>HLOOKUP("BPS",A1:CV300,8,FALSE)-((-6*HLOOKUP("OG",A1:CV300,8,FALSE))+(-6*HLOOKUP("PK Miss",A1:CV300,8,FALSE))+(9*HLOOKUP("FPL As",A1:CV300,8,FALSE))+(0*HLOOKUP("CS",A1:CV300,8,FALSE))+(24*HLOOKUP("Gs",A1:CV300,8,FALSE)))</f>
      </c>
      <c r="K8" t="n" s="557">
        <v>0.0</v>
      </c>
      <c r="L8" t="n" s="558">
        <v>0.0</v>
      </c>
      <c r="M8" t="n" s="559">
        <v>2.0</v>
      </c>
      <c r="N8" t="n" s="560">
        <v>0.0</v>
      </c>
      <c r="O8" t="n" s="561">
        <v>0.0</v>
      </c>
      <c r="P8" s="562">
        <f>IF(HLOOKUP("Shots",A1:CV300,8,FALSE)=0,0,HLOOKUP("SIB",A1:CV300,8,FALSE)/HLOOKUP("Shots",A1:CV300,8,FALSE))</f>
      </c>
      <c r="Q8" t="n" s="563">
        <v>0.0</v>
      </c>
      <c r="R8" s="564">
        <f>IF(HLOOKUP("Shots",A1:CV300,8,FALSE)=0,0,HLOOKUP("S6YD",A1:CV300,8,FALSE)/HLOOKUP("Shots",A1:CV300,8,FALSE))</f>
      </c>
      <c r="S8" t="n" s="565">
        <v>0.0</v>
      </c>
      <c r="T8" s="566">
        <f>IF(HLOOKUP("Shots",A1:CV300,8,FALSE)=0,0,HLOOKUP("Headers",A1:CV300,8,FALSE)/HLOOKUP("Shots",A1:CV300,8,FALSE))</f>
      </c>
      <c r="U8" t="n" s="567">
        <v>0.0</v>
      </c>
      <c r="V8" s="568">
        <f>IF(HLOOKUP("Shots",A1:CV300,8,FALSE)=0,0,HLOOKUP("SOT",A1:CV300,8,FALSE)/HLOOKUP("Shots",A1:CV300,8,FALSE))</f>
      </c>
      <c r="W8" s="569">
        <f>IF(HLOOKUP("Shots",A1:CV300,8,FALSE)=0,0,HLOOKUP("Gs",A1:CV300,8,FALSE)/HLOOKUP("Shots",A1:CV300,8,FALSE))</f>
      </c>
      <c r="X8" t="n" s="570">
        <v>0.0</v>
      </c>
      <c r="Y8" t="n" s="571">
        <v>0.0</v>
      </c>
      <c r="Z8" t="n" s="572">
        <v>0.0</v>
      </c>
      <c r="AA8" s="573">
        <f>IF(HLOOKUP("KP",A1:CV300,8,FALSE)=0,0,HLOOKUP("As",A1:CV300,8,FALSE)/HLOOKUP("KP",A1:CV300,8,FALSE))</f>
      </c>
      <c r="AB8" t="n" s="574">
        <v>0.9</v>
      </c>
      <c r="AC8" t="n" s="575">
        <v>0.0</v>
      </c>
      <c r="AD8" t="n" s="576">
        <v>0.0</v>
      </c>
      <c r="AE8" t="n" s="577">
        <v>0.0</v>
      </c>
      <c r="AF8" t="n" s="578">
        <v>0.0</v>
      </c>
      <c r="AG8" s="579">
        <f>IF(HLOOKUP("BC",A1:CV300,8,FALSE)=0,0,HLOOKUP("Gs - BC",A1:CV300,8,FALSE)/HLOOKUP("BC",A1:CV300,8,FALSE))</f>
      </c>
      <c r="AH8" s="580">
        <f>HLOOKUP("BC",A1:CV300,8,FALSE) - HLOOKUP("BC Miss",A1:CV300,8,FALSE)</f>
      </c>
      <c r="AI8" s="581">
        <f>IF(HLOOKUP("Gs",A1:CV300,8,FALSE)=0,0,HLOOKUP("Gs - BC",A1:CV300,8,FALSE)/HLOOKUP("Gs",A1:CV300,8,FALSE))</f>
      </c>
      <c r="AJ8" t="n" s="582">
        <v>0.0</v>
      </c>
      <c r="AK8" t="n" s="583">
        <v>0.0</v>
      </c>
      <c r="AL8" s="584">
        <f>HLOOKUP("BC",A1:CV300,8,FALSE) - (HLOOKUP("PK Gs",A1:CV300,8,FALSE) + HLOOKUP("PK Miss",A1:CV300,8,FALSE))</f>
      </c>
      <c r="AM8" s="585">
        <f>HLOOKUP("BC Miss",A1:CV300,8,FALSE) - HLOOKUP("PK Miss",A1:CV300,8,FALSE)</f>
      </c>
      <c r="AN8" s="586">
        <f>IF(HLOOKUP("BC - Open",A1:CV300,8,FALSE)=0,0,HLOOKUP("BC - Open Miss",A1:CV300,8,FALSE)/HLOOKUP("BC - Open",A1:CV300,8,FALSE))</f>
      </c>
      <c r="AO8" t="n" s="587">
        <v>0.0</v>
      </c>
      <c r="AP8" s="588">
        <f>IF(HLOOKUP("Gs",A1:CV300,8,FALSE)=0,0,HLOOKUP("GIB",A1:CV300,8,FALSE)/HLOOKUP("Gs",A1:CV300,8,FALSE))</f>
      </c>
      <c r="AQ8" t="n" s="589">
        <v>0.0</v>
      </c>
      <c r="AR8" s="590">
        <f>IF(HLOOKUP("Gs",A1:CV300,8,FALSE)=0,0,HLOOKUP("Gs - Open",A1:CV300,8,FALSE)/HLOOKUP("Gs",A1:CV300,8,FALSE))</f>
      </c>
      <c r="AS8" t="n" s="591">
        <v>0.0</v>
      </c>
      <c r="AT8" t="n" s="592">
        <v>0.0</v>
      </c>
      <c r="AU8" s="593">
        <f>IF(HLOOKUP("Mins",A1:CV300,8,FALSE)=0,0,HLOOKUP("Pts",A1:CV300,8,FALSE)/HLOOKUP("Mins",A1:CV300,8,FALSE)* 90)</f>
      </c>
      <c r="AV8" s="594">
        <f>IF(HLOOKUP("Apps",A1:CV300,8,FALSE)=0,0,HLOOKUP("Pts",A1:CV300,8,FALSE)/HLOOKUP("Apps",A1:CV300,8,FALSE)* 1)</f>
      </c>
      <c r="AW8" s="595">
        <f>IF(HLOOKUP("Mins",A1:CV300,8,FALSE)=0,0,HLOOKUP("Gs",A1:CV300,8,FALSE)/HLOOKUP("Mins",A1:CV300,8,FALSE)* 90)</f>
      </c>
      <c r="AX8" s="596">
        <f>IF(HLOOKUP("Mins",A1:CV300,8,FALSE)=0,0,HLOOKUP("Bonus",A1:CV300,8,FALSE)/HLOOKUP("Mins",A1:CV300,8,FALSE)* 90)</f>
      </c>
      <c r="AY8" s="597">
        <f>IF(HLOOKUP("Mins",A1:CV300,8,FALSE)=0,0,HLOOKUP("BPS",A1:CV300,8,FALSE)/HLOOKUP("Mins",A1:CV300,8,FALSE)* 90)</f>
      </c>
      <c r="AZ8" s="598">
        <f>IF(HLOOKUP("Mins",A1:CV300,8,FALSE)=0,0,HLOOKUP("Base BPS",A1:CV300,8,FALSE)/HLOOKUP("Mins",A1:CV300,8,FALSE)* 90)</f>
      </c>
      <c r="BA8" s="599">
        <f>IF(HLOOKUP("Mins",A1:CV300,8,FALSE)=0,0,HLOOKUP("PenTchs",A1:CV300,8,FALSE)/HLOOKUP("Mins",A1:CV300,8,FALSE)* 90)</f>
      </c>
      <c r="BB8" s="600">
        <f>IF(HLOOKUP("Mins",A1:CV300,8,FALSE)=0,0,HLOOKUP("Shots",A1:CV300,8,FALSE)/HLOOKUP("Mins",A1:CV300,8,FALSE)* 90)</f>
      </c>
      <c r="BC8" s="601">
        <f>IF(HLOOKUP("Mins",A1:CV300,8,FALSE)=0,0,HLOOKUP("SIB",A1:CV300,8,FALSE)/HLOOKUP("Mins",A1:CV300,8,FALSE)* 90)</f>
      </c>
      <c r="BD8" s="602">
        <f>IF(HLOOKUP("Mins",A1:CV300,8,FALSE)=0,0,HLOOKUP("S6YD",A1:CV300,8,FALSE)/HLOOKUP("Mins",A1:CV300,8,FALSE)* 90)</f>
      </c>
      <c r="BE8" s="603">
        <f>IF(HLOOKUP("Mins",A1:CV300,8,FALSE)=0,0,HLOOKUP("Headers",A1:CV300,8,FALSE)/HLOOKUP("Mins",A1:CV300,8,FALSE)* 90)</f>
      </c>
      <c r="BF8" s="604">
        <f>IF(HLOOKUP("Mins",A1:CV300,8,FALSE)=0,0,HLOOKUP("SOT",A1:CV300,8,FALSE)/HLOOKUP("Mins",A1:CV300,8,FALSE)* 90)</f>
      </c>
      <c r="BG8" s="605">
        <f>IF(HLOOKUP("Mins",A1:CV300,8,FALSE)=0,0,HLOOKUP("As",A1:CV300,8,FALSE)/HLOOKUP("Mins",A1:CV300,8,FALSE)* 90)</f>
      </c>
      <c r="BH8" s="606">
        <f>IF(HLOOKUP("Mins",A1:CV300,8,FALSE)=0,0,HLOOKUP("FPL As",A1:CV300,8,FALSE)/HLOOKUP("Mins",A1:CV300,8,FALSE)* 90)</f>
      </c>
      <c r="BI8" s="607">
        <f>IF(HLOOKUP("Mins",A1:CV300,8,FALSE)=0,0,HLOOKUP("BC Created",A1:CV300,8,FALSE)/HLOOKUP("Mins",A1:CV300,8,FALSE)* 90)</f>
      </c>
      <c r="BJ8" s="608">
        <f>IF(HLOOKUP("Mins",A1:CV300,8,FALSE)=0,0,HLOOKUP("KP",A1:CV300,8,FALSE)/HLOOKUP("Mins",A1:CV300,8,FALSE)* 90)</f>
      </c>
      <c r="BK8" s="609">
        <f>IF(HLOOKUP("Mins",A1:CV300,8,FALSE)=0,0,HLOOKUP("BC",A1:CV300,8,FALSE)/HLOOKUP("Mins",A1:CV300,8,FALSE)* 90)</f>
      </c>
      <c r="BL8" s="610">
        <f>IF(HLOOKUP("Mins",A1:CV300,8,FALSE)=0,0,HLOOKUP("BC Miss",A1:CV300,8,FALSE)/HLOOKUP("Mins",A1:CV300,8,FALSE)* 90)</f>
      </c>
      <c r="BM8" s="611">
        <f>IF(HLOOKUP("Mins",A1:CV300,8,FALSE)=0,0,HLOOKUP("Gs - BC",A1:CV300,8,FALSE)/HLOOKUP("Mins",A1:CV300,8,FALSE)* 90)</f>
      </c>
      <c r="BN8" s="612">
        <f>IF(HLOOKUP("Mins",A1:CV300,8,FALSE)=0,0,HLOOKUP("GIB",A1:CV300,8,FALSE)/HLOOKUP("Mins",A1:CV300,8,FALSE)* 90)</f>
      </c>
      <c r="BO8" s="613">
        <f>IF(HLOOKUP("Mins",A1:CV300,8,FALSE)=0,0,HLOOKUP("Gs - Open",A1:CV300,8,FALSE)/HLOOKUP("Mins",A1:CV300,8,FALSE)* 90)</f>
      </c>
      <c r="BP8" s="614">
        <f>IF(HLOOKUP("Mins",A1:CV300,8,FALSE)=0,0,HLOOKUP("ICT Index",A1:CV300,8,FALSE)/HLOOKUP("Mins",A1:CV300,8,FALSE)* 90)</f>
      </c>
      <c r="BQ8" s="615">
        <f>IF(HLOOKUP("Mins",A1:CV300,8,FALSE)=0,0,(0.043*(HLOOKUP("Shots",A1:CV300,8,FALSE)-HLOOKUP("SIB",A1:CV300,8,FALSE))+0.162*(HLOOKUP("SIB",A1:CV300,8,FALSE)-(HLOOKUP("PK Gs",A1:CV300,8,FALSE)+HLOOKUP("PK Miss",A1:CV300,8,FALSE)))+0.75*(HLOOKUP("PK Gs",A1:CV300,8,FALSE)+HLOOKUP("PK Miss",A1:CV300,8,FALSE)))/HLOOKUP("Mins",A1:CV300,8,FALSE)*90)</f>
      </c>
      <c r="BR8" s="616">
        <f>0.103*HLOOKUP("KP/90",A1:CV300,8,FALSE)</f>
      </c>
      <c r="BS8" s="617">
        <f>4*HLOOKUP("xG/90",A1:CV300,8,FALSE)+3*HLOOKUP("xA/90",A1:CV300,8,FALSE)</f>
      </c>
      <c r="BT8" s="618">
        <f>HLOOKUP("xPts/90",A1:CV300,8,FALSE)-(4*0.75*(HLOOKUP("PK Gs",A1:CV300,8,FALSE)+HLOOKUP("PK Miss",A1:CV300,8,FALSE))*90/HLOOKUP("Mins",A1:CV300,8,FALSE))</f>
      </c>
      <c r="BU8" s="619">
        <f>IF(HLOOKUP("Mins",A1:CV300,8,FALSE)=0,0,HLOOKUP("fsXG",A1:CV300,8,FALSE)/HLOOKUP("Mins",A1:CV300,8,FALSE)* 90)</f>
      </c>
      <c r="BV8" s="620">
        <f>IF(HLOOKUP("Mins",A1:CV300,8,FALSE)=0,0,HLOOKUP("fsXA",A1:CV300,8,FALSE)/HLOOKUP("Mins",A1:CV300,8,FALSE)* 90)</f>
      </c>
      <c r="BW8" s="621">
        <f>4*HLOOKUP("fsXG/90",A1:CV300,8,FALSE)+3*HLOOKUP("fsXA/90",A1:CV300,8,FALSE)</f>
      </c>
      <c r="BX8" t="n" s="622">
        <v>0.0</v>
      </c>
      <c r="BY8" t="n" s="623">
        <v>0.0</v>
      </c>
      <c r="BZ8" s="624">
        <f>4*HLOOKUP("uXG/90",A1:CV300,8,FALSE)+3*HLOOKUP("uXA/90",A1:CV300,8,FALSE)</f>
      </c>
    </row>
    <row r="9">
      <c r="A9" t="s" s="625">
        <v>91</v>
      </c>
      <c r="B9" t="s" s="626">
        <v>92</v>
      </c>
      <c r="C9" t="n" s="627">
        <v>7.400000095367432</v>
      </c>
      <c r="D9" t="n" s="628">
        <v>540.0</v>
      </c>
      <c r="E9" t="n" s="629">
        <v>6.0</v>
      </c>
      <c r="F9" t="n" s="630">
        <v>87.0</v>
      </c>
      <c r="G9" t="n" s="631">
        <v>2.0</v>
      </c>
      <c r="H9" t="n" s="632">
        <v>8.0</v>
      </c>
      <c r="I9" t="n" s="633">
        <v>268.0</v>
      </c>
      <c r="J9" s="634">
        <f>HLOOKUP("BPS",A1:CV300,9,FALSE)-((-6*HLOOKUP("OG",A1:CV300,9,FALSE))+(-6*HLOOKUP("PK Miss",A1:CV300,9,FALSE))+(9*HLOOKUP("FPL As",A1:CV300,9,FALSE))+(0*HLOOKUP("CS",A1:CV300,9,FALSE))+(24*HLOOKUP("Gs",A1:CV300,9,FALSE)))</f>
      </c>
      <c r="K9" t="n" s="635">
        <v>0.0</v>
      </c>
      <c r="L9" t="n" s="636">
        <v>3.0</v>
      </c>
      <c r="M9" t="n" s="637">
        <v>30.0</v>
      </c>
      <c r="N9" t="n" s="638">
        <v>10.0</v>
      </c>
      <c r="O9" t="n" s="639">
        <v>10.0</v>
      </c>
      <c r="P9" s="640">
        <f>IF(HLOOKUP("Shots",A1:CV300,9,FALSE)=0,0,HLOOKUP("SIB",A1:CV300,9,FALSE)/HLOOKUP("Shots",A1:CV300,9,FALSE))</f>
      </c>
      <c r="Q9" t="n" s="641">
        <v>0.0</v>
      </c>
      <c r="R9" s="642">
        <f>IF(HLOOKUP("Shots",A1:CV300,9,FALSE)=0,0,HLOOKUP("S6YD",A1:CV300,9,FALSE)/HLOOKUP("Shots",A1:CV300,9,FALSE))</f>
      </c>
      <c r="S9" t="n" s="643">
        <v>5.0</v>
      </c>
      <c r="T9" s="644">
        <f>IF(HLOOKUP("Shots",A1:CV300,9,FALSE)=0,0,HLOOKUP("Headers",A1:CV300,9,FALSE)/HLOOKUP("Shots",A1:CV300,9,FALSE))</f>
      </c>
      <c r="U9" t="n" s="645">
        <v>3.0</v>
      </c>
      <c r="V9" s="646">
        <f>IF(HLOOKUP("Shots",A1:CV300,9,FALSE)=0,0,HLOOKUP("SOT",A1:CV300,9,FALSE)/HLOOKUP("Shots",A1:CV300,9,FALSE))</f>
      </c>
      <c r="W9" s="647">
        <f>IF(HLOOKUP("Shots",A1:CV300,9,FALSE)=0,0,HLOOKUP("Gs",A1:CV300,9,FALSE)/HLOOKUP("Shots",A1:CV300,9,FALSE))</f>
      </c>
      <c r="X9" t="n" s="648">
        <v>0.0</v>
      </c>
      <c r="Y9" t="n" s="649">
        <v>3.0</v>
      </c>
      <c r="Z9" t="n" s="650">
        <v>7.0</v>
      </c>
      <c r="AA9" s="651">
        <f>IF(HLOOKUP("KP",A1:CV300,9,FALSE)=0,0,HLOOKUP("As",A1:CV300,9,FALSE)/HLOOKUP("KP",A1:CV300,9,FALSE))</f>
      </c>
      <c r="AB9" t="n" s="652">
        <v>34.7</v>
      </c>
      <c r="AC9" t="n" s="653">
        <v>33.0</v>
      </c>
      <c r="AD9" t="n" s="654">
        <v>1.0</v>
      </c>
      <c r="AE9" t="n" s="655">
        <v>3.0</v>
      </c>
      <c r="AF9" t="n" s="656">
        <v>1.0</v>
      </c>
      <c r="AG9" s="657">
        <f>IF(HLOOKUP("BC",A1:CV300,9,FALSE)=0,0,HLOOKUP("Gs - BC",A1:CV300,9,FALSE)/HLOOKUP("BC",A1:CV300,9,FALSE))</f>
      </c>
      <c r="AH9" s="658">
        <f>HLOOKUP("BC",A1:CV300,9,FALSE) - HLOOKUP("BC Miss",A1:CV300,9,FALSE)</f>
      </c>
      <c r="AI9" s="659">
        <f>IF(HLOOKUP("Gs",A1:CV300,9,FALSE)=0,0,HLOOKUP("Gs - BC",A1:CV300,9,FALSE)/HLOOKUP("Gs",A1:CV300,9,FALSE))</f>
      </c>
      <c r="AJ9" t="n" s="660">
        <v>0.0</v>
      </c>
      <c r="AK9" t="n" s="661">
        <v>0.0</v>
      </c>
      <c r="AL9" s="662">
        <f>HLOOKUP("BC",A1:CV300,9,FALSE) - (HLOOKUP("PK Gs",A1:CV300,9,FALSE) + HLOOKUP("PK Miss",A1:CV300,9,FALSE))</f>
      </c>
      <c r="AM9" s="663">
        <f>HLOOKUP("BC Miss",A1:CV300,9,FALSE) - HLOOKUP("PK Miss",A1:CV300,9,FALSE)</f>
      </c>
      <c r="AN9" s="664">
        <f>IF(HLOOKUP("BC - Open",A1:CV300,9,FALSE)=0,0,HLOOKUP("BC - Open Miss",A1:CV300,9,FALSE)/HLOOKUP("BC - Open",A1:CV300,9,FALSE))</f>
      </c>
      <c r="AO9" t="n" s="665">
        <v>2.0</v>
      </c>
      <c r="AP9" s="666">
        <f>IF(HLOOKUP("Gs",A1:CV300,9,FALSE)=0,0,HLOOKUP("GIB",A1:CV300,9,FALSE)/HLOOKUP("Gs",A1:CV300,9,FALSE))</f>
      </c>
      <c r="AQ9" t="n" s="667">
        <v>1.0</v>
      </c>
      <c r="AR9" s="668">
        <f>IF(HLOOKUP("Gs",A1:CV300,9,FALSE)=0,0,HLOOKUP("Gs - Open",A1:CV300,9,FALSE)/HLOOKUP("Gs",A1:CV300,9,FALSE))</f>
      </c>
      <c r="AS9" t="n" s="669">
        <v>1.82</v>
      </c>
      <c r="AT9" t="n" s="670">
        <v>0.82</v>
      </c>
      <c r="AU9" s="671">
        <f>IF(HLOOKUP("Mins",A1:CV300,9,FALSE)=0,0,HLOOKUP("Pts",A1:CV300,9,FALSE)/HLOOKUP("Mins",A1:CV300,9,FALSE)* 90)</f>
      </c>
      <c r="AV9" s="672">
        <f>IF(HLOOKUP("Apps",A1:CV300,9,FALSE)=0,0,HLOOKUP("Pts",A1:CV300,9,FALSE)/HLOOKUP("Apps",A1:CV300,9,FALSE)* 1)</f>
      </c>
      <c r="AW9" s="673">
        <f>IF(HLOOKUP("Mins",A1:CV300,9,FALSE)=0,0,HLOOKUP("Gs",A1:CV300,9,FALSE)/HLOOKUP("Mins",A1:CV300,9,FALSE)* 90)</f>
      </c>
      <c r="AX9" s="674">
        <f>IF(HLOOKUP("Mins",A1:CV300,9,FALSE)=0,0,HLOOKUP("Bonus",A1:CV300,9,FALSE)/HLOOKUP("Mins",A1:CV300,9,FALSE)* 90)</f>
      </c>
      <c r="AY9" s="675">
        <f>IF(HLOOKUP("Mins",A1:CV300,9,FALSE)=0,0,HLOOKUP("BPS",A1:CV300,9,FALSE)/HLOOKUP("Mins",A1:CV300,9,FALSE)* 90)</f>
      </c>
      <c r="AZ9" s="676">
        <f>IF(HLOOKUP("Mins",A1:CV300,9,FALSE)=0,0,HLOOKUP("Base BPS",A1:CV300,9,FALSE)/HLOOKUP("Mins",A1:CV300,9,FALSE)* 90)</f>
      </c>
      <c r="BA9" s="677">
        <f>IF(HLOOKUP("Mins",A1:CV300,9,FALSE)=0,0,HLOOKUP("PenTchs",A1:CV300,9,FALSE)/HLOOKUP("Mins",A1:CV300,9,FALSE)* 90)</f>
      </c>
      <c r="BB9" s="678">
        <f>IF(HLOOKUP("Mins",A1:CV300,9,FALSE)=0,0,HLOOKUP("Shots",A1:CV300,9,FALSE)/HLOOKUP("Mins",A1:CV300,9,FALSE)* 90)</f>
      </c>
      <c r="BC9" s="679">
        <f>IF(HLOOKUP("Mins",A1:CV300,9,FALSE)=0,0,HLOOKUP("SIB",A1:CV300,9,FALSE)/HLOOKUP("Mins",A1:CV300,9,FALSE)* 90)</f>
      </c>
      <c r="BD9" s="680">
        <f>IF(HLOOKUP("Mins",A1:CV300,9,FALSE)=0,0,HLOOKUP("S6YD",A1:CV300,9,FALSE)/HLOOKUP("Mins",A1:CV300,9,FALSE)* 90)</f>
      </c>
      <c r="BE9" s="681">
        <f>IF(HLOOKUP("Mins",A1:CV300,9,FALSE)=0,0,HLOOKUP("Headers",A1:CV300,9,FALSE)/HLOOKUP("Mins",A1:CV300,9,FALSE)* 90)</f>
      </c>
      <c r="BF9" s="682">
        <f>IF(HLOOKUP("Mins",A1:CV300,9,FALSE)=0,0,HLOOKUP("SOT",A1:CV300,9,FALSE)/HLOOKUP("Mins",A1:CV300,9,FALSE)* 90)</f>
      </c>
      <c r="BG9" s="683">
        <f>IF(HLOOKUP("Mins",A1:CV300,9,FALSE)=0,0,HLOOKUP("As",A1:CV300,9,FALSE)/HLOOKUP("Mins",A1:CV300,9,FALSE)* 90)</f>
      </c>
      <c r="BH9" s="684">
        <f>IF(HLOOKUP("Mins",A1:CV300,9,FALSE)=0,0,HLOOKUP("FPL As",A1:CV300,9,FALSE)/HLOOKUP("Mins",A1:CV300,9,FALSE)* 90)</f>
      </c>
      <c r="BI9" s="685">
        <f>IF(HLOOKUP("Mins",A1:CV300,9,FALSE)=0,0,HLOOKUP("BC Created",A1:CV300,9,FALSE)/HLOOKUP("Mins",A1:CV300,9,FALSE)* 90)</f>
      </c>
      <c r="BJ9" s="686">
        <f>IF(HLOOKUP("Mins",A1:CV300,9,FALSE)=0,0,HLOOKUP("KP",A1:CV300,9,FALSE)/HLOOKUP("Mins",A1:CV300,9,FALSE)* 90)</f>
      </c>
      <c r="BK9" s="687">
        <f>IF(HLOOKUP("Mins",A1:CV300,9,FALSE)=0,0,HLOOKUP("BC",A1:CV300,9,FALSE)/HLOOKUP("Mins",A1:CV300,9,FALSE)* 90)</f>
      </c>
      <c r="BL9" s="688">
        <f>IF(HLOOKUP("Mins",A1:CV300,9,FALSE)=0,0,HLOOKUP("BC Miss",A1:CV300,9,FALSE)/HLOOKUP("Mins",A1:CV300,9,FALSE)* 90)</f>
      </c>
      <c r="BM9" s="689">
        <f>IF(HLOOKUP("Mins",A1:CV300,9,FALSE)=0,0,HLOOKUP("Gs - BC",A1:CV300,9,FALSE)/HLOOKUP("Mins",A1:CV300,9,FALSE)* 90)</f>
      </c>
      <c r="BN9" s="690">
        <f>IF(HLOOKUP("Mins",A1:CV300,9,FALSE)=0,0,HLOOKUP("GIB",A1:CV300,9,FALSE)/HLOOKUP("Mins",A1:CV300,9,FALSE)* 90)</f>
      </c>
      <c r="BO9" s="691">
        <f>IF(HLOOKUP("Mins",A1:CV300,9,FALSE)=0,0,HLOOKUP("Gs - Open",A1:CV300,9,FALSE)/HLOOKUP("Mins",A1:CV300,9,FALSE)* 90)</f>
      </c>
      <c r="BP9" s="692">
        <f>IF(HLOOKUP("Mins",A1:CV300,9,FALSE)=0,0,HLOOKUP("ICT Index",A1:CV300,9,FALSE)/HLOOKUP("Mins",A1:CV300,9,FALSE)* 90)</f>
      </c>
      <c r="BQ9" s="693">
        <f>IF(HLOOKUP("Mins",A1:CV300,9,FALSE)=0,0,(0.043*(HLOOKUP("Shots",A1:CV300,9,FALSE)-HLOOKUP("SIB",A1:CV300,9,FALSE))+0.162*(HLOOKUP("SIB",A1:CV300,9,FALSE)-(HLOOKUP("PK Gs",A1:CV300,9,FALSE)+HLOOKUP("PK Miss",A1:CV300,9,FALSE)))+0.75*(HLOOKUP("PK Gs",A1:CV300,9,FALSE)+HLOOKUP("PK Miss",A1:CV300,9,FALSE)))/HLOOKUP("Mins",A1:CV300,9,FALSE)*90)</f>
      </c>
      <c r="BR9" s="694">
        <f>0.103*HLOOKUP("KP/90",A1:CV300,9,FALSE)</f>
      </c>
      <c r="BS9" s="695">
        <f>4*HLOOKUP("xG/90",A1:CV300,9,FALSE)+3*HLOOKUP("xA/90",A1:CV300,9,FALSE)</f>
      </c>
      <c r="BT9" s="696">
        <f>HLOOKUP("xPts/90",A1:CV300,9,FALSE)-(4*0.75*(HLOOKUP("PK Gs",A1:CV300,9,FALSE)+HLOOKUP("PK Miss",A1:CV300,9,FALSE))*90/HLOOKUP("Mins",A1:CV300,9,FALSE))</f>
      </c>
      <c r="BU9" s="697">
        <f>IF(HLOOKUP("Mins",A1:CV300,9,FALSE)=0,0,HLOOKUP("fsXG",A1:CV300,9,FALSE)/HLOOKUP("Mins",A1:CV300,9,FALSE)* 90)</f>
      </c>
      <c r="BV9" s="698">
        <f>IF(HLOOKUP("Mins",A1:CV300,9,FALSE)=0,0,HLOOKUP("fsXA",A1:CV300,9,FALSE)/HLOOKUP("Mins",A1:CV300,9,FALSE)* 90)</f>
      </c>
      <c r="BW9" s="699">
        <f>4*HLOOKUP("fsXG/90",A1:CV300,9,FALSE)+3*HLOOKUP("fsXA/90",A1:CV300,9,FALSE)</f>
      </c>
      <c r="BX9" t="n" s="700">
        <v>0.3297041654586792</v>
      </c>
      <c r="BY9" t="n" s="701">
        <v>0.17499086260795593</v>
      </c>
      <c r="BZ9" s="702">
        <f>4*HLOOKUP("uXG/90",A1:CV300,9,FALSE)+3*HLOOKUP("uXA/90",A1:CV300,9,FALSE)</f>
      </c>
    </row>
    <row r="10">
      <c r="A10" t="s" s="703">
        <v>93</v>
      </c>
      <c r="B10" t="s" s="704">
        <v>87</v>
      </c>
      <c r="C10" t="n" s="705">
        <v>4.5</v>
      </c>
      <c r="D10" t="n" s="706">
        <v>36.0</v>
      </c>
      <c r="E10" t="n" s="707">
        <v>2.0</v>
      </c>
      <c r="F10" t="n" s="708">
        <v>2.0</v>
      </c>
      <c r="G10" t="n" s="709">
        <v>0.0</v>
      </c>
      <c r="H10" t="n" s="710">
        <v>0.0</v>
      </c>
      <c r="I10" t="n" s="711">
        <v>3.0</v>
      </c>
      <c r="J10" s="712">
        <f>HLOOKUP("BPS",A1:CV300,10,FALSE)-((-6*HLOOKUP("OG",A1:CV300,10,FALSE))+(-6*HLOOKUP("PK Miss",A1:CV300,10,FALSE))+(9*HLOOKUP("FPL As",A1:CV300,10,FALSE))+(0*HLOOKUP("CS",A1:CV300,10,FALSE))+(24*HLOOKUP("Gs",A1:CV300,10,FALSE)))</f>
      </c>
      <c r="K10" t="n" s="713">
        <v>0.0</v>
      </c>
      <c r="L10" t="n" s="714">
        <v>0.0</v>
      </c>
      <c r="M10" t="n" s="715">
        <v>2.0</v>
      </c>
      <c r="N10" t="n" s="716">
        <v>0.0</v>
      </c>
      <c r="O10" t="n" s="717">
        <v>0.0</v>
      </c>
      <c r="P10" s="718">
        <f>IF(HLOOKUP("Shots",A1:CV300,10,FALSE)=0,0,HLOOKUP("SIB",A1:CV300,10,FALSE)/HLOOKUP("Shots",A1:CV300,10,FALSE))</f>
      </c>
      <c r="Q10" t="n" s="719">
        <v>0.0</v>
      </c>
      <c r="R10" s="720">
        <f>IF(HLOOKUP("Shots",A1:CV300,10,FALSE)=0,0,HLOOKUP("S6YD",A1:CV300,10,FALSE)/HLOOKUP("Shots",A1:CV300,10,FALSE))</f>
      </c>
      <c r="S10" t="n" s="721">
        <v>0.0</v>
      </c>
      <c r="T10" s="722">
        <f>IF(HLOOKUP("Shots",A1:CV300,10,FALSE)=0,0,HLOOKUP("Headers",A1:CV300,10,FALSE)/HLOOKUP("Shots",A1:CV300,10,FALSE))</f>
      </c>
      <c r="U10" t="n" s="723">
        <v>0.0</v>
      </c>
      <c r="V10" s="724">
        <f>IF(HLOOKUP("Shots",A1:CV300,10,FALSE)=0,0,HLOOKUP("SOT",A1:CV300,10,FALSE)/HLOOKUP("Shots",A1:CV300,10,FALSE))</f>
      </c>
      <c r="W10" s="725">
        <f>IF(HLOOKUP("Shots",A1:CV300,10,FALSE)=0,0,HLOOKUP("Gs",A1:CV300,10,FALSE)/HLOOKUP("Shots",A1:CV300,10,FALSE))</f>
      </c>
      <c r="X10" t="n" s="726">
        <v>0.0</v>
      </c>
      <c r="Y10" t="n" s="727">
        <v>0.0</v>
      </c>
      <c r="Z10" t="n" s="728">
        <v>0.0</v>
      </c>
      <c r="AA10" s="729">
        <f>IF(HLOOKUP("KP",A1:CV300,10,FALSE)=0,0,HLOOKUP("As",A1:CV300,10,FALSE)/HLOOKUP("KP",A1:CV300,10,FALSE))</f>
      </c>
      <c r="AB10" t="n" s="730">
        <v>0.7</v>
      </c>
      <c r="AC10" t="n" s="731">
        <v>0.0</v>
      </c>
      <c r="AD10" t="n" s="732">
        <v>0.0</v>
      </c>
      <c r="AE10" t="n" s="733">
        <v>0.0</v>
      </c>
      <c r="AF10" t="n" s="734">
        <v>0.0</v>
      </c>
      <c r="AG10" s="735">
        <f>IF(HLOOKUP("BC",A1:CV300,10,FALSE)=0,0,HLOOKUP("Gs - BC",A1:CV300,10,FALSE)/HLOOKUP("BC",A1:CV300,10,FALSE))</f>
      </c>
      <c r="AH10" s="736">
        <f>HLOOKUP("BC",A1:CV300,10,FALSE) - HLOOKUP("BC Miss",A1:CV300,10,FALSE)</f>
      </c>
      <c r="AI10" s="737">
        <f>IF(HLOOKUP("Gs",A1:CV300,10,FALSE)=0,0,HLOOKUP("Gs - BC",A1:CV300,10,FALSE)/HLOOKUP("Gs",A1:CV300,10,FALSE))</f>
      </c>
      <c r="AJ10" t="n" s="738">
        <v>0.0</v>
      </c>
      <c r="AK10" t="n" s="739">
        <v>0.0</v>
      </c>
      <c r="AL10" s="740">
        <f>HLOOKUP("BC",A1:CV300,10,FALSE) - (HLOOKUP("PK Gs",A1:CV300,10,FALSE) + HLOOKUP("PK Miss",A1:CV300,10,FALSE))</f>
      </c>
      <c r="AM10" s="741">
        <f>HLOOKUP("BC Miss",A1:CV300,10,FALSE) - HLOOKUP("PK Miss",A1:CV300,10,FALSE)</f>
      </c>
      <c r="AN10" s="742">
        <f>IF(HLOOKUP("BC - Open",A1:CV300,10,FALSE)=0,0,HLOOKUP("BC - Open Miss",A1:CV300,10,FALSE)/HLOOKUP("BC - Open",A1:CV300,10,FALSE))</f>
      </c>
      <c r="AO10" t="n" s="743">
        <v>0.0</v>
      </c>
      <c r="AP10" s="744">
        <f>IF(HLOOKUP("Gs",A1:CV300,10,FALSE)=0,0,HLOOKUP("GIB",A1:CV300,10,FALSE)/HLOOKUP("Gs",A1:CV300,10,FALSE))</f>
      </c>
      <c r="AQ10" t="n" s="745">
        <v>0.0</v>
      </c>
      <c r="AR10" s="746">
        <f>IF(HLOOKUP("Gs",A1:CV300,10,FALSE)=0,0,HLOOKUP("Gs - Open",A1:CV300,10,FALSE)/HLOOKUP("Gs",A1:CV300,10,FALSE))</f>
      </c>
      <c r="AS10" t="n" s="747">
        <v>0.0</v>
      </c>
      <c r="AT10" t="n" s="748">
        <v>0.01</v>
      </c>
      <c r="AU10" s="749">
        <f>IF(HLOOKUP("Mins",A1:CV300,10,FALSE)=0,0,HLOOKUP("Pts",A1:CV300,10,FALSE)/HLOOKUP("Mins",A1:CV300,10,FALSE)* 90)</f>
      </c>
      <c r="AV10" s="750">
        <f>IF(HLOOKUP("Apps",A1:CV300,10,FALSE)=0,0,HLOOKUP("Pts",A1:CV300,10,FALSE)/HLOOKUP("Apps",A1:CV300,10,FALSE)* 1)</f>
      </c>
      <c r="AW10" s="751">
        <f>IF(HLOOKUP("Mins",A1:CV300,10,FALSE)=0,0,HLOOKUP("Gs",A1:CV300,10,FALSE)/HLOOKUP("Mins",A1:CV300,10,FALSE)* 90)</f>
      </c>
      <c r="AX10" s="752">
        <f>IF(HLOOKUP("Mins",A1:CV300,10,FALSE)=0,0,HLOOKUP("Bonus",A1:CV300,10,FALSE)/HLOOKUP("Mins",A1:CV300,10,FALSE)* 90)</f>
      </c>
      <c r="AY10" s="753">
        <f>IF(HLOOKUP("Mins",A1:CV300,10,FALSE)=0,0,HLOOKUP("BPS",A1:CV300,10,FALSE)/HLOOKUP("Mins",A1:CV300,10,FALSE)* 90)</f>
      </c>
      <c r="AZ10" s="754">
        <f>IF(HLOOKUP("Mins",A1:CV300,10,FALSE)=0,0,HLOOKUP("Base BPS",A1:CV300,10,FALSE)/HLOOKUP("Mins",A1:CV300,10,FALSE)* 90)</f>
      </c>
      <c r="BA10" s="755">
        <f>IF(HLOOKUP("Mins",A1:CV300,10,FALSE)=0,0,HLOOKUP("PenTchs",A1:CV300,10,FALSE)/HLOOKUP("Mins",A1:CV300,10,FALSE)* 90)</f>
      </c>
      <c r="BB10" s="756">
        <f>IF(HLOOKUP("Mins",A1:CV300,10,FALSE)=0,0,HLOOKUP("Shots",A1:CV300,10,FALSE)/HLOOKUP("Mins",A1:CV300,10,FALSE)* 90)</f>
      </c>
      <c r="BC10" s="757">
        <f>IF(HLOOKUP("Mins",A1:CV300,10,FALSE)=0,0,HLOOKUP("SIB",A1:CV300,10,FALSE)/HLOOKUP("Mins",A1:CV300,10,FALSE)* 90)</f>
      </c>
      <c r="BD10" s="758">
        <f>IF(HLOOKUP("Mins",A1:CV300,10,FALSE)=0,0,HLOOKUP("S6YD",A1:CV300,10,FALSE)/HLOOKUP("Mins",A1:CV300,10,FALSE)* 90)</f>
      </c>
      <c r="BE10" s="759">
        <f>IF(HLOOKUP("Mins",A1:CV300,10,FALSE)=0,0,HLOOKUP("Headers",A1:CV300,10,FALSE)/HLOOKUP("Mins",A1:CV300,10,FALSE)* 90)</f>
      </c>
      <c r="BF10" s="760">
        <f>IF(HLOOKUP("Mins",A1:CV300,10,FALSE)=0,0,HLOOKUP("SOT",A1:CV300,10,FALSE)/HLOOKUP("Mins",A1:CV300,10,FALSE)* 90)</f>
      </c>
      <c r="BG10" s="761">
        <f>IF(HLOOKUP("Mins",A1:CV300,10,FALSE)=0,0,HLOOKUP("As",A1:CV300,10,FALSE)/HLOOKUP("Mins",A1:CV300,10,FALSE)* 90)</f>
      </c>
      <c r="BH10" s="762">
        <f>IF(HLOOKUP("Mins",A1:CV300,10,FALSE)=0,0,HLOOKUP("FPL As",A1:CV300,10,FALSE)/HLOOKUP("Mins",A1:CV300,10,FALSE)* 90)</f>
      </c>
      <c r="BI10" s="763">
        <f>IF(HLOOKUP("Mins",A1:CV300,10,FALSE)=0,0,HLOOKUP("BC Created",A1:CV300,10,FALSE)/HLOOKUP("Mins",A1:CV300,10,FALSE)* 90)</f>
      </c>
      <c r="BJ10" s="764">
        <f>IF(HLOOKUP("Mins",A1:CV300,10,FALSE)=0,0,HLOOKUP("KP",A1:CV300,10,FALSE)/HLOOKUP("Mins",A1:CV300,10,FALSE)* 90)</f>
      </c>
      <c r="BK10" s="765">
        <f>IF(HLOOKUP("Mins",A1:CV300,10,FALSE)=0,0,HLOOKUP("BC",A1:CV300,10,FALSE)/HLOOKUP("Mins",A1:CV300,10,FALSE)* 90)</f>
      </c>
      <c r="BL10" s="766">
        <f>IF(HLOOKUP("Mins",A1:CV300,10,FALSE)=0,0,HLOOKUP("BC Miss",A1:CV300,10,FALSE)/HLOOKUP("Mins",A1:CV300,10,FALSE)* 90)</f>
      </c>
      <c r="BM10" s="767">
        <f>IF(HLOOKUP("Mins",A1:CV300,10,FALSE)=0,0,HLOOKUP("Gs - BC",A1:CV300,10,FALSE)/HLOOKUP("Mins",A1:CV300,10,FALSE)* 90)</f>
      </c>
      <c r="BN10" s="768">
        <f>IF(HLOOKUP("Mins",A1:CV300,10,FALSE)=0,0,HLOOKUP("GIB",A1:CV300,10,FALSE)/HLOOKUP("Mins",A1:CV300,10,FALSE)* 90)</f>
      </c>
      <c r="BO10" s="769">
        <f>IF(HLOOKUP("Mins",A1:CV300,10,FALSE)=0,0,HLOOKUP("Gs - Open",A1:CV300,10,FALSE)/HLOOKUP("Mins",A1:CV300,10,FALSE)* 90)</f>
      </c>
      <c r="BP10" s="770">
        <f>IF(HLOOKUP("Mins",A1:CV300,10,FALSE)=0,0,HLOOKUP("ICT Index",A1:CV300,10,FALSE)/HLOOKUP("Mins",A1:CV300,10,FALSE)* 90)</f>
      </c>
      <c r="BQ10" s="771">
        <f>IF(HLOOKUP("Mins",A1:CV300,10,FALSE)=0,0,(0.043*(HLOOKUP("Shots",A1:CV300,10,FALSE)-HLOOKUP("SIB",A1:CV300,10,FALSE))+0.162*(HLOOKUP("SIB",A1:CV300,10,FALSE)-(HLOOKUP("PK Gs",A1:CV300,10,FALSE)+HLOOKUP("PK Miss",A1:CV300,10,FALSE)))+0.75*(HLOOKUP("PK Gs",A1:CV300,10,FALSE)+HLOOKUP("PK Miss",A1:CV300,10,FALSE)))/HLOOKUP("Mins",A1:CV300,10,FALSE)*90)</f>
      </c>
      <c r="BR10" s="772">
        <f>0.103*HLOOKUP("KP/90",A1:CV300,10,FALSE)</f>
      </c>
      <c r="BS10" s="773">
        <f>4*HLOOKUP("xG/90",A1:CV300,10,FALSE)+3*HLOOKUP("xA/90",A1:CV300,10,FALSE)</f>
      </c>
      <c r="BT10" s="774">
        <f>HLOOKUP("xPts/90",A1:CV300,10,FALSE)-(4*0.75*(HLOOKUP("PK Gs",A1:CV300,10,FALSE)+HLOOKUP("PK Miss",A1:CV300,10,FALSE))*90/HLOOKUP("Mins",A1:CV300,10,FALSE))</f>
      </c>
      <c r="BU10" s="775">
        <f>IF(HLOOKUP("Mins",A1:CV300,10,FALSE)=0,0,HLOOKUP("fsXG",A1:CV300,10,FALSE)/HLOOKUP("Mins",A1:CV300,10,FALSE)* 90)</f>
      </c>
      <c r="BV10" s="776">
        <f>IF(HLOOKUP("Mins",A1:CV300,10,FALSE)=0,0,HLOOKUP("fsXA",A1:CV300,10,FALSE)/HLOOKUP("Mins",A1:CV300,10,FALSE)* 90)</f>
      </c>
      <c r="BW10" s="777">
        <f>4*HLOOKUP("fsXG/90",A1:CV300,10,FALSE)+3*HLOOKUP("fsXA/90",A1:CV300,10,FALSE)</f>
      </c>
      <c r="BX10" t="n" s="778">
        <v>0.0</v>
      </c>
      <c r="BY10" t="n" s="779">
        <v>0.0</v>
      </c>
      <c r="BZ10" s="780">
        <f>4*HLOOKUP("uXG/90",A1:CV300,10,FALSE)+3*HLOOKUP("uXA/90",A1:CV300,10,FALSE)</f>
      </c>
    </row>
    <row r="11">
      <c r="A11" t="s" s="781">
        <v>94</v>
      </c>
      <c r="B11" t="s" s="782">
        <v>95</v>
      </c>
      <c r="C11" t="n" s="783">
        <v>10.800000190734863</v>
      </c>
      <c r="D11" t="n" s="784">
        <v>75.0</v>
      </c>
      <c r="E11" t="n" s="785">
        <v>1.0</v>
      </c>
      <c r="F11" t="n" s="786">
        <v>104.0</v>
      </c>
      <c r="G11" t="n" s="787">
        <v>0.0</v>
      </c>
      <c r="H11" t="n" s="788">
        <v>16.0</v>
      </c>
      <c r="I11" t="n" s="789">
        <v>374.0</v>
      </c>
      <c r="J11" s="790">
        <f>HLOOKUP("BPS",A1:CV300,11,FALSE)-((-6*HLOOKUP("OG",A1:CV300,11,FALSE))+(-6*HLOOKUP("PK Miss",A1:CV300,11,FALSE))+(9*HLOOKUP("FPL As",A1:CV300,11,FALSE))+(0*HLOOKUP("CS",A1:CV300,11,FALSE))+(24*HLOOKUP("Gs",A1:CV300,11,FALSE)))</f>
      </c>
      <c r="K11" t="n" s="791">
        <v>0.0</v>
      </c>
      <c r="L11" t="n" s="792">
        <v>2.0</v>
      </c>
      <c r="M11" t="n" s="793">
        <v>1.0</v>
      </c>
      <c r="N11" t="n" s="794">
        <v>3.0</v>
      </c>
      <c r="O11" t="n" s="795">
        <v>1.0</v>
      </c>
      <c r="P11" s="796">
        <f>IF(HLOOKUP("Shots",A1:CV300,11,FALSE)=0,0,HLOOKUP("SIB",A1:CV300,11,FALSE)/HLOOKUP("Shots",A1:CV300,11,FALSE))</f>
      </c>
      <c r="Q11" t="n" s="797">
        <v>0.0</v>
      </c>
      <c r="R11" s="798">
        <f>IF(HLOOKUP("Shots",A1:CV300,11,FALSE)=0,0,HLOOKUP("S6YD",A1:CV300,11,FALSE)/HLOOKUP("Shots",A1:CV300,11,FALSE))</f>
      </c>
      <c r="S11" t="n" s="799">
        <v>0.0</v>
      </c>
      <c r="T11" s="800">
        <f>IF(HLOOKUP("Shots",A1:CV300,11,FALSE)=0,0,HLOOKUP("Headers",A1:CV300,11,FALSE)/HLOOKUP("Shots",A1:CV300,11,FALSE))</f>
      </c>
      <c r="U11" t="n" s="801">
        <v>3.0</v>
      </c>
      <c r="V11" s="802">
        <f>IF(HLOOKUP("Shots",A1:CV300,11,FALSE)=0,0,HLOOKUP("SOT",A1:CV300,11,FALSE)/HLOOKUP("Shots",A1:CV300,11,FALSE))</f>
      </c>
      <c r="W11" s="803">
        <f>IF(HLOOKUP("Shots",A1:CV300,11,FALSE)=0,0,HLOOKUP("Gs",A1:CV300,11,FALSE)/HLOOKUP("Shots",A1:CV300,11,FALSE))</f>
      </c>
      <c r="X11" t="n" s="804">
        <v>0.0</v>
      </c>
      <c r="Y11" t="n" s="805">
        <v>2.0</v>
      </c>
      <c r="Z11" t="n" s="806">
        <v>2.0</v>
      </c>
      <c r="AA11" s="807">
        <f>IF(HLOOKUP("KP",A1:CV300,11,FALSE)=0,0,HLOOKUP("As",A1:CV300,11,FALSE)/HLOOKUP("KP",A1:CV300,11,FALSE))</f>
      </c>
      <c r="AB11" t="n" s="808">
        <v>7.5</v>
      </c>
      <c r="AC11" t="n" s="809">
        <v>0.0</v>
      </c>
      <c r="AD11" t="n" s="810">
        <v>0.0</v>
      </c>
      <c r="AE11" t="n" s="811">
        <v>0.0</v>
      </c>
      <c r="AF11" t="n" s="812">
        <v>0.0</v>
      </c>
      <c r="AG11" s="813">
        <f>IF(HLOOKUP("BC",A1:CV300,11,FALSE)=0,0,HLOOKUP("Gs - BC",A1:CV300,11,FALSE)/HLOOKUP("BC",A1:CV300,11,FALSE))</f>
      </c>
      <c r="AH11" s="814">
        <f>HLOOKUP("BC",A1:CV300,11,FALSE) - HLOOKUP("BC Miss",A1:CV300,11,FALSE)</f>
      </c>
      <c r="AI11" s="815">
        <f>IF(HLOOKUP("Gs",A1:CV300,11,FALSE)=0,0,HLOOKUP("Gs - BC",A1:CV300,11,FALSE)/HLOOKUP("Gs",A1:CV300,11,FALSE))</f>
      </c>
      <c r="AJ11" t="n" s="816">
        <v>0.0</v>
      </c>
      <c r="AK11" t="n" s="817">
        <v>0.0</v>
      </c>
      <c r="AL11" s="818">
        <f>HLOOKUP("BC",A1:CV300,11,FALSE) - (HLOOKUP("PK Gs",A1:CV300,11,FALSE) + HLOOKUP("PK Miss",A1:CV300,11,FALSE))</f>
      </c>
      <c r="AM11" s="819">
        <f>HLOOKUP("BC Miss",A1:CV300,11,FALSE) - HLOOKUP("PK Miss",A1:CV300,11,FALSE)</f>
      </c>
      <c r="AN11" s="820">
        <f>IF(HLOOKUP("BC - Open",A1:CV300,11,FALSE)=0,0,HLOOKUP("BC - Open Miss",A1:CV300,11,FALSE)/HLOOKUP("BC - Open",A1:CV300,11,FALSE))</f>
      </c>
      <c r="AO11" t="n" s="821">
        <v>0.0</v>
      </c>
      <c r="AP11" s="822">
        <f>IF(HLOOKUP("Gs",A1:CV300,11,FALSE)=0,0,HLOOKUP("GIB",A1:CV300,11,FALSE)/HLOOKUP("Gs",A1:CV300,11,FALSE))</f>
      </c>
      <c r="AQ11" t="n" s="823">
        <v>0.0</v>
      </c>
      <c r="AR11" s="824">
        <f>IF(HLOOKUP("Gs",A1:CV300,11,FALSE)=0,0,HLOOKUP("Gs - Open",A1:CV300,11,FALSE)/HLOOKUP("Gs",A1:CV300,11,FALSE))</f>
      </c>
      <c r="AS11" t="n" s="825">
        <v>0.21</v>
      </c>
      <c r="AT11" t="n" s="826">
        <v>0.22</v>
      </c>
      <c r="AU11" s="827">
        <f>IF(HLOOKUP("Mins",A1:CV300,11,FALSE)=0,0,HLOOKUP("Pts",A1:CV300,11,FALSE)/HLOOKUP("Mins",A1:CV300,11,FALSE)* 90)</f>
      </c>
      <c r="AV11" s="828">
        <f>IF(HLOOKUP("Apps",A1:CV300,11,FALSE)=0,0,HLOOKUP("Pts",A1:CV300,11,FALSE)/HLOOKUP("Apps",A1:CV300,11,FALSE)* 1)</f>
      </c>
      <c r="AW11" s="829">
        <f>IF(HLOOKUP("Mins",A1:CV300,11,FALSE)=0,0,HLOOKUP("Gs",A1:CV300,11,FALSE)/HLOOKUP("Mins",A1:CV300,11,FALSE)* 90)</f>
      </c>
      <c r="AX11" s="830">
        <f>IF(HLOOKUP("Mins",A1:CV300,11,FALSE)=0,0,HLOOKUP("Bonus",A1:CV300,11,FALSE)/HLOOKUP("Mins",A1:CV300,11,FALSE)* 90)</f>
      </c>
      <c r="AY11" s="831">
        <f>IF(HLOOKUP("Mins",A1:CV300,11,FALSE)=0,0,HLOOKUP("BPS",A1:CV300,11,FALSE)/HLOOKUP("Mins",A1:CV300,11,FALSE)* 90)</f>
      </c>
      <c r="AZ11" s="832">
        <f>IF(HLOOKUP("Mins",A1:CV300,11,FALSE)=0,0,HLOOKUP("Base BPS",A1:CV300,11,FALSE)/HLOOKUP("Mins",A1:CV300,11,FALSE)* 90)</f>
      </c>
      <c r="BA11" s="833">
        <f>IF(HLOOKUP("Mins",A1:CV300,11,FALSE)=0,0,HLOOKUP("PenTchs",A1:CV300,11,FALSE)/HLOOKUP("Mins",A1:CV300,11,FALSE)* 90)</f>
      </c>
      <c r="BB11" s="834">
        <f>IF(HLOOKUP("Mins",A1:CV300,11,FALSE)=0,0,HLOOKUP("Shots",A1:CV300,11,FALSE)/HLOOKUP("Mins",A1:CV300,11,FALSE)* 90)</f>
      </c>
      <c r="BC11" s="835">
        <f>IF(HLOOKUP("Mins",A1:CV300,11,FALSE)=0,0,HLOOKUP("SIB",A1:CV300,11,FALSE)/HLOOKUP("Mins",A1:CV300,11,FALSE)* 90)</f>
      </c>
      <c r="BD11" s="836">
        <f>IF(HLOOKUP("Mins",A1:CV300,11,FALSE)=0,0,HLOOKUP("S6YD",A1:CV300,11,FALSE)/HLOOKUP("Mins",A1:CV300,11,FALSE)* 90)</f>
      </c>
      <c r="BE11" s="837">
        <f>IF(HLOOKUP("Mins",A1:CV300,11,FALSE)=0,0,HLOOKUP("Headers",A1:CV300,11,FALSE)/HLOOKUP("Mins",A1:CV300,11,FALSE)* 90)</f>
      </c>
      <c r="BF11" s="838">
        <f>IF(HLOOKUP("Mins",A1:CV300,11,FALSE)=0,0,HLOOKUP("SOT",A1:CV300,11,FALSE)/HLOOKUP("Mins",A1:CV300,11,FALSE)* 90)</f>
      </c>
      <c r="BG11" s="839">
        <f>IF(HLOOKUP("Mins",A1:CV300,11,FALSE)=0,0,HLOOKUP("As",A1:CV300,11,FALSE)/HLOOKUP("Mins",A1:CV300,11,FALSE)* 90)</f>
      </c>
      <c r="BH11" s="840">
        <f>IF(HLOOKUP("Mins",A1:CV300,11,FALSE)=0,0,HLOOKUP("FPL As",A1:CV300,11,FALSE)/HLOOKUP("Mins",A1:CV300,11,FALSE)* 90)</f>
      </c>
      <c r="BI11" s="841">
        <f>IF(HLOOKUP("Mins",A1:CV300,11,FALSE)=0,0,HLOOKUP("BC Created",A1:CV300,11,FALSE)/HLOOKUP("Mins",A1:CV300,11,FALSE)* 90)</f>
      </c>
      <c r="BJ11" s="842">
        <f>IF(HLOOKUP("Mins",A1:CV300,11,FALSE)=0,0,HLOOKUP("KP",A1:CV300,11,FALSE)/HLOOKUP("Mins",A1:CV300,11,FALSE)* 90)</f>
      </c>
      <c r="BK11" s="843">
        <f>IF(HLOOKUP("Mins",A1:CV300,11,FALSE)=0,0,HLOOKUP("BC",A1:CV300,11,FALSE)/HLOOKUP("Mins",A1:CV300,11,FALSE)* 90)</f>
      </c>
      <c r="BL11" s="844">
        <f>IF(HLOOKUP("Mins",A1:CV300,11,FALSE)=0,0,HLOOKUP("BC Miss",A1:CV300,11,FALSE)/HLOOKUP("Mins",A1:CV300,11,FALSE)* 90)</f>
      </c>
      <c r="BM11" s="845">
        <f>IF(HLOOKUP("Mins",A1:CV300,11,FALSE)=0,0,HLOOKUP("Gs - BC",A1:CV300,11,FALSE)/HLOOKUP("Mins",A1:CV300,11,FALSE)* 90)</f>
      </c>
      <c r="BN11" s="846">
        <f>IF(HLOOKUP("Mins",A1:CV300,11,FALSE)=0,0,HLOOKUP("GIB",A1:CV300,11,FALSE)/HLOOKUP("Mins",A1:CV300,11,FALSE)* 90)</f>
      </c>
      <c r="BO11" s="847">
        <f>IF(HLOOKUP("Mins",A1:CV300,11,FALSE)=0,0,HLOOKUP("Gs - Open",A1:CV300,11,FALSE)/HLOOKUP("Mins",A1:CV300,11,FALSE)* 90)</f>
      </c>
      <c r="BP11" s="848">
        <f>IF(HLOOKUP("Mins",A1:CV300,11,FALSE)=0,0,HLOOKUP("ICT Index",A1:CV300,11,FALSE)/HLOOKUP("Mins",A1:CV300,11,FALSE)* 90)</f>
      </c>
      <c r="BQ11" s="849">
        <f>IF(HLOOKUP("Mins",A1:CV300,11,FALSE)=0,0,(0.043*(HLOOKUP("Shots",A1:CV300,11,FALSE)-HLOOKUP("SIB",A1:CV300,11,FALSE))+0.162*(HLOOKUP("SIB",A1:CV300,11,FALSE)-(HLOOKUP("PK Gs",A1:CV300,11,FALSE)+HLOOKUP("PK Miss",A1:CV300,11,FALSE)))+0.75*(HLOOKUP("PK Gs",A1:CV300,11,FALSE)+HLOOKUP("PK Miss",A1:CV300,11,FALSE)))/HLOOKUP("Mins",A1:CV300,11,FALSE)*90)</f>
      </c>
      <c r="BR11" s="850">
        <f>0.103*HLOOKUP("KP/90",A1:CV300,11,FALSE)</f>
      </c>
      <c r="BS11" s="851">
        <f>4*HLOOKUP("xG/90",A1:CV300,11,FALSE)+3*HLOOKUP("xA/90",A1:CV300,11,FALSE)</f>
      </c>
      <c r="BT11" s="852">
        <f>HLOOKUP("xPts/90",A1:CV300,11,FALSE)-(4*0.75*(HLOOKUP("PK Gs",A1:CV300,11,FALSE)+HLOOKUP("PK Miss",A1:CV300,11,FALSE))*90/HLOOKUP("Mins",A1:CV300,11,FALSE))</f>
      </c>
      <c r="BU11" s="853">
        <f>IF(HLOOKUP("Mins",A1:CV300,11,FALSE)=0,0,HLOOKUP("fsXG",A1:CV300,11,FALSE)/HLOOKUP("Mins",A1:CV300,11,FALSE)* 90)</f>
      </c>
      <c r="BV11" s="854">
        <f>IF(HLOOKUP("Mins",A1:CV300,11,FALSE)=0,0,HLOOKUP("fsXA",A1:CV300,11,FALSE)/HLOOKUP("Mins",A1:CV300,11,FALSE)* 90)</f>
      </c>
      <c r="BW11" s="855">
        <f>4*HLOOKUP("fsXG/90",A1:CV300,11,FALSE)+3*HLOOKUP("fsXA/90",A1:CV300,11,FALSE)</f>
      </c>
      <c r="BX11" t="n" s="856">
        <v>0.18985538184642792</v>
      </c>
      <c r="BY11" t="n" s="857">
        <v>0.1603640466928482</v>
      </c>
      <c r="BZ11" s="858">
        <f>4*HLOOKUP("uXG/90",A1:CV300,11,FALSE)+3*HLOOKUP("uXA/90",A1:CV300,11,FALSE)</f>
      </c>
    </row>
    <row r="12">
      <c r="A12" t="s" s="859">
        <v>96</v>
      </c>
      <c r="B12" t="s" s="860">
        <v>97</v>
      </c>
      <c r="C12" t="n" s="861">
        <v>5.300000190734863</v>
      </c>
      <c r="D12" t="n" s="862">
        <v>85.0</v>
      </c>
      <c r="E12" t="n" s="863">
        <v>2.0</v>
      </c>
      <c r="F12" t="n" s="864">
        <v>18.0</v>
      </c>
      <c r="G12" t="n" s="865">
        <v>1.0</v>
      </c>
      <c r="H12" t="n" s="866">
        <v>3.0</v>
      </c>
      <c r="I12" t="n" s="867">
        <v>54.0</v>
      </c>
      <c r="J12" s="868">
        <f>HLOOKUP("BPS",A1:CV300,12,FALSE)-((-6*HLOOKUP("OG",A1:CV300,12,FALSE))+(-6*HLOOKUP("PK Miss",A1:CV300,12,FALSE))+(9*HLOOKUP("FPL As",A1:CV300,12,FALSE))+(0*HLOOKUP("CS",A1:CV300,12,FALSE))+(24*HLOOKUP("Gs",A1:CV300,12,FALSE)))</f>
      </c>
      <c r="K12" t="n" s="869">
        <v>0.0</v>
      </c>
      <c r="L12" t="n" s="870">
        <v>1.0</v>
      </c>
      <c r="M12" t="n" s="871">
        <v>4.0</v>
      </c>
      <c r="N12" t="n" s="872">
        <v>3.0</v>
      </c>
      <c r="O12" t="n" s="873">
        <v>2.0</v>
      </c>
      <c r="P12" s="874">
        <f>IF(HLOOKUP("Shots",A1:CV300,12,FALSE)=0,0,HLOOKUP("SIB",A1:CV300,12,FALSE)/HLOOKUP("Shots",A1:CV300,12,FALSE))</f>
      </c>
      <c r="Q12" t="n" s="875">
        <v>0.0</v>
      </c>
      <c r="R12" s="876">
        <f>IF(HLOOKUP("Shots",A1:CV300,12,FALSE)=0,0,HLOOKUP("S6YD",A1:CV300,12,FALSE)/HLOOKUP("Shots",A1:CV300,12,FALSE))</f>
      </c>
      <c r="S12" t="n" s="877">
        <v>0.0</v>
      </c>
      <c r="T12" s="878">
        <f>IF(HLOOKUP("Shots",A1:CV300,12,FALSE)=0,0,HLOOKUP("Headers",A1:CV300,12,FALSE)/HLOOKUP("Shots",A1:CV300,12,FALSE))</f>
      </c>
      <c r="U12" t="n" s="879">
        <v>3.0</v>
      </c>
      <c r="V12" s="880">
        <f>IF(HLOOKUP("Shots",A1:CV300,12,FALSE)=0,0,HLOOKUP("SOT",A1:CV300,12,FALSE)/HLOOKUP("Shots",A1:CV300,12,FALSE))</f>
      </c>
      <c r="W12" s="881">
        <f>IF(HLOOKUP("Shots",A1:CV300,12,FALSE)=0,0,HLOOKUP("Gs",A1:CV300,12,FALSE)/HLOOKUP("Shots",A1:CV300,12,FALSE))</f>
      </c>
      <c r="X12" t="n" s="882">
        <v>0.0</v>
      </c>
      <c r="Y12" t="n" s="883">
        <v>1.0</v>
      </c>
      <c r="Z12" t="n" s="884">
        <v>0.0</v>
      </c>
      <c r="AA12" s="885">
        <f>IF(HLOOKUP("KP",A1:CV300,12,FALSE)=0,0,HLOOKUP("As",A1:CV300,12,FALSE)/HLOOKUP("KP",A1:CV300,12,FALSE))</f>
      </c>
      <c r="AB12" t="n" s="886">
        <v>9.1</v>
      </c>
      <c r="AC12" t="n" s="887">
        <v>100.0</v>
      </c>
      <c r="AD12" t="n" s="888">
        <v>0.0</v>
      </c>
      <c r="AE12" t="n" s="889">
        <v>0.0</v>
      </c>
      <c r="AF12" t="n" s="890">
        <v>0.0</v>
      </c>
      <c r="AG12" s="891">
        <f>IF(HLOOKUP("BC",A1:CV300,12,FALSE)=0,0,HLOOKUP("Gs - BC",A1:CV300,12,FALSE)/HLOOKUP("BC",A1:CV300,12,FALSE))</f>
      </c>
      <c r="AH12" s="892">
        <f>HLOOKUP("BC",A1:CV300,12,FALSE) - HLOOKUP("BC Miss",A1:CV300,12,FALSE)</f>
      </c>
      <c r="AI12" s="893">
        <f>IF(HLOOKUP("Gs",A1:CV300,12,FALSE)=0,0,HLOOKUP("Gs - BC",A1:CV300,12,FALSE)/HLOOKUP("Gs",A1:CV300,12,FALSE))</f>
      </c>
      <c r="AJ12" t="n" s="894">
        <v>0.0</v>
      </c>
      <c r="AK12" t="n" s="895">
        <v>0.0</v>
      </c>
      <c r="AL12" s="896">
        <f>HLOOKUP("BC",A1:CV300,12,FALSE) - (HLOOKUP("PK Gs",A1:CV300,12,FALSE) + HLOOKUP("PK Miss",A1:CV300,12,FALSE))</f>
      </c>
      <c r="AM12" s="897">
        <f>HLOOKUP("BC Miss",A1:CV300,12,FALSE) - HLOOKUP("PK Miss",A1:CV300,12,FALSE)</f>
      </c>
      <c r="AN12" s="898">
        <f>IF(HLOOKUP("BC - Open",A1:CV300,12,FALSE)=0,0,HLOOKUP("BC - Open Miss",A1:CV300,12,FALSE)/HLOOKUP("BC - Open",A1:CV300,12,FALSE))</f>
      </c>
      <c r="AO12" t="n" s="899">
        <v>1.0</v>
      </c>
      <c r="AP12" s="900">
        <f>IF(HLOOKUP("Gs",A1:CV300,12,FALSE)=0,0,HLOOKUP("GIB",A1:CV300,12,FALSE)/HLOOKUP("Gs",A1:CV300,12,FALSE))</f>
      </c>
      <c r="AQ12" t="n" s="901">
        <v>1.0</v>
      </c>
      <c r="AR12" s="902">
        <f>IF(HLOOKUP("Gs",A1:CV300,12,FALSE)=0,0,HLOOKUP("Gs - Open",A1:CV300,12,FALSE)/HLOOKUP("Gs",A1:CV300,12,FALSE))</f>
      </c>
      <c r="AS12" t="n" s="903">
        <v>0.18</v>
      </c>
      <c r="AT12" t="n" s="904">
        <v>0.0</v>
      </c>
      <c r="AU12" s="905">
        <f>IF(HLOOKUP("Mins",A1:CV300,12,FALSE)=0,0,HLOOKUP("Pts",A1:CV300,12,FALSE)/HLOOKUP("Mins",A1:CV300,12,FALSE)* 90)</f>
      </c>
      <c r="AV12" s="906">
        <f>IF(HLOOKUP("Apps",A1:CV300,12,FALSE)=0,0,HLOOKUP("Pts",A1:CV300,12,FALSE)/HLOOKUP("Apps",A1:CV300,12,FALSE)* 1)</f>
      </c>
      <c r="AW12" s="907">
        <f>IF(HLOOKUP("Mins",A1:CV300,12,FALSE)=0,0,HLOOKUP("Gs",A1:CV300,12,FALSE)/HLOOKUP("Mins",A1:CV300,12,FALSE)* 90)</f>
      </c>
      <c r="AX12" s="908">
        <f>IF(HLOOKUP("Mins",A1:CV300,12,FALSE)=0,0,HLOOKUP("Bonus",A1:CV300,12,FALSE)/HLOOKUP("Mins",A1:CV300,12,FALSE)* 90)</f>
      </c>
      <c r="AY12" s="909">
        <f>IF(HLOOKUP("Mins",A1:CV300,12,FALSE)=0,0,HLOOKUP("BPS",A1:CV300,12,FALSE)/HLOOKUP("Mins",A1:CV300,12,FALSE)* 90)</f>
      </c>
      <c r="AZ12" s="910">
        <f>IF(HLOOKUP("Mins",A1:CV300,12,FALSE)=0,0,HLOOKUP("Base BPS",A1:CV300,12,FALSE)/HLOOKUP("Mins",A1:CV300,12,FALSE)* 90)</f>
      </c>
      <c r="BA12" s="911">
        <f>IF(HLOOKUP("Mins",A1:CV300,12,FALSE)=0,0,HLOOKUP("PenTchs",A1:CV300,12,FALSE)/HLOOKUP("Mins",A1:CV300,12,FALSE)* 90)</f>
      </c>
      <c r="BB12" s="912">
        <f>IF(HLOOKUP("Mins",A1:CV300,12,FALSE)=0,0,HLOOKUP("Shots",A1:CV300,12,FALSE)/HLOOKUP("Mins",A1:CV300,12,FALSE)* 90)</f>
      </c>
      <c r="BC12" s="913">
        <f>IF(HLOOKUP("Mins",A1:CV300,12,FALSE)=0,0,HLOOKUP("SIB",A1:CV300,12,FALSE)/HLOOKUP("Mins",A1:CV300,12,FALSE)* 90)</f>
      </c>
      <c r="BD12" s="914">
        <f>IF(HLOOKUP("Mins",A1:CV300,12,FALSE)=0,0,HLOOKUP("S6YD",A1:CV300,12,FALSE)/HLOOKUP("Mins",A1:CV300,12,FALSE)* 90)</f>
      </c>
      <c r="BE12" s="915">
        <f>IF(HLOOKUP("Mins",A1:CV300,12,FALSE)=0,0,HLOOKUP("Headers",A1:CV300,12,FALSE)/HLOOKUP("Mins",A1:CV300,12,FALSE)* 90)</f>
      </c>
      <c r="BF12" s="916">
        <f>IF(HLOOKUP("Mins",A1:CV300,12,FALSE)=0,0,HLOOKUP("SOT",A1:CV300,12,FALSE)/HLOOKUP("Mins",A1:CV300,12,FALSE)* 90)</f>
      </c>
      <c r="BG12" s="917">
        <f>IF(HLOOKUP("Mins",A1:CV300,12,FALSE)=0,0,HLOOKUP("As",A1:CV300,12,FALSE)/HLOOKUP("Mins",A1:CV300,12,FALSE)* 90)</f>
      </c>
      <c r="BH12" s="918">
        <f>IF(HLOOKUP("Mins",A1:CV300,12,FALSE)=0,0,HLOOKUP("FPL As",A1:CV300,12,FALSE)/HLOOKUP("Mins",A1:CV300,12,FALSE)* 90)</f>
      </c>
      <c r="BI12" s="919">
        <f>IF(HLOOKUP("Mins",A1:CV300,12,FALSE)=0,0,HLOOKUP("BC Created",A1:CV300,12,FALSE)/HLOOKUP("Mins",A1:CV300,12,FALSE)* 90)</f>
      </c>
      <c r="BJ12" s="920">
        <f>IF(HLOOKUP("Mins",A1:CV300,12,FALSE)=0,0,HLOOKUP("KP",A1:CV300,12,FALSE)/HLOOKUP("Mins",A1:CV300,12,FALSE)* 90)</f>
      </c>
      <c r="BK12" s="921">
        <f>IF(HLOOKUP("Mins",A1:CV300,12,FALSE)=0,0,HLOOKUP("BC",A1:CV300,12,FALSE)/HLOOKUP("Mins",A1:CV300,12,FALSE)* 90)</f>
      </c>
      <c r="BL12" s="922">
        <f>IF(HLOOKUP("Mins",A1:CV300,12,FALSE)=0,0,HLOOKUP("BC Miss",A1:CV300,12,FALSE)/HLOOKUP("Mins",A1:CV300,12,FALSE)* 90)</f>
      </c>
      <c r="BM12" s="923">
        <f>IF(HLOOKUP("Mins",A1:CV300,12,FALSE)=0,0,HLOOKUP("Gs - BC",A1:CV300,12,FALSE)/HLOOKUP("Mins",A1:CV300,12,FALSE)* 90)</f>
      </c>
      <c r="BN12" s="924">
        <f>IF(HLOOKUP("Mins",A1:CV300,12,FALSE)=0,0,HLOOKUP("GIB",A1:CV300,12,FALSE)/HLOOKUP("Mins",A1:CV300,12,FALSE)* 90)</f>
      </c>
      <c r="BO12" s="925">
        <f>IF(HLOOKUP("Mins",A1:CV300,12,FALSE)=0,0,HLOOKUP("Gs - Open",A1:CV300,12,FALSE)/HLOOKUP("Mins",A1:CV300,12,FALSE)* 90)</f>
      </c>
      <c r="BP12" s="926">
        <f>IF(HLOOKUP("Mins",A1:CV300,12,FALSE)=0,0,HLOOKUP("ICT Index",A1:CV300,12,FALSE)/HLOOKUP("Mins",A1:CV300,12,FALSE)* 90)</f>
      </c>
      <c r="BQ12" s="927">
        <f>IF(HLOOKUP("Mins",A1:CV300,12,FALSE)=0,0,(0.043*(HLOOKUP("Shots",A1:CV300,12,FALSE)-HLOOKUP("SIB",A1:CV300,12,FALSE))+0.162*(HLOOKUP("SIB",A1:CV300,12,FALSE)-(HLOOKUP("PK Gs",A1:CV300,12,FALSE)+HLOOKUP("PK Miss",A1:CV300,12,FALSE)))+0.75*(HLOOKUP("PK Gs",A1:CV300,12,FALSE)+HLOOKUP("PK Miss",A1:CV300,12,FALSE)))/HLOOKUP("Mins",A1:CV300,12,FALSE)*90)</f>
      </c>
      <c r="BR12" s="928">
        <f>0.103*HLOOKUP("KP/90",A1:CV300,12,FALSE)</f>
      </c>
      <c r="BS12" s="929">
        <f>4*HLOOKUP("xG/90",A1:CV300,12,FALSE)+3*HLOOKUP("xA/90",A1:CV300,12,FALSE)</f>
      </c>
      <c r="BT12" s="930">
        <f>HLOOKUP("xPts/90",A1:CV300,12,FALSE)-(4*0.75*(HLOOKUP("PK Gs",A1:CV300,12,FALSE)+HLOOKUP("PK Miss",A1:CV300,12,FALSE))*90/HLOOKUP("Mins",A1:CV300,12,FALSE))</f>
      </c>
      <c r="BU12" s="931">
        <f>IF(HLOOKUP("Mins",A1:CV300,12,FALSE)=0,0,HLOOKUP("fsXG",A1:CV300,12,FALSE)/HLOOKUP("Mins",A1:CV300,12,FALSE)* 90)</f>
      </c>
      <c r="BV12" s="932">
        <f>IF(HLOOKUP("Mins",A1:CV300,12,FALSE)=0,0,HLOOKUP("fsXA",A1:CV300,12,FALSE)/HLOOKUP("Mins",A1:CV300,12,FALSE)* 90)</f>
      </c>
      <c r="BW12" s="933">
        <f>4*HLOOKUP("fsXG/90",A1:CV300,12,FALSE)+3*HLOOKUP("fsXA/90",A1:CV300,12,FALSE)</f>
      </c>
      <c r="BX12" t="n" s="934">
        <v>0.24689877033233643</v>
      </c>
      <c r="BY12" t="n" s="935">
        <v>0.0</v>
      </c>
      <c r="BZ12" s="936">
        <f>4*HLOOKUP("uXG/90",A1:CV300,12,FALSE)+3*HLOOKUP("uXA/90",A1:CV300,12,FALSE)</f>
      </c>
    </row>
    <row r="13">
      <c r="A13" t="s" s="937">
        <v>98</v>
      </c>
      <c r="B13" t="s" s="938">
        <v>95</v>
      </c>
      <c r="C13" t="n" s="939">
        <v>7.5</v>
      </c>
      <c r="D13" t="n" s="940">
        <v>159.0</v>
      </c>
      <c r="E13" t="n" s="941">
        <v>2.0</v>
      </c>
      <c r="F13" t="n" s="942">
        <v>12.0</v>
      </c>
      <c r="G13" t="n" s="943">
        <v>1.0</v>
      </c>
      <c r="H13" t="n" s="944">
        <v>2.0</v>
      </c>
      <c r="I13" t="n" s="945">
        <v>41.0</v>
      </c>
      <c r="J13" s="946">
        <f>HLOOKUP("BPS",A1:CV300,13,FALSE)-((-6*HLOOKUP("OG",A1:CV300,13,FALSE))+(-6*HLOOKUP("PK Miss",A1:CV300,13,FALSE))+(9*HLOOKUP("FPL As",A1:CV300,13,FALSE))+(0*HLOOKUP("CS",A1:CV300,13,FALSE))+(24*HLOOKUP("Gs",A1:CV300,13,FALSE)))</f>
      </c>
      <c r="K13" t="n" s="947">
        <v>0.0</v>
      </c>
      <c r="L13" t="n" s="948">
        <v>1.0</v>
      </c>
      <c r="M13" t="n" s="949">
        <v>9.0</v>
      </c>
      <c r="N13" t="n" s="950">
        <v>5.0</v>
      </c>
      <c r="O13" t="n" s="951">
        <v>4.0</v>
      </c>
      <c r="P13" s="952">
        <f>IF(HLOOKUP("Shots",A1:CV300,13,FALSE)=0,0,HLOOKUP("SIB",A1:CV300,13,FALSE)/HLOOKUP("Shots",A1:CV300,13,FALSE))</f>
      </c>
      <c r="Q13" t="n" s="953">
        <v>0.0</v>
      </c>
      <c r="R13" s="954">
        <f>IF(HLOOKUP("Shots",A1:CV300,13,FALSE)=0,0,HLOOKUP("S6YD",A1:CV300,13,FALSE)/HLOOKUP("Shots",A1:CV300,13,FALSE))</f>
      </c>
      <c r="S13" t="n" s="955">
        <v>0.0</v>
      </c>
      <c r="T13" s="956">
        <f>IF(HLOOKUP("Shots",A1:CV300,13,FALSE)=0,0,HLOOKUP("Headers",A1:CV300,13,FALSE)/HLOOKUP("Shots",A1:CV300,13,FALSE))</f>
      </c>
      <c r="U13" t="n" s="957">
        <v>2.0</v>
      </c>
      <c r="V13" s="958">
        <f>IF(HLOOKUP("Shots",A1:CV300,13,FALSE)=0,0,HLOOKUP("SOT",A1:CV300,13,FALSE)/HLOOKUP("Shots",A1:CV300,13,FALSE))</f>
      </c>
      <c r="W13" s="959">
        <f>IF(HLOOKUP("Shots",A1:CV300,13,FALSE)=0,0,HLOOKUP("Gs",A1:CV300,13,FALSE)/HLOOKUP("Shots",A1:CV300,13,FALSE))</f>
      </c>
      <c r="X13" t="n" s="960">
        <v>0.0</v>
      </c>
      <c r="Y13" t="n" s="961">
        <v>0.0</v>
      </c>
      <c r="Z13" t="n" s="962">
        <v>3.0</v>
      </c>
      <c r="AA13" s="963">
        <f>IF(HLOOKUP("KP",A1:CV300,13,FALSE)=0,0,HLOOKUP("As",A1:CV300,13,FALSE)/HLOOKUP("KP",A1:CV300,13,FALSE))</f>
      </c>
      <c r="AB13" t="n" s="964">
        <v>18.6</v>
      </c>
      <c r="AC13" t="n" s="965">
        <v>25.0</v>
      </c>
      <c r="AD13" t="n" s="966">
        <v>0.0</v>
      </c>
      <c r="AE13" t="n" s="967">
        <v>0.0</v>
      </c>
      <c r="AF13" t="n" s="968">
        <v>0.0</v>
      </c>
      <c r="AG13" s="969">
        <f>IF(HLOOKUP("BC",A1:CV300,13,FALSE)=0,0,HLOOKUP("Gs - BC",A1:CV300,13,FALSE)/HLOOKUP("BC",A1:CV300,13,FALSE))</f>
      </c>
      <c r="AH13" s="970">
        <f>HLOOKUP("BC",A1:CV300,13,FALSE) - HLOOKUP("BC Miss",A1:CV300,13,FALSE)</f>
      </c>
      <c r="AI13" s="971">
        <f>IF(HLOOKUP("Gs",A1:CV300,13,FALSE)=0,0,HLOOKUP("Gs - BC",A1:CV300,13,FALSE)/HLOOKUP("Gs",A1:CV300,13,FALSE))</f>
      </c>
      <c r="AJ13" t="n" s="972">
        <v>0.0</v>
      </c>
      <c r="AK13" t="n" s="973">
        <v>0.0</v>
      </c>
      <c r="AL13" s="974">
        <f>HLOOKUP("BC",A1:CV300,13,FALSE) - (HLOOKUP("PK Gs",A1:CV300,13,FALSE) + HLOOKUP("PK Miss",A1:CV300,13,FALSE))</f>
      </c>
      <c r="AM13" s="975">
        <f>HLOOKUP("BC Miss",A1:CV300,13,FALSE) - HLOOKUP("PK Miss",A1:CV300,13,FALSE)</f>
      </c>
      <c r="AN13" s="976">
        <f>IF(HLOOKUP("BC - Open",A1:CV300,13,FALSE)=0,0,HLOOKUP("BC - Open Miss",A1:CV300,13,FALSE)/HLOOKUP("BC - Open",A1:CV300,13,FALSE))</f>
      </c>
      <c r="AO13" t="n" s="977">
        <v>1.0</v>
      </c>
      <c r="AP13" s="978">
        <f>IF(HLOOKUP("Gs",A1:CV300,13,FALSE)=0,0,HLOOKUP("GIB",A1:CV300,13,FALSE)/HLOOKUP("Gs",A1:CV300,13,FALSE))</f>
      </c>
      <c r="AQ13" t="n" s="979">
        <v>0.0</v>
      </c>
      <c r="AR13" s="980">
        <f>IF(HLOOKUP("Gs",A1:CV300,13,FALSE)=0,0,HLOOKUP("Gs - Open",A1:CV300,13,FALSE)/HLOOKUP("Gs",A1:CV300,13,FALSE))</f>
      </c>
      <c r="AS13" t="n" s="981">
        <v>0.31</v>
      </c>
      <c r="AT13" t="n" s="982">
        <v>0.07</v>
      </c>
      <c r="AU13" s="983">
        <f>IF(HLOOKUP("Mins",A1:CV300,13,FALSE)=0,0,HLOOKUP("Pts",A1:CV300,13,FALSE)/HLOOKUP("Mins",A1:CV300,13,FALSE)* 90)</f>
      </c>
      <c r="AV13" s="984">
        <f>IF(HLOOKUP("Apps",A1:CV300,13,FALSE)=0,0,HLOOKUP("Pts",A1:CV300,13,FALSE)/HLOOKUP("Apps",A1:CV300,13,FALSE)* 1)</f>
      </c>
      <c r="AW13" s="985">
        <f>IF(HLOOKUP("Mins",A1:CV300,13,FALSE)=0,0,HLOOKUP("Gs",A1:CV300,13,FALSE)/HLOOKUP("Mins",A1:CV300,13,FALSE)* 90)</f>
      </c>
      <c r="AX13" s="986">
        <f>IF(HLOOKUP("Mins",A1:CV300,13,FALSE)=0,0,HLOOKUP("Bonus",A1:CV300,13,FALSE)/HLOOKUP("Mins",A1:CV300,13,FALSE)* 90)</f>
      </c>
      <c r="AY13" s="987">
        <f>IF(HLOOKUP("Mins",A1:CV300,13,FALSE)=0,0,HLOOKUP("BPS",A1:CV300,13,FALSE)/HLOOKUP("Mins",A1:CV300,13,FALSE)* 90)</f>
      </c>
      <c r="AZ13" s="988">
        <f>IF(HLOOKUP("Mins",A1:CV300,13,FALSE)=0,0,HLOOKUP("Base BPS",A1:CV300,13,FALSE)/HLOOKUP("Mins",A1:CV300,13,FALSE)* 90)</f>
      </c>
      <c r="BA13" s="989">
        <f>IF(HLOOKUP("Mins",A1:CV300,13,FALSE)=0,0,HLOOKUP("PenTchs",A1:CV300,13,FALSE)/HLOOKUP("Mins",A1:CV300,13,FALSE)* 90)</f>
      </c>
      <c r="BB13" s="990">
        <f>IF(HLOOKUP("Mins",A1:CV300,13,FALSE)=0,0,HLOOKUP("Shots",A1:CV300,13,FALSE)/HLOOKUP("Mins",A1:CV300,13,FALSE)* 90)</f>
      </c>
      <c r="BC13" s="991">
        <f>IF(HLOOKUP("Mins",A1:CV300,13,FALSE)=0,0,HLOOKUP("SIB",A1:CV300,13,FALSE)/HLOOKUP("Mins",A1:CV300,13,FALSE)* 90)</f>
      </c>
      <c r="BD13" s="992">
        <f>IF(HLOOKUP("Mins",A1:CV300,13,FALSE)=0,0,HLOOKUP("S6YD",A1:CV300,13,FALSE)/HLOOKUP("Mins",A1:CV300,13,FALSE)* 90)</f>
      </c>
      <c r="BE13" s="993">
        <f>IF(HLOOKUP("Mins",A1:CV300,13,FALSE)=0,0,HLOOKUP("Headers",A1:CV300,13,FALSE)/HLOOKUP("Mins",A1:CV300,13,FALSE)* 90)</f>
      </c>
      <c r="BF13" s="994">
        <f>IF(HLOOKUP("Mins",A1:CV300,13,FALSE)=0,0,HLOOKUP("SOT",A1:CV300,13,FALSE)/HLOOKUP("Mins",A1:CV300,13,FALSE)* 90)</f>
      </c>
      <c r="BG13" s="995">
        <f>IF(HLOOKUP("Mins",A1:CV300,13,FALSE)=0,0,HLOOKUP("As",A1:CV300,13,FALSE)/HLOOKUP("Mins",A1:CV300,13,FALSE)* 90)</f>
      </c>
      <c r="BH13" s="996">
        <f>IF(HLOOKUP("Mins",A1:CV300,13,FALSE)=0,0,HLOOKUP("FPL As",A1:CV300,13,FALSE)/HLOOKUP("Mins",A1:CV300,13,FALSE)* 90)</f>
      </c>
      <c r="BI13" s="997">
        <f>IF(HLOOKUP("Mins",A1:CV300,13,FALSE)=0,0,HLOOKUP("BC Created",A1:CV300,13,FALSE)/HLOOKUP("Mins",A1:CV300,13,FALSE)* 90)</f>
      </c>
      <c r="BJ13" s="998">
        <f>IF(HLOOKUP("Mins",A1:CV300,13,FALSE)=0,0,HLOOKUP("KP",A1:CV300,13,FALSE)/HLOOKUP("Mins",A1:CV300,13,FALSE)* 90)</f>
      </c>
      <c r="BK13" s="999">
        <f>IF(HLOOKUP("Mins",A1:CV300,13,FALSE)=0,0,HLOOKUP("BC",A1:CV300,13,FALSE)/HLOOKUP("Mins",A1:CV300,13,FALSE)* 90)</f>
      </c>
      <c r="BL13" s="1000">
        <f>IF(HLOOKUP("Mins",A1:CV300,13,FALSE)=0,0,HLOOKUP("BC Miss",A1:CV300,13,FALSE)/HLOOKUP("Mins",A1:CV300,13,FALSE)* 90)</f>
      </c>
      <c r="BM13" s="1001">
        <f>IF(HLOOKUP("Mins",A1:CV300,13,FALSE)=0,0,HLOOKUP("Gs - BC",A1:CV300,13,FALSE)/HLOOKUP("Mins",A1:CV300,13,FALSE)* 90)</f>
      </c>
      <c r="BN13" s="1002">
        <f>IF(HLOOKUP("Mins",A1:CV300,13,FALSE)=0,0,HLOOKUP("GIB",A1:CV300,13,FALSE)/HLOOKUP("Mins",A1:CV300,13,FALSE)* 90)</f>
      </c>
      <c r="BO13" s="1003">
        <f>IF(HLOOKUP("Mins",A1:CV300,13,FALSE)=0,0,HLOOKUP("Gs - Open",A1:CV300,13,FALSE)/HLOOKUP("Mins",A1:CV300,13,FALSE)* 90)</f>
      </c>
      <c r="BP13" s="1004">
        <f>IF(HLOOKUP("Mins",A1:CV300,13,FALSE)=0,0,HLOOKUP("ICT Index",A1:CV300,13,FALSE)/HLOOKUP("Mins",A1:CV300,13,FALSE)* 90)</f>
      </c>
      <c r="BQ13" s="1005">
        <f>IF(HLOOKUP("Mins",A1:CV300,13,FALSE)=0,0,(0.043*(HLOOKUP("Shots",A1:CV300,13,FALSE)-HLOOKUP("SIB",A1:CV300,13,FALSE))+0.162*(HLOOKUP("SIB",A1:CV300,13,FALSE)-(HLOOKUP("PK Gs",A1:CV300,13,FALSE)+HLOOKUP("PK Miss",A1:CV300,13,FALSE)))+0.75*(HLOOKUP("PK Gs",A1:CV300,13,FALSE)+HLOOKUP("PK Miss",A1:CV300,13,FALSE)))/HLOOKUP("Mins",A1:CV300,13,FALSE)*90)</f>
      </c>
      <c r="BR13" s="1006">
        <f>0.103*HLOOKUP("KP/90",A1:CV300,13,FALSE)</f>
      </c>
      <c r="BS13" s="1007">
        <f>4*HLOOKUP("xG/90",A1:CV300,13,FALSE)+3*HLOOKUP("xA/90",A1:CV300,13,FALSE)</f>
      </c>
      <c r="BT13" s="1008">
        <f>HLOOKUP("xPts/90",A1:CV300,13,FALSE)-(4*0.75*(HLOOKUP("PK Gs",A1:CV300,13,FALSE)+HLOOKUP("PK Miss",A1:CV300,13,FALSE))*90/HLOOKUP("Mins",A1:CV300,13,FALSE))</f>
      </c>
      <c r="BU13" s="1009">
        <f>IF(HLOOKUP("Mins",A1:CV300,13,FALSE)=0,0,HLOOKUP("fsXG",A1:CV300,13,FALSE)/HLOOKUP("Mins",A1:CV300,13,FALSE)* 90)</f>
      </c>
      <c r="BV13" s="1010">
        <f>IF(HLOOKUP("Mins",A1:CV300,13,FALSE)=0,0,HLOOKUP("fsXA",A1:CV300,13,FALSE)/HLOOKUP("Mins",A1:CV300,13,FALSE)* 90)</f>
      </c>
      <c r="BW13" s="1011">
        <f>4*HLOOKUP("fsXG/90",A1:CV300,13,FALSE)+3*HLOOKUP("fsXA/90",A1:CV300,13,FALSE)</f>
      </c>
      <c r="BX13" t="n" s="1012">
        <v>0.24660153687000275</v>
      </c>
      <c r="BY13" t="n" s="1013">
        <v>0.04869585111737251</v>
      </c>
      <c r="BZ13" s="1014">
        <f>4*HLOOKUP("uXG/90",A1:CV300,13,FALSE)+3*HLOOKUP("uXA/90",A1:CV300,13,FALSE)</f>
      </c>
    </row>
    <row r="14">
      <c r="A14" t="s" s="1015">
        <v>99</v>
      </c>
      <c r="B14" t="s" s="1016">
        <v>100</v>
      </c>
      <c r="C14" t="n" s="1017">
        <v>4.900000095367432</v>
      </c>
      <c r="D14" t="n" s="1018">
        <v>135.0</v>
      </c>
      <c r="E14" t="n" s="1019">
        <v>4.0</v>
      </c>
      <c r="F14" t="n" s="1020">
        <v>20.0</v>
      </c>
      <c r="G14" t="n" s="1021">
        <v>0.0</v>
      </c>
      <c r="H14" t="n" s="1022">
        <v>2.0</v>
      </c>
      <c r="I14" t="n" s="1023">
        <v>64.0</v>
      </c>
      <c r="J14" s="1024">
        <f>HLOOKUP("BPS",A1:CV300,14,FALSE)-((-6*HLOOKUP("OG",A1:CV300,14,FALSE))+(-6*HLOOKUP("PK Miss",A1:CV300,14,FALSE))+(9*HLOOKUP("FPL As",A1:CV300,14,FALSE))+(0*HLOOKUP("CS",A1:CV300,14,FALSE))+(24*HLOOKUP("Gs",A1:CV300,14,FALSE)))</f>
      </c>
      <c r="K14" t="n" s="1025">
        <v>0.0</v>
      </c>
      <c r="L14" t="n" s="1026">
        <v>2.0</v>
      </c>
      <c r="M14" t="n" s="1027">
        <v>7.0</v>
      </c>
      <c r="N14" t="n" s="1028">
        <v>1.0</v>
      </c>
      <c r="O14" t="n" s="1029">
        <v>1.0</v>
      </c>
      <c r="P14" s="1030">
        <f>IF(HLOOKUP("Shots",A1:CV300,14,FALSE)=0,0,HLOOKUP("SIB",A1:CV300,14,FALSE)/HLOOKUP("Shots",A1:CV300,14,FALSE))</f>
      </c>
      <c r="Q14" t="n" s="1031">
        <v>0.0</v>
      </c>
      <c r="R14" s="1032">
        <f>IF(HLOOKUP("Shots",A1:CV300,14,FALSE)=0,0,HLOOKUP("S6YD",A1:CV300,14,FALSE)/HLOOKUP("Shots",A1:CV300,14,FALSE))</f>
      </c>
      <c r="S14" t="n" s="1033">
        <v>0.0</v>
      </c>
      <c r="T14" s="1034">
        <f>IF(HLOOKUP("Shots",A1:CV300,14,FALSE)=0,0,HLOOKUP("Headers",A1:CV300,14,FALSE)/HLOOKUP("Shots",A1:CV300,14,FALSE))</f>
      </c>
      <c r="U14" t="n" s="1035">
        <v>0.0</v>
      </c>
      <c r="V14" s="1036">
        <f>IF(HLOOKUP("Shots",A1:CV300,14,FALSE)=0,0,HLOOKUP("SOT",A1:CV300,14,FALSE)/HLOOKUP("Shots",A1:CV300,14,FALSE))</f>
      </c>
      <c r="W14" s="1037">
        <f>IF(HLOOKUP("Shots",A1:CV300,14,FALSE)=0,0,HLOOKUP("Gs",A1:CV300,14,FALSE)/HLOOKUP("Shots",A1:CV300,14,FALSE))</f>
      </c>
      <c r="X14" t="n" s="1038">
        <v>0.0</v>
      </c>
      <c r="Y14" t="n" s="1039">
        <v>0.0</v>
      </c>
      <c r="Z14" t="n" s="1040">
        <v>3.0</v>
      </c>
      <c r="AA14" s="1041">
        <f>IF(HLOOKUP("KP",A1:CV300,14,FALSE)=0,0,HLOOKUP("As",A1:CV300,14,FALSE)/HLOOKUP("KP",A1:CV300,14,FALSE))</f>
      </c>
      <c r="AB14" t="n" s="1042">
        <v>8.5</v>
      </c>
      <c r="AC14" t="n" s="1043">
        <v>0.0</v>
      </c>
      <c r="AD14" t="n" s="1044">
        <v>1.0</v>
      </c>
      <c r="AE14" t="n" s="1045">
        <v>0.0</v>
      </c>
      <c r="AF14" t="n" s="1046">
        <v>0.0</v>
      </c>
      <c r="AG14" s="1047">
        <f>IF(HLOOKUP("BC",A1:CV300,14,FALSE)=0,0,HLOOKUP("Gs - BC",A1:CV300,14,FALSE)/HLOOKUP("BC",A1:CV300,14,FALSE))</f>
      </c>
      <c r="AH14" s="1048">
        <f>HLOOKUP("BC",A1:CV300,14,FALSE) - HLOOKUP("BC Miss",A1:CV300,14,FALSE)</f>
      </c>
      <c r="AI14" s="1049">
        <f>IF(HLOOKUP("Gs",A1:CV300,14,FALSE)=0,0,HLOOKUP("Gs - BC",A1:CV300,14,FALSE)/HLOOKUP("Gs",A1:CV300,14,FALSE))</f>
      </c>
      <c r="AJ14" t="n" s="1050">
        <v>0.0</v>
      </c>
      <c r="AK14" t="n" s="1051">
        <v>0.0</v>
      </c>
      <c r="AL14" s="1052">
        <f>HLOOKUP("BC",A1:CV300,14,FALSE) - (HLOOKUP("PK Gs",A1:CV300,14,FALSE) + HLOOKUP("PK Miss",A1:CV300,14,FALSE))</f>
      </c>
      <c r="AM14" s="1053">
        <f>HLOOKUP("BC Miss",A1:CV300,14,FALSE) - HLOOKUP("PK Miss",A1:CV300,14,FALSE)</f>
      </c>
      <c r="AN14" s="1054">
        <f>IF(HLOOKUP("BC - Open",A1:CV300,14,FALSE)=0,0,HLOOKUP("BC - Open Miss",A1:CV300,14,FALSE)/HLOOKUP("BC - Open",A1:CV300,14,FALSE))</f>
      </c>
      <c r="AO14" t="n" s="1055">
        <v>0.0</v>
      </c>
      <c r="AP14" s="1056">
        <f>IF(HLOOKUP("Gs",A1:CV300,14,FALSE)=0,0,HLOOKUP("GIB",A1:CV300,14,FALSE)/HLOOKUP("Gs",A1:CV300,14,FALSE))</f>
      </c>
      <c r="AQ14" t="n" s="1057">
        <v>0.0</v>
      </c>
      <c r="AR14" s="1058">
        <f>IF(HLOOKUP("Gs",A1:CV300,14,FALSE)=0,0,HLOOKUP("Gs - Open",A1:CV300,14,FALSE)/HLOOKUP("Gs",A1:CV300,14,FALSE))</f>
      </c>
      <c r="AS14" t="n" s="1059">
        <v>0.05</v>
      </c>
      <c r="AT14" t="n" s="1060">
        <v>0.37</v>
      </c>
      <c r="AU14" s="1061">
        <f>IF(HLOOKUP("Mins",A1:CV300,14,FALSE)=0,0,HLOOKUP("Pts",A1:CV300,14,FALSE)/HLOOKUP("Mins",A1:CV300,14,FALSE)* 90)</f>
      </c>
      <c r="AV14" s="1062">
        <f>IF(HLOOKUP("Apps",A1:CV300,14,FALSE)=0,0,HLOOKUP("Pts",A1:CV300,14,FALSE)/HLOOKUP("Apps",A1:CV300,14,FALSE)* 1)</f>
      </c>
      <c r="AW14" s="1063">
        <f>IF(HLOOKUP("Mins",A1:CV300,14,FALSE)=0,0,HLOOKUP("Gs",A1:CV300,14,FALSE)/HLOOKUP("Mins",A1:CV300,14,FALSE)* 90)</f>
      </c>
      <c r="AX14" s="1064">
        <f>IF(HLOOKUP("Mins",A1:CV300,14,FALSE)=0,0,HLOOKUP("Bonus",A1:CV300,14,FALSE)/HLOOKUP("Mins",A1:CV300,14,FALSE)* 90)</f>
      </c>
      <c r="AY14" s="1065">
        <f>IF(HLOOKUP("Mins",A1:CV300,14,FALSE)=0,0,HLOOKUP("BPS",A1:CV300,14,FALSE)/HLOOKUP("Mins",A1:CV300,14,FALSE)* 90)</f>
      </c>
      <c r="AZ14" s="1066">
        <f>IF(HLOOKUP("Mins",A1:CV300,14,FALSE)=0,0,HLOOKUP("Base BPS",A1:CV300,14,FALSE)/HLOOKUP("Mins",A1:CV300,14,FALSE)* 90)</f>
      </c>
      <c r="BA14" s="1067">
        <f>IF(HLOOKUP("Mins",A1:CV300,14,FALSE)=0,0,HLOOKUP("PenTchs",A1:CV300,14,FALSE)/HLOOKUP("Mins",A1:CV300,14,FALSE)* 90)</f>
      </c>
      <c r="BB14" s="1068">
        <f>IF(HLOOKUP("Mins",A1:CV300,14,FALSE)=0,0,HLOOKUP("Shots",A1:CV300,14,FALSE)/HLOOKUP("Mins",A1:CV300,14,FALSE)* 90)</f>
      </c>
      <c r="BC14" s="1069">
        <f>IF(HLOOKUP("Mins",A1:CV300,14,FALSE)=0,0,HLOOKUP("SIB",A1:CV300,14,FALSE)/HLOOKUP("Mins",A1:CV300,14,FALSE)* 90)</f>
      </c>
      <c r="BD14" s="1070">
        <f>IF(HLOOKUP("Mins",A1:CV300,14,FALSE)=0,0,HLOOKUP("S6YD",A1:CV300,14,FALSE)/HLOOKUP("Mins",A1:CV300,14,FALSE)* 90)</f>
      </c>
      <c r="BE14" s="1071">
        <f>IF(HLOOKUP("Mins",A1:CV300,14,FALSE)=0,0,HLOOKUP("Headers",A1:CV300,14,FALSE)/HLOOKUP("Mins",A1:CV300,14,FALSE)* 90)</f>
      </c>
      <c r="BF14" s="1072">
        <f>IF(HLOOKUP("Mins",A1:CV300,14,FALSE)=0,0,HLOOKUP("SOT",A1:CV300,14,FALSE)/HLOOKUP("Mins",A1:CV300,14,FALSE)* 90)</f>
      </c>
      <c r="BG14" s="1073">
        <f>IF(HLOOKUP("Mins",A1:CV300,14,FALSE)=0,0,HLOOKUP("As",A1:CV300,14,FALSE)/HLOOKUP("Mins",A1:CV300,14,FALSE)* 90)</f>
      </c>
      <c r="BH14" s="1074">
        <f>IF(HLOOKUP("Mins",A1:CV300,14,FALSE)=0,0,HLOOKUP("FPL As",A1:CV300,14,FALSE)/HLOOKUP("Mins",A1:CV300,14,FALSE)* 90)</f>
      </c>
      <c r="BI14" s="1075">
        <f>IF(HLOOKUP("Mins",A1:CV300,14,FALSE)=0,0,HLOOKUP("BC Created",A1:CV300,14,FALSE)/HLOOKUP("Mins",A1:CV300,14,FALSE)* 90)</f>
      </c>
      <c r="BJ14" s="1076">
        <f>IF(HLOOKUP("Mins",A1:CV300,14,FALSE)=0,0,HLOOKUP("KP",A1:CV300,14,FALSE)/HLOOKUP("Mins",A1:CV300,14,FALSE)* 90)</f>
      </c>
      <c r="BK14" s="1077">
        <f>IF(HLOOKUP("Mins",A1:CV300,14,FALSE)=0,0,HLOOKUP("BC",A1:CV300,14,FALSE)/HLOOKUP("Mins",A1:CV300,14,FALSE)* 90)</f>
      </c>
      <c r="BL14" s="1078">
        <f>IF(HLOOKUP("Mins",A1:CV300,14,FALSE)=0,0,HLOOKUP("BC Miss",A1:CV300,14,FALSE)/HLOOKUP("Mins",A1:CV300,14,FALSE)* 90)</f>
      </c>
      <c r="BM14" s="1079">
        <f>IF(HLOOKUP("Mins",A1:CV300,14,FALSE)=0,0,HLOOKUP("Gs - BC",A1:CV300,14,FALSE)/HLOOKUP("Mins",A1:CV300,14,FALSE)* 90)</f>
      </c>
      <c r="BN14" s="1080">
        <f>IF(HLOOKUP("Mins",A1:CV300,14,FALSE)=0,0,HLOOKUP("GIB",A1:CV300,14,FALSE)/HLOOKUP("Mins",A1:CV300,14,FALSE)* 90)</f>
      </c>
      <c r="BO14" s="1081">
        <f>IF(HLOOKUP("Mins",A1:CV300,14,FALSE)=0,0,HLOOKUP("Gs - Open",A1:CV300,14,FALSE)/HLOOKUP("Mins",A1:CV300,14,FALSE)* 90)</f>
      </c>
      <c r="BP14" s="1082">
        <f>IF(HLOOKUP("Mins",A1:CV300,14,FALSE)=0,0,HLOOKUP("ICT Index",A1:CV300,14,FALSE)/HLOOKUP("Mins",A1:CV300,14,FALSE)* 90)</f>
      </c>
      <c r="BQ14" s="1083">
        <f>IF(HLOOKUP("Mins",A1:CV300,14,FALSE)=0,0,(0.043*(HLOOKUP("Shots",A1:CV300,14,FALSE)-HLOOKUP("SIB",A1:CV300,14,FALSE))+0.162*(HLOOKUP("SIB",A1:CV300,14,FALSE)-(HLOOKUP("PK Gs",A1:CV300,14,FALSE)+HLOOKUP("PK Miss",A1:CV300,14,FALSE)))+0.75*(HLOOKUP("PK Gs",A1:CV300,14,FALSE)+HLOOKUP("PK Miss",A1:CV300,14,FALSE)))/HLOOKUP("Mins",A1:CV300,14,FALSE)*90)</f>
      </c>
      <c r="BR14" s="1084">
        <f>0.103*HLOOKUP("KP/90",A1:CV300,14,FALSE)</f>
      </c>
      <c r="BS14" s="1085">
        <f>4*HLOOKUP("xG/90",A1:CV300,14,FALSE)+3*HLOOKUP("xA/90",A1:CV300,14,FALSE)</f>
      </c>
      <c r="BT14" s="1086">
        <f>HLOOKUP("xPts/90",A1:CV300,14,FALSE)-(4*0.75*(HLOOKUP("PK Gs",A1:CV300,14,FALSE)+HLOOKUP("PK Miss",A1:CV300,14,FALSE))*90/HLOOKUP("Mins",A1:CV300,14,FALSE))</f>
      </c>
      <c r="BU14" s="1087">
        <f>IF(HLOOKUP("Mins",A1:CV300,14,FALSE)=0,0,HLOOKUP("fsXG",A1:CV300,14,FALSE)/HLOOKUP("Mins",A1:CV300,14,FALSE)* 90)</f>
      </c>
      <c r="BV14" s="1088">
        <f>IF(HLOOKUP("Mins",A1:CV300,14,FALSE)=0,0,HLOOKUP("fsXA",A1:CV300,14,FALSE)/HLOOKUP("Mins",A1:CV300,14,FALSE)* 90)</f>
      </c>
      <c r="BW14" s="1089">
        <f>4*HLOOKUP("fsXG/90",A1:CV300,14,FALSE)+3*HLOOKUP("fsXA/90",A1:CV300,14,FALSE)</f>
      </c>
      <c r="BX14" t="n" s="1090">
        <v>0.03173806518316269</v>
      </c>
      <c r="BY14" t="n" s="1091">
        <v>0.349818617105484</v>
      </c>
      <c r="BZ14" s="1092">
        <f>4*HLOOKUP("uXG/90",A1:CV300,14,FALSE)+3*HLOOKUP("uXA/90",A1:CV300,14,FALSE)</f>
      </c>
    </row>
    <row r="15">
      <c r="A15" t="s" s="1093">
        <v>101</v>
      </c>
      <c r="B15" t="s" s="1094">
        <v>102</v>
      </c>
      <c r="C15" t="n" s="1095">
        <v>5.5</v>
      </c>
      <c r="D15" t="n" s="1096">
        <v>517.0</v>
      </c>
      <c r="E15" t="n" s="1097">
        <v>6.0</v>
      </c>
      <c r="F15" t="n" s="1098">
        <v>58.0</v>
      </c>
      <c r="G15" t="n" s="1099">
        <v>0.0</v>
      </c>
      <c r="H15" t="n" s="1100">
        <v>3.0</v>
      </c>
      <c r="I15" t="n" s="1101">
        <v>172.0</v>
      </c>
      <c r="J15" s="1102">
        <f>HLOOKUP("BPS",A1:CV300,15,FALSE)-((-6*HLOOKUP("OG",A1:CV300,15,FALSE))+(-6*HLOOKUP("PK Miss",A1:CV300,15,FALSE))+(9*HLOOKUP("FPL As",A1:CV300,15,FALSE))+(0*HLOOKUP("CS",A1:CV300,15,FALSE))+(24*HLOOKUP("Gs",A1:CV300,15,FALSE)))</f>
      </c>
      <c r="K15" t="n" s="1103">
        <v>0.0</v>
      </c>
      <c r="L15" t="n" s="1104">
        <v>5.0</v>
      </c>
      <c r="M15" t="n" s="1105">
        <v>14.0</v>
      </c>
      <c r="N15" t="n" s="1106">
        <v>10.0</v>
      </c>
      <c r="O15" t="n" s="1107">
        <v>9.0</v>
      </c>
      <c r="P15" s="1108">
        <f>IF(HLOOKUP("Shots",A1:CV300,15,FALSE)=0,0,HLOOKUP("SIB",A1:CV300,15,FALSE)/HLOOKUP("Shots",A1:CV300,15,FALSE))</f>
      </c>
      <c r="Q15" t="n" s="1109">
        <v>0.0</v>
      </c>
      <c r="R15" s="1110">
        <f>IF(HLOOKUP("Shots",A1:CV300,15,FALSE)=0,0,HLOOKUP("S6YD",A1:CV300,15,FALSE)/HLOOKUP("Shots",A1:CV300,15,FALSE))</f>
      </c>
      <c r="S15" t="n" s="1111">
        <v>3.0</v>
      </c>
      <c r="T15" s="1112">
        <f>IF(HLOOKUP("Shots",A1:CV300,15,FALSE)=0,0,HLOOKUP("Headers",A1:CV300,15,FALSE)/HLOOKUP("Shots",A1:CV300,15,FALSE))</f>
      </c>
      <c r="U15" t="n" s="1113">
        <v>2.0</v>
      </c>
      <c r="V15" s="1114">
        <f>IF(HLOOKUP("Shots",A1:CV300,15,FALSE)=0,0,HLOOKUP("SOT",A1:CV300,15,FALSE)/HLOOKUP("Shots",A1:CV300,15,FALSE))</f>
      </c>
      <c r="W15" s="1115">
        <f>IF(HLOOKUP("Shots",A1:CV300,15,FALSE)=0,0,HLOOKUP("Gs",A1:CV300,15,FALSE)/HLOOKUP("Shots",A1:CV300,15,FALSE))</f>
      </c>
      <c r="X15" t="n" s="1116">
        <v>0.0</v>
      </c>
      <c r="Y15" t="n" s="1117">
        <v>2.0</v>
      </c>
      <c r="Z15" t="n" s="1118">
        <v>1.0</v>
      </c>
      <c r="AA15" s="1119">
        <f>IF(HLOOKUP("KP",A1:CV300,15,FALSE)=0,0,HLOOKUP("As",A1:CV300,15,FALSE)/HLOOKUP("KP",A1:CV300,15,FALSE))</f>
      </c>
      <c r="AB15" t="n" s="1120">
        <v>17.2</v>
      </c>
      <c r="AC15" t="n" s="1121">
        <v>0.0</v>
      </c>
      <c r="AD15" t="n" s="1122">
        <v>0.0</v>
      </c>
      <c r="AE15" t="n" s="1123">
        <v>4.0</v>
      </c>
      <c r="AF15" t="n" s="1124">
        <v>4.0</v>
      </c>
      <c r="AG15" s="1125">
        <f>IF(HLOOKUP("BC",A1:CV300,15,FALSE)=0,0,HLOOKUP("Gs - BC",A1:CV300,15,FALSE)/HLOOKUP("BC",A1:CV300,15,FALSE))</f>
      </c>
      <c r="AH15" s="1126">
        <f>HLOOKUP("BC",A1:CV300,15,FALSE) - HLOOKUP("BC Miss",A1:CV300,15,FALSE)</f>
      </c>
      <c r="AI15" s="1127">
        <f>IF(HLOOKUP("Gs",A1:CV300,15,FALSE)=0,0,HLOOKUP("Gs - BC",A1:CV300,15,FALSE)/HLOOKUP("Gs",A1:CV300,15,FALSE))</f>
      </c>
      <c r="AJ15" t="n" s="1128">
        <v>0.0</v>
      </c>
      <c r="AK15" t="n" s="1129">
        <v>0.0</v>
      </c>
      <c r="AL15" s="1130">
        <f>HLOOKUP("BC",A1:CV300,15,FALSE) - (HLOOKUP("PK Gs",A1:CV300,15,FALSE) + HLOOKUP("PK Miss",A1:CV300,15,FALSE))</f>
      </c>
      <c r="AM15" s="1131">
        <f>HLOOKUP("BC Miss",A1:CV300,15,FALSE) - HLOOKUP("PK Miss",A1:CV300,15,FALSE)</f>
      </c>
      <c r="AN15" s="1132">
        <f>IF(HLOOKUP("BC - Open",A1:CV300,15,FALSE)=0,0,HLOOKUP("BC - Open Miss",A1:CV300,15,FALSE)/HLOOKUP("BC - Open",A1:CV300,15,FALSE))</f>
      </c>
      <c r="AO15" t="n" s="1133">
        <v>0.0</v>
      </c>
      <c r="AP15" s="1134">
        <f>IF(HLOOKUP("Gs",A1:CV300,15,FALSE)=0,0,HLOOKUP("GIB",A1:CV300,15,FALSE)/HLOOKUP("Gs",A1:CV300,15,FALSE))</f>
      </c>
      <c r="AQ15" t="n" s="1135">
        <v>0.0</v>
      </c>
      <c r="AR15" s="1136">
        <f>IF(HLOOKUP("Gs",A1:CV300,15,FALSE)=0,0,HLOOKUP("Gs - Open",A1:CV300,15,FALSE)/HLOOKUP("Gs",A1:CV300,15,FALSE))</f>
      </c>
      <c r="AS15" t="n" s="1137">
        <v>1.44</v>
      </c>
      <c r="AT15" t="n" s="1138">
        <v>0.07</v>
      </c>
      <c r="AU15" s="1139">
        <f>IF(HLOOKUP("Mins",A1:CV300,15,FALSE)=0,0,HLOOKUP("Pts",A1:CV300,15,FALSE)/HLOOKUP("Mins",A1:CV300,15,FALSE)* 90)</f>
      </c>
      <c r="AV15" s="1140">
        <f>IF(HLOOKUP("Apps",A1:CV300,15,FALSE)=0,0,HLOOKUP("Pts",A1:CV300,15,FALSE)/HLOOKUP("Apps",A1:CV300,15,FALSE)* 1)</f>
      </c>
      <c r="AW15" s="1141">
        <f>IF(HLOOKUP("Mins",A1:CV300,15,FALSE)=0,0,HLOOKUP("Gs",A1:CV300,15,FALSE)/HLOOKUP("Mins",A1:CV300,15,FALSE)* 90)</f>
      </c>
      <c r="AX15" s="1142">
        <f>IF(HLOOKUP("Mins",A1:CV300,15,FALSE)=0,0,HLOOKUP("Bonus",A1:CV300,15,FALSE)/HLOOKUP("Mins",A1:CV300,15,FALSE)* 90)</f>
      </c>
      <c r="AY15" s="1143">
        <f>IF(HLOOKUP("Mins",A1:CV300,15,FALSE)=0,0,HLOOKUP("BPS",A1:CV300,15,FALSE)/HLOOKUP("Mins",A1:CV300,15,FALSE)* 90)</f>
      </c>
      <c r="AZ15" s="1144">
        <f>IF(HLOOKUP("Mins",A1:CV300,15,FALSE)=0,0,HLOOKUP("Base BPS",A1:CV300,15,FALSE)/HLOOKUP("Mins",A1:CV300,15,FALSE)* 90)</f>
      </c>
      <c r="BA15" s="1145">
        <f>IF(HLOOKUP("Mins",A1:CV300,15,FALSE)=0,0,HLOOKUP("PenTchs",A1:CV300,15,FALSE)/HLOOKUP("Mins",A1:CV300,15,FALSE)* 90)</f>
      </c>
      <c r="BB15" s="1146">
        <f>IF(HLOOKUP("Mins",A1:CV300,15,FALSE)=0,0,HLOOKUP("Shots",A1:CV300,15,FALSE)/HLOOKUP("Mins",A1:CV300,15,FALSE)* 90)</f>
      </c>
      <c r="BC15" s="1147">
        <f>IF(HLOOKUP("Mins",A1:CV300,15,FALSE)=0,0,HLOOKUP("SIB",A1:CV300,15,FALSE)/HLOOKUP("Mins",A1:CV300,15,FALSE)* 90)</f>
      </c>
      <c r="BD15" s="1148">
        <f>IF(HLOOKUP("Mins",A1:CV300,15,FALSE)=0,0,HLOOKUP("S6YD",A1:CV300,15,FALSE)/HLOOKUP("Mins",A1:CV300,15,FALSE)* 90)</f>
      </c>
      <c r="BE15" s="1149">
        <f>IF(HLOOKUP("Mins",A1:CV300,15,FALSE)=0,0,HLOOKUP("Headers",A1:CV300,15,FALSE)/HLOOKUP("Mins",A1:CV300,15,FALSE)* 90)</f>
      </c>
      <c r="BF15" s="1150">
        <f>IF(HLOOKUP("Mins",A1:CV300,15,FALSE)=0,0,HLOOKUP("SOT",A1:CV300,15,FALSE)/HLOOKUP("Mins",A1:CV300,15,FALSE)* 90)</f>
      </c>
      <c r="BG15" s="1151">
        <f>IF(HLOOKUP("Mins",A1:CV300,15,FALSE)=0,0,HLOOKUP("As",A1:CV300,15,FALSE)/HLOOKUP("Mins",A1:CV300,15,FALSE)* 90)</f>
      </c>
      <c r="BH15" s="1152">
        <f>IF(HLOOKUP("Mins",A1:CV300,15,FALSE)=0,0,HLOOKUP("FPL As",A1:CV300,15,FALSE)/HLOOKUP("Mins",A1:CV300,15,FALSE)* 90)</f>
      </c>
      <c r="BI15" s="1153">
        <f>IF(HLOOKUP("Mins",A1:CV300,15,FALSE)=0,0,HLOOKUP("BC Created",A1:CV300,15,FALSE)/HLOOKUP("Mins",A1:CV300,15,FALSE)* 90)</f>
      </c>
      <c r="BJ15" s="1154">
        <f>IF(HLOOKUP("Mins",A1:CV300,15,FALSE)=0,0,HLOOKUP("KP",A1:CV300,15,FALSE)/HLOOKUP("Mins",A1:CV300,15,FALSE)* 90)</f>
      </c>
      <c r="BK15" s="1155">
        <f>IF(HLOOKUP("Mins",A1:CV300,15,FALSE)=0,0,HLOOKUP("BC",A1:CV300,15,FALSE)/HLOOKUP("Mins",A1:CV300,15,FALSE)* 90)</f>
      </c>
      <c r="BL15" s="1156">
        <f>IF(HLOOKUP("Mins",A1:CV300,15,FALSE)=0,0,HLOOKUP("BC Miss",A1:CV300,15,FALSE)/HLOOKUP("Mins",A1:CV300,15,FALSE)* 90)</f>
      </c>
      <c r="BM15" s="1157">
        <f>IF(HLOOKUP("Mins",A1:CV300,15,FALSE)=0,0,HLOOKUP("Gs - BC",A1:CV300,15,FALSE)/HLOOKUP("Mins",A1:CV300,15,FALSE)* 90)</f>
      </c>
      <c r="BN15" s="1158">
        <f>IF(HLOOKUP("Mins",A1:CV300,15,FALSE)=0,0,HLOOKUP("GIB",A1:CV300,15,FALSE)/HLOOKUP("Mins",A1:CV300,15,FALSE)* 90)</f>
      </c>
      <c r="BO15" s="1159">
        <f>IF(HLOOKUP("Mins",A1:CV300,15,FALSE)=0,0,HLOOKUP("Gs - Open",A1:CV300,15,FALSE)/HLOOKUP("Mins",A1:CV300,15,FALSE)* 90)</f>
      </c>
      <c r="BP15" s="1160">
        <f>IF(HLOOKUP("Mins",A1:CV300,15,FALSE)=0,0,HLOOKUP("ICT Index",A1:CV300,15,FALSE)/HLOOKUP("Mins",A1:CV300,15,FALSE)* 90)</f>
      </c>
      <c r="BQ15" s="1161">
        <f>IF(HLOOKUP("Mins",A1:CV300,15,FALSE)=0,0,(0.043*(HLOOKUP("Shots",A1:CV300,15,FALSE)-HLOOKUP("SIB",A1:CV300,15,FALSE))+0.162*(HLOOKUP("SIB",A1:CV300,15,FALSE)-(HLOOKUP("PK Gs",A1:CV300,15,FALSE)+HLOOKUP("PK Miss",A1:CV300,15,FALSE)))+0.75*(HLOOKUP("PK Gs",A1:CV300,15,FALSE)+HLOOKUP("PK Miss",A1:CV300,15,FALSE)))/HLOOKUP("Mins",A1:CV300,15,FALSE)*90)</f>
      </c>
      <c r="BR15" s="1162">
        <f>0.103*HLOOKUP("KP/90",A1:CV300,15,FALSE)</f>
      </c>
      <c r="BS15" s="1163">
        <f>4*HLOOKUP("xG/90",A1:CV300,15,FALSE)+3*HLOOKUP("xA/90",A1:CV300,15,FALSE)</f>
      </c>
      <c r="BT15" s="1164">
        <f>HLOOKUP("xPts/90",A1:CV300,15,FALSE)-(4*0.75*(HLOOKUP("PK Gs",A1:CV300,15,FALSE)+HLOOKUP("PK Miss",A1:CV300,15,FALSE))*90/HLOOKUP("Mins",A1:CV300,15,FALSE))</f>
      </c>
      <c r="BU15" s="1165">
        <f>IF(HLOOKUP("Mins",A1:CV300,15,FALSE)=0,0,HLOOKUP("fsXG",A1:CV300,15,FALSE)/HLOOKUP("Mins",A1:CV300,15,FALSE)* 90)</f>
      </c>
      <c r="BV15" s="1166">
        <f>IF(HLOOKUP("Mins",A1:CV300,15,FALSE)=0,0,HLOOKUP("fsXA",A1:CV300,15,FALSE)/HLOOKUP("Mins",A1:CV300,15,FALSE)* 90)</f>
      </c>
      <c r="BW15" s="1167">
        <f>4*HLOOKUP("fsXG/90",A1:CV300,15,FALSE)+3*HLOOKUP("fsXA/90",A1:CV300,15,FALSE)</f>
      </c>
      <c r="BX15" t="n" s="1168">
        <v>0.25252702832221985</v>
      </c>
      <c r="BY15" t="n" s="1169">
        <v>0.0038221823051571846</v>
      </c>
      <c r="BZ15" s="1170">
        <f>4*HLOOKUP("uXG/90",A1:CV300,15,FALSE)+3*HLOOKUP("uXA/90",A1:CV300,15,FALSE)</f>
      </c>
    </row>
    <row r="16">
      <c r="A16" t="s" s="1171">
        <v>103</v>
      </c>
      <c r="B16" t="s" s="1172">
        <v>100</v>
      </c>
      <c r="C16" t="n" s="1173">
        <v>5.300000190734863</v>
      </c>
      <c r="D16" t="n" s="1174">
        <v>61.0</v>
      </c>
      <c r="E16" t="n" s="1175">
        <v>5.0</v>
      </c>
      <c r="F16" t="n" s="1176">
        <v>34.0</v>
      </c>
      <c r="G16" t="n" s="1177">
        <v>0.0</v>
      </c>
      <c r="H16" t="n" s="1178">
        <v>0.0</v>
      </c>
      <c r="I16" t="n" s="1179">
        <v>78.0</v>
      </c>
      <c r="J16" s="1180">
        <f>HLOOKUP("BPS",A1:CV300,16,FALSE)-((-6*HLOOKUP("OG",A1:CV300,16,FALSE))+(-6*HLOOKUP("PK Miss",A1:CV300,16,FALSE))+(9*HLOOKUP("FPL As",A1:CV300,16,FALSE))+(0*HLOOKUP("CS",A1:CV300,16,FALSE))+(24*HLOOKUP("Gs",A1:CV300,16,FALSE)))</f>
      </c>
      <c r="K16" t="n" s="1181">
        <v>0.0</v>
      </c>
      <c r="L16" t="n" s="1182">
        <v>3.0</v>
      </c>
      <c r="M16" t="n" s="1183">
        <v>1.0</v>
      </c>
      <c r="N16" t="n" s="1184">
        <v>1.0</v>
      </c>
      <c r="O16" t="n" s="1185">
        <v>0.0</v>
      </c>
      <c r="P16" s="1186">
        <f>IF(HLOOKUP("Shots",A1:CV300,16,FALSE)=0,0,HLOOKUP("SIB",A1:CV300,16,FALSE)/HLOOKUP("Shots",A1:CV300,16,FALSE))</f>
      </c>
      <c r="Q16" t="n" s="1187">
        <v>0.0</v>
      </c>
      <c r="R16" s="1188">
        <f>IF(HLOOKUP("Shots",A1:CV300,16,FALSE)=0,0,HLOOKUP("S6YD",A1:CV300,16,FALSE)/HLOOKUP("Shots",A1:CV300,16,FALSE))</f>
      </c>
      <c r="S16" t="n" s="1189">
        <v>0.0</v>
      </c>
      <c r="T16" s="1190">
        <f>IF(HLOOKUP("Shots",A1:CV300,16,FALSE)=0,0,HLOOKUP("Headers",A1:CV300,16,FALSE)/HLOOKUP("Shots",A1:CV300,16,FALSE))</f>
      </c>
      <c r="U16" t="n" s="1191">
        <v>0.0</v>
      </c>
      <c r="V16" s="1192">
        <f>IF(HLOOKUP("Shots",A1:CV300,16,FALSE)=0,0,HLOOKUP("SOT",A1:CV300,16,FALSE)/HLOOKUP("Shots",A1:CV300,16,FALSE))</f>
      </c>
      <c r="W16" s="1193">
        <f>IF(HLOOKUP("Shots",A1:CV300,16,FALSE)=0,0,HLOOKUP("Gs",A1:CV300,16,FALSE)/HLOOKUP("Shots",A1:CV300,16,FALSE))</f>
      </c>
      <c r="X16" t="n" s="1194">
        <v>1.0</v>
      </c>
      <c r="Y16" t="n" s="1195">
        <v>2.0</v>
      </c>
      <c r="Z16" t="n" s="1196">
        <v>2.0</v>
      </c>
      <c r="AA16" s="1197">
        <f>IF(HLOOKUP("KP",A1:CV300,16,FALSE)=0,0,HLOOKUP("As",A1:CV300,16,FALSE)/HLOOKUP("KP",A1:CV300,16,FALSE))</f>
      </c>
      <c r="AB16" t="n" s="1198">
        <v>5.5</v>
      </c>
      <c r="AC16" t="n" s="1199">
        <v>100.0</v>
      </c>
      <c r="AD16" t="n" s="1200">
        <v>1.0</v>
      </c>
      <c r="AE16" t="n" s="1201">
        <v>0.0</v>
      </c>
      <c r="AF16" t="n" s="1202">
        <v>0.0</v>
      </c>
      <c r="AG16" s="1203">
        <f>IF(HLOOKUP("BC",A1:CV300,16,FALSE)=0,0,HLOOKUP("Gs - BC",A1:CV300,16,FALSE)/HLOOKUP("BC",A1:CV300,16,FALSE))</f>
      </c>
      <c r="AH16" s="1204">
        <f>HLOOKUP("BC",A1:CV300,16,FALSE) - HLOOKUP("BC Miss",A1:CV300,16,FALSE)</f>
      </c>
      <c r="AI16" s="1205">
        <f>IF(HLOOKUP("Gs",A1:CV300,16,FALSE)=0,0,HLOOKUP("Gs - BC",A1:CV300,16,FALSE)/HLOOKUP("Gs",A1:CV300,16,FALSE))</f>
      </c>
      <c r="AJ16" t="n" s="1206">
        <v>0.0</v>
      </c>
      <c r="AK16" t="n" s="1207">
        <v>0.0</v>
      </c>
      <c r="AL16" s="1208">
        <f>HLOOKUP("BC",A1:CV300,16,FALSE) - (HLOOKUP("PK Gs",A1:CV300,16,FALSE) + HLOOKUP("PK Miss",A1:CV300,16,FALSE))</f>
      </c>
      <c r="AM16" s="1209">
        <f>HLOOKUP("BC Miss",A1:CV300,16,FALSE) - HLOOKUP("PK Miss",A1:CV300,16,FALSE)</f>
      </c>
      <c r="AN16" s="1210">
        <f>IF(HLOOKUP("BC - Open",A1:CV300,16,FALSE)=0,0,HLOOKUP("BC - Open Miss",A1:CV300,16,FALSE)/HLOOKUP("BC - Open",A1:CV300,16,FALSE))</f>
      </c>
      <c r="AO16" t="n" s="1211">
        <v>0.0</v>
      </c>
      <c r="AP16" s="1212">
        <f>IF(HLOOKUP("Gs",A1:CV300,16,FALSE)=0,0,HLOOKUP("GIB",A1:CV300,16,FALSE)/HLOOKUP("Gs",A1:CV300,16,FALSE))</f>
      </c>
      <c r="AQ16" t="n" s="1213">
        <v>0.0</v>
      </c>
      <c r="AR16" s="1214">
        <f>IF(HLOOKUP("Gs",A1:CV300,16,FALSE)=0,0,HLOOKUP("Gs - Open",A1:CV300,16,FALSE)/HLOOKUP("Gs",A1:CV300,16,FALSE))</f>
      </c>
      <c r="AS16" t="n" s="1215">
        <v>0.03</v>
      </c>
      <c r="AT16" t="n" s="1216">
        <v>0.16</v>
      </c>
      <c r="AU16" s="1217">
        <f>IF(HLOOKUP("Mins",A1:CV300,16,FALSE)=0,0,HLOOKUP("Pts",A1:CV300,16,FALSE)/HLOOKUP("Mins",A1:CV300,16,FALSE)* 90)</f>
      </c>
      <c r="AV16" s="1218">
        <f>IF(HLOOKUP("Apps",A1:CV300,16,FALSE)=0,0,HLOOKUP("Pts",A1:CV300,16,FALSE)/HLOOKUP("Apps",A1:CV300,16,FALSE)* 1)</f>
      </c>
      <c r="AW16" s="1219">
        <f>IF(HLOOKUP("Mins",A1:CV300,16,FALSE)=0,0,HLOOKUP("Gs",A1:CV300,16,FALSE)/HLOOKUP("Mins",A1:CV300,16,FALSE)* 90)</f>
      </c>
      <c r="AX16" s="1220">
        <f>IF(HLOOKUP("Mins",A1:CV300,16,FALSE)=0,0,HLOOKUP("Bonus",A1:CV300,16,FALSE)/HLOOKUP("Mins",A1:CV300,16,FALSE)* 90)</f>
      </c>
      <c r="AY16" s="1221">
        <f>IF(HLOOKUP("Mins",A1:CV300,16,FALSE)=0,0,HLOOKUP("BPS",A1:CV300,16,FALSE)/HLOOKUP("Mins",A1:CV300,16,FALSE)* 90)</f>
      </c>
      <c r="AZ16" s="1222">
        <f>IF(HLOOKUP("Mins",A1:CV300,16,FALSE)=0,0,HLOOKUP("Base BPS",A1:CV300,16,FALSE)/HLOOKUP("Mins",A1:CV300,16,FALSE)* 90)</f>
      </c>
      <c r="BA16" s="1223">
        <f>IF(HLOOKUP("Mins",A1:CV300,16,FALSE)=0,0,HLOOKUP("PenTchs",A1:CV300,16,FALSE)/HLOOKUP("Mins",A1:CV300,16,FALSE)* 90)</f>
      </c>
      <c r="BB16" s="1224">
        <f>IF(HLOOKUP("Mins",A1:CV300,16,FALSE)=0,0,HLOOKUP("Shots",A1:CV300,16,FALSE)/HLOOKUP("Mins",A1:CV300,16,FALSE)* 90)</f>
      </c>
      <c r="BC16" s="1225">
        <f>IF(HLOOKUP("Mins",A1:CV300,16,FALSE)=0,0,HLOOKUP("SIB",A1:CV300,16,FALSE)/HLOOKUP("Mins",A1:CV300,16,FALSE)* 90)</f>
      </c>
      <c r="BD16" s="1226">
        <f>IF(HLOOKUP("Mins",A1:CV300,16,FALSE)=0,0,HLOOKUP("S6YD",A1:CV300,16,FALSE)/HLOOKUP("Mins",A1:CV300,16,FALSE)* 90)</f>
      </c>
      <c r="BE16" s="1227">
        <f>IF(HLOOKUP("Mins",A1:CV300,16,FALSE)=0,0,HLOOKUP("Headers",A1:CV300,16,FALSE)/HLOOKUP("Mins",A1:CV300,16,FALSE)* 90)</f>
      </c>
      <c r="BF16" s="1228">
        <f>IF(HLOOKUP("Mins",A1:CV300,16,FALSE)=0,0,HLOOKUP("SOT",A1:CV300,16,FALSE)/HLOOKUP("Mins",A1:CV300,16,FALSE)* 90)</f>
      </c>
      <c r="BG16" s="1229">
        <f>IF(HLOOKUP("Mins",A1:CV300,16,FALSE)=0,0,HLOOKUP("As",A1:CV300,16,FALSE)/HLOOKUP("Mins",A1:CV300,16,FALSE)* 90)</f>
      </c>
      <c r="BH16" s="1230">
        <f>IF(HLOOKUP("Mins",A1:CV300,16,FALSE)=0,0,HLOOKUP("FPL As",A1:CV300,16,FALSE)/HLOOKUP("Mins",A1:CV300,16,FALSE)* 90)</f>
      </c>
      <c r="BI16" s="1231">
        <f>IF(HLOOKUP("Mins",A1:CV300,16,FALSE)=0,0,HLOOKUP("BC Created",A1:CV300,16,FALSE)/HLOOKUP("Mins",A1:CV300,16,FALSE)* 90)</f>
      </c>
      <c r="BJ16" s="1232">
        <f>IF(HLOOKUP("Mins",A1:CV300,16,FALSE)=0,0,HLOOKUP("KP",A1:CV300,16,FALSE)/HLOOKUP("Mins",A1:CV300,16,FALSE)* 90)</f>
      </c>
      <c r="BK16" s="1233">
        <f>IF(HLOOKUP("Mins",A1:CV300,16,FALSE)=0,0,HLOOKUP("BC",A1:CV300,16,FALSE)/HLOOKUP("Mins",A1:CV300,16,FALSE)* 90)</f>
      </c>
      <c r="BL16" s="1234">
        <f>IF(HLOOKUP("Mins",A1:CV300,16,FALSE)=0,0,HLOOKUP("BC Miss",A1:CV300,16,FALSE)/HLOOKUP("Mins",A1:CV300,16,FALSE)* 90)</f>
      </c>
      <c r="BM16" s="1235">
        <f>IF(HLOOKUP("Mins",A1:CV300,16,FALSE)=0,0,HLOOKUP("Gs - BC",A1:CV300,16,FALSE)/HLOOKUP("Mins",A1:CV300,16,FALSE)* 90)</f>
      </c>
      <c r="BN16" s="1236">
        <f>IF(HLOOKUP("Mins",A1:CV300,16,FALSE)=0,0,HLOOKUP("GIB",A1:CV300,16,FALSE)/HLOOKUP("Mins",A1:CV300,16,FALSE)* 90)</f>
      </c>
      <c r="BO16" s="1237">
        <f>IF(HLOOKUP("Mins",A1:CV300,16,FALSE)=0,0,HLOOKUP("Gs - Open",A1:CV300,16,FALSE)/HLOOKUP("Mins",A1:CV300,16,FALSE)* 90)</f>
      </c>
      <c r="BP16" s="1238">
        <f>IF(HLOOKUP("Mins",A1:CV300,16,FALSE)=0,0,HLOOKUP("ICT Index",A1:CV300,16,FALSE)/HLOOKUP("Mins",A1:CV300,16,FALSE)* 90)</f>
      </c>
      <c r="BQ16" s="1239">
        <f>IF(HLOOKUP("Mins",A1:CV300,16,FALSE)=0,0,(0.043*(HLOOKUP("Shots",A1:CV300,16,FALSE)-HLOOKUP("SIB",A1:CV300,16,FALSE))+0.162*(HLOOKUP("SIB",A1:CV300,16,FALSE)-(HLOOKUP("PK Gs",A1:CV300,16,FALSE)+HLOOKUP("PK Miss",A1:CV300,16,FALSE)))+0.75*(HLOOKUP("PK Gs",A1:CV300,16,FALSE)+HLOOKUP("PK Miss",A1:CV300,16,FALSE)))/HLOOKUP("Mins",A1:CV300,16,FALSE)*90)</f>
      </c>
      <c r="BR16" s="1240">
        <f>0.103*HLOOKUP("KP/90",A1:CV300,16,FALSE)</f>
      </c>
      <c r="BS16" s="1241">
        <f>4*HLOOKUP("xG/90",A1:CV300,16,FALSE)+3*HLOOKUP("xA/90",A1:CV300,16,FALSE)</f>
      </c>
      <c r="BT16" s="1242">
        <f>HLOOKUP("xPts/90",A1:CV300,16,FALSE)-(4*0.75*(HLOOKUP("PK Gs",A1:CV300,16,FALSE)+HLOOKUP("PK Miss",A1:CV300,16,FALSE))*90/HLOOKUP("Mins",A1:CV300,16,FALSE))</f>
      </c>
      <c r="BU16" s="1243">
        <f>IF(HLOOKUP("Mins",A1:CV300,16,FALSE)=0,0,HLOOKUP("fsXG",A1:CV300,16,FALSE)/HLOOKUP("Mins",A1:CV300,16,FALSE)* 90)</f>
      </c>
      <c r="BV16" s="1244">
        <f>IF(HLOOKUP("Mins",A1:CV300,16,FALSE)=0,0,HLOOKUP("fsXA",A1:CV300,16,FALSE)/HLOOKUP("Mins",A1:CV300,16,FALSE)* 90)</f>
      </c>
      <c r="BW16" s="1245">
        <f>4*HLOOKUP("fsXG/90",A1:CV300,16,FALSE)+3*HLOOKUP("fsXA/90",A1:CV300,16,FALSE)</f>
      </c>
      <c r="BX16" t="n" s="1246">
        <v>0.06437534093856812</v>
      </c>
      <c r="BY16" t="n" s="1247">
        <v>0.5719817280769348</v>
      </c>
      <c r="BZ16" s="1248">
        <f>4*HLOOKUP("uXG/90",A1:CV300,16,FALSE)+3*HLOOKUP("uXA/90",A1:CV300,16,FALSE)</f>
      </c>
    </row>
    <row r="17">
      <c r="A17" t="s" s="1249">
        <v>104</v>
      </c>
      <c r="B17" t="s" s="1250">
        <v>105</v>
      </c>
      <c r="C17" t="n" s="1251">
        <v>9.5</v>
      </c>
      <c r="D17" t="n" s="1252">
        <v>383.0</v>
      </c>
      <c r="E17" t="n" s="1253">
        <v>6.0</v>
      </c>
      <c r="F17" t="n" s="1254">
        <v>91.0</v>
      </c>
      <c r="G17" t="n" s="1255">
        <v>3.0</v>
      </c>
      <c r="H17" t="n" s="1256">
        <v>8.0</v>
      </c>
      <c r="I17" t="n" s="1257">
        <v>327.0</v>
      </c>
      <c r="J17" s="1258">
        <f>HLOOKUP("BPS",A1:CV300,17,FALSE)-((-6*HLOOKUP("OG",A1:CV300,17,FALSE))+(-6*HLOOKUP("PK Miss",A1:CV300,17,FALSE))+(9*HLOOKUP("FPL As",A1:CV300,17,FALSE))+(0*HLOOKUP("CS",A1:CV300,17,FALSE))+(24*HLOOKUP("Gs",A1:CV300,17,FALSE)))</f>
      </c>
      <c r="K17" t="n" s="1259">
        <v>0.0</v>
      </c>
      <c r="L17" t="n" s="1260">
        <v>6.0</v>
      </c>
      <c r="M17" t="n" s="1261">
        <v>45.0</v>
      </c>
      <c r="N17" t="n" s="1262">
        <v>21.0</v>
      </c>
      <c r="O17" t="n" s="1263">
        <v>19.0</v>
      </c>
      <c r="P17" s="1264">
        <f>IF(HLOOKUP("Shots",A1:CV300,17,FALSE)=0,0,HLOOKUP("SIB",A1:CV300,17,FALSE)/HLOOKUP("Shots",A1:CV300,17,FALSE))</f>
      </c>
      <c r="Q17" t="n" s="1265">
        <v>1.0</v>
      </c>
      <c r="R17" s="1266">
        <f>IF(HLOOKUP("Shots",A1:CV300,17,FALSE)=0,0,HLOOKUP("S6YD",A1:CV300,17,FALSE)/HLOOKUP("Shots",A1:CV300,17,FALSE))</f>
      </c>
      <c r="S17" t="n" s="1267">
        <v>4.0</v>
      </c>
      <c r="T17" s="1268">
        <f>IF(HLOOKUP("Shots",A1:CV300,17,FALSE)=0,0,HLOOKUP("Headers",A1:CV300,17,FALSE)/HLOOKUP("Shots",A1:CV300,17,FALSE))</f>
      </c>
      <c r="U17" t="n" s="1269">
        <v>11.0</v>
      </c>
      <c r="V17" s="1270">
        <f>IF(HLOOKUP("Shots",A1:CV300,17,FALSE)=0,0,HLOOKUP("SOT",A1:CV300,17,FALSE)/HLOOKUP("Shots",A1:CV300,17,FALSE))</f>
      </c>
      <c r="W17" s="1271">
        <f>IF(HLOOKUP("Shots",A1:CV300,17,FALSE)=0,0,HLOOKUP("Gs",A1:CV300,17,FALSE)/HLOOKUP("Shots",A1:CV300,17,FALSE))</f>
      </c>
      <c r="X17" t="n" s="1272">
        <v>2.0</v>
      </c>
      <c r="Y17" t="n" s="1273">
        <v>5.0</v>
      </c>
      <c r="Z17" t="n" s="1274">
        <v>7.0</v>
      </c>
      <c r="AA17" s="1275">
        <f>IF(HLOOKUP("KP",A1:CV300,17,FALSE)=0,0,HLOOKUP("As",A1:CV300,17,FALSE)/HLOOKUP("KP",A1:CV300,17,FALSE))</f>
      </c>
      <c r="AB17" t="n" s="1276">
        <v>60.6</v>
      </c>
      <c r="AC17" t="n" s="1277">
        <v>42.0</v>
      </c>
      <c r="AD17" t="n" s="1278">
        <v>2.0</v>
      </c>
      <c r="AE17" t="n" s="1279">
        <v>10.0</v>
      </c>
      <c r="AF17" t="n" s="1280">
        <v>8.0</v>
      </c>
      <c r="AG17" s="1281">
        <f>IF(HLOOKUP("BC",A1:CV300,17,FALSE)=0,0,HLOOKUP("Gs - BC",A1:CV300,17,FALSE)/HLOOKUP("BC",A1:CV300,17,FALSE))</f>
      </c>
      <c r="AH17" s="1282">
        <f>HLOOKUP("BC",A1:CV300,17,FALSE) - HLOOKUP("BC Miss",A1:CV300,17,FALSE)</f>
      </c>
      <c r="AI17" s="1283">
        <f>IF(HLOOKUP("Gs",A1:CV300,17,FALSE)=0,0,HLOOKUP("Gs - BC",A1:CV300,17,FALSE)/HLOOKUP("Gs",A1:CV300,17,FALSE))</f>
      </c>
      <c r="AJ17" t="n" s="1284">
        <v>0.0</v>
      </c>
      <c r="AK17" t="n" s="1285">
        <v>1.0</v>
      </c>
      <c r="AL17" s="1286">
        <f>HLOOKUP("BC",A1:CV300,17,FALSE) - (HLOOKUP("PK Gs",A1:CV300,17,FALSE) + HLOOKUP("PK Miss",A1:CV300,17,FALSE))</f>
      </c>
      <c r="AM17" s="1287">
        <f>HLOOKUP("BC Miss",A1:CV300,17,FALSE) - HLOOKUP("PK Miss",A1:CV300,17,FALSE)</f>
      </c>
      <c r="AN17" s="1288">
        <f>IF(HLOOKUP("BC - Open",A1:CV300,17,FALSE)=0,0,HLOOKUP("BC - Open Miss",A1:CV300,17,FALSE)/HLOOKUP("BC - Open",A1:CV300,17,FALSE))</f>
      </c>
      <c r="AO17" t="n" s="1289">
        <v>3.0</v>
      </c>
      <c r="AP17" s="1290">
        <f>IF(HLOOKUP("Gs",A1:CV300,17,FALSE)=0,0,HLOOKUP("GIB",A1:CV300,17,FALSE)/HLOOKUP("Gs",A1:CV300,17,FALSE))</f>
      </c>
      <c r="AQ17" t="n" s="1291">
        <v>3.0</v>
      </c>
      <c r="AR17" s="1292">
        <f>IF(HLOOKUP("Gs",A1:CV300,17,FALSE)=0,0,HLOOKUP("Gs - Open",A1:CV300,17,FALSE)/HLOOKUP("Gs",A1:CV300,17,FALSE))</f>
      </c>
      <c r="AS17" t="n" s="1293">
        <v>3.76</v>
      </c>
      <c r="AT17" t="n" s="1294">
        <v>0.83</v>
      </c>
      <c r="AU17" s="1295">
        <f>IF(HLOOKUP("Mins",A1:CV300,17,FALSE)=0,0,HLOOKUP("Pts",A1:CV300,17,FALSE)/HLOOKUP("Mins",A1:CV300,17,FALSE)* 90)</f>
      </c>
      <c r="AV17" s="1296">
        <f>IF(HLOOKUP("Apps",A1:CV300,17,FALSE)=0,0,HLOOKUP("Pts",A1:CV300,17,FALSE)/HLOOKUP("Apps",A1:CV300,17,FALSE)* 1)</f>
      </c>
      <c r="AW17" s="1297">
        <f>IF(HLOOKUP("Mins",A1:CV300,17,FALSE)=0,0,HLOOKUP("Gs",A1:CV300,17,FALSE)/HLOOKUP("Mins",A1:CV300,17,FALSE)* 90)</f>
      </c>
      <c r="AX17" s="1298">
        <f>IF(HLOOKUP("Mins",A1:CV300,17,FALSE)=0,0,HLOOKUP("Bonus",A1:CV300,17,FALSE)/HLOOKUP("Mins",A1:CV300,17,FALSE)* 90)</f>
      </c>
      <c r="AY17" s="1299">
        <f>IF(HLOOKUP("Mins",A1:CV300,17,FALSE)=0,0,HLOOKUP("BPS",A1:CV300,17,FALSE)/HLOOKUP("Mins",A1:CV300,17,FALSE)* 90)</f>
      </c>
      <c r="AZ17" s="1300">
        <f>IF(HLOOKUP("Mins",A1:CV300,17,FALSE)=0,0,HLOOKUP("Base BPS",A1:CV300,17,FALSE)/HLOOKUP("Mins",A1:CV300,17,FALSE)* 90)</f>
      </c>
      <c r="BA17" s="1301">
        <f>IF(HLOOKUP("Mins",A1:CV300,17,FALSE)=0,0,HLOOKUP("PenTchs",A1:CV300,17,FALSE)/HLOOKUP("Mins",A1:CV300,17,FALSE)* 90)</f>
      </c>
      <c r="BB17" s="1302">
        <f>IF(HLOOKUP("Mins",A1:CV300,17,FALSE)=0,0,HLOOKUP("Shots",A1:CV300,17,FALSE)/HLOOKUP("Mins",A1:CV300,17,FALSE)* 90)</f>
      </c>
      <c r="BC17" s="1303">
        <f>IF(HLOOKUP("Mins",A1:CV300,17,FALSE)=0,0,HLOOKUP("SIB",A1:CV300,17,FALSE)/HLOOKUP("Mins",A1:CV300,17,FALSE)* 90)</f>
      </c>
      <c r="BD17" s="1304">
        <f>IF(HLOOKUP("Mins",A1:CV300,17,FALSE)=0,0,HLOOKUP("S6YD",A1:CV300,17,FALSE)/HLOOKUP("Mins",A1:CV300,17,FALSE)* 90)</f>
      </c>
      <c r="BE17" s="1305">
        <f>IF(HLOOKUP("Mins",A1:CV300,17,FALSE)=0,0,HLOOKUP("Headers",A1:CV300,17,FALSE)/HLOOKUP("Mins",A1:CV300,17,FALSE)* 90)</f>
      </c>
      <c r="BF17" s="1306">
        <f>IF(HLOOKUP("Mins",A1:CV300,17,FALSE)=0,0,HLOOKUP("SOT",A1:CV300,17,FALSE)/HLOOKUP("Mins",A1:CV300,17,FALSE)* 90)</f>
      </c>
      <c r="BG17" s="1307">
        <f>IF(HLOOKUP("Mins",A1:CV300,17,FALSE)=0,0,HLOOKUP("As",A1:CV300,17,FALSE)/HLOOKUP("Mins",A1:CV300,17,FALSE)* 90)</f>
      </c>
      <c r="BH17" s="1308">
        <f>IF(HLOOKUP("Mins",A1:CV300,17,FALSE)=0,0,HLOOKUP("FPL As",A1:CV300,17,FALSE)/HLOOKUP("Mins",A1:CV300,17,FALSE)* 90)</f>
      </c>
      <c r="BI17" s="1309">
        <f>IF(HLOOKUP("Mins",A1:CV300,17,FALSE)=0,0,HLOOKUP("BC Created",A1:CV300,17,FALSE)/HLOOKUP("Mins",A1:CV300,17,FALSE)* 90)</f>
      </c>
      <c r="BJ17" s="1310">
        <f>IF(HLOOKUP("Mins",A1:CV300,17,FALSE)=0,0,HLOOKUP("KP",A1:CV300,17,FALSE)/HLOOKUP("Mins",A1:CV300,17,FALSE)* 90)</f>
      </c>
      <c r="BK17" s="1311">
        <f>IF(HLOOKUP("Mins",A1:CV300,17,FALSE)=0,0,HLOOKUP("BC",A1:CV300,17,FALSE)/HLOOKUP("Mins",A1:CV300,17,FALSE)* 90)</f>
      </c>
      <c r="BL17" s="1312">
        <f>IF(HLOOKUP("Mins",A1:CV300,17,FALSE)=0,0,HLOOKUP("BC Miss",A1:CV300,17,FALSE)/HLOOKUP("Mins",A1:CV300,17,FALSE)* 90)</f>
      </c>
      <c r="BM17" s="1313">
        <f>IF(HLOOKUP("Mins",A1:CV300,17,FALSE)=0,0,HLOOKUP("Gs - BC",A1:CV300,17,FALSE)/HLOOKUP("Mins",A1:CV300,17,FALSE)* 90)</f>
      </c>
      <c r="BN17" s="1314">
        <f>IF(HLOOKUP("Mins",A1:CV300,17,FALSE)=0,0,HLOOKUP("GIB",A1:CV300,17,FALSE)/HLOOKUP("Mins",A1:CV300,17,FALSE)* 90)</f>
      </c>
      <c r="BO17" s="1315">
        <f>IF(HLOOKUP("Mins",A1:CV300,17,FALSE)=0,0,HLOOKUP("Gs - Open",A1:CV300,17,FALSE)/HLOOKUP("Mins",A1:CV300,17,FALSE)* 90)</f>
      </c>
      <c r="BP17" s="1316">
        <f>IF(HLOOKUP("Mins",A1:CV300,17,FALSE)=0,0,HLOOKUP("ICT Index",A1:CV300,17,FALSE)/HLOOKUP("Mins",A1:CV300,17,FALSE)* 90)</f>
      </c>
      <c r="BQ17" s="1317">
        <f>IF(HLOOKUP("Mins",A1:CV300,17,FALSE)=0,0,(0.043*(HLOOKUP("Shots",A1:CV300,17,FALSE)-HLOOKUP("SIB",A1:CV300,17,FALSE))+0.162*(HLOOKUP("SIB",A1:CV300,17,FALSE)-(HLOOKUP("PK Gs",A1:CV300,17,FALSE)+HLOOKUP("PK Miss",A1:CV300,17,FALSE)))+0.75*(HLOOKUP("PK Gs",A1:CV300,17,FALSE)+HLOOKUP("PK Miss",A1:CV300,17,FALSE)))/HLOOKUP("Mins",A1:CV300,17,FALSE)*90)</f>
      </c>
      <c r="BR17" s="1318">
        <f>0.103*HLOOKUP("KP/90",A1:CV300,17,FALSE)</f>
      </c>
      <c r="BS17" s="1319">
        <f>4*HLOOKUP("xG/90",A1:CV300,17,FALSE)+3*HLOOKUP("xA/90",A1:CV300,17,FALSE)</f>
      </c>
      <c r="BT17" s="1320">
        <f>HLOOKUP("xPts/90",A1:CV300,17,FALSE)-(4*0.75*(HLOOKUP("PK Gs",A1:CV300,17,FALSE)+HLOOKUP("PK Miss",A1:CV300,17,FALSE))*90/HLOOKUP("Mins",A1:CV300,17,FALSE))</f>
      </c>
      <c r="BU17" s="1321">
        <f>IF(HLOOKUP("Mins",A1:CV300,17,FALSE)=0,0,HLOOKUP("fsXG",A1:CV300,17,FALSE)/HLOOKUP("Mins",A1:CV300,17,FALSE)* 90)</f>
      </c>
      <c r="BV17" s="1322">
        <f>IF(HLOOKUP("Mins",A1:CV300,17,FALSE)=0,0,HLOOKUP("fsXA",A1:CV300,17,FALSE)/HLOOKUP("Mins",A1:CV300,17,FALSE)* 90)</f>
      </c>
      <c r="BW17" s="1323">
        <f>4*HLOOKUP("fsXG/90",A1:CV300,17,FALSE)+3*HLOOKUP("fsXA/90",A1:CV300,17,FALSE)</f>
      </c>
      <c r="BX17" t="n" s="1324">
        <v>1.0728291273117065</v>
      </c>
      <c r="BY17" t="n" s="1325">
        <v>0.31406354904174805</v>
      </c>
      <c r="BZ17" s="1326">
        <f>4*HLOOKUP("uXG/90",A1:CV300,17,FALSE)+3*HLOOKUP("uXA/90",A1:CV300,17,FALSE)</f>
      </c>
    </row>
    <row r="18">
      <c r="A18" t="s" s="1327">
        <v>106</v>
      </c>
      <c r="B18" t="s" s="1328">
        <v>107</v>
      </c>
      <c r="C18" t="n" s="1329">
        <v>5.699999809265137</v>
      </c>
      <c r="D18" t="n" s="1330">
        <v>172.0</v>
      </c>
      <c r="E18" t="n" s="1331">
        <v>3.0</v>
      </c>
      <c r="F18" t="n" s="1332">
        <v>22.0</v>
      </c>
      <c r="G18" t="n" s="1333">
        <v>1.0</v>
      </c>
      <c r="H18" t="n" s="1334">
        <v>1.0</v>
      </c>
      <c r="I18" t="n" s="1335">
        <v>76.0</v>
      </c>
      <c r="J18" s="1336">
        <f>HLOOKUP("BPS",A1:CV300,18,FALSE)-((-6*HLOOKUP("OG",A1:CV300,18,FALSE))+(-6*HLOOKUP("PK Miss",A1:CV300,18,FALSE))+(9*HLOOKUP("FPL As",A1:CV300,18,FALSE))+(0*HLOOKUP("CS",A1:CV300,18,FALSE))+(24*HLOOKUP("Gs",A1:CV300,18,FALSE)))</f>
      </c>
      <c r="K18" t="n" s="1337">
        <v>0.0</v>
      </c>
      <c r="L18" t="n" s="1338">
        <v>2.0</v>
      </c>
      <c r="M18" t="n" s="1339">
        <v>7.0</v>
      </c>
      <c r="N18" t="n" s="1340">
        <v>4.0</v>
      </c>
      <c r="O18" t="n" s="1341">
        <v>4.0</v>
      </c>
      <c r="P18" s="1342">
        <f>IF(HLOOKUP("Shots",A1:CV300,18,FALSE)=0,0,HLOOKUP("SIB",A1:CV300,18,FALSE)/HLOOKUP("Shots",A1:CV300,18,FALSE))</f>
      </c>
      <c r="Q18" t="n" s="1343">
        <v>1.0</v>
      </c>
      <c r="R18" s="1344">
        <f>IF(HLOOKUP("Shots",A1:CV300,18,FALSE)=0,0,HLOOKUP("S6YD",A1:CV300,18,FALSE)/HLOOKUP("Shots",A1:CV300,18,FALSE))</f>
      </c>
      <c r="S18" t="n" s="1345">
        <v>2.0</v>
      </c>
      <c r="T18" s="1346">
        <f>IF(HLOOKUP("Shots",A1:CV300,18,FALSE)=0,0,HLOOKUP("Headers",A1:CV300,18,FALSE)/HLOOKUP("Shots",A1:CV300,18,FALSE))</f>
      </c>
      <c r="U18" t="n" s="1347">
        <v>2.0</v>
      </c>
      <c r="V18" s="1348">
        <f>IF(HLOOKUP("Shots",A1:CV300,18,FALSE)=0,0,HLOOKUP("SOT",A1:CV300,18,FALSE)/HLOOKUP("Shots",A1:CV300,18,FALSE))</f>
      </c>
      <c r="W18" s="1349">
        <f>IF(HLOOKUP("Shots",A1:CV300,18,FALSE)=0,0,HLOOKUP("Gs",A1:CV300,18,FALSE)/HLOOKUP("Shots",A1:CV300,18,FALSE))</f>
      </c>
      <c r="X18" t="n" s="1350">
        <v>0.0</v>
      </c>
      <c r="Y18" t="n" s="1351">
        <v>0.0</v>
      </c>
      <c r="Z18" t="n" s="1352">
        <v>0.0</v>
      </c>
      <c r="AA18" s="1353">
        <f>IF(HLOOKUP("KP",A1:CV300,18,FALSE)=0,0,HLOOKUP("As",A1:CV300,18,FALSE)/HLOOKUP("KP",A1:CV300,18,FALSE))</f>
      </c>
      <c r="AB18" t="n" s="1354">
        <v>10.4</v>
      </c>
      <c r="AC18" t="n" s="1355">
        <v>100.0</v>
      </c>
      <c r="AD18" t="n" s="1356">
        <v>0.0</v>
      </c>
      <c r="AE18" t="n" s="1357">
        <v>2.0</v>
      </c>
      <c r="AF18" t="n" s="1358">
        <v>1.0</v>
      </c>
      <c r="AG18" s="1359">
        <f>IF(HLOOKUP("BC",A1:CV300,18,FALSE)=0,0,HLOOKUP("Gs - BC",A1:CV300,18,FALSE)/HLOOKUP("BC",A1:CV300,18,FALSE))</f>
      </c>
      <c r="AH18" s="1360">
        <f>HLOOKUP("BC",A1:CV300,18,FALSE) - HLOOKUP("BC Miss",A1:CV300,18,FALSE)</f>
      </c>
      <c r="AI18" s="1361">
        <f>IF(HLOOKUP("Gs",A1:CV300,18,FALSE)=0,0,HLOOKUP("Gs - BC",A1:CV300,18,FALSE)/HLOOKUP("Gs",A1:CV300,18,FALSE))</f>
      </c>
      <c r="AJ18" t="n" s="1362">
        <v>0.0</v>
      </c>
      <c r="AK18" t="n" s="1363">
        <v>0.0</v>
      </c>
      <c r="AL18" s="1364">
        <f>HLOOKUP("BC",A1:CV300,18,FALSE) - (HLOOKUP("PK Gs",A1:CV300,18,FALSE) + HLOOKUP("PK Miss",A1:CV300,18,FALSE))</f>
      </c>
      <c r="AM18" s="1365">
        <f>HLOOKUP("BC Miss",A1:CV300,18,FALSE) - HLOOKUP("PK Miss",A1:CV300,18,FALSE)</f>
      </c>
      <c r="AN18" s="1366">
        <f>IF(HLOOKUP("BC - Open",A1:CV300,18,FALSE)=0,0,HLOOKUP("BC - Open Miss",A1:CV300,18,FALSE)/HLOOKUP("BC - Open",A1:CV300,18,FALSE))</f>
      </c>
      <c r="AO18" t="n" s="1367">
        <v>1.0</v>
      </c>
      <c r="AP18" s="1368">
        <f>IF(HLOOKUP("Gs",A1:CV300,18,FALSE)=0,0,HLOOKUP("GIB",A1:CV300,18,FALSE)/HLOOKUP("Gs",A1:CV300,18,FALSE))</f>
      </c>
      <c r="AQ18" t="n" s="1369">
        <v>0.0</v>
      </c>
      <c r="AR18" s="1370">
        <f>IF(HLOOKUP("Gs",A1:CV300,18,FALSE)=0,0,HLOOKUP("Gs - Open",A1:CV300,18,FALSE)/HLOOKUP("Gs",A1:CV300,18,FALSE))</f>
      </c>
      <c r="AS18" t="n" s="1371">
        <v>0.52</v>
      </c>
      <c r="AT18" t="n" s="1372">
        <v>0.03</v>
      </c>
      <c r="AU18" s="1373">
        <f>IF(HLOOKUP("Mins",A1:CV300,18,FALSE)=0,0,HLOOKUP("Pts",A1:CV300,18,FALSE)/HLOOKUP("Mins",A1:CV300,18,FALSE)* 90)</f>
      </c>
      <c r="AV18" s="1374">
        <f>IF(HLOOKUP("Apps",A1:CV300,18,FALSE)=0,0,HLOOKUP("Pts",A1:CV300,18,FALSE)/HLOOKUP("Apps",A1:CV300,18,FALSE)* 1)</f>
      </c>
      <c r="AW18" s="1375">
        <f>IF(HLOOKUP("Mins",A1:CV300,18,FALSE)=0,0,HLOOKUP("Gs",A1:CV300,18,FALSE)/HLOOKUP("Mins",A1:CV300,18,FALSE)* 90)</f>
      </c>
      <c r="AX18" s="1376">
        <f>IF(HLOOKUP("Mins",A1:CV300,18,FALSE)=0,0,HLOOKUP("Bonus",A1:CV300,18,FALSE)/HLOOKUP("Mins",A1:CV300,18,FALSE)* 90)</f>
      </c>
      <c r="AY18" s="1377">
        <f>IF(HLOOKUP("Mins",A1:CV300,18,FALSE)=0,0,HLOOKUP("BPS",A1:CV300,18,FALSE)/HLOOKUP("Mins",A1:CV300,18,FALSE)* 90)</f>
      </c>
      <c r="AZ18" s="1378">
        <f>IF(HLOOKUP("Mins",A1:CV300,18,FALSE)=0,0,HLOOKUP("Base BPS",A1:CV300,18,FALSE)/HLOOKUP("Mins",A1:CV300,18,FALSE)* 90)</f>
      </c>
      <c r="BA18" s="1379">
        <f>IF(HLOOKUP("Mins",A1:CV300,18,FALSE)=0,0,HLOOKUP("PenTchs",A1:CV300,18,FALSE)/HLOOKUP("Mins",A1:CV300,18,FALSE)* 90)</f>
      </c>
      <c r="BB18" s="1380">
        <f>IF(HLOOKUP("Mins",A1:CV300,18,FALSE)=0,0,HLOOKUP("Shots",A1:CV300,18,FALSE)/HLOOKUP("Mins",A1:CV300,18,FALSE)* 90)</f>
      </c>
      <c r="BC18" s="1381">
        <f>IF(HLOOKUP("Mins",A1:CV300,18,FALSE)=0,0,HLOOKUP("SIB",A1:CV300,18,FALSE)/HLOOKUP("Mins",A1:CV300,18,FALSE)* 90)</f>
      </c>
      <c r="BD18" s="1382">
        <f>IF(HLOOKUP("Mins",A1:CV300,18,FALSE)=0,0,HLOOKUP("S6YD",A1:CV300,18,FALSE)/HLOOKUP("Mins",A1:CV300,18,FALSE)* 90)</f>
      </c>
      <c r="BE18" s="1383">
        <f>IF(HLOOKUP("Mins",A1:CV300,18,FALSE)=0,0,HLOOKUP("Headers",A1:CV300,18,FALSE)/HLOOKUP("Mins",A1:CV300,18,FALSE)* 90)</f>
      </c>
      <c r="BF18" s="1384">
        <f>IF(HLOOKUP("Mins",A1:CV300,18,FALSE)=0,0,HLOOKUP("SOT",A1:CV300,18,FALSE)/HLOOKUP("Mins",A1:CV300,18,FALSE)* 90)</f>
      </c>
      <c r="BG18" s="1385">
        <f>IF(HLOOKUP("Mins",A1:CV300,18,FALSE)=0,0,HLOOKUP("As",A1:CV300,18,FALSE)/HLOOKUP("Mins",A1:CV300,18,FALSE)* 90)</f>
      </c>
      <c r="BH18" s="1386">
        <f>IF(HLOOKUP("Mins",A1:CV300,18,FALSE)=0,0,HLOOKUP("FPL As",A1:CV300,18,FALSE)/HLOOKUP("Mins",A1:CV300,18,FALSE)* 90)</f>
      </c>
      <c r="BI18" s="1387">
        <f>IF(HLOOKUP("Mins",A1:CV300,18,FALSE)=0,0,HLOOKUP("BC Created",A1:CV300,18,FALSE)/HLOOKUP("Mins",A1:CV300,18,FALSE)* 90)</f>
      </c>
      <c r="BJ18" s="1388">
        <f>IF(HLOOKUP("Mins",A1:CV300,18,FALSE)=0,0,HLOOKUP("KP",A1:CV300,18,FALSE)/HLOOKUP("Mins",A1:CV300,18,FALSE)* 90)</f>
      </c>
      <c r="BK18" s="1389">
        <f>IF(HLOOKUP("Mins",A1:CV300,18,FALSE)=0,0,HLOOKUP("BC",A1:CV300,18,FALSE)/HLOOKUP("Mins",A1:CV300,18,FALSE)* 90)</f>
      </c>
      <c r="BL18" s="1390">
        <f>IF(HLOOKUP("Mins",A1:CV300,18,FALSE)=0,0,HLOOKUP("BC Miss",A1:CV300,18,FALSE)/HLOOKUP("Mins",A1:CV300,18,FALSE)* 90)</f>
      </c>
      <c r="BM18" s="1391">
        <f>IF(HLOOKUP("Mins",A1:CV300,18,FALSE)=0,0,HLOOKUP("Gs - BC",A1:CV300,18,FALSE)/HLOOKUP("Mins",A1:CV300,18,FALSE)* 90)</f>
      </c>
      <c r="BN18" s="1392">
        <f>IF(HLOOKUP("Mins",A1:CV300,18,FALSE)=0,0,HLOOKUP("GIB",A1:CV300,18,FALSE)/HLOOKUP("Mins",A1:CV300,18,FALSE)* 90)</f>
      </c>
      <c r="BO18" s="1393">
        <f>IF(HLOOKUP("Mins",A1:CV300,18,FALSE)=0,0,HLOOKUP("Gs - Open",A1:CV300,18,FALSE)/HLOOKUP("Mins",A1:CV300,18,FALSE)* 90)</f>
      </c>
      <c r="BP18" s="1394">
        <f>IF(HLOOKUP("Mins",A1:CV300,18,FALSE)=0,0,HLOOKUP("ICT Index",A1:CV300,18,FALSE)/HLOOKUP("Mins",A1:CV300,18,FALSE)* 90)</f>
      </c>
      <c r="BQ18" s="1395">
        <f>IF(HLOOKUP("Mins",A1:CV300,18,FALSE)=0,0,(0.043*(HLOOKUP("Shots",A1:CV300,18,FALSE)-HLOOKUP("SIB",A1:CV300,18,FALSE))+0.162*(HLOOKUP("SIB",A1:CV300,18,FALSE)-(HLOOKUP("PK Gs",A1:CV300,18,FALSE)+HLOOKUP("PK Miss",A1:CV300,18,FALSE)))+0.75*(HLOOKUP("PK Gs",A1:CV300,18,FALSE)+HLOOKUP("PK Miss",A1:CV300,18,FALSE)))/HLOOKUP("Mins",A1:CV300,18,FALSE)*90)</f>
      </c>
      <c r="BR18" s="1396">
        <f>0.103*HLOOKUP("KP/90",A1:CV300,18,FALSE)</f>
      </c>
      <c r="BS18" s="1397">
        <f>4*HLOOKUP("xG/90",A1:CV300,18,FALSE)+3*HLOOKUP("xA/90",A1:CV300,18,FALSE)</f>
      </c>
      <c r="BT18" s="1398">
        <f>HLOOKUP("xPts/90",A1:CV300,18,FALSE)-(4*0.75*(HLOOKUP("PK Gs",A1:CV300,18,FALSE)+HLOOKUP("PK Miss",A1:CV300,18,FALSE))*90/HLOOKUP("Mins",A1:CV300,18,FALSE))</f>
      </c>
      <c r="BU18" s="1399">
        <f>IF(HLOOKUP("Mins",A1:CV300,18,FALSE)=0,0,HLOOKUP("fsXG",A1:CV300,18,FALSE)/HLOOKUP("Mins",A1:CV300,18,FALSE)* 90)</f>
      </c>
      <c r="BV18" s="1400">
        <f>IF(HLOOKUP("Mins",A1:CV300,18,FALSE)=0,0,HLOOKUP("fsXA",A1:CV300,18,FALSE)/HLOOKUP("Mins",A1:CV300,18,FALSE)* 90)</f>
      </c>
      <c r="BW18" s="1401">
        <f>4*HLOOKUP("fsXG/90",A1:CV300,18,FALSE)+3*HLOOKUP("fsXA/90",A1:CV300,18,FALSE)</f>
      </c>
      <c r="BX18" t="n" s="1402">
        <v>0.42754730582237244</v>
      </c>
      <c r="BY18" t="n" s="1403">
        <v>0.0</v>
      </c>
      <c r="BZ18" s="1404">
        <f>4*HLOOKUP("uXG/90",A1:CV300,18,FALSE)+3*HLOOKUP("uXA/90",A1:CV300,18,FALSE)</f>
      </c>
    </row>
    <row r="19">
      <c r="A19" t="s" s="1405">
        <v>108</v>
      </c>
      <c r="B19" t="s" s="1406">
        <v>109</v>
      </c>
      <c r="C19" t="n" s="1407">
        <v>5.400000095367432</v>
      </c>
      <c r="D19" t="n" s="1408">
        <v>207.0</v>
      </c>
      <c r="E19" t="n" s="1409">
        <v>4.0</v>
      </c>
      <c r="F19" t="n" s="1410">
        <v>26.0</v>
      </c>
      <c r="G19" t="n" s="1411">
        <v>1.0</v>
      </c>
      <c r="H19" t="n" s="1412">
        <v>0.0</v>
      </c>
      <c r="I19" t="n" s="1413">
        <v>46.0</v>
      </c>
      <c r="J19" s="1414">
        <f>HLOOKUP("BPS",A1:CV300,19,FALSE)-((-6*HLOOKUP("OG",A1:CV300,19,FALSE))+(-6*HLOOKUP("PK Miss",A1:CV300,19,FALSE))+(9*HLOOKUP("FPL As",A1:CV300,19,FALSE))+(0*HLOOKUP("CS",A1:CV300,19,FALSE))+(24*HLOOKUP("Gs",A1:CV300,19,FALSE)))</f>
      </c>
      <c r="K19" t="n" s="1415">
        <v>0.0</v>
      </c>
      <c r="L19" t="n" s="1416">
        <v>2.0</v>
      </c>
      <c r="M19" t="n" s="1417">
        <v>12.0</v>
      </c>
      <c r="N19" t="n" s="1418">
        <v>6.0</v>
      </c>
      <c r="O19" t="n" s="1419">
        <v>5.0</v>
      </c>
      <c r="P19" s="1420">
        <f>IF(HLOOKUP("Shots",A1:CV300,19,FALSE)=0,0,HLOOKUP("SIB",A1:CV300,19,FALSE)/HLOOKUP("Shots",A1:CV300,19,FALSE))</f>
      </c>
      <c r="Q19" t="n" s="1421">
        <v>1.0</v>
      </c>
      <c r="R19" s="1422">
        <f>IF(HLOOKUP("Shots",A1:CV300,19,FALSE)=0,0,HLOOKUP("S6YD",A1:CV300,19,FALSE)/HLOOKUP("Shots",A1:CV300,19,FALSE))</f>
      </c>
      <c r="S19" t="n" s="1423">
        <v>3.0</v>
      </c>
      <c r="T19" s="1424">
        <f>IF(HLOOKUP("Shots",A1:CV300,19,FALSE)=0,0,HLOOKUP("Headers",A1:CV300,19,FALSE)/HLOOKUP("Shots",A1:CV300,19,FALSE))</f>
      </c>
      <c r="U19" t="n" s="1425">
        <v>3.0</v>
      </c>
      <c r="V19" s="1426">
        <f>IF(HLOOKUP("Shots",A1:CV300,19,FALSE)=0,0,HLOOKUP("SOT",A1:CV300,19,FALSE)/HLOOKUP("Shots",A1:CV300,19,FALSE))</f>
      </c>
      <c r="W19" s="1427">
        <f>IF(HLOOKUP("Shots",A1:CV300,19,FALSE)=0,0,HLOOKUP("Gs",A1:CV300,19,FALSE)/HLOOKUP("Shots",A1:CV300,19,FALSE))</f>
      </c>
      <c r="X19" t="n" s="1428">
        <v>0.0</v>
      </c>
      <c r="Y19" t="n" s="1429">
        <v>0.0</v>
      </c>
      <c r="Z19" t="n" s="1430">
        <v>0.0</v>
      </c>
      <c r="AA19" s="1431">
        <f>IF(HLOOKUP("KP",A1:CV300,19,FALSE)=0,0,HLOOKUP("As",A1:CV300,19,FALSE)/HLOOKUP("KP",A1:CV300,19,FALSE))</f>
      </c>
      <c r="AB19" t="n" s="1432">
        <v>15.1</v>
      </c>
      <c r="AC19" t="n" s="1433">
        <v>25.0</v>
      </c>
      <c r="AD19" t="n" s="1434">
        <v>0.0</v>
      </c>
      <c r="AE19" t="n" s="1435">
        <v>2.0</v>
      </c>
      <c r="AF19" t="n" s="1436">
        <v>2.0</v>
      </c>
      <c r="AG19" s="1437">
        <f>IF(HLOOKUP("BC",A1:CV300,19,FALSE)=0,0,HLOOKUP("Gs - BC",A1:CV300,19,FALSE)/HLOOKUP("BC",A1:CV300,19,FALSE))</f>
      </c>
      <c r="AH19" s="1438">
        <f>HLOOKUP("BC",A1:CV300,19,FALSE) - HLOOKUP("BC Miss",A1:CV300,19,FALSE)</f>
      </c>
      <c r="AI19" s="1439">
        <f>IF(HLOOKUP("Gs",A1:CV300,19,FALSE)=0,0,HLOOKUP("Gs - BC",A1:CV300,19,FALSE)/HLOOKUP("Gs",A1:CV300,19,FALSE))</f>
      </c>
      <c r="AJ19" t="n" s="1440">
        <v>0.0</v>
      </c>
      <c r="AK19" t="n" s="1441">
        <v>0.0</v>
      </c>
      <c r="AL19" s="1442">
        <f>HLOOKUP("BC",A1:CV300,19,FALSE) - (HLOOKUP("PK Gs",A1:CV300,19,FALSE) + HLOOKUP("PK Miss",A1:CV300,19,FALSE))</f>
      </c>
      <c r="AM19" s="1443">
        <f>HLOOKUP("BC Miss",A1:CV300,19,FALSE) - HLOOKUP("PK Miss",A1:CV300,19,FALSE)</f>
      </c>
      <c r="AN19" s="1444">
        <f>IF(HLOOKUP("BC - Open",A1:CV300,19,FALSE)=0,0,HLOOKUP("BC - Open Miss",A1:CV300,19,FALSE)/HLOOKUP("BC - Open",A1:CV300,19,FALSE))</f>
      </c>
      <c r="AO19" t="n" s="1445">
        <v>1.0</v>
      </c>
      <c r="AP19" s="1446">
        <f>IF(HLOOKUP("Gs",A1:CV300,19,FALSE)=0,0,HLOOKUP("GIB",A1:CV300,19,FALSE)/HLOOKUP("Gs",A1:CV300,19,FALSE))</f>
      </c>
      <c r="AQ19" t="n" s="1447">
        <v>1.0</v>
      </c>
      <c r="AR19" s="1448">
        <f>IF(HLOOKUP("Gs",A1:CV300,19,FALSE)=0,0,HLOOKUP("Gs - Open",A1:CV300,19,FALSE)/HLOOKUP("Gs",A1:CV300,19,FALSE))</f>
      </c>
      <c r="AS19" t="n" s="1449">
        <v>0.95</v>
      </c>
      <c r="AT19" t="n" s="1450">
        <v>0.04</v>
      </c>
      <c r="AU19" s="1451">
        <f>IF(HLOOKUP("Mins",A1:CV300,19,FALSE)=0,0,HLOOKUP("Pts",A1:CV300,19,FALSE)/HLOOKUP("Mins",A1:CV300,19,FALSE)* 90)</f>
      </c>
      <c r="AV19" s="1452">
        <f>IF(HLOOKUP("Apps",A1:CV300,19,FALSE)=0,0,HLOOKUP("Pts",A1:CV300,19,FALSE)/HLOOKUP("Apps",A1:CV300,19,FALSE)* 1)</f>
      </c>
      <c r="AW19" s="1453">
        <f>IF(HLOOKUP("Mins",A1:CV300,19,FALSE)=0,0,HLOOKUP("Gs",A1:CV300,19,FALSE)/HLOOKUP("Mins",A1:CV300,19,FALSE)* 90)</f>
      </c>
      <c r="AX19" s="1454">
        <f>IF(HLOOKUP("Mins",A1:CV300,19,FALSE)=0,0,HLOOKUP("Bonus",A1:CV300,19,FALSE)/HLOOKUP("Mins",A1:CV300,19,FALSE)* 90)</f>
      </c>
      <c r="AY19" s="1455">
        <f>IF(HLOOKUP("Mins",A1:CV300,19,FALSE)=0,0,HLOOKUP("BPS",A1:CV300,19,FALSE)/HLOOKUP("Mins",A1:CV300,19,FALSE)* 90)</f>
      </c>
      <c r="AZ19" s="1456">
        <f>IF(HLOOKUP("Mins",A1:CV300,19,FALSE)=0,0,HLOOKUP("Base BPS",A1:CV300,19,FALSE)/HLOOKUP("Mins",A1:CV300,19,FALSE)* 90)</f>
      </c>
      <c r="BA19" s="1457">
        <f>IF(HLOOKUP("Mins",A1:CV300,19,FALSE)=0,0,HLOOKUP("PenTchs",A1:CV300,19,FALSE)/HLOOKUP("Mins",A1:CV300,19,FALSE)* 90)</f>
      </c>
      <c r="BB19" s="1458">
        <f>IF(HLOOKUP("Mins",A1:CV300,19,FALSE)=0,0,HLOOKUP("Shots",A1:CV300,19,FALSE)/HLOOKUP("Mins",A1:CV300,19,FALSE)* 90)</f>
      </c>
      <c r="BC19" s="1459">
        <f>IF(HLOOKUP("Mins",A1:CV300,19,FALSE)=0,0,HLOOKUP("SIB",A1:CV300,19,FALSE)/HLOOKUP("Mins",A1:CV300,19,FALSE)* 90)</f>
      </c>
      <c r="BD19" s="1460">
        <f>IF(HLOOKUP("Mins",A1:CV300,19,FALSE)=0,0,HLOOKUP("S6YD",A1:CV300,19,FALSE)/HLOOKUP("Mins",A1:CV300,19,FALSE)* 90)</f>
      </c>
      <c r="BE19" s="1461">
        <f>IF(HLOOKUP("Mins",A1:CV300,19,FALSE)=0,0,HLOOKUP("Headers",A1:CV300,19,FALSE)/HLOOKUP("Mins",A1:CV300,19,FALSE)* 90)</f>
      </c>
      <c r="BF19" s="1462">
        <f>IF(HLOOKUP("Mins",A1:CV300,19,FALSE)=0,0,HLOOKUP("SOT",A1:CV300,19,FALSE)/HLOOKUP("Mins",A1:CV300,19,FALSE)* 90)</f>
      </c>
      <c r="BG19" s="1463">
        <f>IF(HLOOKUP("Mins",A1:CV300,19,FALSE)=0,0,HLOOKUP("As",A1:CV300,19,FALSE)/HLOOKUP("Mins",A1:CV300,19,FALSE)* 90)</f>
      </c>
      <c r="BH19" s="1464">
        <f>IF(HLOOKUP("Mins",A1:CV300,19,FALSE)=0,0,HLOOKUP("FPL As",A1:CV300,19,FALSE)/HLOOKUP("Mins",A1:CV300,19,FALSE)* 90)</f>
      </c>
      <c r="BI19" s="1465">
        <f>IF(HLOOKUP("Mins",A1:CV300,19,FALSE)=0,0,HLOOKUP("BC Created",A1:CV300,19,FALSE)/HLOOKUP("Mins",A1:CV300,19,FALSE)* 90)</f>
      </c>
      <c r="BJ19" s="1466">
        <f>IF(HLOOKUP("Mins",A1:CV300,19,FALSE)=0,0,HLOOKUP("KP",A1:CV300,19,FALSE)/HLOOKUP("Mins",A1:CV300,19,FALSE)* 90)</f>
      </c>
      <c r="BK19" s="1467">
        <f>IF(HLOOKUP("Mins",A1:CV300,19,FALSE)=0,0,HLOOKUP("BC",A1:CV300,19,FALSE)/HLOOKUP("Mins",A1:CV300,19,FALSE)* 90)</f>
      </c>
      <c r="BL19" s="1468">
        <f>IF(HLOOKUP("Mins",A1:CV300,19,FALSE)=0,0,HLOOKUP("BC Miss",A1:CV300,19,FALSE)/HLOOKUP("Mins",A1:CV300,19,FALSE)* 90)</f>
      </c>
      <c r="BM19" s="1469">
        <f>IF(HLOOKUP("Mins",A1:CV300,19,FALSE)=0,0,HLOOKUP("Gs - BC",A1:CV300,19,FALSE)/HLOOKUP("Mins",A1:CV300,19,FALSE)* 90)</f>
      </c>
      <c r="BN19" s="1470">
        <f>IF(HLOOKUP("Mins",A1:CV300,19,FALSE)=0,0,HLOOKUP("GIB",A1:CV300,19,FALSE)/HLOOKUP("Mins",A1:CV300,19,FALSE)* 90)</f>
      </c>
      <c r="BO19" s="1471">
        <f>IF(HLOOKUP("Mins",A1:CV300,19,FALSE)=0,0,HLOOKUP("Gs - Open",A1:CV300,19,FALSE)/HLOOKUP("Mins",A1:CV300,19,FALSE)* 90)</f>
      </c>
      <c r="BP19" s="1472">
        <f>IF(HLOOKUP("Mins",A1:CV300,19,FALSE)=0,0,HLOOKUP("ICT Index",A1:CV300,19,FALSE)/HLOOKUP("Mins",A1:CV300,19,FALSE)* 90)</f>
      </c>
      <c r="BQ19" s="1473">
        <f>IF(HLOOKUP("Mins",A1:CV300,19,FALSE)=0,0,(0.043*(HLOOKUP("Shots",A1:CV300,19,FALSE)-HLOOKUP("SIB",A1:CV300,19,FALSE))+0.162*(HLOOKUP("SIB",A1:CV300,19,FALSE)-(HLOOKUP("PK Gs",A1:CV300,19,FALSE)+HLOOKUP("PK Miss",A1:CV300,19,FALSE)))+0.75*(HLOOKUP("PK Gs",A1:CV300,19,FALSE)+HLOOKUP("PK Miss",A1:CV300,19,FALSE)))/HLOOKUP("Mins",A1:CV300,19,FALSE)*90)</f>
      </c>
      <c r="BR19" s="1474">
        <f>0.103*HLOOKUP("KP/90",A1:CV300,19,FALSE)</f>
      </c>
      <c r="BS19" s="1475">
        <f>4*HLOOKUP("xG/90",A1:CV300,19,FALSE)+3*HLOOKUP("xA/90",A1:CV300,19,FALSE)</f>
      </c>
      <c r="BT19" s="1476">
        <f>HLOOKUP("xPts/90",A1:CV300,19,FALSE)-(4*0.75*(HLOOKUP("PK Gs",A1:CV300,19,FALSE)+HLOOKUP("PK Miss",A1:CV300,19,FALSE))*90/HLOOKUP("Mins",A1:CV300,19,FALSE))</f>
      </c>
      <c r="BU19" s="1477">
        <f>IF(HLOOKUP("Mins",A1:CV300,19,FALSE)=0,0,HLOOKUP("fsXG",A1:CV300,19,FALSE)/HLOOKUP("Mins",A1:CV300,19,FALSE)* 90)</f>
      </c>
      <c r="BV19" s="1478">
        <f>IF(HLOOKUP("Mins",A1:CV300,19,FALSE)=0,0,HLOOKUP("fsXA",A1:CV300,19,FALSE)/HLOOKUP("Mins",A1:CV300,19,FALSE)* 90)</f>
      </c>
      <c r="BW19" s="1479">
        <f>4*HLOOKUP("fsXG/90",A1:CV300,19,FALSE)+3*HLOOKUP("fsXA/90",A1:CV300,19,FALSE)</f>
      </c>
      <c r="BX19" t="n" s="1480">
        <v>0.4963429570198059</v>
      </c>
      <c r="BY19" t="n" s="1481">
        <v>0.0</v>
      </c>
      <c r="BZ19" s="1482">
        <f>4*HLOOKUP("uXG/90",A1:CV300,19,FALSE)+3*HLOOKUP("uXA/90",A1:CV300,19,FALSE)</f>
      </c>
    </row>
    <row r="20">
      <c r="A20" t="s" s="1483">
        <v>110</v>
      </c>
      <c r="B20" t="s" s="1484">
        <v>90</v>
      </c>
      <c r="C20" t="n" s="1485">
        <v>6.5</v>
      </c>
      <c r="D20" t="n" s="1486">
        <v>438.0</v>
      </c>
      <c r="E20" t="n" s="1487">
        <v>5.0</v>
      </c>
      <c r="F20" t="n" s="1488">
        <v>121.0</v>
      </c>
      <c r="G20" t="n" s="1489">
        <v>2.0</v>
      </c>
      <c r="H20" t="n" s="1490">
        <v>21.0</v>
      </c>
      <c r="I20" t="n" s="1491">
        <v>405.0</v>
      </c>
      <c r="J20" s="1492">
        <f>HLOOKUP("BPS",A1:CV300,20,FALSE)-((-6*HLOOKUP("OG",A1:CV300,20,FALSE))+(-6*HLOOKUP("PK Miss",A1:CV300,20,FALSE))+(9*HLOOKUP("FPL As",A1:CV300,20,FALSE))+(0*HLOOKUP("CS",A1:CV300,20,FALSE))+(24*HLOOKUP("Gs",A1:CV300,20,FALSE)))</f>
      </c>
      <c r="K20" t="n" s="1493">
        <v>0.0</v>
      </c>
      <c r="L20" t="n" s="1494">
        <v>5.0</v>
      </c>
      <c r="M20" t="n" s="1495">
        <v>28.0</v>
      </c>
      <c r="N20" t="n" s="1496">
        <v>14.0</v>
      </c>
      <c r="O20" t="n" s="1497">
        <v>9.0</v>
      </c>
      <c r="P20" s="1498">
        <f>IF(HLOOKUP("Shots",A1:CV300,20,FALSE)=0,0,HLOOKUP("SIB",A1:CV300,20,FALSE)/HLOOKUP("Shots",A1:CV300,20,FALSE))</f>
      </c>
      <c r="Q20" t="n" s="1499">
        <v>0.0</v>
      </c>
      <c r="R20" s="1500">
        <f>IF(HLOOKUP("Shots",A1:CV300,20,FALSE)=0,0,HLOOKUP("S6YD",A1:CV300,20,FALSE)/HLOOKUP("Shots",A1:CV300,20,FALSE))</f>
      </c>
      <c r="S20" t="n" s="1501">
        <v>0.0</v>
      </c>
      <c r="T20" s="1502">
        <f>IF(HLOOKUP("Shots",A1:CV300,20,FALSE)=0,0,HLOOKUP("Headers",A1:CV300,20,FALSE)/HLOOKUP("Shots",A1:CV300,20,FALSE))</f>
      </c>
      <c r="U20" t="n" s="1503">
        <v>6.0</v>
      </c>
      <c r="V20" s="1504">
        <f>IF(HLOOKUP("Shots",A1:CV300,20,FALSE)=0,0,HLOOKUP("SOT",A1:CV300,20,FALSE)/HLOOKUP("Shots",A1:CV300,20,FALSE))</f>
      </c>
      <c r="W20" s="1505">
        <f>IF(HLOOKUP("Shots",A1:CV300,20,FALSE)=0,0,HLOOKUP("Gs",A1:CV300,20,FALSE)/HLOOKUP("Shots",A1:CV300,20,FALSE))</f>
      </c>
      <c r="X20" t="n" s="1506">
        <v>0.0</v>
      </c>
      <c r="Y20" t="n" s="1507">
        <v>3.0</v>
      </c>
      <c r="Z20" t="n" s="1508">
        <v>4.0</v>
      </c>
      <c r="AA20" s="1509">
        <f>IF(HLOOKUP("KP",A1:CV300,20,FALSE)=0,0,HLOOKUP("As",A1:CV300,20,FALSE)/HLOOKUP("KP",A1:CV300,20,FALSE))</f>
      </c>
      <c r="AB20" t="n" s="1510">
        <v>32.5</v>
      </c>
      <c r="AC20" t="n" s="1511">
        <v>67.0</v>
      </c>
      <c r="AD20" t="n" s="1512">
        <v>0.0</v>
      </c>
      <c r="AE20" t="n" s="1513">
        <v>4.0</v>
      </c>
      <c r="AF20" t="n" s="1514">
        <v>2.0</v>
      </c>
      <c r="AG20" s="1515">
        <f>IF(HLOOKUP("BC",A1:CV300,20,FALSE)=0,0,HLOOKUP("Gs - BC",A1:CV300,20,FALSE)/HLOOKUP("BC",A1:CV300,20,FALSE))</f>
      </c>
      <c r="AH20" s="1516">
        <f>HLOOKUP("BC",A1:CV300,20,FALSE) - HLOOKUP("BC Miss",A1:CV300,20,FALSE)</f>
      </c>
      <c r="AI20" s="1517">
        <f>IF(HLOOKUP("Gs",A1:CV300,20,FALSE)=0,0,HLOOKUP("Gs - BC",A1:CV300,20,FALSE)/HLOOKUP("Gs",A1:CV300,20,FALSE))</f>
      </c>
      <c r="AJ20" t="n" s="1518">
        <v>2.0</v>
      </c>
      <c r="AK20" t="n" s="1519">
        <v>0.0</v>
      </c>
      <c r="AL20" s="1520">
        <f>HLOOKUP("BC",A1:CV300,20,FALSE) - (HLOOKUP("PK Gs",A1:CV300,20,FALSE) + HLOOKUP("PK Miss",A1:CV300,20,FALSE))</f>
      </c>
      <c r="AM20" s="1521">
        <f>HLOOKUP("BC Miss",A1:CV300,20,FALSE) - HLOOKUP("PK Miss",A1:CV300,20,FALSE)</f>
      </c>
      <c r="AN20" s="1522">
        <f>IF(HLOOKUP("BC - Open",A1:CV300,20,FALSE)=0,0,HLOOKUP("BC - Open Miss",A1:CV300,20,FALSE)/HLOOKUP("BC - Open",A1:CV300,20,FALSE))</f>
      </c>
      <c r="AO20" t="n" s="1523">
        <v>2.0</v>
      </c>
      <c r="AP20" s="1524">
        <f>IF(HLOOKUP("Gs",A1:CV300,20,FALSE)=0,0,HLOOKUP("GIB",A1:CV300,20,FALSE)/HLOOKUP("Gs",A1:CV300,20,FALSE))</f>
      </c>
      <c r="AQ20" t="n" s="1525">
        <v>0.0</v>
      </c>
      <c r="AR20" s="1526">
        <f>IF(HLOOKUP("Gs",A1:CV300,20,FALSE)=0,0,HLOOKUP("Gs - Open",A1:CV300,20,FALSE)/HLOOKUP("Gs",A1:CV300,20,FALSE))</f>
      </c>
      <c r="AS20" t="n" s="1527">
        <v>2.98</v>
      </c>
      <c r="AT20" t="n" s="1528">
        <v>0.36</v>
      </c>
      <c r="AU20" s="1529">
        <f>IF(HLOOKUP("Mins",A1:CV300,20,FALSE)=0,0,HLOOKUP("Pts",A1:CV300,20,FALSE)/HLOOKUP("Mins",A1:CV300,20,FALSE)* 90)</f>
      </c>
      <c r="AV20" s="1530">
        <f>IF(HLOOKUP("Apps",A1:CV300,20,FALSE)=0,0,HLOOKUP("Pts",A1:CV300,20,FALSE)/HLOOKUP("Apps",A1:CV300,20,FALSE)* 1)</f>
      </c>
      <c r="AW20" s="1531">
        <f>IF(HLOOKUP("Mins",A1:CV300,20,FALSE)=0,0,HLOOKUP("Gs",A1:CV300,20,FALSE)/HLOOKUP("Mins",A1:CV300,20,FALSE)* 90)</f>
      </c>
      <c r="AX20" s="1532">
        <f>IF(HLOOKUP("Mins",A1:CV300,20,FALSE)=0,0,HLOOKUP("Bonus",A1:CV300,20,FALSE)/HLOOKUP("Mins",A1:CV300,20,FALSE)* 90)</f>
      </c>
      <c r="AY20" s="1533">
        <f>IF(HLOOKUP("Mins",A1:CV300,20,FALSE)=0,0,HLOOKUP("BPS",A1:CV300,20,FALSE)/HLOOKUP("Mins",A1:CV300,20,FALSE)* 90)</f>
      </c>
      <c r="AZ20" s="1534">
        <f>IF(HLOOKUP("Mins",A1:CV300,20,FALSE)=0,0,HLOOKUP("Base BPS",A1:CV300,20,FALSE)/HLOOKUP("Mins",A1:CV300,20,FALSE)* 90)</f>
      </c>
      <c r="BA20" s="1535">
        <f>IF(HLOOKUP("Mins",A1:CV300,20,FALSE)=0,0,HLOOKUP("PenTchs",A1:CV300,20,FALSE)/HLOOKUP("Mins",A1:CV300,20,FALSE)* 90)</f>
      </c>
      <c r="BB20" s="1536">
        <f>IF(HLOOKUP("Mins",A1:CV300,20,FALSE)=0,0,HLOOKUP("Shots",A1:CV300,20,FALSE)/HLOOKUP("Mins",A1:CV300,20,FALSE)* 90)</f>
      </c>
      <c r="BC20" s="1537">
        <f>IF(HLOOKUP("Mins",A1:CV300,20,FALSE)=0,0,HLOOKUP("SIB",A1:CV300,20,FALSE)/HLOOKUP("Mins",A1:CV300,20,FALSE)* 90)</f>
      </c>
      <c r="BD20" s="1538">
        <f>IF(HLOOKUP("Mins",A1:CV300,20,FALSE)=0,0,HLOOKUP("S6YD",A1:CV300,20,FALSE)/HLOOKUP("Mins",A1:CV300,20,FALSE)* 90)</f>
      </c>
      <c r="BE20" s="1539">
        <f>IF(HLOOKUP("Mins",A1:CV300,20,FALSE)=0,0,HLOOKUP("Headers",A1:CV300,20,FALSE)/HLOOKUP("Mins",A1:CV300,20,FALSE)* 90)</f>
      </c>
      <c r="BF20" s="1540">
        <f>IF(HLOOKUP("Mins",A1:CV300,20,FALSE)=0,0,HLOOKUP("SOT",A1:CV300,20,FALSE)/HLOOKUP("Mins",A1:CV300,20,FALSE)* 90)</f>
      </c>
      <c r="BG20" s="1541">
        <f>IF(HLOOKUP("Mins",A1:CV300,20,FALSE)=0,0,HLOOKUP("As",A1:CV300,20,FALSE)/HLOOKUP("Mins",A1:CV300,20,FALSE)* 90)</f>
      </c>
      <c r="BH20" s="1542">
        <f>IF(HLOOKUP("Mins",A1:CV300,20,FALSE)=0,0,HLOOKUP("FPL As",A1:CV300,20,FALSE)/HLOOKUP("Mins",A1:CV300,20,FALSE)* 90)</f>
      </c>
      <c r="BI20" s="1543">
        <f>IF(HLOOKUP("Mins",A1:CV300,20,FALSE)=0,0,HLOOKUP("BC Created",A1:CV300,20,FALSE)/HLOOKUP("Mins",A1:CV300,20,FALSE)* 90)</f>
      </c>
      <c r="BJ20" s="1544">
        <f>IF(HLOOKUP("Mins",A1:CV300,20,FALSE)=0,0,HLOOKUP("KP",A1:CV300,20,FALSE)/HLOOKUP("Mins",A1:CV300,20,FALSE)* 90)</f>
      </c>
      <c r="BK20" s="1545">
        <f>IF(HLOOKUP("Mins",A1:CV300,20,FALSE)=0,0,HLOOKUP("BC",A1:CV300,20,FALSE)/HLOOKUP("Mins",A1:CV300,20,FALSE)* 90)</f>
      </c>
      <c r="BL20" s="1546">
        <f>IF(HLOOKUP("Mins",A1:CV300,20,FALSE)=0,0,HLOOKUP("BC Miss",A1:CV300,20,FALSE)/HLOOKUP("Mins",A1:CV300,20,FALSE)* 90)</f>
      </c>
      <c r="BM20" s="1547">
        <f>IF(HLOOKUP("Mins",A1:CV300,20,FALSE)=0,0,HLOOKUP("Gs - BC",A1:CV300,20,FALSE)/HLOOKUP("Mins",A1:CV300,20,FALSE)* 90)</f>
      </c>
      <c r="BN20" s="1548">
        <f>IF(HLOOKUP("Mins",A1:CV300,20,FALSE)=0,0,HLOOKUP("GIB",A1:CV300,20,FALSE)/HLOOKUP("Mins",A1:CV300,20,FALSE)* 90)</f>
      </c>
      <c r="BO20" s="1549">
        <f>IF(HLOOKUP("Mins",A1:CV300,20,FALSE)=0,0,HLOOKUP("Gs - Open",A1:CV300,20,FALSE)/HLOOKUP("Mins",A1:CV300,20,FALSE)* 90)</f>
      </c>
      <c r="BP20" s="1550">
        <f>IF(HLOOKUP("Mins",A1:CV300,20,FALSE)=0,0,HLOOKUP("ICT Index",A1:CV300,20,FALSE)/HLOOKUP("Mins",A1:CV300,20,FALSE)* 90)</f>
      </c>
      <c r="BQ20" s="1551">
        <f>IF(HLOOKUP("Mins",A1:CV300,20,FALSE)=0,0,(0.043*(HLOOKUP("Shots",A1:CV300,20,FALSE)-HLOOKUP("SIB",A1:CV300,20,FALSE))+0.162*(HLOOKUP("SIB",A1:CV300,20,FALSE)-(HLOOKUP("PK Gs",A1:CV300,20,FALSE)+HLOOKUP("PK Miss",A1:CV300,20,FALSE)))+0.75*(HLOOKUP("PK Gs",A1:CV300,20,FALSE)+HLOOKUP("PK Miss",A1:CV300,20,FALSE)))/HLOOKUP("Mins",A1:CV300,20,FALSE)*90)</f>
      </c>
      <c r="BR20" s="1552">
        <f>0.103*HLOOKUP("KP/90",A1:CV300,20,FALSE)</f>
      </c>
      <c r="BS20" s="1553">
        <f>4*HLOOKUP("xG/90",A1:CV300,20,FALSE)+3*HLOOKUP("xA/90",A1:CV300,20,FALSE)</f>
      </c>
      <c r="BT20" s="1554">
        <f>HLOOKUP("xPts/90",A1:CV300,20,FALSE)-(4*0.75*(HLOOKUP("PK Gs",A1:CV300,20,FALSE)+HLOOKUP("PK Miss",A1:CV300,20,FALSE))*90/HLOOKUP("Mins",A1:CV300,20,FALSE))</f>
      </c>
      <c r="BU20" s="1555">
        <f>IF(HLOOKUP("Mins",A1:CV300,20,FALSE)=0,0,HLOOKUP("fsXG",A1:CV300,20,FALSE)/HLOOKUP("Mins",A1:CV300,20,FALSE)* 90)</f>
      </c>
      <c r="BV20" s="1556">
        <f>IF(HLOOKUP("Mins",A1:CV300,20,FALSE)=0,0,HLOOKUP("fsXA",A1:CV300,20,FALSE)/HLOOKUP("Mins",A1:CV300,20,FALSE)* 90)</f>
      </c>
      <c r="BW20" s="1557">
        <f>4*HLOOKUP("fsXG/90",A1:CV300,20,FALSE)+3*HLOOKUP("fsXA/90",A1:CV300,20,FALSE)</f>
      </c>
      <c r="BX20" t="n" s="1558">
        <v>0.6055930256843567</v>
      </c>
      <c r="BY20" t="n" s="1559">
        <v>0.038449726998806</v>
      </c>
      <c r="BZ20" s="1560">
        <f>4*HLOOKUP("uXG/90",A1:CV300,20,FALSE)+3*HLOOKUP("uXA/90",A1:CV300,20,FALSE)</f>
      </c>
    </row>
    <row r="21">
      <c r="A21" t="s" s="1561">
        <v>111</v>
      </c>
      <c r="B21" t="s" s="1562">
        <v>87</v>
      </c>
      <c r="C21" t="n" s="1563">
        <v>5.5</v>
      </c>
      <c r="D21" t="n" s="1564">
        <v>7.0</v>
      </c>
      <c r="E21" t="n" s="1565">
        <v>1.0</v>
      </c>
      <c r="F21" t="n" s="1566">
        <v>1.0</v>
      </c>
      <c r="G21" t="n" s="1567">
        <v>0.0</v>
      </c>
      <c r="H21" t="n" s="1568">
        <v>0.0</v>
      </c>
      <c r="I21" t="n" s="1569">
        <v>2.0</v>
      </c>
      <c r="J21" s="1570">
        <f>HLOOKUP("BPS",A1:CV300,21,FALSE)-((-6*HLOOKUP("OG",A1:CV300,21,FALSE))+(-6*HLOOKUP("PK Miss",A1:CV300,21,FALSE))+(9*HLOOKUP("FPL As",A1:CV300,21,FALSE))+(0*HLOOKUP("CS",A1:CV300,21,FALSE))+(24*HLOOKUP("Gs",A1:CV300,21,FALSE)))</f>
      </c>
      <c r="K21" t="n" s="1571">
        <v>0.0</v>
      </c>
      <c r="L21" t="n" s="1572">
        <v>0.0</v>
      </c>
      <c r="M21" t="n" s="1573">
        <v>0.0</v>
      </c>
      <c r="N21" t="n" s="1574">
        <v>0.0</v>
      </c>
      <c r="O21" t="n" s="1575">
        <v>0.0</v>
      </c>
      <c r="P21" s="1576">
        <f>IF(HLOOKUP("Shots",A1:CV300,21,FALSE)=0,0,HLOOKUP("SIB",A1:CV300,21,FALSE)/HLOOKUP("Shots",A1:CV300,21,FALSE))</f>
      </c>
      <c r="Q21" t="n" s="1577">
        <v>0.0</v>
      </c>
      <c r="R21" s="1578">
        <f>IF(HLOOKUP("Shots",A1:CV300,21,FALSE)=0,0,HLOOKUP("S6YD",A1:CV300,21,FALSE)/HLOOKUP("Shots",A1:CV300,21,FALSE))</f>
      </c>
      <c r="S21" t="n" s="1579">
        <v>0.0</v>
      </c>
      <c r="T21" s="1580">
        <f>IF(HLOOKUP("Shots",A1:CV300,21,FALSE)=0,0,HLOOKUP("Headers",A1:CV300,21,FALSE)/HLOOKUP("Shots",A1:CV300,21,FALSE))</f>
      </c>
      <c r="U21" t="n" s="1581">
        <v>0.0</v>
      </c>
      <c r="V21" s="1582">
        <f>IF(HLOOKUP("Shots",A1:CV300,21,FALSE)=0,0,HLOOKUP("SOT",A1:CV300,21,FALSE)/HLOOKUP("Shots",A1:CV300,21,FALSE))</f>
      </c>
      <c r="W21" s="1583">
        <f>IF(HLOOKUP("Shots",A1:CV300,21,FALSE)=0,0,HLOOKUP("Gs",A1:CV300,21,FALSE)/HLOOKUP("Shots",A1:CV300,21,FALSE))</f>
      </c>
      <c r="X21" t="n" s="1584">
        <v>0.0</v>
      </c>
      <c r="Y21" t="n" s="1585">
        <v>0.0</v>
      </c>
      <c r="Z21" t="n" s="1586">
        <v>0.0</v>
      </c>
      <c r="AA21" s="1587">
        <f>IF(HLOOKUP("KP",A1:CV300,21,FALSE)=0,0,HLOOKUP("As",A1:CV300,21,FALSE)/HLOOKUP("KP",A1:CV300,21,FALSE))</f>
      </c>
      <c r="AB21" t="n" s="1588">
        <v>0.0</v>
      </c>
      <c r="AC21" t="n" s="1589">
        <v>0.0</v>
      </c>
      <c r="AD21" t="n" s="1590">
        <v>0.0</v>
      </c>
      <c r="AE21" t="n" s="1591">
        <v>0.0</v>
      </c>
      <c r="AF21" t="n" s="1592">
        <v>0.0</v>
      </c>
      <c r="AG21" s="1593">
        <f>IF(HLOOKUP("BC",A1:CV300,21,FALSE)=0,0,HLOOKUP("Gs - BC",A1:CV300,21,FALSE)/HLOOKUP("BC",A1:CV300,21,FALSE))</f>
      </c>
      <c r="AH21" s="1594">
        <f>HLOOKUP("BC",A1:CV300,21,FALSE) - HLOOKUP("BC Miss",A1:CV300,21,FALSE)</f>
      </c>
      <c r="AI21" s="1595">
        <f>IF(HLOOKUP("Gs",A1:CV300,21,FALSE)=0,0,HLOOKUP("Gs - BC",A1:CV300,21,FALSE)/HLOOKUP("Gs",A1:CV300,21,FALSE))</f>
      </c>
      <c r="AJ21" t="n" s="1596">
        <v>0.0</v>
      </c>
      <c r="AK21" t="n" s="1597">
        <v>0.0</v>
      </c>
      <c r="AL21" s="1598">
        <f>HLOOKUP("BC",A1:CV300,21,FALSE) - (HLOOKUP("PK Gs",A1:CV300,21,FALSE) + HLOOKUP("PK Miss",A1:CV300,21,FALSE))</f>
      </c>
      <c r="AM21" s="1599">
        <f>HLOOKUP("BC Miss",A1:CV300,21,FALSE) - HLOOKUP("PK Miss",A1:CV300,21,FALSE)</f>
      </c>
      <c r="AN21" s="1600">
        <f>IF(HLOOKUP("BC - Open",A1:CV300,21,FALSE)=0,0,HLOOKUP("BC - Open Miss",A1:CV300,21,FALSE)/HLOOKUP("BC - Open",A1:CV300,21,FALSE))</f>
      </c>
      <c r="AO21" t="n" s="1601">
        <v>0.0</v>
      </c>
      <c r="AP21" s="1602">
        <f>IF(HLOOKUP("Gs",A1:CV300,21,FALSE)=0,0,HLOOKUP("GIB",A1:CV300,21,FALSE)/HLOOKUP("Gs",A1:CV300,21,FALSE))</f>
      </c>
      <c r="AQ21" t="n" s="1603">
        <v>0.0</v>
      </c>
      <c r="AR21" s="1604">
        <f>IF(HLOOKUP("Gs",A1:CV300,21,FALSE)=0,0,HLOOKUP("Gs - Open",A1:CV300,21,FALSE)/HLOOKUP("Gs",A1:CV300,21,FALSE))</f>
      </c>
      <c r="AS21" t="n" s="1605">
        <v>0.0</v>
      </c>
      <c r="AT21" t="n" s="1606">
        <v>0.0</v>
      </c>
      <c r="AU21" s="1607">
        <f>IF(HLOOKUP("Mins",A1:CV300,21,FALSE)=0,0,HLOOKUP("Pts",A1:CV300,21,FALSE)/HLOOKUP("Mins",A1:CV300,21,FALSE)* 90)</f>
      </c>
      <c r="AV21" s="1608">
        <f>IF(HLOOKUP("Apps",A1:CV300,21,FALSE)=0,0,HLOOKUP("Pts",A1:CV300,21,FALSE)/HLOOKUP("Apps",A1:CV300,21,FALSE)* 1)</f>
      </c>
      <c r="AW21" s="1609">
        <f>IF(HLOOKUP("Mins",A1:CV300,21,FALSE)=0,0,HLOOKUP("Gs",A1:CV300,21,FALSE)/HLOOKUP("Mins",A1:CV300,21,FALSE)* 90)</f>
      </c>
      <c r="AX21" s="1610">
        <f>IF(HLOOKUP("Mins",A1:CV300,21,FALSE)=0,0,HLOOKUP("Bonus",A1:CV300,21,FALSE)/HLOOKUP("Mins",A1:CV300,21,FALSE)* 90)</f>
      </c>
      <c r="AY21" s="1611">
        <f>IF(HLOOKUP("Mins",A1:CV300,21,FALSE)=0,0,HLOOKUP("BPS",A1:CV300,21,FALSE)/HLOOKUP("Mins",A1:CV300,21,FALSE)* 90)</f>
      </c>
      <c r="AZ21" s="1612">
        <f>IF(HLOOKUP("Mins",A1:CV300,21,FALSE)=0,0,HLOOKUP("Base BPS",A1:CV300,21,FALSE)/HLOOKUP("Mins",A1:CV300,21,FALSE)* 90)</f>
      </c>
      <c r="BA21" s="1613">
        <f>IF(HLOOKUP("Mins",A1:CV300,21,FALSE)=0,0,HLOOKUP("PenTchs",A1:CV300,21,FALSE)/HLOOKUP("Mins",A1:CV300,21,FALSE)* 90)</f>
      </c>
      <c r="BB21" s="1614">
        <f>IF(HLOOKUP("Mins",A1:CV300,21,FALSE)=0,0,HLOOKUP("Shots",A1:CV300,21,FALSE)/HLOOKUP("Mins",A1:CV300,21,FALSE)* 90)</f>
      </c>
      <c r="BC21" s="1615">
        <f>IF(HLOOKUP("Mins",A1:CV300,21,FALSE)=0,0,HLOOKUP("SIB",A1:CV300,21,FALSE)/HLOOKUP("Mins",A1:CV300,21,FALSE)* 90)</f>
      </c>
      <c r="BD21" s="1616">
        <f>IF(HLOOKUP("Mins",A1:CV300,21,FALSE)=0,0,HLOOKUP("S6YD",A1:CV300,21,FALSE)/HLOOKUP("Mins",A1:CV300,21,FALSE)* 90)</f>
      </c>
      <c r="BE21" s="1617">
        <f>IF(HLOOKUP("Mins",A1:CV300,21,FALSE)=0,0,HLOOKUP("Headers",A1:CV300,21,FALSE)/HLOOKUP("Mins",A1:CV300,21,FALSE)* 90)</f>
      </c>
      <c r="BF21" s="1618">
        <f>IF(HLOOKUP("Mins",A1:CV300,21,FALSE)=0,0,HLOOKUP("SOT",A1:CV300,21,FALSE)/HLOOKUP("Mins",A1:CV300,21,FALSE)* 90)</f>
      </c>
      <c r="BG21" s="1619">
        <f>IF(HLOOKUP("Mins",A1:CV300,21,FALSE)=0,0,HLOOKUP("As",A1:CV300,21,FALSE)/HLOOKUP("Mins",A1:CV300,21,FALSE)* 90)</f>
      </c>
      <c r="BH21" s="1620">
        <f>IF(HLOOKUP("Mins",A1:CV300,21,FALSE)=0,0,HLOOKUP("FPL As",A1:CV300,21,FALSE)/HLOOKUP("Mins",A1:CV300,21,FALSE)* 90)</f>
      </c>
      <c r="BI21" s="1621">
        <f>IF(HLOOKUP("Mins",A1:CV300,21,FALSE)=0,0,HLOOKUP("BC Created",A1:CV300,21,FALSE)/HLOOKUP("Mins",A1:CV300,21,FALSE)* 90)</f>
      </c>
      <c r="BJ21" s="1622">
        <f>IF(HLOOKUP("Mins",A1:CV300,21,FALSE)=0,0,HLOOKUP("KP",A1:CV300,21,FALSE)/HLOOKUP("Mins",A1:CV300,21,FALSE)* 90)</f>
      </c>
      <c r="BK21" s="1623">
        <f>IF(HLOOKUP("Mins",A1:CV300,21,FALSE)=0,0,HLOOKUP("BC",A1:CV300,21,FALSE)/HLOOKUP("Mins",A1:CV300,21,FALSE)* 90)</f>
      </c>
      <c r="BL21" s="1624">
        <f>IF(HLOOKUP("Mins",A1:CV300,21,FALSE)=0,0,HLOOKUP("BC Miss",A1:CV300,21,FALSE)/HLOOKUP("Mins",A1:CV300,21,FALSE)* 90)</f>
      </c>
      <c r="BM21" s="1625">
        <f>IF(HLOOKUP("Mins",A1:CV300,21,FALSE)=0,0,HLOOKUP("Gs - BC",A1:CV300,21,FALSE)/HLOOKUP("Mins",A1:CV300,21,FALSE)* 90)</f>
      </c>
      <c r="BN21" s="1626">
        <f>IF(HLOOKUP("Mins",A1:CV300,21,FALSE)=0,0,HLOOKUP("GIB",A1:CV300,21,FALSE)/HLOOKUP("Mins",A1:CV300,21,FALSE)* 90)</f>
      </c>
      <c r="BO21" s="1627">
        <f>IF(HLOOKUP("Mins",A1:CV300,21,FALSE)=0,0,HLOOKUP("Gs - Open",A1:CV300,21,FALSE)/HLOOKUP("Mins",A1:CV300,21,FALSE)* 90)</f>
      </c>
      <c r="BP21" s="1628">
        <f>IF(HLOOKUP("Mins",A1:CV300,21,FALSE)=0,0,HLOOKUP("ICT Index",A1:CV300,21,FALSE)/HLOOKUP("Mins",A1:CV300,21,FALSE)* 90)</f>
      </c>
      <c r="BQ21" s="1629">
        <f>IF(HLOOKUP("Mins",A1:CV300,21,FALSE)=0,0,(0.043*(HLOOKUP("Shots",A1:CV300,21,FALSE)-HLOOKUP("SIB",A1:CV300,21,FALSE))+0.162*(HLOOKUP("SIB",A1:CV300,21,FALSE)-(HLOOKUP("PK Gs",A1:CV300,21,FALSE)+HLOOKUP("PK Miss",A1:CV300,21,FALSE)))+0.75*(HLOOKUP("PK Gs",A1:CV300,21,FALSE)+HLOOKUP("PK Miss",A1:CV300,21,FALSE)))/HLOOKUP("Mins",A1:CV300,21,FALSE)*90)</f>
      </c>
      <c r="BR21" s="1630">
        <f>0.103*HLOOKUP("KP/90",A1:CV300,21,FALSE)</f>
      </c>
      <c r="BS21" s="1631">
        <f>4*HLOOKUP("xG/90",A1:CV300,21,FALSE)+3*HLOOKUP("xA/90",A1:CV300,21,FALSE)</f>
      </c>
      <c r="BT21" s="1632">
        <f>HLOOKUP("xPts/90",A1:CV300,21,FALSE)-(4*0.75*(HLOOKUP("PK Gs",A1:CV300,21,FALSE)+HLOOKUP("PK Miss",A1:CV300,21,FALSE))*90/HLOOKUP("Mins",A1:CV300,21,FALSE))</f>
      </c>
      <c r="BU21" s="1633">
        <f>IF(HLOOKUP("Mins",A1:CV300,21,FALSE)=0,0,HLOOKUP("fsXG",A1:CV300,21,FALSE)/HLOOKUP("Mins",A1:CV300,21,FALSE)* 90)</f>
      </c>
      <c r="BV21" s="1634">
        <f>IF(HLOOKUP("Mins",A1:CV300,21,FALSE)=0,0,HLOOKUP("fsXA",A1:CV300,21,FALSE)/HLOOKUP("Mins",A1:CV300,21,FALSE)* 90)</f>
      </c>
      <c r="BW21" s="1635">
        <f>4*HLOOKUP("fsXG/90",A1:CV300,21,FALSE)+3*HLOOKUP("fsXA/90",A1:CV300,21,FALSE)</f>
      </c>
      <c r="BX21" t="n" s="1636">
        <v>0.0</v>
      </c>
      <c r="BY21" t="n" s="1637">
        <v>0.0</v>
      </c>
      <c r="BZ21" s="1638">
        <f>4*HLOOKUP("uXG/90",A1:CV300,21,FALSE)+3*HLOOKUP("uXA/90",A1:CV300,21,FALSE)</f>
      </c>
    </row>
    <row r="22">
      <c r="A22" t="s" s="1639">
        <v>112</v>
      </c>
      <c r="B22" t="s" s="1640">
        <v>90</v>
      </c>
      <c r="C22" t="n" s="1641">
        <v>5.300000190734863</v>
      </c>
      <c r="D22" t="n" s="1642">
        <v>15.0</v>
      </c>
      <c r="E22" t="n" s="1643">
        <v>3.0</v>
      </c>
      <c r="F22" t="n" s="1644">
        <v>15.0</v>
      </c>
      <c r="G22" t="n" s="1645">
        <v>0.0</v>
      </c>
      <c r="H22" t="n" s="1646">
        <v>0.0</v>
      </c>
      <c r="I22" t="n" s="1647">
        <v>44.0</v>
      </c>
      <c r="J22" s="1648">
        <f>HLOOKUP("BPS",A1:CV300,22,FALSE)-((-6*HLOOKUP("OG",A1:CV300,22,FALSE))+(-6*HLOOKUP("PK Miss",A1:CV300,22,FALSE))+(9*HLOOKUP("FPL As",A1:CV300,22,FALSE))+(0*HLOOKUP("CS",A1:CV300,22,FALSE))+(24*HLOOKUP("Gs",A1:CV300,22,FALSE)))</f>
      </c>
      <c r="K22" t="n" s="1649">
        <v>0.0</v>
      </c>
      <c r="L22" t="n" s="1650">
        <v>0.0</v>
      </c>
      <c r="M22" t="n" s="1651">
        <v>1.0</v>
      </c>
      <c r="N22" t="n" s="1652">
        <v>0.0</v>
      </c>
      <c r="O22" t="n" s="1653">
        <v>0.0</v>
      </c>
      <c r="P22" s="1654">
        <f>IF(HLOOKUP("Shots",A1:CV300,22,FALSE)=0,0,HLOOKUP("SIB",A1:CV300,22,FALSE)/HLOOKUP("Shots",A1:CV300,22,FALSE))</f>
      </c>
      <c r="Q22" t="n" s="1655">
        <v>0.0</v>
      </c>
      <c r="R22" s="1656">
        <f>IF(HLOOKUP("Shots",A1:CV300,22,FALSE)=0,0,HLOOKUP("S6YD",A1:CV300,22,FALSE)/HLOOKUP("Shots",A1:CV300,22,FALSE))</f>
      </c>
      <c r="S22" t="n" s="1657">
        <v>0.0</v>
      </c>
      <c r="T22" s="1658">
        <f>IF(HLOOKUP("Shots",A1:CV300,22,FALSE)=0,0,HLOOKUP("Headers",A1:CV300,22,FALSE)/HLOOKUP("Shots",A1:CV300,22,FALSE))</f>
      </c>
      <c r="U22" t="n" s="1659">
        <v>0.0</v>
      </c>
      <c r="V22" s="1660">
        <f>IF(HLOOKUP("Shots",A1:CV300,22,FALSE)=0,0,HLOOKUP("SOT",A1:CV300,22,FALSE)/HLOOKUP("Shots",A1:CV300,22,FALSE))</f>
      </c>
      <c r="W22" s="1661">
        <f>IF(HLOOKUP("Shots",A1:CV300,22,FALSE)=0,0,HLOOKUP("Gs",A1:CV300,22,FALSE)/HLOOKUP("Shots",A1:CV300,22,FALSE))</f>
      </c>
      <c r="X22" t="n" s="1662">
        <v>0.0</v>
      </c>
      <c r="Y22" t="n" s="1663">
        <v>0.0</v>
      </c>
      <c r="Z22" t="n" s="1664">
        <v>0.0</v>
      </c>
      <c r="AA22" s="1665">
        <f>IF(HLOOKUP("KP",A1:CV300,22,FALSE)=0,0,HLOOKUP("As",A1:CV300,22,FALSE)/HLOOKUP("KP",A1:CV300,22,FALSE))</f>
      </c>
      <c r="AB22" t="n" s="1666">
        <v>0.5</v>
      </c>
      <c r="AC22" t="n" s="1667">
        <v>0.0</v>
      </c>
      <c r="AD22" t="n" s="1668">
        <v>0.0</v>
      </c>
      <c r="AE22" t="n" s="1669">
        <v>0.0</v>
      </c>
      <c r="AF22" t="n" s="1670">
        <v>0.0</v>
      </c>
      <c r="AG22" s="1671">
        <f>IF(HLOOKUP("BC",A1:CV300,22,FALSE)=0,0,HLOOKUP("Gs - BC",A1:CV300,22,FALSE)/HLOOKUP("BC",A1:CV300,22,FALSE))</f>
      </c>
      <c r="AH22" s="1672">
        <f>HLOOKUP("BC",A1:CV300,22,FALSE) - HLOOKUP("BC Miss",A1:CV300,22,FALSE)</f>
      </c>
      <c r="AI22" s="1673">
        <f>IF(HLOOKUP("Gs",A1:CV300,22,FALSE)=0,0,HLOOKUP("Gs - BC",A1:CV300,22,FALSE)/HLOOKUP("Gs",A1:CV300,22,FALSE))</f>
      </c>
      <c r="AJ22" t="n" s="1674">
        <v>0.0</v>
      </c>
      <c r="AK22" t="n" s="1675">
        <v>0.0</v>
      </c>
      <c r="AL22" s="1676">
        <f>HLOOKUP("BC",A1:CV300,22,FALSE) - (HLOOKUP("PK Gs",A1:CV300,22,FALSE) + HLOOKUP("PK Miss",A1:CV300,22,FALSE))</f>
      </c>
      <c r="AM22" s="1677">
        <f>HLOOKUP("BC Miss",A1:CV300,22,FALSE) - HLOOKUP("PK Miss",A1:CV300,22,FALSE)</f>
      </c>
      <c r="AN22" s="1678">
        <f>IF(HLOOKUP("BC - Open",A1:CV300,22,FALSE)=0,0,HLOOKUP("BC - Open Miss",A1:CV300,22,FALSE)/HLOOKUP("BC - Open",A1:CV300,22,FALSE))</f>
      </c>
      <c r="AO22" t="n" s="1679">
        <v>0.0</v>
      </c>
      <c r="AP22" s="1680">
        <f>IF(HLOOKUP("Gs",A1:CV300,22,FALSE)=0,0,HLOOKUP("GIB",A1:CV300,22,FALSE)/HLOOKUP("Gs",A1:CV300,22,FALSE))</f>
      </c>
      <c r="AQ22" t="n" s="1681">
        <v>0.0</v>
      </c>
      <c r="AR22" s="1682">
        <f>IF(HLOOKUP("Gs",A1:CV300,22,FALSE)=0,0,HLOOKUP("Gs - Open",A1:CV300,22,FALSE)/HLOOKUP("Gs",A1:CV300,22,FALSE))</f>
      </c>
      <c r="AS22" t="n" s="1683">
        <v>0.0</v>
      </c>
      <c r="AT22" t="n" s="1684">
        <v>0.0</v>
      </c>
      <c r="AU22" s="1685">
        <f>IF(HLOOKUP("Mins",A1:CV300,22,FALSE)=0,0,HLOOKUP("Pts",A1:CV300,22,FALSE)/HLOOKUP("Mins",A1:CV300,22,FALSE)* 90)</f>
      </c>
      <c r="AV22" s="1686">
        <f>IF(HLOOKUP("Apps",A1:CV300,22,FALSE)=0,0,HLOOKUP("Pts",A1:CV300,22,FALSE)/HLOOKUP("Apps",A1:CV300,22,FALSE)* 1)</f>
      </c>
      <c r="AW22" s="1687">
        <f>IF(HLOOKUP("Mins",A1:CV300,22,FALSE)=0,0,HLOOKUP("Gs",A1:CV300,22,FALSE)/HLOOKUP("Mins",A1:CV300,22,FALSE)* 90)</f>
      </c>
      <c r="AX22" s="1688">
        <f>IF(HLOOKUP("Mins",A1:CV300,22,FALSE)=0,0,HLOOKUP("Bonus",A1:CV300,22,FALSE)/HLOOKUP("Mins",A1:CV300,22,FALSE)* 90)</f>
      </c>
      <c r="AY22" s="1689">
        <f>IF(HLOOKUP("Mins",A1:CV300,22,FALSE)=0,0,HLOOKUP("BPS",A1:CV300,22,FALSE)/HLOOKUP("Mins",A1:CV300,22,FALSE)* 90)</f>
      </c>
      <c r="AZ22" s="1690">
        <f>IF(HLOOKUP("Mins",A1:CV300,22,FALSE)=0,0,HLOOKUP("Base BPS",A1:CV300,22,FALSE)/HLOOKUP("Mins",A1:CV300,22,FALSE)* 90)</f>
      </c>
      <c r="BA22" s="1691">
        <f>IF(HLOOKUP("Mins",A1:CV300,22,FALSE)=0,0,HLOOKUP("PenTchs",A1:CV300,22,FALSE)/HLOOKUP("Mins",A1:CV300,22,FALSE)* 90)</f>
      </c>
      <c r="BB22" s="1692">
        <f>IF(HLOOKUP("Mins",A1:CV300,22,FALSE)=0,0,HLOOKUP("Shots",A1:CV300,22,FALSE)/HLOOKUP("Mins",A1:CV300,22,FALSE)* 90)</f>
      </c>
      <c r="BC22" s="1693">
        <f>IF(HLOOKUP("Mins",A1:CV300,22,FALSE)=0,0,HLOOKUP("SIB",A1:CV300,22,FALSE)/HLOOKUP("Mins",A1:CV300,22,FALSE)* 90)</f>
      </c>
      <c r="BD22" s="1694">
        <f>IF(HLOOKUP("Mins",A1:CV300,22,FALSE)=0,0,HLOOKUP("S6YD",A1:CV300,22,FALSE)/HLOOKUP("Mins",A1:CV300,22,FALSE)* 90)</f>
      </c>
      <c r="BE22" s="1695">
        <f>IF(HLOOKUP("Mins",A1:CV300,22,FALSE)=0,0,HLOOKUP("Headers",A1:CV300,22,FALSE)/HLOOKUP("Mins",A1:CV300,22,FALSE)* 90)</f>
      </c>
      <c r="BF22" s="1696">
        <f>IF(HLOOKUP("Mins",A1:CV300,22,FALSE)=0,0,HLOOKUP("SOT",A1:CV300,22,FALSE)/HLOOKUP("Mins",A1:CV300,22,FALSE)* 90)</f>
      </c>
      <c r="BG22" s="1697">
        <f>IF(HLOOKUP("Mins",A1:CV300,22,FALSE)=0,0,HLOOKUP("As",A1:CV300,22,FALSE)/HLOOKUP("Mins",A1:CV300,22,FALSE)* 90)</f>
      </c>
      <c r="BH22" s="1698">
        <f>IF(HLOOKUP("Mins",A1:CV300,22,FALSE)=0,0,HLOOKUP("FPL As",A1:CV300,22,FALSE)/HLOOKUP("Mins",A1:CV300,22,FALSE)* 90)</f>
      </c>
      <c r="BI22" s="1699">
        <f>IF(HLOOKUP("Mins",A1:CV300,22,FALSE)=0,0,HLOOKUP("BC Created",A1:CV300,22,FALSE)/HLOOKUP("Mins",A1:CV300,22,FALSE)* 90)</f>
      </c>
      <c r="BJ22" s="1700">
        <f>IF(HLOOKUP("Mins",A1:CV300,22,FALSE)=0,0,HLOOKUP("KP",A1:CV300,22,FALSE)/HLOOKUP("Mins",A1:CV300,22,FALSE)* 90)</f>
      </c>
      <c r="BK22" s="1701">
        <f>IF(HLOOKUP("Mins",A1:CV300,22,FALSE)=0,0,HLOOKUP("BC",A1:CV300,22,FALSE)/HLOOKUP("Mins",A1:CV300,22,FALSE)* 90)</f>
      </c>
      <c r="BL22" s="1702">
        <f>IF(HLOOKUP("Mins",A1:CV300,22,FALSE)=0,0,HLOOKUP("BC Miss",A1:CV300,22,FALSE)/HLOOKUP("Mins",A1:CV300,22,FALSE)* 90)</f>
      </c>
      <c r="BM22" s="1703">
        <f>IF(HLOOKUP("Mins",A1:CV300,22,FALSE)=0,0,HLOOKUP("Gs - BC",A1:CV300,22,FALSE)/HLOOKUP("Mins",A1:CV300,22,FALSE)* 90)</f>
      </c>
      <c r="BN22" s="1704">
        <f>IF(HLOOKUP("Mins",A1:CV300,22,FALSE)=0,0,HLOOKUP("GIB",A1:CV300,22,FALSE)/HLOOKUP("Mins",A1:CV300,22,FALSE)* 90)</f>
      </c>
      <c r="BO22" s="1705">
        <f>IF(HLOOKUP("Mins",A1:CV300,22,FALSE)=0,0,HLOOKUP("Gs - Open",A1:CV300,22,FALSE)/HLOOKUP("Mins",A1:CV300,22,FALSE)* 90)</f>
      </c>
      <c r="BP22" s="1706">
        <f>IF(HLOOKUP("Mins",A1:CV300,22,FALSE)=0,0,HLOOKUP("ICT Index",A1:CV300,22,FALSE)/HLOOKUP("Mins",A1:CV300,22,FALSE)* 90)</f>
      </c>
      <c r="BQ22" s="1707">
        <f>IF(HLOOKUP("Mins",A1:CV300,22,FALSE)=0,0,(0.043*(HLOOKUP("Shots",A1:CV300,22,FALSE)-HLOOKUP("SIB",A1:CV300,22,FALSE))+0.162*(HLOOKUP("SIB",A1:CV300,22,FALSE)-(HLOOKUP("PK Gs",A1:CV300,22,FALSE)+HLOOKUP("PK Miss",A1:CV300,22,FALSE)))+0.75*(HLOOKUP("PK Gs",A1:CV300,22,FALSE)+HLOOKUP("PK Miss",A1:CV300,22,FALSE)))/HLOOKUP("Mins",A1:CV300,22,FALSE)*90)</f>
      </c>
      <c r="BR22" s="1708">
        <f>0.103*HLOOKUP("KP/90",A1:CV300,22,FALSE)</f>
      </c>
      <c r="BS22" s="1709">
        <f>4*HLOOKUP("xG/90",A1:CV300,22,FALSE)+3*HLOOKUP("xA/90",A1:CV300,22,FALSE)</f>
      </c>
      <c r="BT22" s="1710">
        <f>HLOOKUP("xPts/90",A1:CV300,22,FALSE)-(4*0.75*(HLOOKUP("PK Gs",A1:CV300,22,FALSE)+HLOOKUP("PK Miss",A1:CV300,22,FALSE))*90/HLOOKUP("Mins",A1:CV300,22,FALSE))</f>
      </c>
      <c r="BU22" s="1711">
        <f>IF(HLOOKUP("Mins",A1:CV300,22,FALSE)=0,0,HLOOKUP("fsXG",A1:CV300,22,FALSE)/HLOOKUP("Mins",A1:CV300,22,FALSE)* 90)</f>
      </c>
      <c r="BV22" s="1712">
        <f>IF(HLOOKUP("Mins",A1:CV300,22,FALSE)=0,0,HLOOKUP("fsXA",A1:CV300,22,FALSE)/HLOOKUP("Mins",A1:CV300,22,FALSE)* 90)</f>
      </c>
      <c r="BW22" s="1713">
        <f>4*HLOOKUP("fsXG/90",A1:CV300,22,FALSE)+3*HLOOKUP("fsXA/90",A1:CV300,22,FALSE)</f>
      </c>
      <c r="BX22" t="n" s="1714">
        <v>0.0</v>
      </c>
      <c r="BY22" t="n" s="1715">
        <v>0.0</v>
      </c>
      <c r="BZ22" s="1716">
        <f>4*HLOOKUP("uXG/90",A1:CV300,22,FALSE)+3*HLOOKUP("uXA/90",A1:CV300,22,FALSE)</f>
      </c>
    </row>
    <row r="23">
      <c r="A23" t="s" s="1717">
        <v>113</v>
      </c>
      <c r="B23" t="s" s="1718">
        <v>114</v>
      </c>
      <c r="C23" t="n" s="1719">
        <v>6.900000095367432</v>
      </c>
      <c r="D23" t="n" s="1720">
        <v>540.0</v>
      </c>
      <c r="E23" t="n" s="1721">
        <v>6.0</v>
      </c>
      <c r="F23" t="n" s="1722">
        <v>85.0</v>
      </c>
      <c r="G23" t="n" s="1723">
        <v>1.0</v>
      </c>
      <c r="H23" t="n" s="1724">
        <v>8.0</v>
      </c>
      <c r="I23" t="n" s="1725">
        <v>270.0</v>
      </c>
      <c r="J23" s="1726">
        <f>HLOOKUP("BPS",A1:CV300,23,FALSE)-((-6*HLOOKUP("OG",A1:CV300,23,FALSE))+(-6*HLOOKUP("PK Miss",A1:CV300,23,FALSE))+(9*HLOOKUP("FPL As",A1:CV300,23,FALSE))+(0*HLOOKUP("CS",A1:CV300,23,FALSE))+(24*HLOOKUP("Gs",A1:CV300,23,FALSE)))</f>
      </c>
      <c r="K23" t="n" s="1727">
        <v>0.0</v>
      </c>
      <c r="L23" t="n" s="1728">
        <v>5.0</v>
      </c>
      <c r="M23" t="n" s="1729">
        <v>29.0</v>
      </c>
      <c r="N23" t="n" s="1730">
        <v>9.0</v>
      </c>
      <c r="O23" t="n" s="1731">
        <v>9.0</v>
      </c>
      <c r="P23" s="1732">
        <f>IF(HLOOKUP("Shots",A1:CV300,23,FALSE)=0,0,HLOOKUP("SIB",A1:CV300,23,FALSE)/HLOOKUP("Shots",A1:CV300,23,FALSE))</f>
      </c>
      <c r="Q23" t="n" s="1733">
        <v>0.0</v>
      </c>
      <c r="R23" s="1734">
        <f>IF(HLOOKUP("Shots",A1:CV300,23,FALSE)=0,0,HLOOKUP("S6YD",A1:CV300,23,FALSE)/HLOOKUP("Shots",A1:CV300,23,FALSE))</f>
      </c>
      <c r="S23" t="n" s="1735">
        <v>4.0</v>
      </c>
      <c r="T23" s="1736">
        <f>IF(HLOOKUP("Shots",A1:CV300,23,FALSE)=0,0,HLOOKUP("Headers",A1:CV300,23,FALSE)/HLOOKUP("Shots",A1:CV300,23,FALSE))</f>
      </c>
      <c r="U23" t="n" s="1737">
        <v>3.0</v>
      </c>
      <c r="V23" s="1738">
        <f>IF(HLOOKUP("Shots",A1:CV300,23,FALSE)=0,0,HLOOKUP("SOT",A1:CV300,23,FALSE)/HLOOKUP("Shots",A1:CV300,23,FALSE))</f>
      </c>
      <c r="W23" s="1739">
        <f>IF(HLOOKUP("Shots",A1:CV300,23,FALSE)=0,0,HLOOKUP("Gs",A1:CV300,23,FALSE)/HLOOKUP("Shots",A1:CV300,23,FALSE))</f>
      </c>
      <c r="X23" t="n" s="1740">
        <v>0.0</v>
      </c>
      <c r="Y23" t="n" s="1741">
        <v>3.0</v>
      </c>
      <c r="Z23" t="n" s="1742">
        <v>6.0</v>
      </c>
      <c r="AA23" s="1743">
        <f>IF(HLOOKUP("KP",A1:CV300,23,FALSE)=0,0,HLOOKUP("As",A1:CV300,23,FALSE)/HLOOKUP("KP",A1:CV300,23,FALSE))</f>
      </c>
      <c r="AB23" t="n" s="1744">
        <v>28.9</v>
      </c>
      <c r="AC23" t="n" s="1745">
        <v>22.0</v>
      </c>
      <c r="AD23" t="n" s="1746">
        <v>0.0</v>
      </c>
      <c r="AE23" t="n" s="1747">
        <v>3.0</v>
      </c>
      <c r="AF23" t="n" s="1748">
        <v>3.0</v>
      </c>
      <c r="AG23" s="1749">
        <f>IF(HLOOKUP("BC",A1:CV300,23,FALSE)=0,0,HLOOKUP("Gs - BC",A1:CV300,23,FALSE)/HLOOKUP("BC",A1:CV300,23,FALSE))</f>
      </c>
      <c r="AH23" s="1750">
        <f>HLOOKUP("BC",A1:CV300,23,FALSE) - HLOOKUP("BC Miss",A1:CV300,23,FALSE)</f>
      </c>
      <c r="AI23" s="1751">
        <f>IF(HLOOKUP("Gs",A1:CV300,23,FALSE)=0,0,HLOOKUP("Gs - BC",A1:CV300,23,FALSE)/HLOOKUP("Gs",A1:CV300,23,FALSE))</f>
      </c>
      <c r="AJ23" t="n" s="1752">
        <v>0.0</v>
      </c>
      <c r="AK23" t="n" s="1753">
        <v>0.0</v>
      </c>
      <c r="AL23" s="1754">
        <f>HLOOKUP("BC",A1:CV300,23,FALSE) - (HLOOKUP("PK Gs",A1:CV300,23,FALSE) + HLOOKUP("PK Miss",A1:CV300,23,FALSE))</f>
      </c>
      <c r="AM23" s="1755">
        <f>HLOOKUP("BC Miss",A1:CV300,23,FALSE) - HLOOKUP("PK Miss",A1:CV300,23,FALSE)</f>
      </c>
      <c r="AN23" s="1756">
        <f>IF(HLOOKUP("BC - Open",A1:CV300,23,FALSE)=0,0,HLOOKUP("BC - Open Miss",A1:CV300,23,FALSE)/HLOOKUP("BC - Open",A1:CV300,23,FALSE))</f>
      </c>
      <c r="AO23" t="n" s="1757">
        <v>1.0</v>
      </c>
      <c r="AP23" s="1758">
        <f>IF(HLOOKUP("Gs",A1:CV300,23,FALSE)=0,0,HLOOKUP("GIB",A1:CV300,23,FALSE)/HLOOKUP("Gs",A1:CV300,23,FALSE))</f>
      </c>
      <c r="AQ23" t="n" s="1759">
        <v>1.0</v>
      </c>
      <c r="AR23" s="1760">
        <f>IF(HLOOKUP("Gs",A1:CV300,23,FALSE)=0,0,HLOOKUP("Gs - Open",A1:CV300,23,FALSE)/HLOOKUP("Gs",A1:CV300,23,FALSE))</f>
      </c>
      <c r="AS23" t="n" s="1761">
        <v>1.12</v>
      </c>
      <c r="AT23" t="n" s="1762">
        <v>0.36</v>
      </c>
      <c r="AU23" s="1763">
        <f>IF(HLOOKUP("Mins",A1:CV300,23,FALSE)=0,0,HLOOKUP("Pts",A1:CV300,23,FALSE)/HLOOKUP("Mins",A1:CV300,23,FALSE)* 90)</f>
      </c>
      <c r="AV23" s="1764">
        <f>IF(HLOOKUP("Apps",A1:CV300,23,FALSE)=0,0,HLOOKUP("Pts",A1:CV300,23,FALSE)/HLOOKUP("Apps",A1:CV300,23,FALSE)* 1)</f>
      </c>
      <c r="AW23" s="1765">
        <f>IF(HLOOKUP("Mins",A1:CV300,23,FALSE)=0,0,HLOOKUP("Gs",A1:CV300,23,FALSE)/HLOOKUP("Mins",A1:CV300,23,FALSE)* 90)</f>
      </c>
      <c r="AX23" s="1766">
        <f>IF(HLOOKUP("Mins",A1:CV300,23,FALSE)=0,0,HLOOKUP("Bonus",A1:CV300,23,FALSE)/HLOOKUP("Mins",A1:CV300,23,FALSE)* 90)</f>
      </c>
      <c r="AY23" s="1767">
        <f>IF(HLOOKUP("Mins",A1:CV300,23,FALSE)=0,0,HLOOKUP("BPS",A1:CV300,23,FALSE)/HLOOKUP("Mins",A1:CV300,23,FALSE)* 90)</f>
      </c>
      <c r="AZ23" s="1768">
        <f>IF(HLOOKUP("Mins",A1:CV300,23,FALSE)=0,0,HLOOKUP("Base BPS",A1:CV300,23,FALSE)/HLOOKUP("Mins",A1:CV300,23,FALSE)* 90)</f>
      </c>
      <c r="BA23" s="1769">
        <f>IF(HLOOKUP("Mins",A1:CV300,23,FALSE)=0,0,HLOOKUP("PenTchs",A1:CV300,23,FALSE)/HLOOKUP("Mins",A1:CV300,23,FALSE)* 90)</f>
      </c>
      <c r="BB23" s="1770">
        <f>IF(HLOOKUP("Mins",A1:CV300,23,FALSE)=0,0,HLOOKUP("Shots",A1:CV300,23,FALSE)/HLOOKUP("Mins",A1:CV300,23,FALSE)* 90)</f>
      </c>
      <c r="BC23" s="1771">
        <f>IF(HLOOKUP("Mins",A1:CV300,23,FALSE)=0,0,HLOOKUP("SIB",A1:CV300,23,FALSE)/HLOOKUP("Mins",A1:CV300,23,FALSE)* 90)</f>
      </c>
      <c r="BD23" s="1772">
        <f>IF(HLOOKUP("Mins",A1:CV300,23,FALSE)=0,0,HLOOKUP("S6YD",A1:CV300,23,FALSE)/HLOOKUP("Mins",A1:CV300,23,FALSE)* 90)</f>
      </c>
      <c r="BE23" s="1773">
        <f>IF(HLOOKUP("Mins",A1:CV300,23,FALSE)=0,0,HLOOKUP("Headers",A1:CV300,23,FALSE)/HLOOKUP("Mins",A1:CV300,23,FALSE)* 90)</f>
      </c>
      <c r="BF23" s="1774">
        <f>IF(HLOOKUP("Mins",A1:CV300,23,FALSE)=0,0,HLOOKUP("SOT",A1:CV300,23,FALSE)/HLOOKUP("Mins",A1:CV300,23,FALSE)* 90)</f>
      </c>
      <c r="BG23" s="1775">
        <f>IF(HLOOKUP("Mins",A1:CV300,23,FALSE)=0,0,HLOOKUP("As",A1:CV300,23,FALSE)/HLOOKUP("Mins",A1:CV300,23,FALSE)* 90)</f>
      </c>
      <c r="BH23" s="1776">
        <f>IF(HLOOKUP("Mins",A1:CV300,23,FALSE)=0,0,HLOOKUP("FPL As",A1:CV300,23,FALSE)/HLOOKUP("Mins",A1:CV300,23,FALSE)* 90)</f>
      </c>
      <c r="BI23" s="1777">
        <f>IF(HLOOKUP("Mins",A1:CV300,23,FALSE)=0,0,HLOOKUP("BC Created",A1:CV300,23,FALSE)/HLOOKUP("Mins",A1:CV300,23,FALSE)* 90)</f>
      </c>
      <c r="BJ23" s="1778">
        <f>IF(HLOOKUP("Mins",A1:CV300,23,FALSE)=0,0,HLOOKUP("KP",A1:CV300,23,FALSE)/HLOOKUP("Mins",A1:CV300,23,FALSE)* 90)</f>
      </c>
      <c r="BK23" s="1779">
        <f>IF(HLOOKUP("Mins",A1:CV300,23,FALSE)=0,0,HLOOKUP("BC",A1:CV300,23,FALSE)/HLOOKUP("Mins",A1:CV300,23,FALSE)* 90)</f>
      </c>
      <c r="BL23" s="1780">
        <f>IF(HLOOKUP("Mins",A1:CV300,23,FALSE)=0,0,HLOOKUP("BC Miss",A1:CV300,23,FALSE)/HLOOKUP("Mins",A1:CV300,23,FALSE)* 90)</f>
      </c>
      <c r="BM23" s="1781">
        <f>IF(HLOOKUP("Mins",A1:CV300,23,FALSE)=0,0,HLOOKUP("Gs - BC",A1:CV300,23,FALSE)/HLOOKUP("Mins",A1:CV300,23,FALSE)* 90)</f>
      </c>
      <c r="BN23" s="1782">
        <f>IF(HLOOKUP("Mins",A1:CV300,23,FALSE)=0,0,HLOOKUP("GIB",A1:CV300,23,FALSE)/HLOOKUP("Mins",A1:CV300,23,FALSE)* 90)</f>
      </c>
      <c r="BO23" s="1783">
        <f>IF(HLOOKUP("Mins",A1:CV300,23,FALSE)=0,0,HLOOKUP("Gs - Open",A1:CV300,23,FALSE)/HLOOKUP("Mins",A1:CV300,23,FALSE)* 90)</f>
      </c>
      <c r="BP23" s="1784">
        <f>IF(HLOOKUP("Mins",A1:CV300,23,FALSE)=0,0,HLOOKUP("ICT Index",A1:CV300,23,FALSE)/HLOOKUP("Mins",A1:CV300,23,FALSE)* 90)</f>
      </c>
      <c r="BQ23" s="1785">
        <f>IF(HLOOKUP("Mins",A1:CV300,23,FALSE)=0,0,(0.043*(HLOOKUP("Shots",A1:CV300,23,FALSE)-HLOOKUP("SIB",A1:CV300,23,FALSE))+0.162*(HLOOKUP("SIB",A1:CV300,23,FALSE)-(HLOOKUP("PK Gs",A1:CV300,23,FALSE)+HLOOKUP("PK Miss",A1:CV300,23,FALSE)))+0.75*(HLOOKUP("PK Gs",A1:CV300,23,FALSE)+HLOOKUP("PK Miss",A1:CV300,23,FALSE)))/HLOOKUP("Mins",A1:CV300,23,FALSE)*90)</f>
      </c>
      <c r="BR23" s="1786">
        <f>0.103*HLOOKUP("KP/90",A1:CV300,23,FALSE)</f>
      </c>
      <c r="BS23" s="1787">
        <f>4*HLOOKUP("xG/90",A1:CV300,23,FALSE)+3*HLOOKUP("xA/90",A1:CV300,23,FALSE)</f>
      </c>
      <c r="BT23" s="1788">
        <f>HLOOKUP("xPts/90",A1:CV300,23,FALSE)-(4*0.75*(HLOOKUP("PK Gs",A1:CV300,23,FALSE)+HLOOKUP("PK Miss",A1:CV300,23,FALSE))*90/HLOOKUP("Mins",A1:CV300,23,FALSE))</f>
      </c>
      <c r="BU23" s="1789">
        <f>IF(HLOOKUP("Mins",A1:CV300,23,FALSE)=0,0,HLOOKUP("fsXG",A1:CV300,23,FALSE)/HLOOKUP("Mins",A1:CV300,23,FALSE)* 90)</f>
      </c>
      <c r="BV23" s="1790">
        <f>IF(HLOOKUP("Mins",A1:CV300,23,FALSE)=0,0,HLOOKUP("fsXA",A1:CV300,23,FALSE)/HLOOKUP("Mins",A1:CV300,23,FALSE)* 90)</f>
      </c>
      <c r="BW23" s="1791">
        <f>4*HLOOKUP("fsXG/90",A1:CV300,23,FALSE)+3*HLOOKUP("fsXA/90",A1:CV300,23,FALSE)</f>
      </c>
      <c r="BX23" t="n" s="1792">
        <v>0.21845854818820953</v>
      </c>
      <c r="BY23" t="n" s="1793">
        <v>0.07277588546276093</v>
      </c>
      <c r="BZ23" s="1794">
        <f>4*HLOOKUP("uXG/90",A1:CV300,23,FALSE)+3*HLOOKUP("uXA/90",A1:CV300,23,FALSE)</f>
      </c>
    </row>
    <row r="24">
      <c r="A24" t="s" s="1795">
        <v>115</v>
      </c>
      <c r="B24" t="s" s="1796">
        <v>116</v>
      </c>
      <c r="C24" t="n" s="1797">
        <v>5.800000190734863</v>
      </c>
      <c r="D24" t="n" s="1798">
        <v>37.0</v>
      </c>
      <c r="E24" t="n" s="1799">
        <v>2.0</v>
      </c>
      <c r="F24" t="n" s="1800">
        <v>9.0</v>
      </c>
      <c r="G24" t="n" s="1801">
        <v>0.0</v>
      </c>
      <c r="H24" t="n" s="1802">
        <v>0.0</v>
      </c>
      <c r="I24" t="n" s="1803">
        <v>20.0</v>
      </c>
      <c r="J24" s="1804">
        <f>HLOOKUP("BPS",A1:CV300,24,FALSE)-((-6*HLOOKUP("OG",A1:CV300,24,FALSE))+(-6*HLOOKUP("PK Miss",A1:CV300,24,FALSE))+(9*HLOOKUP("FPL As",A1:CV300,24,FALSE))+(0*HLOOKUP("CS",A1:CV300,24,FALSE))+(24*HLOOKUP("Gs",A1:CV300,24,FALSE)))</f>
      </c>
      <c r="K24" t="n" s="1805">
        <v>0.0</v>
      </c>
      <c r="L24" t="n" s="1806">
        <v>1.0</v>
      </c>
      <c r="M24" t="n" s="1807">
        <v>0.0</v>
      </c>
      <c r="N24" t="n" s="1808">
        <v>0.0</v>
      </c>
      <c r="O24" t="n" s="1809">
        <v>0.0</v>
      </c>
      <c r="P24" s="1810">
        <f>IF(HLOOKUP("Shots",A1:CV300,24,FALSE)=0,0,HLOOKUP("SIB",A1:CV300,24,FALSE)/HLOOKUP("Shots",A1:CV300,24,FALSE))</f>
      </c>
      <c r="Q24" t="n" s="1811">
        <v>0.0</v>
      </c>
      <c r="R24" s="1812">
        <f>IF(HLOOKUP("Shots",A1:CV300,24,FALSE)=0,0,HLOOKUP("S6YD",A1:CV300,24,FALSE)/HLOOKUP("Shots",A1:CV300,24,FALSE))</f>
      </c>
      <c r="S24" t="n" s="1813">
        <v>0.0</v>
      </c>
      <c r="T24" s="1814">
        <f>IF(HLOOKUP("Shots",A1:CV300,24,FALSE)=0,0,HLOOKUP("Headers",A1:CV300,24,FALSE)/HLOOKUP("Shots",A1:CV300,24,FALSE))</f>
      </c>
      <c r="U24" t="n" s="1815">
        <v>0.0</v>
      </c>
      <c r="V24" s="1816">
        <f>IF(HLOOKUP("Shots",A1:CV300,24,FALSE)=0,0,HLOOKUP("SOT",A1:CV300,24,FALSE)/HLOOKUP("Shots",A1:CV300,24,FALSE))</f>
      </c>
      <c r="W24" s="1817">
        <f>IF(HLOOKUP("Shots",A1:CV300,24,FALSE)=0,0,HLOOKUP("Gs",A1:CV300,24,FALSE)/HLOOKUP("Shots",A1:CV300,24,FALSE))</f>
      </c>
      <c r="X24" t="n" s="1818">
        <v>0.0</v>
      </c>
      <c r="Y24" t="n" s="1819">
        <v>0.0</v>
      </c>
      <c r="Z24" t="n" s="1820">
        <v>0.0</v>
      </c>
      <c r="AA24" s="1821">
        <f>IF(HLOOKUP("KP",A1:CV300,24,FALSE)=0,0,HLOOKUP("As",A1:CV300,24,FALSE)/HLOOKUP("KP",A1:CV300,24,FALSE))</f>
      </c>
      <c r="AB24" t="n" s="1822">
        <v>0.4</v>
      </c>
      <c r="AC24" t="n" s="1823">
        <v>0.0</v>
      </c>
      <c r="AD24" t="n" s="1824">
        <v>0.0</v>
      </c>
      <c r="AE24" t="n" s="1825">
        <v>0.0</v>
      </c>
      <c r="AF24" t="n" s="1826">
        <v>0.0</v>
      </c>
      <c r="AG24" s="1827">
        <f>IF(HLOOKUP("BC",A1:CV300,24,FALSE)=0,0,HLOOKUP("Gs - BC",A1:CV300,24,FALSE)/HLOOKUP("BC",A1:CV300,24,FALSE))</f>
      </c>
      <c r="AH24" s="1828">
        <f>HLOOKUP("BC",A1:CV300,24,FALSE) - HLOOKUP("BC Miss",A1:CV300,24,FALSE)</f>
      </c>
      <c r="AI24" s="1829">
        <f>IF(HLOOKUP("Gs",A1:CV300,24,FALSE)=0,0,HLOOKUP("Gs - BC",A1:CV300,24,FALSE)/HLOOKUP("Gs",A1:CV300,24,FALSE))</f>
      </c>
      <c r="AJ24" t="n" s="1830">
        <v>0.0</v>
      </c>
      <c r="AK24" t="n" s="1831">
        <v>0.0</v>
      </c>
      <c r="AL24" s="1832">
        <f>HLOOKUP("BC",A1:CV300,24,FALSE) - (HLOOKUP("PK Gs",A1:CV300,24,FALSE) + HLOOKUP("PK Miss",A1:CV300,24,FALSE))</f>
      </c>
      <c r="AM24" s="1833">
        <f>HLOOKUP("BC Miss",A1:CV300,24,FALSE) - HLOOKUP("PK Miss",A1:CV300,24,FALSE)</f>
      </c>
      <c r="AN24" s="1834">
        <f>IF(HLOOKUP("BC - Open",A1:CV300,24,FALSE)=0,0,HLOOKUP("BC - Open Miss",A1:CV300,24,FALSE)/HLOOKUP("BC - Open",A1:CV300,24,FALSE))</f>
      </c>
      <c r="AO24" t="n" s="1835">
        <v>0.0</v>
      </c>
      <c r="AP24" s="1836">
        <f>IF(HLOOKUP("Gs",A1:CV300,24,FALSE)=0,0,HLOOKUP("GIB",A1:CV300,24,FALSE)/HLOOKUP("Gs",A1:CV300,24,FALSE))</f>
      </c>
      <c r="AQ24" t="n" s="1837">
        <v>0.0</v>
      </c>
      <c r="AR24" s="1838">
        <f>IF(HLOOKUP("Gs",A1:CV300,24,FALSE)=0,0,HLOOKUP("Gs - Open",A1:CV300,24,FALSE)/HLOOKUP("Gs",A1:CV300,24,FALSE))</f>
      </c>
      <c r="AS24" t="n" s="1839">
        <v>0.0</v>
      </c>
      <c r="AT24" t="n" s="1840">
        <v>0.0</v>
      </c>
      <c r="AU24" s="1841">
        <f>IF(HLOOKUP("Mins",A1:CV300,24,FALSE)=0,0,HLOOKUP("Pts",A1:CV300,24,FALSE)/HLOOKUP("Mins",A1:CV300,24,FALSE)* 90)</f>
      </c>
      <c r="AV24" s="1842">
        <f>IF(HLOOKUP("Apps",A1:CV300,24,FALSE)=0,0,HLOOKUP("Pts",A1:CV300,24,FALSE)/HLOOKUP("Apps",A1:CV300,24,FALSE)* 1)</f>
      </c>
      <c r="AW24" s="1843">
        <f>IF(HLOOKUP("Mins",A1:CV300,24,FALSE)=0,0,HLOOKUP("Gs",A1:CV300,24,FALSE)/HLOOKUP("Mins",A1:CV300,24,FALSE)* 90)</f>
      </c>
      <c r="AX24" s="1844">
        <f>IF(HLOOKUP("Mins",A1:CV300,24,FALSE)=0,0,HLOOKUP("Bonus",A1:CV300,24,FALSE)/HLOOKUP("Mins",A1:CV300,24,FALSE)* 90)</f>
      </c>
      <c r="AY24" s="1845">
        <f>IF(HLOOKUP("Mins",A1:CV300,24,FALSE)=0,0,HLOOKUP("BPS",A1:CV300,24,FALSE)/HLOOKUP("Mins",A1:CV300,24,FALSE)* 90)</f>
      </c>
      <c r="AZ24" s="1846">
        <f>IF(HLOOKUP("Mins",A1:CV300,24,FALSE)=0,0,HLOOKUP("Base BPS",A1:CV300,24,FALSE)/HLOOKUP("Mins",A1:CV300,24,FALSE)* 90)</f>
      </c>
      <c r="BA24" s="1847">
        <f>IF(HLOOKUP("Mins",A1:CV300,24,FALSE)=0,0,HLOOKUP("PenTchs",A1:CV300,24,FALSE)/HLOOKUP("Mins",A1:CV300,24,FALSE)* 90)</f>
      </c>
      <c r="BB24" s="1848">
        <f>IF(HLOOKUP("Mins",A1:CV300,24,FALSE)=0,0,HLOOKUP("Shots",A1:CV300,24,FALSE)/HLOOKUP("Mins",A1:CV300,24,FALSE)* 90)</f>
      </c>
      <c r="BC24" s="1849">
        <f>IF(HLOOKUP("Mins",A1:CV300,24,FALSE)=0,0,HLOOKUP("SIB",A1:CV300,24,FALSE)/HLOOKUP("Mins",A1:CV300,24,FALSE)* 90)</f>
      </c>
      <c r="BD24" s="1850">
        <f>IF(HLOOKUP("Mins",A1:CV300,24,FALSE)=0,0,HLOOKUP("S6YD",A1:CV300,24,FALSE)/HLOOKUP("Mins",A1:CV300,24,FALSE)* 90)</f>
      </c>
      <c r="BE24" s="1851">
        <f>IF(HLOOKUP("Mins",A1:CV300,24,FALSE)=0,0,HLOOKUP("Headers",A1:CV300,24,FALSE)/HLOOKUP("Mins",A1:CV300,24,FALSE)* 90)</f>
      </c>
      <c r="BF24" s="1852">
        <f>IF(HLOOKUP("Mins",A1:CV300,24,FALSE)=0,0,HLOOKUP("SOT",A1:CV300,24,FALSE)/HLOOKUP("Mins",A1:CV300,24,FALSE)* 90)</f>
      </c>
      <c r="BG24" s="1853">
        <f>IF(HLOOKUP("Mins",A1:CV300,24,FALSE)=0,0,HLOOKUP("As",A1:CV300,24,FALSE)/HLOOKUP("Mins",A1:CV300,24,FALSE)* 90)</f>
      </c>
      <c r="BH24" s="1854">
        <f>IF(HLOOKUP("Mins",A1:CV300,24,FALSE)=0,0,HLOOKUP("FPL As",A1:CV300,24,FALSE)/HLOOKUP("Mins",A1:CV300,24,FALSE)* 90)</f>
      </c>
      <c r="BI24" s="1855">
        <f>IF(HLOOKUP("Mins",A1:CV300,24,FALSE)=0,0,HLOOKUP("BC Created",A1:CV300,24,FALSE)/HLOOKUP("Mins",A1:CV300,24,FALSE)* 90)</f>
      </c>
      <c r="BJ24" s="1856">
        <f>IF(HLOOKUP("Mins",A1:CV300,24,FALSE)=0,0,HLOOKUP("KP",A1:CV300,24,FALSE)/HLOOKUP("Mins",A1:CV300,24,FALSE)* 90)</f>
      </c>
      <c r="BK24" s="1857">
        <f>IF(HLOOKUP("Mins",A1:CV300,24,FALSE)=0,0,HLOOKUP("BC",A1:CV300,24,FALSE)/HLOOKUP("Mins",A1:CV300,24,FALSE)* 90)</f>
      </c>
      <c r="BL24" s="1858">
        <f>IF(HLOOKUP("Mins",A1:CV300,24,FALSE)=0,0,HLOOKUP("BC Miss",A1:CV300,24,FALSE)/HLOOKUP("Mins",A1:CV300,24,FALSE)* 90)</f>
      </c>
      <c r="BM24" s="1859">
        <f>IF(HLOOKUP("Mins",A1:CV300,24,FALSE)=0,0,HLOOKUP("Gs - BC",A1:CV300,24,FALSE)/HLOOKUP("Mins",A1:CV300,24,FALSE)* 90)</f>
      </c>
      <c r="BN24" s="1860">
        <f>IF(HLOOKUP("Mins",A1:CV300,24,FALSE)=0,0,HLOOKUP("GIB",A1:CV300,24,FALSE)/HLOOKUP("Mins",A1:CV300,24,FALSE)* 90)</f>
      </c>
      <c r="BO24" s="1861">
        <f>IF(HLOOKUP("Mins",A1:CV300,24,FALSE)=0,0,HLOOKUP("Gs - Open",A1:CV300,24,FALSE)/HLOOKUP("Mins",A1:CV300,24,FALSE)* 90)</f>
      </c>
      <c r="BP24" s="1862">
        <f>IF(HLOOKUP("Mins",A1:CV300,24,FALSE)=0,0,HLOOKUP("ICT Index",A1:CV300,24,FALSE)/HLOOKUP("Mins",A1:CV300,24,FALSE)* 90)</f>
      </c>
      <c r="BQ24" s="1863">
        <f>IF(HLOOKUP("Mins",A1:CV300,24,FALSE)=0,0,(0.043*(HLOOKUP("Shots",A1:CV300,24,FALSE)-HLOOKUP("SIB",A1:CV300,24,FALSE))+0.162*(HLOOKUP("SIB",A1:CV300,24,FALSE)-(HLOOKUP("PK Gs",A1:CV300,24,FALSE)+HLOOKUP("PK Miss",A1:CV300,24,FALSE)))+0.75*(HLOOKUP("PK Gs",A1:CV300,24,FALSE)+HLOOKUP("PK Miss",A1:CV300,24,FALSE)))/HLOOKUP("Mins",A1:CV300,24,FALSE)*90)</f>
      </c>
      <c r="BR24" s="1864">
        <f>0.103*HLOOKUP("KP/90",A1:CV300,24,FALSE)</f>
      </c>
      <c r="BS24" s="1865">
        <f>4*HLOOKUP("xG/90",A1:CV300,24,FALSE)+3*HLOOKUP("xA/90",A1:CV300,24,FALSE)</f>
      </c>
      <c r="BT24" s="1866">
        <f>HLOOKUP("xPts/90",A1:CV300,24,FALSE)-(4*0.75*(HLOOKUP("PK Gs",A1:CV300,24,FALSE)+HLOOKUP("PK Miss",A1:CV300,24,FALSE))*90/HLOOKUP("Mins",A1:CV300,24,FALSE))</f>
      </c>
      <c r="BU24" s="1867">
        <f>IF(HLOOKUP("Mins",A1:CV300,24,FALSE)=0,0,HLOOKUP("fsXG",A1:CV300,24,FALSE)/HLOOKUP("Mins",A1:CV300,24,FALSE)* 90)</f>
      </c>
      <c r="BV24" s="1868">
        <f>IF(HLOOKUP("Mins",A1:CV300,24,FALSE)=0,0,HLOOKUP("fsXA",A1:CV300,24,FALSE)/HLOOKUP("Mins",A1:CV300,24,FALSE)* 90)</f>
      </c>
      <c r="BW24" s="1869">
        <f>4*HLOOKUP("fsXG/90",A1:CV300,24,FALSE)+3*HLOOKUP("fsXA/90",A1:CV300,24,FALSE)</f>
      </c>
      <c r="BX24" t="n" s="1870">
        <v>0.0</v>
      </c>
      <c r="BY24" t="n" s="1871">
        <v>0.0</v>
      </c>
      <c r="BZ24" s="1872">
        <f>4*HLOOKUP("uXG/90",A1:CV300,24,FALSE)+3*HLOOKUP("uXA/90",A1:CV300,24,FALSE)</f>
      </c>
    </row>
    <row r="25">
      <c r="A25" t="s" s="1873">
        <v>117</v>
      </c>
      <c r="B25" t="s" s="1874">
        <v>118</v>
      </c>
      <c r="C25" t="n" s="1875">
        <v>6.400000095367432</v>
      </c>
      <c r="D25" t="n" s="1876">
        <v>194.0</v>
      </c>
      <c r="E25" t="n" s="1877">
        <v>4.0</v>
      </c>
      <c r="F25" t="n" s="1878">
        <v>37.0</v>
      </c>
      <c r="G25" t="n" s="1879">
        <v>1.0</v>
      </c>
      <c r="H25" t="n" s="1880">
        <v>3.0</v>
      </c>
      <c r="I25" t="n" s="1881">
        <v>88.0</v>
      </c>
      <c r="J25" s="1882">
        <f>HLOOKUP("BPS",A1:CV300,25,FALSE)-((-6*HLOOKUP("OG",A1:CV300,25,FALSE))+(-6*HLOOKUP("PK Miss",A1:CV300,25,FALSE))+(9*HLOOKUP("FPL As",A1:CV300,25,FALSE))+(0*HLOOKUP("CS",A1:CV300,25,FALSE))+(24*HLOOKUP("Gs",A1:CV300,25,FALSE)))</f>
      </c>
      <c r="K25" t="n" s="1883">
        <v>0.0</v>
      </c>
      <c r="L25" t="n" s="1884">
        <v>1.0</v>
      </c>
      <c r="M25" t="n" s="1885">
        <v>8.0</v>
      </c>
      <c r="N25" t="n" s="1886">
        <v>5.0</v>
      </c>
      <c r="O25" t="n" s="1887">
        <v>4.0</v>
      </c>
      <c r="P25" s="1888">
        <f>IF(HLOOKUP("Shots",A1:CV300,25,FALSE)=0,0,HLOOKUP("SIB",A1:CV300,25,FALSE)/HLOOKUP("Shots",A1:CV300,25,FALSE))</f>
      </c>
      <c r="Q25" t="n" s="1889">
        <v>0.0</v>
      </c>
      <c r="R25" s="1890">
        <f>IF(HLOOKUP("Shots",A1:CV300,25,FALSE)=0,0,HLOOKUP("S6YD",A1:CV300,25,FALSE)/HLOOKUP("Shots",A1:CV300,25,FALSE))</f>
      </c>
      <c r="S25" t="n" s="1891">
        <v>1.0</v>
      </c>
      <c r="T25" s="1892">
        <f>IF(HLOOKUP("Shots",A1:CV300,25,FALSE)=0,0,HLOOKUP("Headers",A1:CV300,25,FALSE)/HLOOKUP("Shots",A1:CV300,25,FALSE))</f>
      </c>
      <c r="U25" t="n" s="1893">
        <v>3.0</v>
      </c>
      <c r="V25" s="1894">
        <f>IF(HLOOKUP("Shots",A1:CV300,25,FALSE)=0,0,HLOOKUP("SOT",A1:CV300,25,FALSE)/HLOOKUP("Shots",A1:CV300,25,FALSE))</f>
      </c>
      <c r="W25" s="1895">
        <f>IF(HLOOKUP("Shots",A1:CV300,25,FALSE)=0,0,HLOOKUP("Gs",A1:CV300,25,FALSE)/HLOOKUP("Shots",A1:CV300,25,FALSE))</f>
      </c>
      <c r="X25" t="n" s="1896">
        <v>1.0</v>
      </c>
      <c r="Y25" t="n" s="1897">
        <v>2.0</v>
      </c>
      <c r="Z25" t="n" s="1898">
        <v>2.0</v>
      </c>
      <c r="AA25" s="1899">
        <f>IF(HLOOKUP("KP",A1:CV300,25,FALSE)=0,0,HLOOKUP("As",A1:CV300,25,FALSE)/HLOOKUP("KP",A1:CV300,25,FALSE))</f>
      </c>
      <c r="AB25" t="n" s="1900">
        <v>14.8</v>
      </c>
      <c r="AC25" t="n" s="1901">
        <v>40.0</v>
      </c>
      <c r="AD25" t="n" s="1902">
        <v>1.0</v>
      </c>
      <c r="AE25" t="n" s="1903">
        <v>2.0</v>
      </c>
      <c r="AF25" t="n" s="1904">
        <v>1.0</v>
      </c>
      <c r="AG25" s="1905">
        <f>IF(HLOOKUP("BC",A1:CV300,25,FALSE)=0,0,HLOOKUP("Gs - BC",A1:CV300,25,FALSE)/HLOOKUP("BC",A1:CV300,25,FALSE))</f>
      </c>
      <c r="AH25" s="1906">
        <f>HLOOKUP("BC",A1:CV300,25,FALSE) - HLOOKUP("BC Miss",A1:CV300,25,FALSE)</f>
      </c>
      <c r="AI25" s="1907">
        <f>IF(HLOOKUP("Gs",A1:CV300,25,FALSE)=0,0,HLOOKUP("Gs - BC",A1:CV300,25,FALSE)/HLOOKUP("Gs",A1:CV300,25,FALSE))</f>
      </c>
      <c r="AJ25" t="n" s="1908">
        <v>0.0</v>
      </c>
      <c r="AK25" t="n" s="1909">
        <v>0.0</v>
      </c>
      <c r="AL25" s="1910">
        <f>HLOOKUP("BC",A1:CV300,25,FALSE) - (HLOOKUP("PK Gs",A1:CV300,25,FALSE) + HLOOKUP("PK Miss",A1:CV300,25,FALSE))</f>
      </c>
      <c r="AM25" s="1911">
        <f>HLOOKUP("BC Miss",A1:CV300,25,FALSE) - HLOOKUP("PK Miss",A1:CV300,25,FALSE)</f>
      </c>
      <c r="AN25" s="1912">
        <f>IF(HLOOKUP("BC - Open",A1:CV300,25,FALSE)=0,0,HLOOKUP("BC - Open Miss",A1:CV300,25,FALSE)/HLOOKUP("BC - Open",A1:CV300,25,FALSE))</f>
      </c>
      <c r="AO25" t="n" s="1913">
        <v>1.0</v>
      </c>
      <c r="AP25" s="1914">
        <f>IF(HLOOKUP("Gs",A1:CV300,25,FALSE)=0,0,HLOOKUP("GIB",A1:CV300,25,FALSE)/HLOOKUP("Gs",A1:CV300,25,FALSE))</f>
      </c>
      <c r="AQ25" t="n" s="1915">
        <v>1.0</v>
      </c>
      <c r="AR25" s="1916">
        <f>IF(HLOOKUP("Gs",A1:CV300,25,FALSE)=0,0,HLOOKUP("Gs - Open",A1:CV300,25,FALSE)/HLOOKUP("Gs",A1:CV300,25,FALSE))</f>
      </c>
      <c r="AS25" t="n" s="1917">
        <v>0.9</v>
      </c>
      <c r="AT25" t="n" s="1918">
        <v>0.03</v>
      </c>
      <c r="AU25" s="1919">
        <f>IF(HLOOKUP("Mins",A1:CV300,25,FALSE)=0,0,HLOOKUP("Pts",A1:CV300,25,FALSE)/HLOOKUP("Mins",A1:CV300,25,FALSE)* 90)</f>
      </c>
      <c r="AV25" s="1920">
        <f>IF(HLOOKUP("Apps",A1:CV300,25,FALSE)=0,0,HLOOKUP("Pts",A1:CV300,25,FALSE)/HLOOKUP("Apps",A1:CV300,25,FALSE)* 1)</f>
      </c>
      <c r="AW25" s="1921">
        <f>IF(HLOOKUP("Mins",A1:CV300,25,FALSE)=0,0,HLOOKUP("Gs",A1:CV300,25,FALSE)/HLOOKUP("Mins",A1:CV300,25,FALSE)* 90)</f>
      </c>
      <c r="AX25" s="1922">
        <f>IF(HLOOKUP("Mins",A1:CV300,25,FALSE)=0,0,HLOOKUP("Bonus",A1:CV300,25,FALSE)/HLOOKUP("Mins",A1:CV300,25,FALSE)* 90)</f>
      </c>
      <c r="AY25" s="1923">
        <f>IF(HLOOKUP("Mins",A1:CV300,25,FALSE)=0,0,HLOOKUP("BPS",A1:CV300,25,FALSE)/HLOOKUP("Mins",A1:CV300,25,FALSE)* 90)</f>
      </c>
      <c r="AZ25" s="1924">
        <f>IF(HLOOKUP("Mins",A1:CV300,25,FALSE)=0,0,HLOOKUP("Base BPS",A1:CV300,25,FALSE)/HLOOKUP("Mins",A1:CV300,25,FALSE)* 90)</f>
      </c>
      <c r="BA25" s="1925">
        <f>IF(HLOOKUP("Mins",A1:CV300,25,FALSE)=0,0,HLOOKUP("PenTchs",A1:CV300,25,FALSE)/HLOOKUP("Mins",A1:CV300,25,FALSE)* 90)</f>
      </c>
      <c r="BB25" s="1926">
        <f>IF(HLOOKUP("Mins",A1:CV300,25,FALSE)=0,0,HLOOKUP("Shots",A1:CV300,25,FALSE)/HLOOKUP("Mins",A1:CV300,25,FALSE)* 90)</f>
      </c>
      <c r="BC25" s="1927">
        <f>IF(HLOOKUP("Mins",A1:CV300,25,FALSE)=0,0,HLOOKUP("SIB",A1:CV300,25,FALSE)/HLOOKUP("Mins",A1:CV300,25,FALSE)* 90)</f>
      </c>
      <c r="BD25" s="1928">
        <f>IF(HLOOKUP("Mins",A1:CV300,25,FALSE)=0,0,HLOOKUP("S6YD",A1:CV300,25,FALSE)/HLOOKUP("Mins",A1:CV300,25,FALSE)* 90)</f>
      </c>
      <c r="BE25" s="1929">
        <f>IF(HLOOKUP("Mins",A1:CV300,25,FALSE)=0,0,HLOOKUP("Headers",A1:CV300,25,FALSE)/HLOOKUP("Mins",A1:CV300,25,FALSE)* 90)</f>
      </c>
      <c r="BF25" s="1930">
        <f>IF(HLOOKUP("Mins",A1:CV300,25,FALSE)=0,0,HLOOKUP("SOT",A1:CV300,25,FALSE)/HLOOKUP("Mins",A1:CV300,25,FALSE)* 90)</f>
      </c>
      <c r="BG25" s="1931">
        <f>IF(HLOOKUP("Mins",A1:CV300,25,FALSE)=0,0,HLOOKUP("As",A1:CV300,25,FALSE)/HLOOKUP("Mins",A1:CV300,25,FALSE)* 90)</f>
      </c>
      <c r="BH25" s="1932">
        <f>IF(HLOOKUP("Mins",A1:CV300,25,FALSE)=0,0,HLOOKUP("FPL As",A1:CV300,25,FALSE)/HLOOKUP("Mins",A1:CV300,25,FALSE)* 90)</f>
      </c>
      <c r="BI25" s="1933">
        <f>IF(HLOOKUP("Mins",A1:CV300,25,FALSE)=0,0,HLOOKUP("BC Created",A1:CV300,25,FALSE)/HLOOKUP("Mins",A1:CV300,25,FALSE)* 90)</f>
      </c>
      <c r="BJ25" s="1934">
        <f>IF(HLOOKUP("Mins",A1:CV300,25,FALSE)=0,0,HLOOKUP("KP",A1:CV300,25,FALSE)/HLOOKUP("Mins",A1:CV300,25,FALSE)* 90)</f>
      </c>
      <c r="BK25" s="1935">
        <f>IF(HLOOKUP("Mins",A1:CV300,25,FALSE)=0,0,HLOOKUP("BC",A1:CV300,25,FALSE)/HLOOKUP("Mins",A1:CV300,25,FALSE)* 90)</f>
      </c>
      <c r="BL25" s="1936">
        <f>IF(HLOOKUP("Mins",A1:CV300,25,FALSE)=0,0,HLOOKUP("BC Miss",A1:CV300,25,FALSE)/HLOOKUP("Mins",A1:CV300,25,FALSE)* 90)</f>
      </c>
      <c r="BM25" s="1937">
        <f>IF(HLOOKUP("Mins",A1:CV300,25,FALSE)=0,0,HLOOKUP("Gs - BC",A1:CV300,25,FALSE)/HLOOKUP("Mins",A1:CV300,25,FALSE)* 90)</f>
      </c>
      <c r="BN25" s="1938">
        <f>IF(HLOOKUP("Mins",A1:CV300,25,FALSE)=0,0,HLOOKUP("GIB",A1:CV300,25,FALSE)/HLOOKUP("Mins",A1:CV300,25,FALSE)* 90)</f>
      </c>
      <c r="BO25" s="1939">
        <f>IF(HLOOKUP("Mins",A1:CV300,25,FALSE)=0,0,HLOOKUP("Gs - Open",A1:CV300,25,FALSE)/HLOOKUP("Mins",A1:CV300,25,FALSE)* 90)</f>
      </c>
      <c r="BP25" s="1940">
        <f>IF(HLOOKUP("Mins",A1:CV300,25,FALSE)=0,0,HLOOKUP("ICT Index",A1:CV300,25,FALSE)/HLOOKUP("Mins",A1:CV300,25,FALSE)* 90)</f>
      </c>
      <c r="BQ25" s="1941">
        <f>IF(HLOOKUP("Mins",A1:CV300,25,FALSE)=0,0,(0.043*(HLOOKUP("Shots",A1:CV300,25,FALSE)-HLOOKUP("SIB",A1:CV300,25,FALSE))+0.162*(HLOOKUP("SIB",A1:CV300,25,FALSE)-(HLOOKUP("PK Gs",A1:CV300,25,FALSE)+HLOOKUP("PK Miss",A1:CV300,25,FALSE)))+0.75*(HLOOKUP("PK Gs",A1:CV300,25,FALSE)+HLOOKUP("PK Miss",A1:CV300,25,FALSE)))/HLOOKUP("Mins",A1:CV300,25,FALSE)*90)</f>
      </c>
      <c r="BR25" s="1942">
        <f>0.103*HLOOKUP("KP/90",A1:CV300,25,FALSE)</f>
      </c>
      <c r="BS25" s="1943">
        <f>4*HLOOKUP("xG/90",A1:CV300,25,FALSE)+3*HLOOKUP("xA/90",A1:CV300,25,FALSE)</f>
      </c>
      <c r="BT25" s="1944">
        <f>HLOOKUP("xPts/90",A1:CV300,25,FALSE)-(4*0.75*(HLOOKUP("PK Gs",A1:CV300,25,FALSE)+HLOOKUP("PK Miss",A1:CV300,25,FALSE))*90/HLOOKUP("Mins",A1:CV300,25,FALSE))</f>
      </c>
      <c r="BU25" s="1945">
        <f>IF(HLOOKUP("Mins",A1:CV300,25,FALSE)=0,0,HLOOKUP("fsXG",A1:CV300,25,FALSE)/HLOOKUP("Mins",A1:CV300,25,FALSE)* 90)</f>
      </c>
      <c r="BV25" s="1946">
        <f>IF(HLOOKUP("Mins",A1:CV300,25,FALSE)=0,0,HLOOKUP("fsXA",A1:CV300,25,FALSE)/HLOOKUP("Mins",A1:CV300,25,FALSE)* 90)</f>
      </c>
      <c r="BW25" s="1947">
        <f>4*HLOOKUP("fsXG/90",A1:CV300,25,FALSE)+3*HLOOKUP("fsXA/90",A1:CV300,25,FALSE)</f>
      </c>
      <c r="BX25" t="n" s="1948">
        <v>0.4498286545276642</v>
      </c>
      <c r="BY25" t="n" s="1949">
        <v>0.3369576334953308</v>
      </c>
      <c r="BZ25" s="1950">
        <f>4*HLOOKUP("uXG/90",A1:CV300,25,FALSE)+3*HLOOKUP("uXA/90",A1:CV300,25,FALSE)</f>
      </c>
    </row>
    <row r="26">
      <c r="A26" t="s" s="1951">
        <v>119</v>
      </c>
      <c r="B26" t="s" s="1952">
        <v>109</v>
      </c>
      <c r="C26" t="n" s="1953">
        <v>5.800000190734863</v>
      </c>
      <c r="D26" t="n" s="1954">
        <v>393.0</v>
      </c>
      <c r="E26" t="n" s="1955">
        <v>5.0</v>
      </c>
      <c r="F26" t="n" s="1956">
        <v>88.0</v>
      </c>
      <c r="G26" t="n" s="1957">
        <v>0.0</v>
      </c>
      <c r="H26" t="n" s="1958">
        <v>12.0</v>
      </c>
      <c r="I26" t="n" s="1959">
        <v>246.0</v>
      </c>
      <c r="J26" s="1960">
        <f>HLOOKUP("BPS",A1:CV300,26,FALSE)-((-6*HLOOKUP("OG",A1:CV300,26,FALSE))+(-6*HLOOKUP("PK Miss",A1:CV300,26,FALSE))+(9*HLOOKUP("FPL As",A1:CV300,26,FALSE))+(0*HLOOKUP("CS",A1:CV300,26,FALSE))+(24*HLOOKUP("Gs",A1:CV300,26,FALSE)))</f>
      </c>
      <c r="K26" t="n" s="1961">
        <v>0.0</v>
      </c>
      <c r="L26" t="n" s="1962">
        <v>5.0</v>
      </c>
      <c r="M26" t="n" s="1963">
        <v>33.0</v>
      </c>
      <c r="N26" t="n" s="1964">
        <v>14.0</v>
      </c>
      <c r="O26" t="n" s="1965">
        <v>10.0</v>
      </c>
      <c r="P26" s="1966">
        <f>IF(HLOOKUP("Shots",A1:CV300,26,FALSE)=0,0,HLOOKUP("SIB",A1:CV300,26,FALSE)/HLOOKUP("Shots",A1:CV300,26,FALSE))</f>
      </c>
      <c r="Q26" t="n" s="1967">
        <v>4.0</v>
      </c>
      <c r="R26" s="1968">
        <f>IF(HLOOKUP("Shots",A1:CV300,26,FALSE)=0,0,HLOOKUP("S6YD",A1:CV300,26,FALSE)/HLOOKUP("Shots",A1:CV300,26,FALSE))</f>
      </c>
      <c r="S26" t="n" s="1969">
        <v>0.0</v>
      </c>
      <c r="T26" s="1970">
        <f>IF(HLOOKUP("Shots",A1:CV300,26,FALSE)=0,0,HLOOKUP("Headers",A1:CV300,26,FALSE)/HLOOKUP("Shots",A1:CV300,26,FALSE))</f>
      </c>
      <c r="U26" t="n" s="1971">
        <v>6.0</v>
      </c>
      <c r="V26" s="1972">
        <f>IF(HLOOKUP("Shots",A1:CV300,26,FALSE)=0,0,HLOOKUP("SOT",A1:CV300,26,FALSE)/HLOOKUP("Shots",A1:CV300,26,FALSE))</f>
      </c>
      <c r="W26" s="1973">
        <f>IF(HLOOKUP("Shots",A1:CV300,26,FALSE)=0,0,HLOOKUP("Gs",A1:CV300,26,FALSE)/HLOOKUP("Shots",A1:CV300,26,FALSE))</f>
      </c>
      <c r="X26" t="n" s="1974">
        <v>1.0</v>
      </c>
      <c r="Y26" t="n" s="1975">
        <v>2.0</v>
      </c>
      <c r="Z26" t="n" s="1976">
        <v>5.0</v>
      </c>
      <c r="AA26" s="1977">
        <f>IF(HLOOKUP("KP",A1:CV300,26,FALSE)=0,0,HLOOKUP("As",A1:CV300,26,FALSE)/HLOOKUP("KP",A1:CV300,26,FALSE))</f>
      </c>
      <c r="AB26" t="n" s="1978">
        <v>41.6</v>
      </c>
      <c r="AC26" t="n" s="1979">
        <v>25.0</v>
      </c>
      <c r="AD26" t="n" s="1980">
        <v>1.0</v>
      </c>
      <c r="AE26" t="n" s="1981">
        <v>3.0</v>
      </c>
      <c r="AF26" t="n" s="1982">
        <v>3.0</v>
      </c>
      <c r="AG26" s="1983">
        <f>IF(HLOOKUP("BC",A1:CV300,26,FALSE)=0,0,HLOOKUP("Gs - BC",A1:CV300,26,FALSE)/HLOOKUP("BC",A1:CV300,26,FALSE))</f>
      </c>
      <c r="AH26" s="1984">
        <f>HLOOKUP("BC",A1:CV300,26,FALSE) - HLOOKUP("BC Miss",A1:CV300,26,FALSE)</f>
      </c>
      <c r="AI26" s="1985">
        <f>IF(HLOOKUP("Gs",A1:CV300,26,FALSE)=0,0,HLOOKUP("Gs - BC",A1:CV300,26,FALSE)/HLOOKUP("Gs",A1:CV300,26,FALSE))</f>
      </c>
      <c r="AJ26" t="n" s="1986">
        <v>0.0</v>
      </c>
      <c r="AK26" t="n" s="1987">
        <v>0.0</v>
      </c>
      <c r="AL26" s="1988">
        <f>HLOOKUP("BC",A1:CV300,26,FALSE) - (HLOOKUP("PK Gs",A1:CV300,26,FALSE) + HLOOKUP("PK Miss",A1:CV300,26,FALSE))</f>
      </c>
      <c r="AM26" s="1989">
        <f>HLOOKUP("BC Miss",A1:CV300,26,FALSE) - HLOOKUP("PK Miss",A1:CV300,26,FALSE)</f>
      </c>
      <c r="AN26" s="1990">
        <f>IF(HLOOKUP("BC - Open",A1:CV300,26,FALSE)=0,0,HLOOKUP("BC - Open Miss",A1:CV300,26,FALSE)/HLOOKUP("BC - Open",A1:CV300,26,FALSE))</f>
      </c>
      <c r="AO26" t="n" s="1991">
        <v>0.0</v>
      </c>
      <c r="AP26" s="1992">
        <f>IF(HLOOKUP("Gs",A1:CV300,26,FALSE)=0,0,HLOOKUP("GIB",A1:CV300,26,FALSE)/HLOOKUP("Gs",A1:CV300,26,FALSE))</f>
      </c>
      <c r="AQ26" t="n" s="1993">
        <v>0.0</v>
      </c>
      <c r="AR26" s="1994">
        <f>IF(HLOOKUP("Gs",A1:CV300,26,FALSE)=0,0,HLOOKUP("Gs - Open",A1:CV300,26,FALSE)/HLOOKUP("Gs",A1:CV300,26,FALSE))</f>
      </c>
      <c r="AS26" t="n" s="1995">
        <v>1.83</v>
      </c>
      <c r="AT26" t="n" s="1996">
        <v>0.23</v>
      </c>
      <c r="AU26" s="1997">
        <f>IF(HLOOKUP("Mins",A1:CV300,26,FALSE)=0,0,HLOOKUP("Pts",A1:CV300,26,FALSE)/HLOOKUP("Mins",A1:CV300,26,FALSE)* 90)</f>
      </c>
      <c r="AV26" s="1998">
        <f>IF(HLOOKUP("Apps",A1:CV300,26,FALSE)=0,0,HLOOKUP("Pts",A1:CV300,26,FALSE)/HLOOKUP("Apps",A1:CV300,26,FALSE)* 1)</f>
      </c>
      <c r="AW26" s="1999">
        <f>IF(HLOOKUP("Mins",A1:CV300,26,FALSE)=0,0,HLOOKUP("Gs",A1:CV300,26,FALSE)/HLOOKUP("Mins",A1:CV300,26,FALSE)* 90)</f>
      </c>
      <c r="AX26" s="2000">
        <f>IF(HLOOKUP("Mins",A1:CV300,26,FALSE)=0,0,HLOOKUP("Bonus",A1:CV300,26,FALSE)/HLOOKUP("Mins",A1:CV300,26,FALSE)* 90)</f>
      </c>
      <c r="AY26" s="2001">
        <f>IF(HLOOKUP("Mins",A1:CV300,26,FALSE)=0,0,HLOOKUP("BPS",A1:CV300,26,FALSE)/HLOOKUP("Mins",A1:CV300,26,FALSE)* 90)</f>
      </c>
      <c r="AZ26" s="2002">
        <f>IF(HLOOKUP("Mins",A1:CV300,26,FALSE)=0,0,HLOOKUP("Base BPS",A1:CV300,26,FALSE)/HLOOKUP("Mins",A1:CV300,26,FALSE)* 90)</f>
      </c>
      <c r="BA26" s="2003">
        <f>IF(HLOOKUP("Mins",A1:CV300,26,FALSE)=0,0,HLOOKUP("PenTchs",A1:CV300,26,FALSE)/HLOOKUP("Mins",A1:CV300,26,FALSE)* 90)</f>
      </c>
      <c r="BB26" s="2004">
        <f>IF(HLOOKUP("Mins",A1:CV300,26,FALSE)=0,0,HLOOKUP("Shots",A1:CV300,26,FALSE)/HLOOKUP("Mins",A1:CV300,26,FALSE)* 90)</f>
      </c>
      <c r="BC26" s="2005">
        <f>IF(HLOOKUP("Mins",A1:CV300,26,FALSE)=0,0,HLOOKUP("SIB",A1:CV300,26,FALSE)/HLOOKUP("Mins",A1:CV300,26,FALSE)* 90)</f>
      </c>
      <c r="BD26" s="2006">
        <f>IF(HLOOKUP("Mins",A1:CV300,26,FALSE)=0,0,HLOOKUP("S6YD",A1:CV300,26,FALSE)/HLOOKUP("Mins",A1:CV300,26,FALSE)* 90)</f>
      </c>
      <c r="BE26" s="2007">
        <f>IF(HLOOKUP("Mins",A1:CV300,26,FALSE)=0,0,HLOOKUP("Headers",A1:CV300,26,FALSE)/HLOOKUP("Mins",A1:CV300,26,FALSE)* 90)</f>
      </c>
      <c r="BF26" s="2008">
        <f>IF(HLOOKUP("Mins",A1:CV300,26,FALSE)=0,0,HLOOKUP("SOT",A1:CV300,26,FALSE)/HLOOKUP("Mins",A1:CV300,26,FALSE)* 90)</f>
      </c>
      <c r="BG26" s="2009">
        <f>IF(HLOOKUP("Mins",A1:CV300,26,FALSE)=0,0,HLOOKUP("As",A1:CV300,26,FALSE)/HLOOKUP("Mins",A1:CV300,26,FALSE)* 90)</f>
      </c>
      <c r="BH26" s="2010">
        <f>IF(HLOOKUP("Mins",A1:CV300,26,FALSE)=0,0,HLOOKUP("FPL As",A1:CV300,26,FALSE)/HLOOKUP("Mins",A1:CV300,26,FALSE)* 90)</f>
      </c>
      <c r="BI26" s="2011">
        <f>IF(HLOOKUP("Mins",A1:CV300,26,FALSE)=0,0,HLOOKUP("BC Created",A1:CV300,26,FALSE)/HLOOKUP("Mins",A1:CV300,26,FALSE)* 90)</f>
      </c>
      <c r="BJ26" s="2012">
        <f>IF(HLOOKUP("Mins",A1:CV300,26,FALSE)=0,0,HLOOKUP("KP",A1:CV300,26,FALSE)/HLOOKUP("Mins",A1:CV300,26,FALSE)* 90)</f>
      </c>
      <c r="BK26" s="2013">
        <f>IF(HLOOKUP("Mins",A1:CV300,26,FALSE)=0,0,HLOOKUP("BC",A1:CV300,26,FALSE)/HLOOKUP("Mins",A1:CV300,26,FALSE)* 90)</f>
      </c>
      <c r="BL26" s="2014">
        <f>IF(HLOOKUP("Mins",A1:CV300,26,FALSE)=0,0,HLOOKUP("BC Miss",A1:CV300,26,FALSE)/HLOOKUP("Mins",A1:CV300,26,FALSE)* 90)</f>
      </c>
      <c r="BM26" s="2015">
        <f>IF(HLOOKUP("Mins",A1:CV300,26,FALSE)=0,0,HLOOKUP("Gs - BC",A1:CV300,26,FALSE)/HLOOKUP("Mins",A1:CV300,26,FALSE)* 90)</f>
      </c>
      <c r="BN26" s="2016">
        <f>IF(HLOOKUP("Mins",A1:CV300,26,FALSE)=0,0,HLOOKUP("GIB",A1:CV300,26,FALSE)/HLOOKUP("Mins",A1:CV300,26,FALSE)* 90)</f>
      </c>
      <c r="BO26" s="2017">
        <f>IF(HLOOKUP("Mins",A1:CV300,26,FALSE)=0,0,HLOOKUP("Gs - Open",A1:CV300,26,FALSE)/HLOOKUP("Mins",A1:CV300,26,FALSE)* 90)</f>
      </c>
      <c r="BP26" s="2018">
        <f>IF(HLOOKUP("Mins",A1:CV300,26,FALSE)=0,0,HLOOKUP("ICT Index",A1:CV300,26,FALSE)/HLOOKUP("Mins",A1:CV300,26,FALSE)* 90)</f>
      </c>
      <c r="BQ26" s="2019">
        <f>IF(HLOOKUP("Mins",A1:CV300,26,FALSE)=0,0,(0.043*(HLOOKUP("Shots",A1:CV300,26,FALSE)-HLOOKUP("SIB",A1:CV300,26,FALSE))+0.162*(HLOOKUP("SIB",A1:CV300,26,FALSE)-(HLOOKUP("PK Gs",A1:CV300,26,FALSE)+HLOOKUP("PK Miss",A1:CV300,26,FALSE)))+0.75*(HLOOKUP("PK Gs",A1:CV300,26,FALSE)+HLOOKUP("PK Miss",A1:CV300,26,FALSE)))/HLOOKUP("Mins",A1:CV300,26,FALSE)*90)</f>
      </c>
      <c r="BR26" s="2020">
        <f>0.103*HLOOKUP("KP/90",A1:CV300,26,FALSE)</f>
      </c>
      <c r="BS26" s="2021">
        <f>4*HLOOKUP("xG/90",A1:CV300,26,FALSE)+3*HLOOKUP("xA/90",A1:CV300,26,FALSE)</f>
      </c>
      <c r="BT26" s="2022">
        <f>HLOOKUP("xPts/90",A1:CV300,26,FALSE)-(4*0.75*(HLOOKUP("PK Gs",A1:CV300,26,FALSE)+HLOOKUP("PK Miss",A1:CV300,26,FALSE))*90/HLOOKUP("Mins",A1:CV300,26,FALSE))</f>
      </c>
      <c r="BU26" s="2023">
        <f>IF(HLOOKUP("Mins",A1:CV300,26,FALSE)=0,0,HLOOKUP("fsXG",A1:CV300,26,FALSE)/HLOOKUP("Mins",A1:CV300,26,FALSE)* 90)</f>
      </c>
      <c r="BV26" s="2024">
        <f>IF(HLOOKUP("Mins",A1:CV300,26,FALSE)=0,0,HLOOKUP("fsXA",A1:CV300,26,FALSE)/HLOOKUP("Mins",A1:CV300,26,FALSE)* 90)</f>
      </c>
      <c r="BW26" s="2025">
        <f>4*HLOOKUP("fsXG/90",A1:CV300,26,FALSE)+3*HLOOKUP("fsXA/90",A1:CV300,26,FALSE)</f>
      </c>
      <c r="BX26" t="n" s="2026">
        <v>0.4565581679344177</v>
      </c>
      <c r="BY26" t="n" s="2027">
        <v>0.13049952685832977</v>
      </c>
      <c r="BZ26" s="2028">
        <f>4*HLOOKUP("uXG/90",A1:CV300,26,FALSE)+3*HLOOKUP("uXA/90",A1:CV300,26,FALSE)</f>
      </c>
    </row>
    <row r="27">
      <c r="A27" t="s" s="2029">
        <v>120</v>
      </c>
      <c r="B27" t="s" s="2030">
        <v>116</v>
      </c>
      <c r="C27" t="n" s="2031">
        <v>6.099999904632568</v>
      </c>
      <c r="D27" t="n" s="2032">
        <v>509.0</v>
      </c>
      <c r="E27" t="n" s="2033">
        <v>6.0</v>
      </c>
      <c r="F27" t="n" s="2034">
        <v>85.0</v>
      </c>
      <c r="G27" t="n" s="2035">
        <v>1.0</v>
      </c>
      <c r="H27" t="n" s="2036">
        <v>9.0</v>
      </c>
      <c r="I27" t="n" s="2037">
        <v>322.0</v>
      </c>
      <c r="J27" s="2038">
        <f>HLOOKUP("BPS",A1:CV300,27,FALSE)-((-6*HLOOKUP("OG",A1:CV300,27,FALSE))+(-6*HLOOKUP("PK Miss",A1:CV300,27,FALSE))+(9*HLOOKUP("FPL As",A1:CV300,27,FALSE))+(0*HLOOKUP("CS",A1:CV300,27,FALSE))+(24*HLOOKUP("Gs",A1:CV300,27,FALSE)))</f>
      </c>
      <c r="K27" t="n" s="2039">
        <v>0.0</v>
      </c>
      <c r="L27" t="n" s="2040">
        <v>8.0</v>
      </c>
      <c r="M27" t="n" s="2041">
        <v>33.0</v>
      </c>
      <c r="N27" t="n" s="2042">
        <v>17.0</v>
      </c>
      <c r="O27" t="n" s="2043">
        <v>15.0</v>
      </c>
      <c r="P27" s="2044">
        <f>IF(HLOOKUP("Shots",A1:CV300,27,FALSE)=0,0,HLOOKUP("SIB",A1:CV300,27,FALSE)/HLOOKUP("Shots",A1:CV300,27,FALSE))</f>
      </c>
      <c r="Q27" t="n" s="2045">
        <v>0.0</v>
      </c>
      <c r="R27" s="2046">
        <f>IF(HLOOKUP("Shots",A1:CV300,27,FALSE)=0,0,HLOOKUP("S6YD",A1:CV300,27,FALSE)/HLOOKUP("Shots",A1:CV300,27,FALSE))</f>
      </c>
      <c r="S27" t="n" s="2047">
        <v>1.0</v>
      </c>
      <c r="T27" s="2048">
        <f>IF(HLOOKUP("Shots",A1:CV300,27,FALSE)=0,0,HLOOKUP("Headers",A1:CV300,27,FALSE)/HLOOKUP("Shots",A1:CV300,27,FALSE))</f>
      </c>
      <c r="U27" t="n" s="2049">
        <v>2.0</v>
      </c>
      <c r="V27" s="2050">
        <f>IF(HLOOKUP("Shots",A1:CV300,27,FALSE)=0,0,HLOOKUP("SOT",A1:CV300,27,FALSE)/HLOOKUP("Shots",A1:CV300,27,FALSE))</f>
      </c>
      <c r="W27" s="2051">
        <f>IF(HLOOKUP("Shots",A1:CV300,27,FALSE)=0,0,HLOOKUP("Gs",A1:CV300,27,FALSE)/HLOOKUP("Shots",A1:CV300,27,FALSE))</f>
      </c>
      <c r="X27" t="n" s="2052">
        <v>3.0</v>
      </c>
      <c r="Y27" t="n" s="2053">
        <v>5.0</v>
      </c>
      <c r="Z27" t="n" s="2054">
        <v>8.0</v>
      </c>
      <c r="AA27" s="2055">
        <f>IF(HLOOKUP("KP",A1:CV300,27,FALSE)=0,0,HLOOKUP("As",A1:CV300,27,FALSE)/HLOOKUP("KP",A1:CV300,27,FALSE))</f>
      </c>
      <c r="AB27" t="n" s="2056">
        <v>49.3</v>
      </c>
      <c r="AC27" t="n" s="2057">
        <v>50.0</v>
      </c>
      <c r="AD27" t="n" s="2058">
        <v>1.0</v>
      </c>
      <c r="AE27" t="n" s="2059">
        <v>3.0</v>
      </c>
      <c r="AF27" t="n" s="2060">
        <v>2.0</v>
      </c>
      <c r="AG27" s="2061">
        <f>IF(HLOOKUP("BC",A1:CV300,27,FALSE)=0,0,HLOOKUP("Gs - BC",A1:CV300,27,FALSE)/HLOOKUP("BC",A1:CV300,27,FALSE))</f>
      </c>
      <c r="AH27" s="2062">
        <f>HLOOKUP("BC",A1:CV300,27,FALSE) - HLOOKUP("BC Miss",A1:CV300,27,FALSE)</f>
      </c>
      <c r="AI27" s="2063">
        <f>IF(HLOOKUP("Gs",A1:CV300,27,FALSE)=0,0,HLOOKUP("Gs - BC",A1:CV300,27,FALSE)/HLOOKUP("Gs",A1:CV300,27,FALSE))</f>
      </c>
      <c r="AJ27" t="n" s="2064">
        <v>0.0</v>
      </c>
      <c r="AK27" t="n" s="2065">
        <v>0.0</v>
      </c>
      <c r="AL27" s="2066">
        <f>HLOOKUP("BC",A1:CV300,27,FALSE) - (HLOOKUP("PK Gs",A1:CV300,27,FALSE) + HLOOKUP("PK Miss",A1:CV300,27,FALSE))</f>
      </c>
      <c r="AM27" s="2067">
        <f>HLOOKUP("BC Miss",A1:CV300,27,FALSE) - HLOOKUP("PK Miss",A1:CV300,27,FALSE)</f>
      </c>
      <c r="AN27" s="2068">
        <f>IF(HLOOKUP("BC - Open",A1:CV300,27,FALSE)=0,0,HLOOKUP("BC - Open Miss",A1:CV300,27,FALSE)/HLOOKUP("BC - Open",A1:CV300,27,FALSE))</f>
      </c>
      <c r="AO27" t="n" s="2069">
        <v>1.0</v>
      </c>
      <c r="AP27" s="2070">
        <f>IF(HLOOKUP("Gs",A1:CV300,27,FALSE)=0,0,HLOOKUP("GIB",A1:CV300,27,FALSE)/HLOOKUP("Gs",A1:CV300,27,FALSE))</f>
      </c>
      <c r="AQ27" t="n" s="2071">
        <v>1.0</v>
      </c>
      <c r="AR27" s="2072">
        <f>IF(HLOOKUP("Gs",A1:CV300,27,FALSE)=0,0,HLOOKUP("Gs - Open",A1:CV300,27,FALSE)/HLOOKUP("Gs",A1:CV300,27,FALSE))</f>
      </c>
      <c r="AS27" t="n" s="2073">
        <v>1.95</v>
      </c>
      <c r="AT27" t="n" s="2074">
        <v>0.76</v>
      </c>
      <c r="AU27" s="2075">
        <f>IF(HLOOKUP("Mins",A1:CV300,27,FALSE)=0,0,HLOOKUP("Pts",A1:CV300,27,FALSE)/HLOOKUP("Mins",A1:CV300,27,FALSE)* 90)</f>
      </c>
      <c r="AV27" s="2076">
        <f>IF(HLOOKUP("Apps",A1:CV300,27,FALSE)=0,0,HLOOKUP("Pts",A1:CV300,27,FALSE)/HLOOKUP("Apps",A1:CV300,27,FALSE)* 1)</f>
      </c>
      <c r="AW27" s="2077">
        <f>IF(HLOOKUP("Mins",A1:CV300,27,FALSE)=0,0,HLOOKUP("Gs",A1:CV300,27,FALSE)/HLOOKUP("Mins",A1:CV300,27,FALSE)* 90)</f>
      </c>
      <c r="AX27" s="2078">
        <f>IF(HLOOKUP("Mins",A1:CV300,27,FALSE)=0,0,HLOOKUP("Bonus",A1:CV300,27,FALSE)/HLOOKUP("Mins",A1:CV300,27,FALSE)* 90)</f>
      </c>
      <c r="AY27" s="2079">
        <f>IF(HLOOKUP("Mins",A1:CV300,27,FALSE)=0,0,HLOOKUP("BPS",A1:CV300,27,FALSE)/HLOOKUP("Mins",A1:CV300,27,FALSE)* 90)</f>
      </c>
      <c r="AZ27" s="2080">
        <f>IF(HLOOKUP("Mins",A1:CV300,27,FALSE)=0,0,HLOOKUP("Base BPS",A1:CV300,27,FALSE)/HLOOKUP("Mins",A1:CV300,27,FALSE)* 90)</f>
      </c>
      <c r="BA27" s="2081">
        <f>IF(HLOOKUP("Mins",A1:CV300,27,FALSE)=0,0,HLOOKUP("PenTchs",A1:CV300,27,FALSE)/HLOOKUP("Mins",A1:CV300,27,FALSE)* 90)</f>
      </c>
      <c r="BB27" s="2082">
        <f>IF(HLOOKUP("Mins",A1:CV300,27,FALSE)=0,0,HLOOKUP("Shots",A1:CV300,27,FALSE)/HLOOKUP("Mins",A1:CV300,27,FALSE)* 90)</f>
      </c>
      <c r="BC27" s="2083">
        <f>IF(HLOOKUP("Mins",A1:CV300,27,FALSE)=0,0,HLOOKUP("SIB",A1:CV300,27,FALSE)/HLOOKUP("Mins",A1:CV300,27,FALSE)* 90)</f>
      </c>
      <c r="BD27" s="2084">
        <f>IF(HLOOKUP("Mins",A1:CV300,27,FALSE)=0,0,HLOOKUP("S6YD",A1:CV300,27,FALSE)/HLOOKUP("Mins",A1:CV300,27,FALSE)* 90)</f>
      </c>
      <c r="BE27" s="2085">
        <f>IF(HLOOKUP("Mins",A1:CV300,27,FALSE)=0,0,HLOOKUP("Headers",A1:CV300,27,FALSE)/HLOOKUP("Mins",A1:CV300,27,FALSE)* 90)</f>
      </c>
      <c r="BF27" s="2086">
        <f>IF(HLOOKUP("Mins",A1:CV300,27,FALSE)=0,0,HLOOKUP("SOT",A1:CV300,27,FALSE)/HLOOKUP("Mins",A1:CV300,27,FALSE)* 90)</f>
      </c>
      <c r="BG27" s="2087">
        <f>IF(HLOOKUP("Mins",A1:CV300,27,FALSE)=0,0,HLOOKUP("As",A1:CV300,27,FALSE)/HLOOKUP("Mins",A1:CV300,27,FALSE)* 90)</f>
      </c>
      <c r="BH27" s="2088">
        <f>IF(HLOOKUP("Mins",A1:CV300,27,FALSE)=0,0,HLOOKUP("FPL As",A1:CV300,27,FALSE)/HLOOKUP("Mins",A1:CV300,27,FALSE)* 90)</f>
      </c>
      <c r="BI27" s="2089">
        <f>IF(HLOOKUP("Mins",A1:CV300,27,FALSE)=0,0,HLOOKUP("BC Created",A1:CV300,27,FALSE)/HLOOKUP("Mins",A1:CV300,27,FALSE)* 90)</f>
      </c>
      <c r="BJ27" s="2090">
        <f>IF(HLOOKUP("Mins",A1:CV300,27,FALSE)=0,0,HLOOKUP("KP",A1:CV300,27,FALSE)/HLOOKUP("Mins",A1:CV300,27,FALSE)* 90)</f>
      </c>
      <c r="BK27" s="2091">
        <f>IF(HLOOKUP("Mins",A1:CV300,27,FALSE)=0,0,HLOOKUP("BC",A1:CV300,27,FALSE)/HLOOKUP("Mins",A1:CV300,27,FALSE)* 90)</f>
      </c>
      <c r="BL27" s="2092">
        <f>IF(HLOOKUP("Mins",A1:CV300,27,FALSE)=0,0,HLOOKUP("BC Miss",A1:CV300,27,FALSE)/HLOOKUP("Mins",A1:CV300,27,FALSE)* 90)</f>
      </c>
      <c r="BM27" s="2093">
        <f>IF(HLOOKUP("Mins",A1:CV300,27,FALSE)=0,0,HLOOKUP("Gs - BC",A1:CV300,27,FALSE)/HLOOKUP("Mins",A1:CV300,27,FALSE)* 90)</f>
      </c>
      <c r="BN27" s="2094">
        <f>IF(HLOOKUP("Mins",A1:CV300,27,FALSE)=0,0,HLOOKUP("GIB",A1:CV300,27,FALSE)/HLOOKUP("Mins",A1:CV300,27,FALSE)* 90)</f>
      </c>
      <c r="BO27" s="2095">
        <f>IF(HLOOKUP("Mins",A1:CV300,27,FALSE)=0,0,HLOOKUP("Gs - Open",A1:CV300,27,FALSE)/HLOOKUP("Mins",A1:CV300,27,FALSE)* 90)</f>
      </c>
      <c r="BP27" s="2096">
        <f>IF(HLOOKUP("Mins",A1:CV300,27,FALSE)=0,0,HLOOKUP("ICT Index",A1:CV300,27,FALSE)/HLOOKUP("Mins",A1:CV300,27,FALSE)* 90)</f>
      </c>
      <c r="BQ27" s="2097">
        <f>IF(HLOOKUP("Mins",A1:CV300,27,FALSE)=0,0,(0.043*(HLOOKUP("Shots",A1:CV300,27,FALSE)-HLOOKUP("SIB",A1:CV300,27,FALSE))+0.162*(HLOOKUP("SIB",A1:CV300,27,FALSE)-(HLOOKUP("PK Gs",A1:CV300,27,FALSE)+HLOOKUP("PK Miss",A1:CV300,27,FALSE)))+0.75*(HLOOKUP("PK Gs",A1:CV300,27,FALSE)+HLOOKUP("PK Miss",A1:CV300,27,FALSE)))/HLOOKUP("Mins",A1:CV300,27,FALSE)*90)</f>
      </c>
      <c r="BR27" s="2098">
        <f>0.103*HLOOKUP("KP/90",A1:CV300,27,FALSE)</f>
      </c>
      <c r="BS27" s="2099">
        <f>4*HLOOKUP("xG/90",A1:CV300,27,FALSE)+3*HLOOKUP("xA/90",A1:CV300,27,FALSE)</f>
      </c>
      <c r="BT27" s="2100">
        <f>HLOOKUP("xPts/90",A1:CV300,27,FALSE)-(4*0.75*(HLOOKUP("PK Gs",A1:CV300,27,FALSE)+HLOOKUP("PK Miss",A1:CV300,27,FALSE))*90/HLOOKUP("Mins",A1:CV300,27,FALSE))</f>
      </c>
      <c r="BU27" s="2101">
        <f>IF(HLOOKUP("Mins",A1:CV300,27,FALSE)=0,0,HLOOKUP("fsXG",A1:CV300,27,FALSE)/HLOOKUP("Mins",A1:CV300,27,FALSE)* 90)</f>
      </c>
      <c r="BV27" s="2102">
        <f>IF(HLOOKUP("Mins",A1:CV300,27,FALSE)=0,0,HLOOKUP("fsXA",A1:CV300,27,FALSE)/HLOOKUP("Mins",A1:CV300,27,FALSE)* 90)</f>
      </c>
      <c r="BW27" s="2103">
        <f>4*HLOOKUP("fsXG/90",A1:CV300,27,FALSE)+3*HLOOKUP("fsXA/90",A1:CV300,27,FALSE)</f>
      </c>
      <c r="BX27" t="n" s="2104">
        <v>0.3418353199958801</v>
      </c>
      <c r="BY27" t="n" s="2105">
        <v>0.19996151328086853</v>
      </c>
      <c r="BZ27" s="2106">
        <f>4*HLOOKUP("uXG/90",A1:CV300,27,FALSE)+3*HLOOKUP("uXA/90",A1:CV300,27,FALSE)</f>
      </c>
    </row>
    <row r="28">
      <c r="A28" t="s" s="2107">
        <v>121</v>
      </c>
      <c r="B28" t="s" s="2108">
        <v>122</v>
      </c>
      <c r="C28" t="n" s="2109">
        <v>6.5</v>
      </c>
      <c r="D28" t="n" s="2110">
        <v>1.0</v>
      </c>
      <c r="E28" t="n" s="2111">
        <v>1.0</v>
      </c>
      <c r="F28" t="n" s="2112">
        <v>1.0</v>
      </c>
      <c r="G28" t="n" s="2113">
        <v>0.0</v>
      </c>
      <c r="H28" t="n" s="2114">
        <v>0.0</v>
      </c>
      <c r="I28" t="n" s="2115">
        <v>-1.0</v>
      </c>
      <c r="J28" s="2116">
        <f>HLOOKUP("BPS",A1:CV300,28,FALSE)-((-6*HLOOKUP("OG",A1:CV300,28,FALSE))+(-6*HLOOKUP("PK Miss",A1:CV300,28,FALSE))+(9*HLOOKUP("FPL As",A1:CV300,28,FALSE))+(0*HLOOKUP("CS",A1:CV300,28,FALSE))+(24*HLOOKUP("Gs",A1:CV300,28,FALSE)))</f>
      </c>
      <c r="K28" t="n" s="2117">
        <v>0.0</v>
      </c>
      <c r="L28" t="n" s="2118">
        <v>0.0</v>
      </c>
      <c r="M28" t="n" s="2119">
        <v>1.0</v>
      </c>
      <c r="N28" t="n" s="2120">
        <v>1.0</v>
      </c>
      <c r="O28" t="n" s="2121">
        <v>1.0</v>
      </c>
      <c r="P28" s="2122">
        <f>IF(HLOOKUP("Shots",A1:CV300,28,FALSE)=0,0,HLOOKUP("SIB",A1:CV300,28,FALSE)/HLOOKUP("Shots",A1:CV300,28,FALSE))</f>
      </c>
      <c r="Q28" t="n" s="2123">
        <v>0.0</v>
      </c>
      <c r="R28" s="2124">
        <f>IF(HLOOKUP("Shots",A1:CV300,28,FALSE)=0,0,HLOOKUP("S6YD",A1:CV300,28,FALSE)/HLOOKUP("Shots",A1:CV300,28,FALSE))</f>
      </c>
      <c r="S28" t="n" s="2125">
        <v>0.0</v>
      </c>
      <c r="T28" s="2126">
        <f>IF(HLOOKUP("Shots",A1:CV300,28,FALSE)=0,0,HLOOKUP("Headers",A1:CV300,28,FALSE)/HLOOKUP("Shots",A1:CV300,28,FALSE))</f>
      </c>
      <c r="U28" t="n" s="2127">
        <v>1.0</v>
      </c>
      <c r="V28" s="2128">
        <f>IF(HLOOKUP("Shots",A1:CV300,28,FALSE)=0,0,HLOOKUP("SOT",A1:CV300,28,FALSE)/HLOOKUP("Shots",A1:CV300,28,FALSE))</f>
      </c>
      <c r="W28" s="2129">
        <f>IF(HLOOKUP("Shots",A1:CV300,28,FALSE)=0,0,HLOOKUP("Gs",A1:CV300,28,FALSE)/HLOOKUP("Shots",A1:CV300,28,FALSE))</f>
      </c>
      <c r="X28" t="n" s="2130">
        <v>0.0</v>
      </c>
      <c r="Y28" t="n" s="2131">
        <v>0.0</v>
      </c>
      <c r="Z28" t="n" s="2132">
        <v>0.0</v>
      </c>
      <c r="AA28" s="2133">
        <f>IF(HLOOKUP("KP",A1:CV300,28,FALSE)=0,0,HLOOKUP("As",A1:CV300,28,FALSE)/HLOOKUP("KP",A1:CV300,28,FALSE))</f>
      </c>
      <c r="AB28" t="n" s="2134">
        <v>2.0</v>
      </c>
      <c r="AC28" t="n" s="2135">
        <v>0.0</v>
      </c>
      <c r="AD28" t="n" s="2136">
        <v>0.0</v>
      </c>
      <c r="AE28" t="n" s="2137">
        <v>1.0</v>
      </c>
      <c r="AF28" t="n" s="2138">
        <v>1.0</v>
      </c>
      <c r="AG28" s="2139">
        <f>IF(HLOOKUP("BC",A1:CV300,28,FALSE)=0,0,HLOOKUP("Gs - BC",A1:CV300,28,FALSE)/HLOOKUP("BC",A1:CV300,28,FALSE))</f>
      </c>
      <c r="AH28" s="2140">
        <f>HLOOKUP("BC",A1:CV300,28,FALSE) - HLOOKUP("BC Miss",A1:CV300,28,FALSE)</f>
      </c>
      <c r="AI28" s="2141">
        <f>IF(HLOOKUP("Gs",A1:CV300,28,FALSE)=0,0,HLOOKUP("Gs - BC",A1:CV300,28,FALSE)/HLOOKUP("Gs",A1:CV300,28,FALSE))</f>
      </c>
      <c r="AJ28" t="n" s="2142">
        <v>0.0</v>
      </c>
      <c r="AK28" t="n" s="2143">
        <v>0.0</v>
      </c>
      <c r="AL28" s="2144">
        <f>HLOOKUP("BC",A1:CV300,28,FALSE) - (HLOOKUP("PK Gs",A1:CV300,28,FALSE) + HLOOKUP("PK Miss",A1:CV300,28,FALSE))</f>
      </c>
      <c r="AM28" s="2145">
        <f>HLOOKUP("BC Miss",A1:CV300,28,FALSE) - HLOOKUP("PK Miss",A1:CV300,28,FALSE)</f>
      </c>
      <c r="AN28" s="2146">
        <f>IF(HLOOKUP("BC - Open",A1:CV300,28,FALSE)=0,0,HLOOKUP("BC - Open Miss",A1:CV300,28,FALSE)/HLOOKUP("BC - Open",A1:CV300,28,FALSE))</f>
      </c>
      <c r="AO28" t="n" s="2147">
        <v>0.0</v>
      </c>
      <c r="AP28" s="2148">
        <f>IF(HLOOKUP("Gs",A1:CV300,28,FALSE)=0,0,HLOOKUP("GIB",A1:CV300,28,FALSE)/HLOOKUP("Gs",A1:CV300,28,FALSE))</f>
      </c>
      <c r="AQ28" t="n" s="2149">
        <v>0.0</v>
      </c>
      <c r="AR28" s="2150">
        <f>IF(HLOOKUP("Gs",A1:CV300,28,FALSE)=0,0,HLOOKUP("Gs - Open",A1:CV300,28,FALSE)/HLOOKUP("Gs",A1:CV300,28,FALSE))</f>
      </c>
      <c r="AS28" t="n" s="2151">
        <v>0.25</v>
      </c>
      <c r="AT28" t="n" s="2152">
        <v>0.0</v>
      </c>
      <c r="AU28" s="2153">
        <f>IF(HLOOKUP("Mins",A1:CV300,28,FALSE)=0,0,HLOOKUP("Pts",A1:CV300,28,FALSE)/HLOOKUP("Mins",A1:CV300,28,FALSE)* 90)</f>
      </c>
      <c r="AV28" s="2154">
        <f>IF(HLOOKUP("Apps",A1:CV300,28,FALSE)=0,0,HLOOKUP("Pts",A1:CV300,28,FALSE)/HLOOKUP("Apps",A1:CV300,28,FALSE)* 1)</f>
      </c>
      <c r="AW28" s="2155">
        <f>IF(HLOOKUP("Mins",A1:CV300,28,FALSE)=0,0,HLOOKUP("Gs",A1:CV300,28,FALSE)/HLOOKUP("Mins",A1:CV300,28,FALSE)* 90)</f>
      </c>
      <c r="AX28" s="2156">
        <f>IF(HLOOKUP("Mins",A1:CV300,28,FALSE)=0,0,HLOOKUP("Bonus",A1:CV300,28,FALSE)/HLOOKUP("Mins",A1:CV300,28,FALSE)* 90)</f>
      </c>
      <c r="AY28" s="2157">
        <f>IF(HLOOKUP("Mins",A1:CV300,28,FALSE)=0,0,HLOOKUP("BPS",A1:CV300,28,FALSE)/HLOOKUP("Mins",A1:CV300,28,FALSE)* 90)</f>
      </c>
      <c r="AZ28" s="2158">
        <f>IF(HLOOKUP("Mins",A1:CV300,28,FALSE)=0,0,HLOOKUP("Base BPS",A1:CV300,28,FALSE)/HLOOKUP("Mins",A1:CV300,28,FALSE)* 90)</f>
      </c>
      <c r="BA28" s="2159">
        <f>IF(HLOOKUP("Mins",A1:CV300,28,FALSE)=0,0,HLOOKUP("PenTchs",A1:CV300,28,FALSE)/HLOOKUP("Mins",A1:CV300,28,FALSE)* 90)</f>
      </c>
      <c r="BB28" s="2160">
        <f>IF(HLOOKUP("Mins",A1:CV300,28,FALSE)=0,0,HLOOKUP("Shots",A1:CV300,28,FALSE)/HLOOKUP("Mins",A1:CV300,28,FALSE)* 90)</f>
      </c>
      <c r="BC28" s="2161">
        <f>IF(HLOOKUP("Mins",A1:CV300,28,FALSE)=0,0,HLOOKUP("SIB",A1:CV300,28,FALSE)/HLOOKUP("Mins",A1:CV300,28,FALSE)* 90)</f>
      </c>
      <c r="BD28" s="2162">
        <f>IF(HLOOKUP("Mins",A1:CV300,28,FALSE)=0,0,HLOOKUP("S6YD",A1:CV300,28,FALSE)/HLOOKUP("Mins",A1:CV300,28,FALSE)* 90)</f>
      </c>
      <c r="BE28" s="2163">
        <f>IF(HLOOKUP("Mins",A1:CV300,28,FALSE)=0,0,HLOOKUP("Headers",A1:CV300,28,FALSE)/HLOOKUP("Mins",A1:CV300,28,FALSE)* 90)</f>
      </c>
      <c r="BF28" s="2164">
        <f>IF(HLOOKUP("Mins",A1:CV300,28,FALSE)=0,0,HLOOKUP("SOT",A1:CV300,28,FALSE)/HLOOKUP("Mins",A1:CV300,28,FALSE)* 90)</f>
      </c>
      <c r="BG28" s="2165">
        <f>IF(HLOOKUP("Mins",A1:CV300,28,FALSE)=0,0,HLOOKUP("As",A1:CV300,28,FALSE)/HLOOKUP("Mins",A1:CV300,28,FALSE)* 90)</f>
      </c>
      <c r="BH28" s="2166">
        <f>IF(HLOOKUP("Mins",A1:CV300,28,FALSE)=0,0,HLOOKUP("FPL As",A1:CV300,28,FALSE)/HLOOKUP("Mins",A1:CV300,28,FALSE)* 90)</f>
      </c>
      <c r="BI28" s="2167">
        <f>IF(HLOOKUP("Mins",A1:CV300,28,FALSE)=0,0,HLOOKUP("BC Created",A1:CV300,28,FALSE)/HLOOKUP("Mins",A1:CV300,28,FALSE)* 90)</f>
      </c>
      <c r="BJ28" s="2168">
        <f>IF(HLOOKUP("Mins",A1:CV300,28,FALSE)=0,0,HLOOKUP("KP",A1:CV300,28,FALSE)/HLOOKUP("Mins",A1:CV300,28,FALSE)* 90)</f>
      </c>
      <c r="BK28" s="2169">
        <f>IF(HLOOKUP("Mins",A1:CV300,28,FALSE)=0,0,HLOOKUP("BC",A1:CV300,28,FALSE)/HLOOKUP("Mins",A1:CV300,28,FALSE)* 90)</f>
      </c>
      <c r="BL28" s="2170">
        <f>IF(HLOOKUP("Mins",A1:CV300,28,FALSE)=0,0,HLOOKUP("BC Miss",A1:CV300,28,FALSE)/HLOOKUP("Mins",A1:CV300,28,FALSE)* 90)</f>
      </c>
      <c r="BM28" s="2171">
        <f>IF(HLOOKUP("Mins",A1:CV300,28,FALSE)=0,0,HLOOKUP("Gs - BC",A1:CV300,28,FALSE)/HLOOKUP("Mins",A1:CV300,28,FALSE)* 90)</f>
      </c>
      <c r="BN28" s="2172">
        <f>IF(HLOOKUP("Mins",A1:CV300,28,FALSE)=0,0,HLOOKUP("GIB",A1:CV300,28,FALSE)/HLOOKUP("Mins",A1:CV300,28,FALSE)* 90)</f>
      </c>
      <c r="BO28" s="2173">
        <f>IF(HLOOKUP("Mins",A1:CV300,28,FALSE)=0,0,HLOOKUP("Gs - Open",A1:CV300,28,FALSE)/HLOOKUP("Mins",A1:CV300,28,FALSE)* 90)</f>
      </c>
      <c r="BP28" s="2174">
        <f>IF(HLOOKUP("Mins",A1:CV300,28,FALSE)=0,0,HLOOKUP("ICT Index",A1:CV300,28,FALSE)/HLOOKUP("Mins",A1:CV300,28,FALSE)* 90)</f>
      </c>
      <c r="BQ28" s="2175">
        <f>IF(HLOOKUP("Mins",A1:CV300,28,FALSE)=0,0,(0.043*(HLOOKUP("Shots",A1:CV300,28,FALSE)-HLOOKUP("SIB",A1:CV300,28,FALSE))+0.162*(HLOOKUP("SIB",A1:CV300,28,FALSE)-(HLOOKUP("PK Gs",A1:CV300,28,FALSE)+HLOOKUP("PK Miss",A1:CV300,28,FALSE)))+0.75*(HLOOKUP("PK Gs",A1:CV300,28,FALSE)+HLOOKUP("PK Miss",A1:CV300,28,FALSE)))/HLOOKUP("Mins",A1:CV300,28,FALSE)*90)</f>
      </c>
      <c r="BR28" s="2176">
        <f>0.103*HLOOKUP("KP/90",A1:CV300,28,FALSE)</f>
      </c>
      <c r="BS28" s="2177">
        <f>4*HLOOKUP("xG/90",A1:CV300,28,FALSE)+3*HLOOKUP("xA/90",A1:CV300,28,FALSE)</f>
      </c>
      <c r="BT28" s="2178">
        <f>HLOOKUP("xPts/90",A1:CV300,28,FALSE)-(4*0.75*(HLOOKUP("PK Gs",A1:CV300,28,FALSE)+HLOOKUP("PK Miss",A1:CV300,28,FALSE))*90/HLOOKUP("Mins",A1:CV300,28,FALSE))</f>
      </c>
      <c r="BU28" s="2179">
        <f>IF(HLOOKUP("Mins",A1:CV300,28,FALSE)=0,0,HLOOKUP("fsXG",A1:CV300,28,FALSE)/HLOOKUP("Mins",A1:CV300,28,FALSE)* 90)</f>
      </c>
      <c r="BV28" s="2180">
        <f>IF(HLOOKUP("Mins",A1:CV300,28,FALSE)=0,0,HLOOKUP("fsXA",A1:CV300,28,FALSE)/HLOOKUP("Mins",A1:CV300,28,FALSE)* 90)</f>
      </c>
      <c r="BW28" s="2181">
        <f>4*HLOOKUP("fsXG/90",A1:CV300,28,FALSE)+3*HLOOKUP("fsXA/90",A1:CV300,28,FALSE)</f>
      </c>
      <c r="BX28" t="n" s="2182">
        <v>27.360177993774414</v>
      </c>
      <c r="BY28" t="n" s="2183">
        <v>0.0</v>
      </c>
      <c r="BZ28" s="2184">
        <f>4*HLOOKUP("uXG/90",A1:CV300,28,FALSE)+3*HLOOKUP("uXA/90",A1:CV300,28,FALSE)</f>
      </c>
    </row>
    <row r="29">
      <c r="A29" t="s" s="2185">
        <v>123</v>
      </c>
      <c r="B29" t="s" s="2186">
        <v>114</v>
      </c>
      <c r="C29" t="n" s="2187">
        <v>6.5</v>
      </c>
      <c r="D29" t="n" s="2188">
        <v>10.0</v>
      </c>
      <c r="E29" t="n" s="2189">
        <v>1.0</v>
      </c>
      <c r="F29" t="n" s="2190">
        <v>1.0</v>
      </c>
      <c r="G29" t="n" s="2191">
        <v>0.0</v>
      </c>
      <c r="H29" t="n" s="2192">
        <v>0.0</v>
      </c>
      <c r="I29" t="n" s="2193">
        <v>2.0</v>
      </c>
      <c r="J29" s="2194">
        <f>HLOOKUP("BPS",A1:CV300,29,FALSE)-((-6*HLOOKUP("OG",A1:CV300,29,FALSE))+(-6*HLOOKUP("PK Miss",A1:CV300,29,FALSE))+(9*HLOOKUP("FPL As",A1:CV300,29,FALSE))+(0*HLOOKUP("CS",A1:CV300,29,FALSE))+(24*HLOOKUP("Gs",A1:CV300,29,FALSE)))</f>
      </c>
      <c r="K29" t="n" s="2195">
        <v>0.0</v>
      </c>
      <c r="L29" t="n" s="2196">
        <v>0.0</v>
      </c>
      <c r="M29" t="n" s="2197">
        <v>0.0</v>
      </c>
      <c r="N29" t="n" s="2198">
        <v>0.0</v>
      </c>
      <c r="O29" t="n" s="2199">
        <v>0.0</v>
      </c>
      <c r="P29" s="2200">
        <f>IF(HLOOKUP("Shots",A1:CV300,29,FALSE)=0,0,HLOOKUP("SIB",A1:CV300,29,FALSE)/HLOOKUP("Shots",A1:CV300,29,FALSE))</f>
      </c>
      <c r="Q29" t="n" s="2201">
        <v>0.0</v>
      </c>
      <c r="R29" s="2202">
        <f>IF(HLOOKUP("Shots",A1:CV300,29,FALSE)=0,0,HLOOKUP("S6YD",A1:CV300,29,FALSE)/HLOOKUP("Shots",A1:CV300,29,FALSE))</f>
      </c>
      <c r="S29" t="n" s="2203">
        <v>0.0</v>
      </c>
      <c r="T29" s="2204">
        <f>IF(HLOOKUP("Shots",A1:CV300,29,FALSE)=0,0,HLOOKUP("Headers",A1:CV300,29,FALSE)/HLOOKUP("Shots",A1:CV300,29,FALSE))</f>
      </c>
      <c r="U29" t="n" s="2205">
        <v>0.0</v>
      </c>
      <c r="V29" s="2206">
        <f>IF(HLOOKUP("Shots",A1:CV300,29,FALSE)=0,0,HLOOKUP("SOT",A1:CV300,29,FALSE)/HLOOKUP("Shots",A1:CV300,29,FALSE))</f>
      </c>
      <c r="W29" s="2207">
        <f>IF(HLOOKUP("Shots",A1:CV300,29,FALSE)=0,0,HLOOKUP("Gs",A1:CV300,29,FALSE)/HLOOKUP("Shots",A1:CV300,29,FALSE))</f>
      </c>
      <c r="X29" t="n" s="2208">
        <v>0.0</v>
      </c>
      <c r="Y29" t="n" s="2209">
        <v>0.0</v>
      </c>
      <c r="Z29" t="n" s="2210">
        <v>0.0</v>
      </c>
      <c r="AA29" s="2211">
        <f>IF(HLOOKUP("KP",A1:CV300,29,FALSE)=0,0,HLOOKUP("As",A1:CV300,29,FALSE)/HLOOKUP("KP",A1:CV300,29,FALSE))</f>
      </c>
      <c r="AB29" t="n" s="2212">
        <v>0.2</v>
      </c>
      <c r="AC29" t="n" s="2213">
        <v>0.0</v>
      </c>
      <c r="AD29" t="n" s="2214">
        <v>0.0</v>
      </c>
      <c r="AE29" t="n" s="2215">
        <v>0.0</v>
      </c>
      <c r="AF29" t="n" s="2216">
        <v>0.0</v>
      </c>
      <c r="AG29" s="2217">
        <f>IF(HLOOKUP("BC",A1:CV300,29,FALSE)=0,0,HLOOKUP("Gs - BC",A1:CV300,29,FALSE)/HLOOKUP("BC",A1:CV300,29,FALSE))</f>
      </c>
      <c r="AH29" s="2218">
        <f>HLOOKUP("BC",A1:CV300,29,FALSE) - HLOOKUP("BC Miss",A1:CV300,29,FALSE)</f>
      </c>
      <c r="AI29" s="2219">
        <f>IF(HLOOKUP("Gs",A1:CV300,29,FALSE)=0,0,HLOOKUP("Gs - BC",A1:CV300,29,FALSE)/HLOOKUP("Gs",A1:CV300,29,FALSE))</f>
      </c>
      <c r="AJ29" t="n" s="2220">
        <v>0.0</v>
      </c>
      <c r="AK29" t="n" s="2221">
        <v>0.0</v>
      </c>
      <c r="AL29" s="2222">
        <f>HLOOKUP("BC",A1:CV300,29,FALSE) - (HLOOKUP("PK Gs",A1:CV300,29,FALSE) + HLOOKUP("PK Miss",A1:CV300,29,FALSE))</f>
      </c>
      <c r="AM29" s="2223">
        <f>HLOOKUP("BC Miss",A1:CV300,29,FALSE) - HLOOKUP("PK Miss",A1:CV300,29,FALSE)</f>
      </c>
      <c r="AN29" s="2224">
        <f>IF(HLOOKUP("BC - Open",A1:CV300,29,FALSE)=0,0,HLOOKUP("BC - Open Miss",A1:CV300,29,FALSE)/HLOOKUP("BC - Open",A1:CV300,29,FALSE))</f>
      </c>
      <c r="AO29" t="n" s="2225">
        <v>0.0</v>
      </c>
      <c r="AP29" s="2226">
        <f>IF(HLOOKUP("Gs",A1:CV300,29,FALSE)=0,0,HLOOKUP("GIB",A1:CV300,29,FALSE)/HLOOKUP("Gs",A1:CV300,29,FALSE))</f>
      </c>
      <c r="AQ29" t="n" s="2227">
        <v>0.0</v>
      </c>
      <c r="AR29" s="2228">
        <f>IF(HLOOKUP("Gs",A1:CV300,29,FALSE)=0,0,HLOOKUP("Gs - Open",A1:CV300,29,FALSE)/HLOOKUP("Gs",A1:CV300,29,FALSE))</f>
      </c>
      <c r="AS29" t="n" s="2229">
        <v>0.0</v>
      </c>
      <c r="AT29" t="n" s="2230">
        <v>0.0</v>
      </c>
      <c r="AU29" s="2231">
        <f>IF(HLOOKUP("Mins",A1:CV300,29,FALSE)=0,0,HLOOKUP("Pts",A1:CV300,29,FALSE)/HLOOKUP("Mins",A1:CV300,29,FALSE)* 90)</f>
      </c>
      <c r="AV29" s="2232">
        <f>IF(HLOOKUP("Apps",A1:CV300,29,FALSE)=0,0,HLOOKUP("Pts",A1:CV300,29,FALSE)/HLOOKUP("Apps",A1:CV300,29,FALSE)* 1)</f>
      </c>
      <c r="AW29" s="2233">
        <f>IF(HLOOKUP("Mins",A1:CV300,29,FALSE)=0,0,HLOOKUP("Gs",A1:CV300,29,FALSE)/HLOOKUP("Mins",A1:CV300,29,FALSE)* 90)</f>
      </c>
      <c r="AX29" s="2234">
        <f>IF(HLOOKUP("Mins",A1:CV300,29,FALSE)=0,0,HLOOKUP("Bonus",A1:CV300,29,FALSE)/HLOOKUP("Mins",A1:CV300,29,FALSE)* 90)</f>
      </c>
      <c r="AY29" s="2235">
        <f>IF(HLOOKUP("Mins",A1:CV300,29,FALSE)=0,0,HLOOKUP("BPS",A1:CV300,29,FALSE)/HLOOKUP("Mins",A1:CV300,29,FALSE)* 90)</f>
      </c>
      <c r="AZ29" s="2236">
        <f>IF(HLOOKUP("Mins",A1:CV300,29,FALSE)=0,0,HLOOKUP("Base BPS",A1:CV300,29,FALSE)/HLOOKUP("Mins",A1:CV300,29,FALSE)* 90)</f>
      </c>
      <c r="BA29" s="2237">
        <f>IF(HLOOKUP("Mins",A1:CV300,29,FALSE)=0,0,HLOOKUP("PenTchs",A1:CV300,29,FALSE)/HLOOKUP("Mins",A1:CV300,29,FALSE)* 90)</f>
      </c>
      <c r="BB29" s="2238">
        <f>IF(HLOOKUP("Mins",A1:CV300,29,FALSE)=0,0,HLOOKUP("Shots",A1:CV300,29,FALSE)/HLOOKUP("Mins",A1:CV300,29,FALSE)* 90)</f>
      </c>
      <c r="BC29" s="2239">
        <f>IF(HLOOKUP("Mins",A1:CV300,29,FALSE)=0,0,HLOOKUP("SIB",A1:CV300,29,FALSE)/HLOOKUP("Mins",A1:CV300,29,FALSE)* 90)</f>
      </c>
      <c r="BD29" s="2240">
        <f>IF(HLOOKUP("Mins",A1:CV300,29,FALSE)=0,0,HLOOKUP("S6YD",A1:CV300,29,FALSE)/HLOOKUP("Mins",A1:CV300,29,FALSE)* 90)</f>
      </c>
      <c r="BE29" s="2241">
        <f>IF(HLOOKUP("Mins",A1:CV300,29,FALSE)=0,0,HLOOKUP("Headers",A1:CV300,29,FALSE)/HLOOKUP("Mins",A1:CV300,29,FALSE)* 90)</f>
      </c>
      <c r="BF29" s="2242">
        <f>IF(HLOOKUP("Mins",A1:CV300,29,FALSE)=0,0,HLOOKUP("SOT",A1:CV300,29,FALSE)/HLOOKUP("Mins",A1:CV300,29,FALSE)* 90)</f>
      </c>
      <c r="BG29" s="2243">
        <f>IF(HLOOKUP("Mins",A1:CV300,29,FALSE)=0,0,HLOOKUP("As",A1:CV300,29,FALSE)/HLOOKUP("Mins",A1:CV300,29,FALSE)* 90)</f>
      </c>
      <c r="BH29" s="2244">
        <f>IF(HLOOKUP("Mins",A1:CV300,29,FALSE)=0,0,HLOOKUP("FPL As",A1:CV300,29,FALSE)/HLOOKUP("Mins",A1:CV300,29,FALSE)* 90)</f>
      </c>
      <c r="BI29" s="2245">
        <f>IF(HLOOKUP("Mins",A1:CV300,29,FALSE)=0,0,HLOOKUP("BC Created",A1:CV300,29,FALSE)/HLOOKUP("Mins",A1:CV300,29,FALSE)* 90)</f>
      </c>
      <c r="BJ29" s="2246">
        <f>IF(HLOOKUP("Mins",A1:CV300,29,FALSE)=0,0,HLOOKUP("KP",A1:CV300,29,FALSE)/HLOOKUP("Mins",A1:CV300,29,FALSE)* 90)</f>
      </c>
      <c r="BK29" s="2247">
        <f>IF(HLOOKUP("Mins",A1:CV300,29,FALSE)=0,0,HLOOKUP("BC",A1:CV300,29,FALSE)/HLOOKUP("Mins",A1:CV300,29,FALSE)* 90)</f>
      </c>
      <c r="BL29" s="2248">
        <f>IF(HLOOKUP("Mins",A1:CV300,29,FALSE)=0,0,HLOOKUP("BC Miss",A1:CV300,29,FALSE)/HLOOKUP("Mins",A1:CV300,29,FALSE)* 90)</f>
      </c>
      <c r="BM29" s="2249">
        <f>IF(HLOOKUP("Mins",A1:CV300,29,FALSE)=0,0,HLOOKUP("Gs - BC",A1:CV300,29,FALSE)/HLOOKUP("Mins",A1:CV300,29,FALSE)* 90)</f>
      </c>
      <c r="BN29" s="2250">
        <f>IF(HLOOKUP("Mins",A1:CV300,29,FALSE)=0,0,HLOOKUP("GIB",A1:CV300,29,FALSE)/HLOOKUP("Mins",A1:CV300,29,FALSE)* 90)</f>
      </c>
      <c r="BO29" s="2251">
        <f>IF(HLOOKUP("Mins",A1:CV300,29,FALSE)=0,0,HLOOKUP("Gs - Open",A1:CV300,29,FALSE)/HLOOKUP("Mins",A1:CV300,29,FALSE)* 90)</f>
      </c>
      <c r="BP29" s="2252">
        <f>IF(HLOOKUP("Mins",A1:CV300,29,FALSE)=0,0,HLOOKUP("ICT Index",A1:CV300,29,FALSE)/HLOOKUP("Mins",A1:CV300,29,FALSE)* 90)</f>
      </c>
      <c r="BQ29" s="2253">
        <f>IF(HLOOKUP("Mins",A1:CV300,29,FALSE)=0,0,(0.043*(HLOOKUP("Shots",A1:CV300,29,FALSE)-HLOOKUP("SIB",A1:CV300,29,FALSE))+0.162*(HLOOKUP("SIB",A1:CV300,29,FALSE)-(HLOOKUP("PK Gs",A1:CV300,29,FALSE)+HLOOKUP("PK Miss",A1:CV300,29,FALSE)))+0.75*(HLOOKUP("PK Gs",A1:CV300,29,FALSE)+HLOOKUP("PK Miss",A1:CV300,29,FALSE)))/HLOOKUP("Mins",A1:CV300,29,FALSE)*90)</f>
      </c>
      <c r="BR29" s="2254">
        <f>0.103*HLOOKUP("KP/90",A1:CV300,29,FALSE)</f>
      </c>
      <c r="BS29" s="2255">
        <f>4*HLOOKUP("xG/90",A1:CV300,29,FALSE)+3*HLOOKUP("xA/90",A1:CV300,29,FALSE)</f>
      </c>
      <c r="BT29" s="2256">
        <f>HLOOKUP("xPts/90",A1:CV300,29,FALSE)-(4*0.75*(HLOOKUP("PK Gs",A1:CV300,29,FALSE)+HLOOKUP("PK Miss",A1:CV300,29,FALSE))*90/HLOOKUP("Mins",A1:CV300,29,FALSE))</f>
      </c>
      <c r="BU29" s="2257">
        <f>IF(HLOOKUP("Mins",A1:CV300,29,FALSE)=0,0,HLOOKUP("fsXG",A1:CV300,29,FALSE)/HLOOKUP("Mins",A1:CV300,29,FALSE)* 90)</f>
      </c>
      <c r="BV29" s="2258">
        <f>IF(HLOOKUP("Mins",A1:CV300,29,FALSE)=0,0,HLOOKUP("fsXA",A1:CV300,29,FALSE)/HLOOKUP("Mins",A1:CV300,29,FALSE)* 90)</f>
      </c>
      <c r="BW29" s="2259">
        <f>4*HLOOKUP("fsXG/90",A1:CV300,29,FALSE)+3*HLOOKUP("fsXA/90",A1:CV300,29,FALSE)</f>
      </c>
      <c r="BX29" t="n" s="2260">
        <v>0.0</v>
      </c>
      <c r="BY29" t="n" s="2261">
        <v>0.0</v>
      </c>
      <c r="BZ29" s="2262">
        <f>4*HLOOKUP("uXG/90",A1:CV300,29,FALSE)+3*HLOOKUP("uXA/90",A1:CV300,29,FALSE)</f>
      </c>
    </row>
    <row r="30">
      <c r="A30" t="s" s="2263">
        <v>124</v>
      </c>
      <c r="B30" t="s" s="2264">
        <v>80</v>
      </c>
      <c r="C30" t="n" s="2265">
        <v>10.800000190734863</v>
      </c>
      <c r="D30" t="n" s="2266">
        <v>337.0</v>
      </c>
      <c r="E30" t="n" s="2267">
        <v>4.0</v>
      </c>
      <c r="F30" t="n" s="2268">
        <v>137.0</v>
      </c>
      <c r="G30" t="n" s="2269">
        <v>2.0</v>
      </c>
      <c r="H30" t="n" s="2270">
        <v>26.0</v>
      </c>
      <c r="I30" t="n" s="2271">
        <v>526.0</v>
      </c>
      <c r="J30" s="2272">
        <f>HLOOKUP("BPS",A1:CV300,30,FALSE)-((-6*HLOOKUP("OG",A1:CV300,30,FALSE))+(-6*HLOOKUP("PK Miss",A1:CV300,30,FALSE))+(9*HLOOKUP("FPL As",A1:CV300,30,FALSE))+(0*HLOOKUP("CS",A1:CV300,30,FALSE))+(24*HLOOKUP("Gs",A1:CV300,30,FALSE)))</f>
      </c>
      <c r="K30" t="n" s="2273">
        <v>0.0</v>
      </c>
      <c r="L30" t="n" s="2274">
        <v>6.0</v>
      </c>
      <c r="M30" t="n" s="2275">
        <v>20.0</v>
      </c>
      <c r="N30" t="n" s="2276">
        <v>9.0</v>
      </c>
      <c r="O30" t="n" s="2277">
        <v>8.0</v>
      </c>
      <c r="P30" s="2278">
        <f>IF(HLOOKUP("Shots",A1:CV300,30,FALSE)=0,0,HLOOKUP("SIB",A1:CV300,30,FALSE)/HLOOKUP("Shots",A1:CV300,30,FALSE))</f>
      </c>
      <c r="Q30" t="n" s="2279">
        <v>0.0</v>
      </c>
      <c r="R30" s="2280">
        <f>IF(HLOOKUP("Shots",A1:CV300,30,FALSE)=0,0,HLOOKUP("S6YD",A1:CV300,30,FALSE)/HLOOKUP("Shots",A1:CV300,30,FALSE))</f>
      </c>
      <c r="S30" t="n" s="2281">
        <v>2.0</v>
      </c>
      <c r="T30" s="2282">
        <f>IF(HLOOKUP("Shots",A1:CV300,30,FALSE)=0,0,HLOOKUP("Headers",A1:CV300,30,FALSE)/HLOOKUP("Shots",A1:CV300,30,FALSE))</f>
      </c>
      <c r="U30" t="n" s="2283">
        <v>4.0</v>
      </c>
      <c r="V30" s="2284">
        <f>IF(HLOOKUP("Shots",A1:CV300,30,FALSE)=0,0,HLOOKUP("SOT",A1:CV300,30,FALSE)/HLOOKUP("Shots",A1:CV300,30,FALSE))</f>
      </c>
      <c r="W30" s="2285">
        <f>IF(HLOOKUP("Shots",A1:CV300,30,FALSE)=0,0,HLOOKUP("Gs",A1:CV300,30,FALSE)/HLOOKUP("Shots",A1:CV300,30,FALSE))</f>
      </c>
      <c r="X30" t="n" s="2286">
        <v>0.0</v>
      </c>
      <c r="Y30" t="n" s="2287">
        <v>3.0</v>
      </c>
      <c r="Z30" t="n" s="2288">
        <v>3.0</v>
      </c>
      <c r="AA30" s="2289">
        <f>IF(HLOOKUP("KP",A1:CV300,30,FALSE)=0,0,HLOOKUP("As",A1:CV300,30,FALSE)/HLOOKUP("KP",A1:CV300,30,FALSE))</f>
      </c>
      <c r="AB30" t="n" s="2290">
        <v>26.8</v>
      </c>
      <c r="AC30" t="n" s="2291">
        <v>29.0</v>
      </c>
      <c r="AD30" t="n" s="2292">
        <v>0.0</v>
      </c>
      <c r="AE30" t="n" s="2293">
        <v>4.0</v>
      </c>
      <c r="AF30" t="n" s="2294">
        <v>2.0</v>
      </c>
      <c r="AG30" s="2295">
        <f>IF(HLOOKUP("BC",A1:CV300,30,FALSE)=0,0,HLOOKUP("Gs - BC",A1:CV300,30,FALSE)/HLOOKUP("BC",A1:CV300,30,FALSE))</f>
      </c>
      <c r="AH30" s="2296">
        <f>HLOOKUP("BC",A1:CV300,30,FALSE) - HLOOKUP("BC Miss",A1:CV300,30,FALSE)</f>
      </c>
      <c r="AI30" s="2297">
        <f>IF(HLOOKUP("Gs",A1:CV300,30,FALSE)=0,0,HLOOKUP("Gs - BC",A1:CV300,30,FALSE)/HLOOKUP("Gs",A1:CV300,30,FALSE))</f>
      </c>
      <c r="AJ30" t="n" s="2298">
        <v>0.0</v>
      </c>
      <c r="AK30" t="n" s="2299">
        <v>0.0</v>
      </c>
      <c r="AL30" s="2300">
        <f>HLOOKUP("BC",A1:CV300,30,FALSE) - (HLOOKUP("PK Gs",A1:CV300,30,FALSE) + HLOOKUP("PK Miss",A1:CV300,30,FALSE))</f>
      </c>
      <c r="AM30" s="2301">
        <f>HLOOKUP("BC Miss",A1:CV300,30,FALSE) - HLOOKUP("PK Miss",A1:CV300,30,FALSE)</f>
      </c>
      <c r="AN30" s="2302">
        <f>IF(HLOOKUP("BC - Open",A1:CV300,30,FALSE)=0,0,HLOOKUP("BC - Open Miss",A1:CV300,30,FALSE)/HLOOKUP("BC - Open",A1:CV300,30,FALSE))</f>
      </c>
      <c r="AO30" t="n" s="2303">
        <v>2.0</v>
      </c>
      <c r="AP30" s="2304">
        <f>IF(HLOOKUP("Gs",A1:CV300,30,FALSE)=0,0,HLOOKUP("GIB",A1:CV300,30,FALSE)/HLOOKUP("Gs",A1:CV300,30,FALSE))</f>
      </c>
      <c r="AQ30" t="n" s="2305">
        <v>2.0</v>
      </c>
      <c r="AR30" s="2306">
        <f>IF(HLOOKUP("Gs",A1:CV300,30,FALSE)=0,0,HLOOKUP("Gs - Open",A1:CV300,30,FALSE)/HLOOKUP("Gs",A1:CV300,30,FALSE))</f>
      </c>
      <c r="AS30" t="n" s="2307">
        <v>1.48</v>
      </c>
      <c r="AT30" t="n" s="2308">
        <v>0.35</v>
      </c>
      <c r="AU30" s="2309">
        <f>IF(HLOOKUP("Mins",A1:CV300,30,FALSE)=0,0,HLOOKUP("Pts",A1:CV300,30,FALSE)/HLOOKUP("Mins",A1:CV300,30,FALSE)* 90)</f>
      </c>
      <c r="AV30" s="2310">
        <f>IF(HLOOKUP("Apps",A1:CV300,30,FALSE)=0,0,HLOOKUP("Pts",A1:CV300,30,FALSE)/HLOOKUP("Apps",A1:CV300,30,FALSE)* 1)</f>
      </c>
      <c r="AW30" s="2311">
        <f>IF(HLOOKUP("Mins",A1:CV300,30,FALSE)=0,0,HLOOKUP("Gs",A1:CV300,30,FALSE)/HLOOKUP("Mins",A1:CV300,30,FALSE)* 90)</f>
      </c>
      <c r="AX30" s="2312">
        <f>IF(HLOOKUP("Mins",A1:CV300,30,FALSE)=0,0,HLOOKUP("Bonus",A1:CV300,30,FALSE)/HLOOKUP("Mins",A1:CV300,30,FALSE)* 90)</f>
      </c>
      <c r="AY30" s="2313">
        <f>IF(HLOOKUP("Mins",A1:CV300,30,FALSE)=0,0,HLOOKUP("BPS",A1:CV300,30,FALSE)/HLOOKUP("Mins",A1:CV300,30,FALSE)* 90)</f>
      </c>
      <c r="AZ30" s="2314">
        <f>IF(HLOOKUP("Mins",A1:CV300,30,FALSE)=0,0,HLOOKUP("Base BPS",A1:CV300,30,FALSE)/HLOOKUP("Mins",A1:CV300,30,FALSE)* 90)</f>
      </c>
      <c r="BA30" s="2315">
        <f>IF(HLOOKUP("Mins",A1:CV300,30,FALSE)=0,0,HLOOKUP("PenTchs",A1:CV300,30,FALSE)/HLOOKUP("Mins",A1:CV300,30,FALSE)* 90)</f>
      </c>
      <c r="BB30" s="2316">
        <f>IF(HLOOKUP("Mins",A1:CV300,30,FALSE)=0,0,HLOOKUP("Shots",A1:CV300,30,FALSE)/HLOOKUP("Mins",A1:CV300,30,FALSE)* 90)</f>
      </c>
      <c r="BC30" s="2317">
        <f>IF(HLOOKUP("Mins",A1:CV300,30,FALSE)=0,0,HLOOKUP("SIB",A1:CV300,30,FALSE)/HLOOKUP("Mins",A1:CV300,30,FALSE)* 90)</f>
      </c>
      <c r="BD30" s="2318">
        <f>IF(HLOOKUP("Mins",A1:CV300,30,FALSE)=0,0,HLOOKUP("S6YD",A1:CV300,30,FALSE)/HLOOKUP("Mins",A1:CV300,30,FALSE)* 90)</f>
      </c>
      <c r="BE30" s="2319">
        <f>IF(HLOOKUP("Mins",A1:CV300,30,FALSE)=0,0,HLOOKUP("Headers",A1:CV300,30,FALSE)/HLOOKUP("Mins",A1:CV300,30,FALSE)* 90)</f>
      </c>
      <c r="BF30" s="2320">
        <f>IF(HLOOKUP("Mins",A1:CV300,30,FALSE)=0,0,HLOOKUP("SOT",A1:CV300,30,FALSE)/HLOOKUP("Mins",A1:CV300,30,FALSE)* 90)</f>
      </c>
      <c r="BG30" s="2321">
        <f>IF(HLOOKUP("Mins",A1:CV300,30,FALSE)=0,0,HLOOKUP("As",A1:CV300,30,FALSE)/HLOOKUP("Mins",A1:CV300,30,FALSE)* 90)</f>
      </c>
      <c r="BH30" s="2322">
        <f>IF(HLOOKUP("Mins",A1:CV300,30,FALSE)=0,0,HLOOKUP("FPL As",A1:CV300,30,FALSE)/HLOOKUP("Mins",A1:CV300,30,FALSE)* 90)</f>
      </c>
      <c r="BI30" s="2323">
        <f>IF(HLOOKUP("Mins",A1:CV300,30,FALSE)=0,0,HLOOKUP("BC Created",A1:CV300,30,FALSE)/HLOOKUP("Mins",A1:CV300,30,FALSE)* 90)</f>
      </c>
      <c r="BJ30" s="2324">
        <f>IF(HLOOKUP("Mins",A1:CV300,30,FALSE)=0,0,HLOOKUP("KP",A1:CV300,30,FALSE)/HLOOKUP("Mins",A1:CV300,30,FALSE)* 90)</f>
      </c>
      <c r="BK30" s="2325">
        <f>IF(HLOOKUP("Mins",A1:CV300,30,FALSE)=0,0,HLOOKUP("BC",A1:CV300,30,FALSE)/HLOOKUP("Mins",A1:CV300,30,FALSE)* 90)</f>
      </c>
      <c r="BL30" s="2326">
        <f>IF(HLOOKUP("Mins",A1:CV300,30,FALSE)=0,0,HLOOKUP("BC Miss",A1:CV300,30,FALSE)/HLOOKUP("Mins",A1:CV300,30,FALSE)* 90)</f>
      </c>
      <c r="BM30" s="2327">
        <f>IF(HLOOKUP("Mins",A1:CV300,30,FALSE)=0,0,HLOOKUP("Gs - BC",A1:CV300,30,FALSE)/HLOOKUP("Mins",A1:CV300,30,FALSE)* 90)</f>
      </c>
      <c r="BN30" s="2328">
        <f>IF(HLOOKUP("Mins",A1:CV300,30,FALSE)=0,0,HLOOKUP("GIB",A1:CV300,30,FALSE)/HLOOKUP("Mins",A1:CV300,30,FALSE)* 90)</f>
      </c>
      <c r="BO30" s="2329">
        <f>IF(HLOOKUP("Mins",A1:CV300,30,FALSE)=0,0,HLOOKUP("Gs - Open",A1:CV300,30,FALSE)/HLOOKUP("Mins",A1:CV300,30,FALSE)* 90)</f>
      </c>
      <c r="BP30" s="2330">
        <f>IF(HLOOKUP("Mins",A1:CV300,30,FALSE)=0,0,HLOOKUP("ICT Index",A1:CV300,30,FALSE)/HLOOKUP("Mins",A1:CV300,30,FALSE)* 90)</f>
      </c>
      <c r="BQ30" s="2331">
        <f>IF(HLOOKUP("Mins",A1:CV300,30,FALSE)=0,0,(0.043*(HLOOKUP("Shots",A1:CV300,30,FALSE)-HLOOKUP("SIB",A1:CV300,30,FALSE))+0.162*(HLOOKUP("SIB",A1:CV300,30,FALSE)-(HLOOKUP("PK Gs",A1:CV300,30,FALSE)+HLOOKUP("PK Miss",A1:CV300,30,FALSE)))+0.75*(HLOOKUP("PK Gs",A1:CV300,30,FALSE)+HLOOKUP("PK Miss",A1:CV300,30,FALSE)))/HLOOKUP("Mins",A1:CV300,30,FALSE)*90)</f>
      </c>
      <c r="BR30" s="2332">
        <f>0.103*HLOOKUP("KP/90",A1:CV300,30,FALSE)</f>
      </c>
      <c r="BS30" s="2333">
        <f>4*HLOOKUP("xG/90",A1:CV300,30,FALSE)+3*HLOOKUP("xA/90",A1:CV300,30,FALSE)</f>
      </c>
      <c r="BT30" s="2334">
        <f>HLOOKUP("xPts/90",A1:CV300,30,FALSE)-(4*0.75*(HLOOKUP("PK Gs",A1:CV300,30,FALSE)+HLOOKUP("PK Miss",A1:CV300,30,FALSE))*90/HLOOKUP("Mins",A1:CV300,30,FALSE))</f>
      </c>
      <c r="BU30" s="2335">
        <f>IF(HLOOKUP("Mins",A1:CV300,30,FALSE)=0,0,HLOOKUP("fsXG",A1:CV300,30,FALSE)/HLOOKUP("Mins",A1:CV300,30,FALSE)* 90)</f>
      </c>
      <c r="BV30" s="2336">
        <f>IF(HLOOKUP("Mins",A1:CV300,30,FALSE)=0,0,HLOOKUP("fsXA",A1:CV300,30,FALSE)/HLOOKUP("Mins",A1:CV300,30,FALSE)* 90)</f>
      </c>
      <c r="BW30" s="2337">
        <f>4*HLOOKUP("fsXG/90",A1:CV300,30,FALSE)+3*HLOOKUP("fsXA/90",A1:CV300,30,FALSE)</f>
      </c>
      <c r="BX30" t="n" s="2338">
        <v>0.5087850689888</v>
      </c>
      <c r="BY30" t="n" s="2339">
        <v>0.12836772203445435</v>
      </c>
      <c r="BZ30" s="2340">
        <f>4*HLOOKUP("uXG/90",A1:CV300,30,FALSE)+3*HLOOKUP("uXA/90",A1:CV300,30,FALSE)</f>
      </c>
    </row>
    <row r="31">
      <c r="A31" t="s" s="2341">
        <v>125</v>
      </c>
      <c r="B31" t="s" s="2342">
        <v>118</v>
      </c>
      <c r="C31" t="n" s="2343">
        <v>6.199999809265137</v>
      </c>
      <c r="D31" t="n" s="2344">
        <v>523.0</v>
      </c>
      <c r="E31" t="n" s="2345">
        <v>6.0</v>
      </c>
      <c r="F31" t="n" s="2346">
        <v>96.0</v>
      </c>
      <c r="G31" t="n" s="2347">
        <v>3.0</v>
      </c>
      <c r="H31" t="n" s="2348">
        <v>13.0</v>
      </c>
      <c r="I31" t="n" s="2349">
        <v>332.0</v>
      </c>
      <c r="J31" s="2350">
        <f>HLOOKUP("BPS",A1:CV300,31,FALSE)-((-6*HLOOKUP("OG",A1:CV300,31,FALSE))+(-6*HLOOKUP("PK Miss",A1:CV300,31,FALSE))+(9*HLOOKUP("FPL As",A1:CV300,31,FALSE))+(0*HLOOKUP("CS",A1:CV300,31,FALSE))+(24*HLOOKUP("Gs",A1:CV300,31,FALSE)))</f>
      </c>
      <c r="K31" t="n" s="2351">
        <v>0.0</v>
      </c>
      <c r="L31" t="n" s="2352">
        <v>5.0</v>
      </c>
      <c r="M31" t="n" s="2353">
        <v>33.0</v>
      </c>
      <c r="N31" t="n" s="2354">
        <v>20.0</v>
      </c>
      <c r="O31" t="n" s="2355">
        <v>18.0</v>
      </c>
      <c r="P31" s="2356">
        <f>IF(HLOOKUP("Shots",A1:CV300,31,FALSE)=0,0,HLOOKUP("SIB",A1:CV300,31,FALSE)/HLOOKUP("Shots",A1:CV300,31,FALSE))</f>
      </c>
      <c r="Q31" t="n" s="2357">
        <v>4.0</v>
      </c>
      <c r="R31" s="2358">
        <f>IF(HLOOKUP("Shots",A1:CV300,31,FALSE)=0,0,HLOOKUP("S6YD",A1:CV300,31,FALSE)/HLOOKUP("Shots",A1:CV300,31,FALSE))</f>
      </c>
      <c r="S31" t="n" s="2359">
        <v>6.0</v>
      </c>
      <c r="T31" s="2360">
        <f>IF(HLOOKUP("Shots",A1:CV300,31,FALSE)=0,0,HLOOKUP("Headers",A1:CV300,31,FALSE)/HLOOKUP("Shots",A1:CV300,31,FALSE))</f>
      </c>
      <c r="U31" t="n" s="2361">
        <v>8.0</v>
      </c>
      <c r="V31" s="2362">
        <f>IF(HLOOKUP("Shots",A1:CV300,31,FALSE)=0,0,HLOOKUP("SOT",A1:CV300,31,FALSE)/HLOOKUP("Shots",A1:CV300,31,FALSE))</f>
      </c>
      <c r="W31" s="2363">
        <f>IF(HLOOKUP("Shots",A1:CV300,31,FALSE)=0,0,HLOOKUP("Gs",A1:CV300,31,FALSE)/HLOOKUP("Shots",A1:CV300,31,FALSE))</f>
      </c>
      <c r="X31" t="n" s="2364">
        <v>1.0</v>
      </c>
      <c r="Y31" t="n" s="2365">
        <v>1.0</v>
      </c>
      <c r="Z31" t="n" s="2366">
        <v>4.0</v>
      </c>
      <c r="AA31" s="2367">
        <f>IF(HLOOKUP("KP",A1:CV300,31,FALSE)=0,0,HLOOKUP("As",A1:CV300,31,FALSE)/HLOOKUP("KP",A1:CV300,31,FALSE))</f>
      </c>
      <c r="AB31" t="n" s="2368">
        <v>52.7</v>
      </c>
      <c r="AC31" t="n" s="2369">
        <v>40.0</v>
      </c>
      <c r="AD31" t="n" s="2370">
        <v>0.0</v>
      </c>
      <c r="AE31" t="n" s="2371">
        <v>8.0</v>
      </c>
      <c r="AF31" t="n" s="2372">
        <v>5.0</v>
      </c>
      <c r="AG31" s="2373">
        <f>IF(HLOOKUP("BC",A1:CV300,31,FALSE)=0,0,HLOOKUP("Gs - BC",A1:CV300,31,FALSE)/HLOOKUP("BC",A1:CV300,31,FALSE))</f>
      </c>
      <c r="AH31" s="2374">
        <f>HLOOKUP("BC",A1:CV300,31,FALSE) - HLOOKUP("BC Miss",A1:CV300,31,FALSE)</f>
      </c>
      <c r="AI31" s="2375">
        <f>IF(HLOOKUP("Gs",A1:CV300,31,FALSE)=0,0,HLOOKUP("Gs - BC",A1:CV300,31,FALSE)/HLOOKUP("Gs",A1:CV300,31,FALSE))</f>
      </c>
      <c r="AJ31" t="n" s="2376">
        <v>0.0</v>
      </c>
      <c r="AK31" t="n" s="2377">
        <v>0.0</v>
      </c>
      <c r="AL31" s="2378">
        <f>HLOOKUP("BC",A1:CV300,31,FALSE) - (HLOOKUP("PK Gs",A1:CV300,31,FALSE) + HLOOKUP("PK Miss",A1:CV300,31,FALSE))</f>
      </c>
      <c r="AM31" s="2379">
        <f>HLOOKUP("BC Miss",A1:CV300,31,FALSE) - HLOOKUP("PK Miss",A1:CV300,31,FALSE)</f>
      </c>
      <c r="AN31" s="2380">
        <f>IF(HLOOKUP("BC - Open",A1:CV300,31,FALSE)=0,0,HLOOKUP("BC - Open Miss",A1:CV300,31,FALSE)/HLOOKUP("BC - Open",A1:CV300,31,FALSE))</f>
      </c>
      <c r="AO31" t="n" s="2381">
        <v>3.0</v>
      </c>
      <c r="AP31" s="2382">
        <f>IF(HLOOKUP("Gs",A1:CV300,31,FALSE)=0,0,HLOOKUP("GIB",A1:CV300,31,FALSE)/HLOOKUP("Gs",A1:CV300,31,FALSE))</f>
      </c>
      <c r="AQ31" t="n" s="2383">
        <v>1.0</v>
      </c>
      <c r="AR31" s="2384">
        <f>IF(HLOOKUP("Gs",A1:CV300,31,FALSE)=0,0,HLOOKUP("Gs - Open",A1:CV300,31,FALSE)/HLOOKUP("Gs",A1:CV300,31,FALSE))</f>
      </c>
      <c r="AS31" t="n" s="2385">
        <v>3.8</v>
      </c>
      <c r="AT31" t="n" s="2386">
        <v>0.23</v>
      </c>
      <c r="AU31" s="2387">
        <f>IF(HLOOKUP("Mins",A1:CV300,31,FALSE)=0,0,HLOOKUP("Pts",A1:CV300,31,FALSE)/HLOOKUP("Mins",A1:CV300,31,FALSE)* 90)</f>
      </c>
      <c r="AV31" s="2388">
        <f>IF(HLOOKUP("Apps",A1:CV300,31,FALSE)=0,0,HLOOKUP("Pts",A1:CV300,31,FALSE)/HLOOKUP("Apps",A1:CV300,31,FALSE)* 1)</f>
      </c>
      <c r="AW31" s="2389">
        <f>IF(HLOOKUP("Mins",A1:CV300,31,FALSE)=0,0,HLOOKUP("Gs",A1:CV300,31,FALSE)/HLOOKUP("Mins",A1:CV300,31,FALSE)* 90)</f>
      </c>
      <c r="AX31" s="2390">
        <f>IF(HLOOKUP("Mins",A1:CV300,31,FALSE)=0,0,HLOOKUP("Bonus",A1:CV300,31,FALSE)/HLOOKUP("Mins",A1:CV300,31,FALSE)* 90)</f>
      </c>
      <c r="AY31" s="2391">
        <f>IF(HLOOKUP("Mins",A1:CV300,31,FALSE)=0,0,HLOOKUP("BPS",A1:CV300,31,FALSE)/HLOOKUP("Mins",A1:CV300,31,FALSE)* 90)</f>
      </c>
      <c r="AZ31" s="2392">
        <f>IF(HLOOKUP("Mins",A1:CV300,31,FALSE)=0,0,HLOOKUP("Base BPS",A1:CV300,31,FALSE)/HLOOKUP("Mins",A1:CV300,31,FALSE)* 90)</f>
      </c>
      <c r="BA31" s="2393">
        <f>IF(HLOOKUP("Mins",A1:CV300,31,FALSE)=0,0,HLOOKUP("PenTchs",A1:CV300,31,FALSE)/HLOOKUP("Mins",A1:CV300,31,FALSE)* 90)</f>
      </c>
      <c r="BB31" s="2394">
        <f>IF(HLOOKUP("Mins",A1:CV300,31,FALSE)=0,0,HLOOKUP("Shots",A1:CV300,31,FALSE)/HLOOKUP("Mins",A1:CV300,31,FALSE)* 90)</f>
      </c>
      <c r="BC31" s="2395">
        <f>IF(HLOOKUP("Mins",A1:CV300,31,FALSE)=0,0,HLOOKUP("SIB",A1:CV300,31,FALSE)/HLOOKUP("Mins",A1:CV300,31,FALSE)* 90)</f>
      </c>
      <c r="BD31" s="2396">
        <f>IF(HLOOKUP("Mins",A1:CV300,31,FALSE)=0,0,HLOOKUP("S6YD",A1:CV300,31,FALSE)/HLOOKUP("Mins",A1:CV300,31,FALSE)* 90)</f>
      </c>
      <c r="BE31" s="2397">
        <f>IF(HLOOKUP("Mins",A1:CV300,31,FALSE)=0,0,HLOOKUP("Headers",A1:CV300,31,FALSE)/HLOOKUP("Mins",A1:CV300,31,FALSE)* 90)</f>
      </c>
      <c r="BF31" s="2398">
        <f>IF(HLOOKUP("Mins",A1:CV300,31,FALSE)=0,0,HLOOKUP("SOT",A1:CV300,31,FALSE)/HLOOKUP("Mins",A1:CV300,31,FALSE)* 90)</f>
      </c>
      <c r="BG31" s="2399">
        <f>IF(HLOOKUP("Mins",A1:CV300,31,FALSE)=0,0,HLOOKUP("As",A1:CV300,31,FALSE)/HLOOKUP("Mins",A1:CV300,31,FALSE)* 90)</f>
      </c>
      <c r="BH31" s="2400">
        <f>IF(HLOOKUP("Mins",A1:CV300,31,FALSE)=0,0,HLOOKUP("FPL As",A1:CV300,31,FALSE)/HLOOKUP("Mins",A1:CV300,31,FALSE)* 90)</f>
      </c>
      <c r="BI31" s="2401">
        <f>IF(HLOOKUP("Mins",A1:CV300,31,FALSE)=0,0,HLOOKUP("BC Created",A1:CV300,31,FALSE)/HLOOKUP("Mins",A1:CV300,31,FALSE)* 90)</f>
      </c>
      <c r="BJ31" s="2402">
        <f>IF(HLOOKUP("Mins",A1:CV300,31,FALSE)=0,0,HLOOKUP("KP",A1:CV300,31,FALSE)/HLOOKUP("Mins",A1:CV300,31,FALSE)* 90)</f>
      </c>
      <c r="BK31" s="2403">
        <f>IF(HLOOKUP("Mins",A1:CV300,31,FALSE)=0,0,HLOOKUP("BC",A1:CV300,31,FALSE)/HLOOKUP("Mins",A1:CV300,31,FALSE)* 90)</f>
      </c>
      <c r="BL31" s="2404">
        <f>IF(HLOOKUP("Mins",A1:CV300,31,FALSE)=0,0,HLOOKUP("BC Miss",A1:CV300,31,FALSE)/HLOOKUP("Mins",A1:CV300,31,FALSE)* 90)</f>
      </c>
      <c r="BM31" s="2405">
        <f>IF(HLOOKUP("Mins",A1:CV300,31,FALSE)=0,0,HLOOKUP("Gs - BC",A1:CV300,31,FALSE)/HLOOKUP("Mins",A1:CV300,31,FALSE)* 90)</f>
      </c>
      <c r="BN31" s="2406">
        <f>IF(HLOOKUP("Mins",A1:CV300,31,FALSE)=0,0,HLOOKUP("GIB",A1:CV300,31,FALSE)/HLOOKUP("Mins",A1:CV300,31,FALSE)* 90)</f>
      </c>
      <c r="BO31" s="2407">
        <f>IF(HLOOKUP("Mins",A1:CV300,31,FALSE)=0,0,HLOOKUP("Gs - Open",A1:CV300,31,FALSE)/HLOOKUP("Mins",A1:CV300,31,FALSE)* 90)</f>
      </c>
      <c r="BP31" s="2408">
        <f>IF(HLOOKUP("Mins",A1:CV300,31,FALSE)=0,0,HLOOKUP("ICT Index",A1:CV300,31,FALSE)/HLOOKUP("Mins",A1:CV300,31,FALSE)* 90)</f>
      </c>
      <c r="BQ31" s="2409">
        <f>IF(HLOOKUP("Mins",A1:CV300,31,FALSE)=0,0,(0.043*(HLOOKUP("Shots",A1:CV300,31,FALSE)-HLOOKUP("SIB",A1:CV300,31,FALSE))+0.162*(HLOOKUP("SIB",A1:CV300,31,FALSE)-(HLOOKUP("PK Gs",A1:CV300,31,FALSE)+HLOOKUP("PK Miss",A1:CV300,31,FALSE)))+0.75*(HLOOKUP("PK Gs",A1:CV300,31,FALSE)+HLOOKUP("PK Miss",A1:CV300,31,FALSE)))/HLOOKUP("Mins",A1:CV300,31,FALSE)*90)</f>
      </c>
      <c r="BR31" s="2410">
        <f>0.103*HLOOKUP("KP/90",A1:CV300,31,FALSE)</f>
      </c>
      <c r="BS31" s="2411">
        <f>4*HLOOKUP("xG/90",A1:CV300,31,FALSE)+3*HLOOKUP("xA/90",A1:CV300,31,FALSE)</f>
      </c>
      <c r="BT31" s="2412">
        <f>HLOOKUP("xPts/90",A1:CV300,31,FALSE)-(4*0.75*(HLOOKUP("PK Gs",A1:CV300,31,FALSE)+HLOOKUP("PK Miss",A1:CV300,31,FALSE))*90/HLOOKUP("Mins",A1:CV300,31,FALSE))</f>
      </c>
      <c r="BU31" s="2413">
        <f>IF(HLOOKUP("Mins",A1:CV300,31,FALSE)=0,0,HLOOKUP("fsXG",A1:CV300,31,FALSE)/HLOOKUP("Mins",A1:CV300,31,FALSE)* 90)</f>
      </c>
      <c r="BV31" s="2414">
        <f>IF(HLOOKUP("Mins",A1:CV300,31,FALSE)=0,0,HLOOKUP("fsXA",A1:CV300,31,FALSE)/HLOOKUP("Mins",A1:CV300,31,FALSE)* 90)</f>
      </c>
      <c r="BW31" s="2415">
        <f>4*HLOOKUP("fsXG/90",A1:CV300,31,FALSE)+3*HLOOKUP("fsXA/90",A1:CV300,31,FALSE)</f>
      </c>
      <c r="BX31" t="n" s="2416">
        <v>0.6354613900184631</v>
      </c>
      <c r="BY31" t="n" s="2417">
        <v>0.04670465737581253</v>
      </c>
      <c r="BZ31" s="2418">
        <f>4*HLOOKUP("uXG/90",A1:CV300,31,FALSE)+3*HLOOKUP("uXA/90",A1:CV300,31,FALSE)</f>
      </c>
    </row>
    <row r="32">
      <c r="A32" t="s" s="2419">
        <v>126</v>
      </c>
      <c r="B32" t="s" s="2420">
        <v>118</v>
      </c>
      <c r="C32" t="n" s="2421">
        <v>4.5</v>
      </c>
      <c r="D32" t="n" s="2422">
        <v>45.0</v>
      </c>
      <c r="E32" t="n" s="2423">
        <v>1.0</v>
      </c>
      <c r="F32" t="n" s="2424">
        <v>1.0</v>
      </c>
      <c r="G32" t="n" s="2425">
        <v>0.0</v>
      </c>
      <c r="H32" t="n" s="2426">
        <v>0.0</v>
      </c>
      <c r="I32" t="n" s="2427">
        <v>2.0</v>
      </c>
      <c r="J32" s="2428">
        <f>HLOOKUP("BPS",A1:CV300,32,FALSE)-((-6*HLOOKUP("OG",A1:CV300,32,FALSE))+(-6*HLOOKUP("PK Miss",A1:CV300,32,FALSE))+(9*HLOOKUP("FPL As",A1:CV300,32,FALSE))+(0*HLOOKUP("CS",A1:CV300,32,FALSE))+(24*HLOOKUP("Gs",A1:CV300,32,FALSE)))</f>
      </c>
      <c r="K32" t="n" s="2429">
        <v>0.0</v>
      </c>
      <c r="L32" t="n" s="2430">
        <v>0.0</v>
      </c>
      <c r="M32" t="n" s="2431">
        <v>2.0</v>
      </c>
      <c r="N32" t="n" s="2432">
        <v>2.0</v>
      </c>
      <c r="O32" t="n" s="2433">
        <v>1.0</v>
      </c>
      <c r="P32" s="2434">
        <f>IF(HLOOKUP("Shots",A1:CV300,32,FALSE)=0,0,HLOOKUP("SIB",A1:CV300,32,FALSE)/HLOOKUP("Shots",A1:CV300,32,FALSE))</f>
      </c>
      <c r="Q32" t="n" s="2435">
        <v>0.0</v>
      </c>
      <c r="R32" s="2436">
        <f>IF(HLOOKUP("Shots",A1:CV300,32,FALSE)=0,0,HLOOKUP("S6YD",A1:CV300,32,FALSE)/HLOOKUP("Shots",A1:CV300,32,FALSE))</f>
      </c>
      <c r="S32" t="n" s="2437">
        <v>0.0</v>
      </c>
      <c r="T32" s="2438">
        <f>IF(HLOOKUP("Shots",A1:CV300,32,FALSE)=0,0,HLOOKUP("Headers",A1:CV300,32,FALSE)/HLOOKUP("Shots",A1:CV300,32,FALSE))</f>
      </c>
      <c r="U32" t="n" s="2439">
        <v>0.0</v>
      </c>
      <c r="V32" s="2440">
        <f>IF(HLOOKUP("Shots",A1:CV300,32,FALSE)=0,0,HLOOKUP("SOT",A1:CV300,32,FALSE)/HLOOKUP("Shots",A1:CV300,32,FALSE))</f>
      </c>
      <c r="W32" s="2441">
        <f>IF(HLOOKUP("Shots",A1:CV300,32,FALSE)=0,0,HLOOKUP("Gs",A1:CV300,32,FALSE)/HLOOKUP("Shots",A1:CV300,32,FALSE))</f>
      </c>
      <c r="X32" t="n" s="2442">
        <v>0.0</v>
      </c>
      <c r="Y32" t="n" s="2443">
        <v>0.0</v>
      </c>
      <c r="Z32" t="n" s="2444">
        <v>0.0</v>
      </c>
      <c r="AA32" s="2445">
        <f>IF(HLOOKUP("KP",A1:CV300,32,FALSE)=0,0,HLOOKUP("As",A1:CV300,32,FALSE)/HLOOKUP("KP",A1:CV300,32,FALSE))</f>
      </c>
      <c r="AB32" t="n" s="2446">
        <v>2.0</v>
      </c>
      <c r="AC32" t="n" s="2447">
        <v>0.0</v>
      </c>
      <c r="AD32" t="n" s="2448">
        <v>0.0</v>
      </c>
      <c r="AE32" t="n" s="2449">
        <v>0.0</v>
      </c>
      <c r="AF32" t="n" s="2450">
        <v>0.0</v>
      </c>
      <c r="AG32" s="2451">
        <f>IF(HLOOKUP("BC",A1:CV300,32,FALSE)=0,0,HLOOKUP("Gs - BC",A1:CV300,32,FALSE)/HLOOKUP("BC",A1:CV300,32,FALSE))</f>
      </c>
      <c r="AH32" s="2452">
        <f>HLOOKUP("BC",A1:CV300,32,FALSE) - HLOOKUP("BC Miss",A1:CV300,32,FALSE)</f>
      </c>
      <c r="AI32" s="2453">
        <f>IF(HLOOKUP("Gs",A1:CV300,32,FALSE)=0,0,HLOOKUP("Gs - BC",A1:CV300,32,FALSE)/HLOOKUP("Gs",A1:CV300,32,FALSE))</f>
      </c>
      <c r="AJ32" t="n" s="2454">
        <v>0.0</v>
      </c>
      <c r="AK32" t="n" s="2455">
        <v>0.0</v>
      </c>
      <c r="AL32" s="2456">
        <f>HLOOKUP("BC",A1:CV300,32,FALSE) - (HLOOKUP("PK Gs",A1:CV300,32,FALSE) + HLOOKUP("PK Miss",A1:CV300,32,FALSE))</f>
      </c>
      <c r="AM32" s="2457">
        <f>HLOOKUP("BC Miss",A1:CV300,32,FALSE) - HLOOKUP("PK Miss",A1:CV300,32,FALSE)</f>
      </c>
      <c r="AN32" s="2458">
        <f>IF(HLOOKUP("BC - Open",A1:CV300,32,FALSE)=0,0,HLOOKUP("BC - Open Miss",A1:CV300,32,FALSE)/HLOOKUP("BC - Open",A1:CV300,32,FALSE))</f>
      </c>
      <c r="AO32" t="n" s="2459">
        <v>0.0</v>
      </c>
      <c r="AP32" s="2460">
        <f>IF(HLOOKUP("Gs",A1:CV300,32,FALSE)=0,0,HLOOKUP("GIB",A1:CV300,32,FALSE)/HLOOKUP("Gs",A1:CV300,32,FALSE))</f>
      </c>
      <c r="AQ32" t="n" s="2461">
        <v>0.0</v>
      </c>
      <c r="AR32" s="2462">
        <f>IF(HLOOKUP("Gs",A1:CV300,32,FALSE)=0,0,HLOOKUP("Gs - Open",A1:CV300,32,FALSE)/HLOOKUP("Gs",A1:CV300,32,FALSE))</f>
      </c>
      <c r="AS32" t="n" s="2463">
        <v>0.11</v>
      </c>
      <c r="AT32" t="n" s="2464">
        <v>0.01</v>
      </c>
      <c r="AU32" s="2465">
        <f>IF(HLOOKUP("Mins",A1:CV300,32,FALSE)=0,0,HLOOKUP("Pts",A1:CV300,32,FALSE)/HLOOKUP("Mins",A1:CV300,32,FALSE)* 90)</f>
      </c>
      <c r="AV32" s="2466">
        <f>IF(HLOOKUP("Apps",A1:CV300,32,FALSE)=0,0,HLOOKUP("Pts",A1:CV300,32,FALSE)/HLOOKUP("Apps",A1:CV300,32,FALSE)* 1)</f>
      </c>
      <c r="AW32" s="2467">
        <f>IF(HLOOKUP("Mins",A1:CV300,32,FALSE)=0,0,HLOOKUP("Gs",A1:CV300,32,FALSE)/HLOOKUP("Mins",A1:CV300,32,FALSE)* 90)</f>
      </c>
      <c r="AX32" s="2468">
        <f>IF(HLOOKUP("Mins",A1:CV300,32,FALSE)=0,0,HLOOKUP("Bonus",A1:CV300,32,FALSE)/HLOOKUP("Mins",A1:CV300,32,FALSE)* 90)</f>
      </c>
      <c r="AY32" s="2469">
        <f>IF(HLOOKUP("Mins",A1:CV300,32,FALSE)=0,0,HLOOKUP("BPS",A1:CV300,32,FALSE)/HLOOKUP("Mins",A1:CV300,32,FALSE)* 90)</f>
      </c>
      <c r="AZ32" s="2470">
        <f>IF(HLOOKUP("Mins",A1:CV300,32,FALSE)=0,0,HLOOKUP("Base BPS",A1:CV300,32,FALSE)/HLOOKUP("Mins",A1:CV300,32,FALSE)* 90)</f>
      </c>
      <c r="BA32" s="2471">
        <f>IF(HLOOKUP("Mins",A1:CV300,32,FALSE)=0,0,HLOOKUP("PenTchs",A1:CV300,32,FALSE)/HLOOKUP("Mins",A1:CV300,32,FALSE)* 90)</f>
      </c>
      <c r="BB32" s="2472">
        <f>IF(HLOOKUP("Mins",A1:CV300,32,FALSE)=0,0,HLOOKUP("Shots",A1:CV300,32,FALSE)/HLOOKUP("Mins",A1:CV300,32,FALSE)* 90)</f>
      </c>
      <c r="BC32" s="2473">
        <f>IF(HLOOKUP("Mins",A1:CV300,32,FALSE)=0,0,HLOOKUP("SIB",A1:CV300,32,FALSE)/HLOOKUP("Mins",A1:CV300,32,FALSE)* 90)</f>
      </c>
      <c r="BD32" s="2474">
        <f>IF(HLOOKUP("Mins",A1:CV300,32,FALSE)=0,0,HLOOKUP("S6YD",A1:CV300,32,FALSE)/HLOOKUP("Mins",A1:CV300,32,FALSE)* 90)</f>
      </c>
      <c r="BE32" s="2475">
        <f>IF(HLOOKUP("Mins",A1:CV300,32,FALSE)=0,0,HLOOKUP("Headers",A1:CV300,32,FALSE)/HLOOKUP("Mins",A1:CV300,32,FALSE)* 90)</f>
      </c>
      <c r="BF32" s="2476">
        <f>IF(HLOOKUP("Mins",A1:CV300,32,FALSE)=0,0,HLOOKUP("SOT",A1:CV300,32,FALSE)/HLOOKUP("Mins",A1:CV300,32,FALSE)* 90)</f>
      </c>
      <c r="BG32" s="2477">
        <f>IF(HLOOKUP("Mins",A1:CV300,32,FALSE)=0,0,HLOOKUP("As",A1:CV300,32,FALSE)/HLOOKUP("Mins",A1:CV300,32,FALSE)* 90)</f>
      </c>
      <c r="BH32" s="2478">
        <f>IF(HLOOKUP("Mins",A1:CV300,32,FALSE)=0,0,HLOOKUP("FPL As",A1:CV300,32,FALSE)/HLOOKUP("Mins",A1:CV300,32,FALSE)* 90)</f>
      </c>
      <c r="BI32" s="2479">
        <f>IF(HLOOKUP("Mins",A1:CV300,32,FALSE)=0,0,HLOOKUP("BC Created",A1:CV300,32,FALSE)/HLOOKUP("Mins",A1:CV300,32,FALSE)* 90)</f>
      </c>
      <c r="BJ32" s="2480">
        <f>IF(HLOOKUP("Mins",A1:CV300,32,FALSE)=0,0,HLOOKUP("KP",A1:CV300,32,FALSE)/HLOOKUP("Mins",A1:CV300,32,FALSE)* 90)</f>
      </c>
      <c r="BK32" s="2481">
        <f>IF(HLOOKUP("Mins",A1:CV300,32,FALSE)=0,0,HLOOKUP("BC",A1:CV300,32,FALSE)/HLOOKUP("Mins",A1:CV300,32,FALSE)* 90)</f>
      </c>
      <c r="BL32" s="2482">
        <f>IF(HLOOKUP("Mins",A1:CV300,32,FALSE)=0,0,HLOOKUP("BC Miss",A1:CV300,32,FALSE)/HLOOKUP("Mins",A1:CV300,32,FALSE)* 90)</f>
      </c>
      <c r="BM32" s="2483">
        <f>IF(HLOOKUP("Mins",A1:CV300,32,FALSE)=0,0,HLOOKUP("Gs - BC",A1:CV300,32,FALSE)/HLOOKUP("Mins",A1:CV300,32,FALSE)* 90)</f>
      </c>
      <c r="BN32" s="2484">
        <f>IF(HLOOKUP("Mins",A1:CV300,32,FALSE)=0,0,HLOOKUP("GIB",A1:CV300,32,FALSE)/HLOOKUP("Mins",A1:CV300,32,FALSE)* 90)</f>
      </c>
      <c r="BO32" s="2485">
        <f>IF(HLOOKUP("Mins",A1:CV300,32,FALSE)=0,0,HLOOKUP("Gs - Open",A1:CV300,32,FALSE)/HLOOKUP("Mins",A1:CV300,32,FALSE)* 90)</f>
      </c>
      <c r="BP32" s="2486">
        <f>IF(HLOOKUP("Mins",A1:CV300,32,FALSE)=0,0,HLOOKUP("ICT Index",A1:CV300,32,FALSE)/HLOOKUP("Mins",A1:CV300,32,FALSE)* 90)</f>
      </c>
      <c r="BQ32" s="2487">
        <f>IF(HLOOKUP("Mins",A1:CV300,32,FALSE)=0,0,(0.043*(HLOOKUP("Shots",A1:CV300,32,FALSE)-HLOOKUP("SIB",A1:CV300,32,FALSE))+0.162*(HLOOKUP("SIB",A1:CV300,32,FALSE)-(HLOOKUP("PK Gs",A1:CV300,32,FALSE)+HLOOKUP("PK Miss",A1:CV300,32,FALSE)))+0.75*(HLOOKUP("PK Gs",A1:CV300,32,FALSE)+HLOOKUP("PK Miss",A1:CV300,32,FALSE)))/HLOOKUP("Mins",A1:CV300,32,FALSE)*90)</f>
      </c>
      <c r="BR32" s="2488">
        <f>0.103*HLOOKUP("KP/90",A1:CV300,32,FALSE)</f>
      </c>
      <c r="BS32" s="2489">
        <f>4*HLOOKUP("xG/90",A1:CV300,32,FALSE)+3*HLOOKUP("xA/90",A1:CV300,32,FALSE)</f>
      </c>
      <c r="BT32" s="2490">
        <f>HLOOKUP("xPts/90",A1:CV300,32,FALSE)-(4*0.75*(HLOOKUP("PK Gs",A1:CV300,32,FALSE)+HLOOKUP("PK Miss",A1:CV300,32,FALSE))*90/HLOOKUP("Mins",A1:CV300,32,FALSE))</f>
      </c>
      <c r="BU32" s="2491">
        <f>IF(HLOOKUP("Mins",A1:CV300,32,FALSE)=0,0,HLOOKUP("fsXG",A1:CV300,32,FALSE)/HLOOKUP("Mins",A1:CV300,32,FALSE)* 90)</f>
      </c>
      <c r="BV32" s="2492">
        <f>IF(HLOOKUP("Mins",A1:CV300,32,FALSE)=0,0,HLOOKUP("fsXA",A1:CV300,32,FALSE)/HLOOKUP("Mins",A1:CV300,32,FALSE)* 90)</f>
      </c>
      <c r="BW32" s="2493">
        <f>4*HLOOKUP("fsXG/90",A1:CV300,32,FALSE)+3*HLOOKUP("fsXA/90",A1:CV300,32,FALSE)</f>
      </c>
      <c r="BX32" t="n" s="2494">
        <v>0.2608800232410431</v>
      </c>
      <c r="BY32" t="n" s="2495">
        <v>0.0</v>
      </c>
      <c r="BZ32" s="2496">
        <f>4*HLOOKUP("uXG/90",A1:CV300,32,FALSE)+3*HLOOKUP("uXA/90",A1:CV300,32,FALSE)</f>
      </c>
    </row>
    <row r="33">
      <c r="A33" t="s" s="2497">
        <v>127</v>
      </c>
      <c r="B33" t="s" s="2498">
        <v>97</v>
      </c>
      <c r="C33" t="n" s="2499">
        <v>6.300000190734863</v>
      </c>
      <c r="D33" t="n" s="2500">
        <v>471.0</v>
      </c>
      <c r="E33" t="n" s="2501">
        <v>6.0</v>
      </c>
      <c r="F33" t="n" s="2502">
        <v>99.0</v>
      </c>
      <c r="G33" t="n" s="2503">
        <v>3.0</v>
      </c>
      <c r="H33" t="n" s="2504">
        <v>13.0</v>
      </c>
      <c r="I33" t="n" s="2505">
        <v>273.0</v>
      </c>
      <c r="J33" s="2506">
        <f>HLOOKUP("BPS",A1:CV300,33,FALSE)-((-6*HLOOKUP("OG",A1:CV300,33,FALSE))+(-6*HLOOKUP("PK Miss",A1:CV300,33,FALSE))+(9*HLOOKUP("FPL As",A1:CV300,33,FALSE))+(0*HLOOKUP("CS",A1:CV300,33,FALSE))+(24*HLOOKUP("Gs",A1:CV300,33,FALSE)))</f>
      </c>
      <c r="K33" t="n" s="2507">
        <v>1.0</v>
      </c>
      <c r="L33" t="n" s="2508">
        <v>10.0</v>
      </c>
      <c r="M33" t="n" s="2509">
        <v>16.0</v>
      </c>
      <c r="N33" t="n" s="2510">
        <v>13.0</v>
      </c>
      <c r="O33" t="n" s="2511">
        <v>12.0</v>
      </c>
      <c r="P33" s="2512">
        <f>IF(HLOOKUP("Shots",A1:CV300,33,FALSE)=0,0,HLOOKUP("SIB",A1:CV300,33,FALSE)/HLOOKUP("Shots",A1:CV300,33,FALSE))</f>
      </c>
      <c r="Q33" t="n" s="2513">
        <v>3.0</v>
      </c>
      <c r="R33" s="2514">
        <f>IF(HLOOKUP("Shots",A1:CV300,33,FALSE)=0,0,HLOOKUP("S6YD",A1:CV300,33,FALSE)/HLOOKUP("Shots",A1:CV300,33,FALSE))</f>
      </c>
      <c r="S33" t="n" s="2515">
        <v>7.0</v>
      </c>
      <c r="T33" s="2516">
        <f>IF(HLOOKUP("Shots",A1:CV300,33,FALSE)=0,0,HLOOKUP("Headers",A1:CV300,33,FALSE)/HLOOKUP("Shots",A1:CV300,33,FALSE))</f>
      </c>
      <c r="U33" t="n" s="2517">
        <v>4.0</v>
      </c>
      <c r="V33" s="2518">
        <f>IF(HLOOKUP("Shots",A1:CV300,33,FALSE)=0,0,HLOOKUP("SOT",A1:CV300,33,FALSE)/HLOOKUP("Shots",A1:CV300,33,FALSE))</f>
      </c>
      <c r="W33" s="2519">
        <f>IF(HLOOKUP("Shots",A1:CV300,33,FALSE)=0,0,HLOOKUP("Gs",A1:CV300,33,FALSE)/HLOOKUP("Shots",A1:CV300,33,FALSE))</f>
      </c>
      <c r="X33" t="n" s="2520">
        <v>1.0</v>
      </c>
      <c r="Y33" t="n" s="2521">
        <v>1.0</v>
      </c>
      <c r="Z33" t="n" s="2522">
        <v>8.0</v>
      </c>
      <c r="AA33" s="2523">
        <f>IF(HLOOKUP("KP",A1:CV300,33,FALSE)=0,0,HLOOKUP("As",A1:CV300,33,FALSE)/HLOOKUP("KP",A1:CV300,33,FALSE))</f>
      </c>
      <c r="AB33" t="n" s="2524">
        <v>40.9</v>
      </c>
      <c r="AC33" t="n" s="2525">
        <v>67.0</v>
      </c>
      <c r="AD33" t="n" s="2526">
        <v>0.0</v>
      </c>
      <c r="AE33" t="n" s="2527">
        <v>4.0</v>
      </c>
      <c r="AF33" t="n" s="2528">
        <v>2.0</v>
      </c>
      <c r="AG33" s="2529">
        <f>IF(HLOOKUP("BC",A1:CV300,33,FALSE)=0,0,HLOOKUP("Gs - BC",A1:CV300,33,FALSE)/HLOOKUP("BC",A1:CV300,33,FALSE))</f>
      </c>
      <c r="AH33" s="2530">
        <f>HLOOKUP("BC",A1:CV300,33,FALSE) - HLOOKUP("BC Miss",A1:CV300,33,FALSE)</f>
      </c>
      <c r="AI33" s="2531">
        <f>IF(HLOOKUP("Gs",A1:CV300,33,FALSE)=0,0,HLOOKUP("Gs - BC",A1:CV300,33,FALSE)/HLOOKUP("Gs",A1:CV300,33,FALSE))</f>
      </c>
      <c r="AJ33" t="n" s="2532">
        <v>0.0</v>
      </c>
      <c r="AK33" t="n" s="2533">
        <v>0.0</v>
      </c>
      <c r="AL33" s="2534">
        <f>HLOOKUP("BC",A1:CV300,33,FALSE) - (HLOOKUP("PK Gs",A1:CV300,33,FALSE) + HLOOKUP("PK Miss",A1:CV300,33,FALSE))</f>
      </c>
      <c r="AM33" s="2535">
        <f>HLOOKUP("BC Miss",A1:CV300,33,FALSE) - HLOOKUP("PK Miss",A1:CV300,33,FALSE)</f>
      </c>
      <c r="AN33" s="2536">
        <f>IF(HLOOKUP("BC - Open",A1:CV300,33,FALSE)=0,0,HLOOKUP("BC - Open Miss",A1:CV300,33,FALSE)/HLOOKUP("BC - Open",A1:CV300,33,FALSE))</f>
      </c>
      <c r="AO33" t="n" s="2537">
        <v>3.0</v>
      </c>
      <c r="AP33" s="2538">
        <f>IF(HLOOKUP("Gs",A1:CV300,33,FALSE)=0,0,HLOOKUP("GIB",A1:CV300,33,FALSE)/HLOOKUP("Gs",A1:CV300,33,FALSE))</f>
      </c>
      <c r="AQ33" t="n" s="2539">
        <v>1.0</v>
      </c>
      <c r="AR33" s="2540">
        <f>IF(HLOOKUP("Gs",A1:CV300,33,FALSE)=0,0,HLOOKUP("Gs - Open",A1:CV300,33,FALSE)/HLOOKUP("Gs",A1:CV300,33,FALSE))</f>
      </c>
      <c r="AS33" t="n" s="2541">
        <v>2.77</v>
      </c>
      <c r="AT33" t="n" s="2542">
        <v>0.12</v>
      </c>
      <c r="AU33" s="2543">
        <f>IF(HLOOKUP("Mins",A1:CV300,33,FALSE)=0,0,HLOOKUP("Pts",A1:CV300,33,FALSE)/HLOOKUP("Mins",A1:CV300,33,FALSE)* 90)</f>
      </c>
      <c r="AV33" s="2544">
        <f>IF(HLOOKUP("Apps",A1:CV300,33,FALSE)=0,0,HLOOKUP("Pts",A1:CV300,33,FALSE)/HLOOKUP("Apps",A1:CV300,33,FALSE)* 1)</f>
      </c>
      <c r="AW33" s="2545">
        <f>IF(HLOOKUP("Mins",A1:CV300,33,FALSE)=0,0,HLOOKUP("Gs",A1:CV300,33,FALSE)/HLOOKUP("Mins",A1:CV300,33,FALSE)* 90)</f>
      </c>
      <c r="AX33" s="2546">
        <f>IF(HLOOKUP("Mins",A1:CV300,33,FALSE)=0,0,HLOOKUP("Bonus",A1:CV300,33,FALSE)/HLOOKUP("Mins",A1:CV300,33,FALSE)* 90)</f>
      </c>
      <c r="AY33" s="2547">
        <f>IF(HLOOKUP("Mins",A1:CV300,33,FALSE)=0,0,HLOOKUP("BPS",A1:CV300,33,FALSE)/HLOOKUP("Mins",A1:CV300,33,FALSE)* 90)</f>
      </c>
      <c r="AZ33" s="2548">
        <f>IF(HLOOKUP("Mins",A1:CV300,33,FALSE)=0,0,HLOOKUP("Base BPS",A1:CV300,33,FALSE)/HLOOKUP("Mins",A1:CV300,33,FALSE)* 90)</f>
      </c>
      <c r="BA33" s="2549">
        <f>IF(HLOOKUP("Mins",A1:CV300,33,FALSE)=0,0,HLOOKUP("PenTchs",A1:CV300,33,FALSE)/HLOOKUP("Mins",A1:CV300,33,FALSE)* 90)</f>
      </c>
      <c r="BB33" s="2550">
        <f>IF(HLOOKUP("Mins",A1:CV300,33,FALSE)=0,0,HLOOKUP("Shots",A1:CV300,33,FALSE)/HLOOKUP("Mins",A1:CV300,33,FALSE)* 90)</f>
      </c>
      <c r="BC33" s="2551">
        <f>IF(HLOOKUP("Mins",A1:CV300,33,FALSE)=0,0,HLOOKUP("SIB",A1:CV300,33,FALSE)/HLOOKUP("Mins",A1:CV300,33,FALSE)* 90)</f>
      </c>
      <c r="BD33" s="2552">
        <f>IF(HLOOKUP("Mins",A1:CV300,33,FALSE)=0,0,HLOOKUP("S6YD",A1:CV300,33,FALSE)/HLOOKUP("Mins",A1:CV300,33,FALSE)* 90)</f>
      </c>
      <c r="BE33" s="2553">
        <f>IF(HLOOKUP("Mins",A1:CV300,33,FALSE)=0,0,HLOOKUP("Headers",A1:CV300,33,FALSE)/HLOOKUP("Mins",A1:CV300,33,FALSE)* 90)</f>
      </c>
      <c r="BF33" s="2554">
        <f>IF(HLOOKUP("Mins",A1:CV300,33,FALSE)=0,0,HLOOKUP("SOT",A1:CV300,33,FALSE)/HLOOKUP("Mins",A1:CV300,33,FALSE)* 90)</f>
      </c>
      <c r="BG33" s="2555">
        <f>IF(HLOOKUP("Mins",A1:CV300,33,FALSE)=0,0,HLOOKUP("As",A1:CV300,33,FALSE)/HLOOKUP("Mins",A1:CV300,33,FALSE)* 90)</f>
      </c>
      <c r="BH33" s="2556">
        <f>IF(HLOOKUP("Mins",A1:CV300,33,FALSE)=0,0,HLOOKUP("FPL As",A1:CV300,33,FALSE)/HLOOKUP("Mins",A1:CV300,33,FALSE)* 90)</f>
      </c>
      <c r="BI33" s="2557">
        <f>IF(HLOOKUP("Mins",A1:CV300,33,FALSE)=0,0,HLOOKUP("BC Created",A1:CV300,33,FALSE)/HLOOKUP("Mins",A1:CV300,33,FALSE)* 90)</f>
      </c>
      <c r="BJ33" s="2558">
        <f>IF(HLOOKUP("Mins",A1:CV300,33,FALSE)=0,0,HLOOKUP("KP",A1:CV300,33,FALSE)/HLOOKUP("Mins",A1:CV300,33,FALSE)* 90)</f>
      </c>
      <c r="BK33" s="2559">
        <f>IF(HLOOKUP("Mins",A1:CV300,33,FALSE)=0,0,HLOOKUP("BC",A1:CV300,33,FALSE)/HLOOKUP("Mins",A1:CV300,33,FALSE)* 90)</f>
      </c>
      <c r="BL33" s="2560">
        <f>IF(HLOOKUP("Mins",A1:CV300,33,FALSE)=0,0,HLOOKUP("BC Miss",A1:CV300,33,FALSE)/HLOOKUP("Mins",A1:CV300,33,FALSE)* 90)</f>
      </c>
      <c r="BM33" s="2561">
        <f>IF(HLOOKUP("Mins",A1:CV300,33,FALSE)=0,0,HLOOKUP("Gs - BC",A1:CV300,33,FALSE)/HLOOKUP("Mins",A1:CV300,33,FALSE)* 90)</f>
      </c>
      <c r="BN33" s="2562">
        <f>IF(HLOOKUP("Mins",A1:CV300,33,FALSE)=0,0,HLOOKUP("GIB",A1:CV300,33,FALSE)/HLOOKUP("Mins",A1:CV300,33,FALSE)* 90)</f>
      </c>
      <c r="BO33" s="2563">
        <f>IF(HLOOKUP("Mins",A1:CV300,33,FALSE)=0,0,HLOOKUP("Gs - Open",A1:CV300,33,FALSE)/HLOOKUP("Mins",A1:CV300,33,FALSE)* 90)</f>
      </c>
      <c r="BP33" s="2564">
        <f>IF(HLOOKUP("Mins",A1:CV300,33,FALSE)=0,0,HLOOKUP("ICT Index",A1:CV300,33,FALSE)/HLOOKUP("Mins",A1:CV300,33,FALSE)* 90)</f>
      </c>
      <c r="BQ33" s="2565">
        <f>IF(HLOOKUP("Mins",A1:CV300,33,FALSE)=0,0,(0.043*(HLOOKUP("Shots",A1:CV300,33,FALSE)-HLOOKUP("SIB",A1:CV300,33,FALSE))+0.162*(HLOOKUP("SIB",A1:CV300,33,FALSE)-(HLOOKUP("PK Gs",A1:CV300,33,FALSE)+HLOOKUP("PK Miss",A1:CV300,33,FALSE)))+0.75*(HLOOKUP("PK Gs",A1:CV300,33,FALSE)+HLOOKUP("PK Miss",A1:CV300,33,FALSE)))/HLOOKUP("Mins",A1:CV300,33,FALSE)*90)</f>
      </c>
      <c r="BR33" s="2566">
        <f>0.103*HLOOKUP("KP/90",A1:CV300,33,FALSE)</f>
      </c>
      <c r="BS33" s="2567">
        <f>4*HLOOKUP("xG/90",A1:CV300,33,FALSE)+3*HLOOKUP("xA/90",A1:CV300,33,FALSE)</f>
      </c>
      <c r="BT33" s="2568">
        <f>HLOOKUP("xPts/90",A1:CV300,33,FALSE)-(4*0.75*(HLOOKUP("PK Gs",A1:CV300,33,FALSE)+HLOOKUP("PK Miss",A1:CV300,33,FALSE))*90/HLOOKUP("Mins",A1:CV300,33,FALSE))</f>
      </c>
      <c r="BU33" s="2569">
        <f>IF(HLOOKUP("Mins",A1:CV300,33,FALSE)=0,0,HLOOKUP("fsXG",A1:CV300,33,FALSE)/HLOOKUP("Mins",A1:CV300,33,FALSE)* 90)</f>
      </c>
      <c r="BV33" s="2570">
        <f>IF(HLOOKUP("Mins",A1:CV300,33,FALSE)=0,0,HLOOKUP("fsXA",A1:CV300,33,FALSE)/HLOOKUP("Mins",A1:CV300,33,FALSE)* 90)</f>
      </c>
      <c r="BW33" s="2571">
        <f>4*HLOOKUP("fsXG/90",A1:CV300,33,FALSE)+3*HLOOKUP("fsXA/90",A1:CV300,33,FALSE)</f>
      </c>
      <c r="BX33" t="n" s="2572">
        <v>0.5243120789527893</v>
      </c>
      <c r="BY33" t="n" s="2573">
        <v>0.04429103806614876</v>
      </c>
      <c r="BZ33" s="2574">
        <f>4*HLOOKUP("uXG/90",A1:CV300,33,FALSE)+3*HLOOKUP("uXA/90",A1:CV300,33,FALSE)</f>
      </c>
    </row>
    <row r="34">
      <c r="A34" t="s" s="2575">
        <v>128</v>
      </c>
      <c r="B34" t="s" s="2576">
        <v>109</v>
      </c>
      <c r="C34" t="n" s="2577">
        <v>4.300000190734863</v>
      </c>
      <c r="D34" t="n" s="2578">
        <v>143.0</v>
      </c>
      <c r="E34" t="n" s="2579">
        <v>3.0</v>
      </c>
      <c r="F34" t="n" s="2580">
        <v>40.0</v>
      </c>
      <c r="G34" t="n" s="2581">
        <v>0.0</v>
      </c>
      <c r="H34" t="n" s="2582">
        <v>3.0</v>
      </c>
      <c r="I34" t="n" s="2583">
        <v>87.0</v>
      </c>
      <c r="J34" s="2584">
        <f>HLOOKUP("BPS",A1:CV300,34,FALSE)-((-6*HLOOKUP("OG",A1:CV300,34,FALSE))+(-6*HLOOKUP("PK Miss",A1:CV300,34,FALSE))+(9*HLOOKUP("FPL As",A1:CV300,34,FALSE))+(0*HLOOKUP("CS",A1:CV300,34,FALSE))+(24*HLOOKUP("Gs",A1:CV300,34,FALSE)))</f>
      </c>
      <c r="K34" t="n" s="2585">
        <v>0.0</v>
      </c>
      <c r="L34" t="n" s="2586">
        <v>3.0</v>
      </c>
      <c r="M34" t="n" s="2587">
        <v>9.0</v>
      </c>
      <c r="N34" t="n" s="2588">
        <v>3.0</v>
      </c>
      <c r="O34" t="n" s="2589">
        <v>2.0</v>
      </c>
      <c r="P34" s="2590">
        <f>IF(HLOOKUP("Shots",A1:CV300,34,FALSE)=0,0,HLOOKUP("SIB",A1:CV300,34,FALSE)/HLOOKUP("Shots",A1:CV300,34,FALSE))</f>
      </c>
      <c r="Q34" t="n" s="2591">
        <v>0.0</v>
      </c>
      <c r="R34" s="2592">
        <f>IF(HLOOKUP("Shots",A1:CV300,34,FALSE)=0,0,HLOOKUP("S6YD",A1:CV300,34,FALSE)/HLOOKUP("Shots",A1:CV300,34,FALSE))</f>
      </c>
      <c r="S34" t="n" s="2593">
        <v>0.0</v>
      </c>
      <c r="T34" s="2594">
        <f>IF(HLOOKUP("Shots",A1:CV300,34,FALSE)=0,0,HLOOKUP("Headers",A1:CV300,34,FALSE)/HLOOKUP("Shots",A1:CV300,34,FALSE))</f>
      </c>
      <c r="U34" t="n" s="2595">
        <v>1.0</v>
      </c>
      <c r="V34" s="2596">
        <f>IF(HLOOKUP("Shots",A1:CV300,34,FALSE)=0,0,HLOOKUP("SOT",A1:CV300,34,FALSE)/HLOOKUP("Shots",A1:CV300,34,FALSE))</f>
      </c>
      <c r="W34" s="2597">
        <f>IF(HLOOKUP("Shots",A1:CV300,34,FALSE)=0,0,HLOOKUP("Gs",A1:CV300,34,FALSE)/HLOOKUP("Shots",A1:CV300,34,FALSE))</f>
      </c>
      <c r="X34" t="n" s="2598">
        <v>0.0</v>
      </c>
      <c r="Y34" t="n" s="2599">
        <v>2.0</v>
      </c>
      <c r="Z34" t="n" s="2600">
        <v>1.0</v>
      </c>
      <c r="AA34" s="2601">
        <f>IF(HLOOKUP("KP",A1:CV300,34,FALSE)=0,0,HLOOKUP("As",A1:CV300,34,FALSE)/HLOOKUP("KP",A1:CV300,34,FALSE))</f>
      </c>
      <c r="AB34" t="n" s="2602">
        <v>7.1</v>
      </c>
      <c r="AC34" t="n" s="2603">
        <v>0.0</v>
      </c>
      <c r="AD34" t="n" s="2604">
        <v>0.0</v>
      </c>
      <c r="AE34" t="n" s="2605">
        <v>1.0</v>
      </c>
      <c r="AF34" t="n" s="2606">
        <v>1.0</v>
      </c>
      <c r="AG34" s="2607">
        <f>IF(HLOOKUP("BC",A1:CV300,34,FALSE)=0,0,HLOOKUP("Gs - BC",A1:CV300,34,FALSE)/HLOOKUP("BC",A1:CV300,34,FALSE))</f>
      </c>
      <c r="AH34" s="2608">
        <f>HLOOKUP("BC",A1:CV300,34,FALSE) - HLOOKUP("BC Miss",A1:CV300,34,FALSE)</f>
      </c>
      <c r="AI34" s="2609">
        <f>IF(HLOOKUP("Gs",A1:CV300,34,FALSE)=0,0,HLOOKUP("Gs - BC",A1:CV300,34,FALSE)/HLOOKUP("Gs",A1:CV300,34,FALSE))</f>
      </c>
      <c r="AJ34" t="n" s="2610">
        <v>0.0</v>
      </c>
      <c r="AK34" t="n" s="2611">
        <v>0.0</v>
      </c>
      <c r="AL34" s="2612">
        <f>HLOOKUP("BC",A1:CV300,34,FALSE) - (HLOOKUP("PK Gs",A1:CV300,34,FALSE) + HLOOKUP("PK Miss",A1:CV300,34,FALSE))</f>
      </c>
      <c r="AM34" s="2613">
        <f>HLOOKUP("BC Miss",A1:CV300,34,FALSE) - HLOOKUP("PK Miss",A1:CV300,34,FALSE)</f>
      </c>
      <c r="AN34" s="2614">
        <f>IF(HLOOKUP("BC - Open",A1:CV300,34,FALSE)=0,0,HLOOKUP("BC - Open Miss",A1:CV300,34,FALSE)/HLOOKUP("BC - Open",A1:CV300,34,FALSE))</f>
      </c>
      <c r="AO34" t="n" s="2615">
        <v>0.0</v>
      </c>
      <c r="AP34" s="2616">
        <f>IF(HLOOKUP("Gs",A1:CV300,34,FALSE)=0,0,HLOOKUP("GIB",A1:CV300,34,FALSE)/HLOOKUP("Gs",A1:CV300,34,FALSE))</f>
      </c>
      <c r="AQ34" t="n" s="2617">
        <v>0.0</v>
      </c>
      <c r="AR34" s="2618">
        <f>IF(HLOOKUP("Gs",A1:CV300,34,FALSE)=0,0,HLOOKUP("Gs - Open",A1:CV300,34,FALSE)/HLOOKUP("Gs",A1:CV300,34,FALSE))</f>
      </c>
      <c r="AS34" t="n" s="2619">
        <v>0.32</v>
      </c>
      <c r="AT34" t="n" s="2620">
        <v>0.06</v>
      </c>
      <c r="AU34" s="2621">
        <f>IF(HLOOKUP("Mins",A1:CV300,34,FALSE)=0,0,HLOOKUP("Pts",A1:CV300,34,FALSE)/HLOOKUP("Mins",A1:CV300,34,FALSE)* 90)</f>
      </c>
      <c r="AV34" s="2622">
        <f>IF(HLOOKUP("Apps",A1:CV300,34,FALSE)=0,0,HLOOKUP("Pts",A1:CV300,34,FALSE)/HLOOKUP("Apps",A1:CV300,34,FALSE)* 1)</f>
      </c>
      <c r="AW34" s="2623">
        <f>IF(HLOOKUP("Mins",A1:CV300,34,FALSE)=0,0,HLOOKUP("Gs",A1:CV300,34,FALSE)/HLOOKUP("Mins",A1:CV300,34,FALSE)* 90)</f>
      </c>
      <c r="AX34" s="2624">
        <f>IF(HLOOKUP("Mins",A1:CV300,34,FALSE)=0,0,HLOOKUP("Bonus",A1:CV300,34,FALSE)/HLOOKUP("Mins",A1:CV300,34,FALSE)* 90)</f>
      </c>
      <c r="AY34" s="2625">
        <f>IF(HLOOKUP("Mins",A1:CV300,34,FALSE)=0,0,HLOOKUP("BPS",A1:CV300,34,FALSE)/HLOOKUP("Mins",A1:CV300,34,FALSE)* 90)</f>
      </c>
      <c r="AZ34" s="2626">
        <f>IF(HLOOKUP("Mins",A1:CV300,34,FALSE)=0,0,HLOOKUP("Base BPS",A1:CV300,34,FALSE)/HLOOKUP("Mins",A1:CV300,34,FALSE)* 90)</f>
      </c>
      <c r="BA34" s="2627">
        <f>IF(HLOOKUP("Mins",A1:CV300,34,FALSE)=0,0,HLOOKUP("PenTchs",A1:CV300,34,FALSE)/HLOOKUP("Mins",A1:CV300,34,FALSE)* 90)</f>
      </c>
      <c r="BB34" s="2628">
        <f>IF(HLOOKUP("Mins",A1:CV300,34,FALSE)=0,0,HLOOKUP("Shots",A1:CV300,34,FALSE)/HLOOKUP("Mins",A1:CV300,34,FALSE)* 90)</f>
      </c>
      <c r="BC34" s="2629">
        <f>IF(HLOOKUP("Mins",A1:CV300,34,FALSE)=0,0,HLOOKUP("SIB",A1:CV300,34,FALSE)/HLOOKUP("Mins",A1:CV300,34,FALSE)* 90)</f>
      </c>
      <c r="BD34" s="2630">
        <f>IF(HLOOKUP("Mins",A1:CV300,34,FALSE)=0,0,HLOOKUP("S6YD",A1:CV300,34,FALSE)/HLOOKUP("Mins",A1:CV300,34,FALSE)* 90)</f>
      </c>
      <c r="BE34" s="2631">
        <f>IF(HLOOKUP("Mins",A1:CV300,34,FALSE)=0,0,HLOOKUP("Headers",A1:CV300,34,FALSE)/HLOOKUP("Mins",A1:CV300,34,FALSE)* 90)</f>
      </c>
      <c r="BF34" s="2632">
        <f>IF(HLOOKUP("Mins",A1:CV300,34,FALSE)=0,0,HLOOKUP("SOT",A1:CV300,34,FALSE)/HLOOKUP("Mins",A1:CV300,34,FALSE)* 90)</f>
      </c>
      <c r="BG34" s="2633">
        <f>IF(HLOOKUP("Mins",A1:CV300,34,FALSE)=0,0,HLOOKUP("As",A1:CV300,34,FALSE)/HLOOKUP("Mins",A1:CV300,34,FALSE)* 90)</f>
      </c>
      <c r="BH34" s="2634">
        <f>IF(HLOOKUP("Mins",A1:CV300,34,FALSE)=0,0,HLOOKUP("FPL As",A1:CV300,34,FALSE)/HLOOKUP("Mins",A1:CV300,34,FALSE)* 90)</f>
      </c>
      <c r="BI34" s="2635">
        <f>IF(HLOOKUP("Mins",A1:CV300,34,FALSE)=0,0,HLOOKUP("BC Created",A1:CV300,34,FALSE)/HLOOKUP("Mins",A1:CV300,34,FALSE)* 90)</f>
      </c>
      <c r="BJ34" s="2636">
        <f>IF(HLOOKUP("Mins",A1:CV300,34,FALSE)=0,0,HLOOKUP("KP",A1:CV300,34,FALSE)/HLOOKUP("Mins",A1:CV300,34,FALSE)* 90)</f>
      </c>
      <c r="BK34" s="2637">
        <f>IF(HLOOKUP("Mins",A1:CV300,34,FALSE)=0,0,HLOOKUP("BC",A1:CV300,34,FALSE)/HLOOKUP("Mins",A1:CV300,34,FALSE)* 90)</f>
      </c>
      <c r="BL34" s="2638">
        <f>IF(HLOOKUP("Mins",A1:CV300,34,FALSE)=0,0,HLOOKUP("BC Miss",A1:CV300,34,FALSE)/HLOOKUP("Mins",A1:CV300,34,FALSE)* 90)</f>
      </c>
      <c r="BM34" s="2639">
        <f>IF(HLOOKUP("Mins",A1:CV300,34,FALSE)=0,0,HLOOKUP("Gs - BC",A1:CV300,34,FALSE)/HLOOKUP("Mins",A1:CV300,34,FALSE)* 90)</f>
      </c>
      <c r="BN34" s="2640">
        <f>IF(HLOOKUP("Mins",A1:CV300,34,FALSE)=0,0,HLOOKUP("GIB",A1:CV300,34,FALSE)/HLOOKUP("Mins",A1:CV300,34,FALSE)* 90)</f>
      </c>
      <c r="BO34" s="2641">
        <f>IF(HLOOKUP("Mins",A1:CV300,34,FALSE)=0,0,HLOOKUP("Gs - Open",A1:CV300,34,FALSE)/HLOOKUP("Mins",A1:CV300,34,FALSE)* 90)</f>
      </c>
      <c r="BP34" s="2642">
        <f>IF(HLOOKUP("Mins",A1:CV300,34,FALSE)=0,0,HLOOKUP("ICT Index",A1:CV300,34,FALSE)/HLOOKUP("Mins",A1:CV300,34,FALSE)* 90)</f>
      </c>
      <c r="BQ34" s="2643">
        <f>IF(HLOOKUP("Mins",A1:CV300,34,FALSE)=0,0,(0.043*(HLOOKUP("Shots",A1:CV300,34,FALSE)-HLOOKUP("SIB",A1:CV300,34,FALSE))+0.162*(HLOOKUP("SIB",A1:CV300,34,FALSE)-(HLOOKUP("PK Gs",A1:CV300,34,FALSE)+HLOOKUP("PK Miss",A1:CV300,34,FALSE)))+0.75*(HLOOKUP("PK Gs",A1:CV300,34,FALSE)+HLOOKUP("PK Miss",A1:CV300,34,FALSE)))/HLOOKUP("Mins",A1:CV300,34,FALSE)*90)</f>
      </c>
      <c r="BR34" s="2644">
        <f>0.103*HLOOKUP("KP/90",A1:CV300,34,FALSE)</f>
      </c>
      <c r="BS34" s="2645">
        <f>4*HLOOKUP("xG/90",A1:CV300,34,FALSE)+3*HLOOKUP("xA/90",A1:CV300,34,FALSE)</f>
      </c>
      <c r="BT34" s="2646">
        <f>HLOOKUP("xPts/90",A1:CV300,34,FALSE)-(4*0.75*(HLOOKUP("PK Gs",A1:CV300,34,FALSE)+HLOOKUP("PK Miss",A1:CV300,34,FALSE))*90/HLOOKUP("Mins",A1:CV300,34,FALSE))</f>
      </c>
      <c r="BU34" s="2647">
        <f>IF(HLOOKUP("Mins",A1:CV300,34,FALSE)=0,0,HLOOKUP("fsXG",A1:CV300,34,FALSE)/HLOOKUP("Mins",A1:CV300,34,FALSE)* 90)</f>
      </c>
      <c r="BV34" s="2648">
        <f>IF(HLOOKUP("Mins",A1:CV300,34,FALSE)=0,0,HLOOKUP("fsXA",A1:CV300,34,FALSE)/HLOOKUP("Mins",A1:CV300,34,FALSE)* 90)</f>
      </c>
      <c r="BW34" s="2649">
        <f>4*HLOOKUP("fsXG/90",A1:CV300,34,FALSE)+3*HLOOKUP("fsXA/90",A1:CV300,34,FALSE)</f>
      </c>
      <c r="BX34" t="n" s="2650">
        <v>0.4243890941143036</v>
      </c>
      <c r="BY34" t="n" s="2651">
        <v>0.0359562523663044</v>
      </c>
      <c r="BZ34" s="2652">
        <f>4*HLOOKUP("uXG/90",A1:CV300,34,FALSE)+3*HLOOKUP("uXA/90",A1:CV300,34,FALSE)</f>
      </c>
    </row>
    <row r="35">
      <c r="A35" t="s" s="2653">
        <v>129</v>
      </c>
      <c r="B35" t="s" s="2654">
        <v>114</v>
      </c>
      <c r="C35" t="n" s="2655">
        <v>5.699999809265137</v>
      </c>
      <c r="D35" t="n" s="2656">
        <v>6.0</v>
      </c>
      <c r="E35" t="n" s="2657">
        <v>1.0</v>
      </c>
      <c r="F35" t="n" s="2658">
        <v>8.0</v>
      </c>
      <c r="G35" t="n" s="2659">
        <v>0.0</v>
      </c>
      <c r="H35" t="n" s="2660">
        <v>0.0</v>
      </c>
      <c r="I35" t="n" s="2661">
        <v>14.0</v>
      </c>
      <c r="J35" s="2662">
        <f>HLOOKUP("BPS",A1:CV300,35,FALSE)-((-6*HLOOKUP("OG",A1:CV300,35,FALSE))+(-6*HLOOKUP("PK Miss",A1:CV300,35,FALSE))+(9*HLOOKUP("FPL As",A1:CV300,35,FALSE))+(0*HLOOKUP("CS",A1:CV300,35,FALSE))+(24*HLOOKUP("Gs",A1:CV300,35,FALSE)))</f>
      </c>
      <c r="K35" t="n" s="2663">
        <v>0.0</v>
      </c>
      <c r="L35" t="n" s="2664">
        <v>0.0</v>
      </c>
      <c r="M35" t="n" s="2665">
        <v>2.0</v>
      </c>
      <c r="N35" t="n" s="2666">
        <v>1.0</v>
      </c>
      <c r="O35" t="n" s="2667">
        <v>1.0</v>
      </c>
      <c r="P35" s="2668">
        <f>IF(HLOOKUP("Shots",A1:CV300,35,FALSE)=0,0,HLOOKUP("SIB",A1:CV300,35,FALSE)/HLOOKUP("Shots",A1:CV300,35,FALSE))</f>
      </c>
      <c r="Q35" t="n" s="2669">
        <v>0.0</v>
      </c>
      <c r="R35" s="2670">
        <f>IF(HLOOKUP("Shots",A1:CV300,35,FALSE)=0,0,HLOOKUP("S6YD",A1:CV300,35,FALSE)/HLOOKUP("Shots",A1:CV300,35,FALSE))</f>
      </c>
      <c r="S35" t="n" s="2671">
        <v>0.0</v>
      </c>
      <c r="T35" s="2672">
        <f>IF(HLOOKUP("Shots",A1:CV300,35,FALSE)=0,0,HLOOKUP("Headers",A1:CV300,35,FALSE)/HLOOKUP("Shots",A1:CV300,35,FALSE))</f>
      </c>
      <c r="U35" t="n" s="2673">
        <v>0.0</v>
      </c>
      <c r="V35" s="2674">
        <f>IF(HLOOKUP("Shots",A1:CV300,35,FALSE)=0,0,HLOOKUP("SOT",A1:CV300,35,FALSE)/HLOOKUP("Shots",A1:CV300,35,FALSE))</f>
      </c>
      <c r="W35" s="2675">
        <f>IF(HLOOKUP("Shots",A1:CV300,35,FALSE)=0,0,HLOOKUP("Gs",A1:CV300,35,FALSE)/HLOOKUP("Shots",A1:CV300,35,FALSE))</f>
      </c>
      <c r="X35" t="n" s="2676">
        <v>0.0</v>
      </c>
      <c r="Y35" t="n" s="2677">
        <v>0.0</v>
      </c>
      <c r="Z35" t="n" s="2678">
        <v>0.0</v>
      </c>
      <c r="AA35" s="2679">
        <f>IF(HLOOKUP("KP",A1:CV300,35,FALSE)=0,0,HLOOKUP("As",A1:CV300,35,FALSE)/HLOOKUP("KP",A1:CV300,35,FALSE))</f>
      </c>
      <c r="AB35" t="n" s="2680">
        <v>2.3</v>
      </c>
      <c r="AC35" t="n" s="2681">
        <v>0.0</v>
      </c>
      <c r="AD35" t="n" s="2682">
        <v>0.0</v>
      </c>
      <c r="AE35" t="n" s="2683">
        <v>0.0</v>
      </c>
      <c r="AF35" t="n" s="2684">
        <v>0.0</v>
      </c>
      <c r="AG35" s="2685">
        <f>IF(HLOOKUP("BC",A1:CV300,35,FALSE)=0,0,HLOOKUP("Gs - BC",A1:CV300,35,FALSE)/HLOOKUP("BC",A1:CV300,35,FALSE))</f>
      </c>
      <c r="AH35" s="2686">
        <f>HLOOKUP("BC",A1:CV300,35,FALSE) - HLOOKUP("BC Miss",A1:CV300,35,FALSE)</f>
      </c>
      <c r="AI35" s="2687">
        <f>IF(HLOOKUP("Gs",A1:CV300,35,FALSE)=0,0,HLOOKUP("Gs - BC",A1:CV300,35,FALSE)/HLOOKUP("Gs",A1:CV300,35,FALSE))</f>
      </c>
      <c r="AJ35" t="n" s="2688">
        <v>0.0</v>
      </c>
      <c r="AK35" t="n" s="2689">
        <v>0.0</v>
      </c>
      <c r="AL35" s="2690">
        <f>HLOOKUP("BC",A1:CV300,35,FALSE) - (HLOOKUP("PK Gs",A1:CV300,35,FALSE) + HLOOKUP("PK Miss",A1:CV300,35,FALSE))</f>
      </c>
      <c r="AM35" s="2691">
        <f>HLOOKUP("BC Miss",A1:CV300,35,FALSE) - HLOOKUP("PK Miss",A1:CV300,35,FALSE)</f>
      </c>
      <c r="AN35" s="2692">
        <f>IF(HLOOKUP("BC - Open",A1:CV300,35,FALSE)=0,0,HLOOKUP("BC - Open Miss",A1:CV300,35,FALSE)/HLOOKUP("BC - Open",A1:CV300,35,FALSE))</f>
      </c>
      <c r="AO35" t="n" s="2693">
        <v>0.0</v>
      </c>
      <c r="AP35" s="2694">
        <f>IF(HLOOKUP("Gs",A1:CV300,35,FALSE)=0,0,HLOOKUP("GIB",A1:CV300,35,FALSE)/HLOOKUP("Gs",A1:CV300,35,FALSE))</f>
      </c>
      <c r="AQ35" t="n" s="2695">
        <v>0.0</v>
      </c>
      <c r="AR35" s="2696">
        <f>IF(HLOOKUP("Gs",A1:CV300,35,FALSE)=0,0,HLOOKUP("Gs - Open",A1:CV300,35,FALSE)/HLOOKUP("Gs",A1:CV300,35,FALSE))</f>
      </c>
      <c r="AS35" t="n" s="2697">
        <v>0.07</v>
      </c>
      <c r="AT35" t="n" s="2698">
        <v>0.0</v>
      </c>
      <c r="AU35" s="2699">
        <f>IF(HLOOKUP("Mins",A1:CV300,35,FALSE)=0,0,HLOOKUP("Pts",A1:CV300,35,FALSE)/HLOOKUP("Mins",A1:CV300,35,FALSE)* 90)</f>
      </c>
      <c r="AV35" s="2700">
        <f>IF(HLOOKUP("Apps",A1:CV300,35,FALSE)=0,0,HLOOKUP("Pts",A1:CV300,35,FALSE)/HLOOKUP("Apps",A1:CV300,35,FALSE)* 1)</f>
      </c>
      <c r="AW35" s="2701">
        <f>IF(HLOOKUP("Mins",A1:CV300,35,FALSE)=0,0,HLOOKUP("Gs",A1:CV300,35,FALSE)/HLOOKUP("Mins",A1:CV300,35,FALSE)* 90)</f>
      </c>
      <c r="AX35" s="2702">
        <f>IF(HLOOKUP("Mins",A1:CV300,35,FALSE)=0,0,HLOOKUP("Bonus",A1:CV300,35,FALSE)/HLOOKUP("Mins",A1:CV300,35,FALSE)* 90)</f>
      </c>
      <c r="AY35" s="2703">
        <f>IF(HLOOKUP("Mins",A1:CV300,35,FALSE)=0,0,HLOOKUP("BPS",A1:CV300,35,FALSE)/HLOOKUP("Mins",A1:CV300,35,FALSE)* 90)</f>
      </c>
      <c r="AZ35" s="2704">
        <f>IF(HLOOKUP("Mins",A1:CV300,35,FALSE)=0,0,HLOOKUP("Base BPS",A1:CV300,35,FALSE)/HLOOKUP("Mins",A1:CV300,35,FALSE)* 90)</f>
      </c>
      <c r="BA35" s="2705">
        <f>IF(HLOOKUP("Mins",A1:CV300,35,FALSE)=0,0,HLOOKUP("PenTchs",A1:CV300,35,FALSE)/HLOOKUP("Mins",A1:CV300,35,FALSE)* 90)</f>
      </c>
      <c r="BB35" s="2706">
        <f>IF(HLOOKUP("Mins",A1:CV300,35,FALSE)=0,0,HLOOKUP("Shots",A1:CV300,35,FALSE)/HLOOKUP("Mins",A1:CV300,35,FALSE)* 90)</f>
      </c>
      <c r="BC35" s="2707">
        <f>IF(HLOOKUP("Mins",A1:CV300,35,FALSE)=0,0,HLOOKUP("SIB",A1:CV300,35,FALSE)/HLOOKUP("Mins",A1:CV300,35,FALSE)* 90)</f>
      </c>
      <c r="BD35" s="2708">
        <f>IF(HLOOKUP("Mins",A1:CV300,35,FALSE)=0,0,HLOOKUP("S6YD",A1:CV300,35,FALSE)/HLOOKUP("Mins",A1:CV300,35,FALSE)* 90)</f>
      </c>
      <c r="BE35" s="2709">
        <f>IF(HLOOKUP("Mins",A1:CV300,35,FALSE)=0,0,HLOOKUP("Headers",A1:CV300,35,FALSE)/HLOOKUP("Mins",A1:CV300,35,FALSE)* 90)</f>
      </c>
      <c r="BF35" s="2710">
        <f>IF(HLOOKUP("Mins",A1:CV300,35,FALSE)=0,0,HLOOKUP("SOT",A1:CV300,35,FALSE)/HLOOKUP("Mins",A1:CV300,35,FALSE)* 90)</f>
      </c>
      <c r="BG35" s="2711">
        <f>IF(HLOOKUP("Mins",A1:CV300,35,FALSE)=0,0,HLOOKUP("As",A1:CV300,35,FALSE)/HLOOKUP("Mins",A1:CV300,35,FALSE)* 90)</f>
      </c>
      <c r="BH35" s="2712">
        <f>IF(HLOOKUP("Mins",A1:CV300,35,FALSE)=0,0,HLOOKUP("FPL As",A1:CV300,35,FALSE)/HLOOKUP("Mins",A1:CV300,35,FALSE)* 90)</f>
      </c>
      <c r="BI35" s="2713">
        <f>IF(HLOOKUP("Mins",A1:CV300,35,FALSE)=0,0,HLOOKUP("BC Created",A1:CV300,35,FALSE)/HLOOKUP("Mins",A1:CV300,35,FALSE)* 90)</f>
      </c>
      <c r="BJ35" s="2714">
        <f>IF(HLOOKUP("Mins",A1:CV300,35,FALSE)=0,0,HLOOKUP("KP",A1:CV300,35,FALSE)/HLOOKUP("Mins",A1:CV300,35,FALSE)* 90)</f>
      </c>
      <c r="BK35" s="2715">
        <f>IF(HLOOKUP("Mins",A1:CV300,35,FALSE)=0,0,HLOOKUP("BC",A1:CV300,35,FALSE)/HLOOKUP("Mins",A1:CV300,35,FALSE)* 90)</f>
      </c>
      <c r="BL35" s="2716">
        <f>IF(HLOOKUP("Mins",A1:CV300,35,FALSE)=0,0,HLOOKUP("BC Miss",A1:CV300,35,FALSE)/HLOOKUP("Mins",A1:CV300,35,FALSE)* 90)</f>
      </c>
      <c r="BM35" s="2717">
        <f>IF(HLOOKUP("Mins",A1:CV300,35,FALSE)=0,0,HLOOKUP("Gs - BC",A1:CV300,35,FALSE)/HLOOKUP("Mins",A1:CV300,35,FALSE)* 90)</f>
      </c>
      <c r="BN35" s="2718">
        <f>IF(HLOOKUP("Mins",A1:CV300,35,FALSE)=0,0,HLOOKUP("GIB",A1:CV300,35,FALSE)/HLOOKUP("Mins",A1:CV300,35,FALSE)* 90)</f>
      </c>
      <c r="BO35" s="2719">
        <f>IF(HLOOKUP("Mins",A1:CV300,35,FALSE)=0,0,HLOOKUP("Gs - Open",A1:CV300,35,FALSE)/HLOOKUP("Mins",A1:CV300,35,FALSE)* 90)</f>
      </c>
      <c r="BP35" s="2720">
        <f>IF(HLOOKUP("Mins",A1:CV300,35,FALSE)=0,0,HLOOKUP("ICT Index",A1:CV300,35,FALSE)/HLOOKUP("Mins",A1:CV300,35,FALSE)* 90)</f>
      </c>
      <c r="BQ35" s="2721">
        <f>IF(HLOOKUP("Mins",A1:CV300,35,FALSE)=0,0,(0.043*(HLOOKUP("Shots",A1:CV300,35,FALSE)-HLOOKUP("SIB",A1:CV300,35,FALSE))+0.162*(HLOOKUP("SIB",A1:CV300,35,FALSE)-(HLOOKUP("PK Gs",A1:CV300,35,FALSE)+HLOOKUP("PK Miss",A1:CV300,35,FALSE)))+0.75*(HLOOKUP("PK Gs",A1:CV300,35,FALSE)+HLOOKUP("PK Miss",A1:CV300,35,FALSE)))/HLOOKUP("Mins",A1:CV300,35,FALSE)*90)</f>
      </c>
      <c r="BR35" s="2722">
        <f>0.103*HLOOKUP("KP/90",A1:CV300,35,FALSE)</f>
      </c>
      <c r="BS35" s="2723">
        <f>4*HLOOKUP("xG/90",A1:CV300,35,FALSE)+3*HLOOKUP("xA/90",A1:CV300,35,FALSE)</f>
      </c>
      <c r="BT35" s="2724">
        <f>HLOOKUP("xPts/90",A1:CV300,35,FALSE)-(4*0.75*(HLOOKUP("PK Gs",A1:CV300,35,FALSE)+HLOOKUP("PK Miss",A1:CV300,35,FALSE))*90/HLOOKUP("Mins",A1:CV300,35,FALSE))</f>
      </c>
      <c r="BU35" s="2725">
        <f>IF(HLOOKUP("Mins",A1:CV300,35,FALSE)=0,0,HLOOKUP("fsXG",A1:CV300,35,FALSE)/HLOOKUP("Mins",A1:CV300,35,FALSE)* 90)</f>
      </c>
      <c r="BV35" s="2726">
        <f>IF(HLOOKUP("Mins",A1:CV300,35,FALSE)=0,0,HLOOKUP("fsXA",A1:CV300,35,FALSE)/HLOOKUP("Mins",A1:CV300,35,FALSE)* 90)</f>
      </c>
      <c r="BW35" s="2727">
        <f>4*HLOOKUP("fsXG/90",A1:CV300,35,FALSE)+3*HLOOKUP("fsXA/90",A1:CV300,35,FALSE)</f>
      </c>
      <c r="BX35" t="n" s="2728">
        <v>1.8796876668930054</v>
      </c>
      <c r="BY35" t="n" s="2729">
        <v>0.0</v>
      </c>
      <c r="BZ35" s="2730">
        <f>4*HLOOKUP("uXG/90",A1:CV300,35,FALSE)+3*HLOOKUP("uXA/90",A1:CV300,35,FALSE)</f>
      </c>
    </row>
    <row r="36">
      <c r="A36" t="s" s="2731">
        <v>130</v>
      </c>
      <c r="B36" t="s" s="2732">
        <v>131</v>
      </c>
      <c r="C36" t="n" s="2733">
        <v>6.099999904632568</v>
      </c>
      <c r="D36" t="n" s="2734">
        <v>185.0</v>
      </c>
      <c r="E36" t="n" s="2735">
        <v>4.0</v>
      </c>
      <c r="F36" t="n" s="2736">
        <v>58.0</v>
      </c>
      <c r="G36" t="n" s="2737">
        <v>0.0</v>
      </c>
      <c r="H36" t="n" s="2738">
        <v>6.0</v>
      </c>
      <c r="I36" t="n" s="2739">
        <v>176.0</v>
      </c>
      <c r="J36" s="2740">
        <f>HLOOKUP("BPS",A1:CV300,36,FALSE)-((-6*HLOOKUP("OG",A1:CV300,36,FALSE))+(-6*HLOOKUP("PK Miss",A1:CV300,36,FALSE))+(9*HLOOKUP("FPL As",A1:CV300,36,FALSE))+(0*HLOOKUP("CS",A1:CV300,36,FALSE))+(24*HLOOKUP("Gs",A1:CV300,36,FALSE)))</f>
      </c>
      <c r="K36" t="n" s="2741">
        <v>0.0</v>
      </c>
      <c r="L36" t="n" s="2742">
        <v>5.0</v>
      </c>
      <c r="M36" t="n" s="2743">
        <v>19.0</v>
      </c>
      <c r="N36" t="n" s="2744">
        <v>7.0</v>
      </c>
      <c r="O36" t="n" s="2745">
        <v>7.0</v>
      </c>
      <c r="P36" s="2746">
        <f>IF(HLOOKUP("Shots",A1:CV300,36,FALSE)=0,0,HLOOKUP("SIB",A1:CV300,36,FALSE)/HLOOKUP("Shots",A1:CV300,36,FALSE))</f>
      </c>
      <c r="Q36" t="n" s="2747">
        <v>3.0</v>
      </c>
      <c r="R36" s="2748">
        <f>IF(HLOOKUP("Shots",A1:CV300,36,FALSE)=0,0,HLOOKUP("S6YD",A1:CV300,36,FALSE)/HLOOKUP("Shots",A1:CV300,36,FALSE))</f>
      </c>
      <c r="S36" t="n" s="2749">
        <v>3.0</v>
      </c>
      <c r="T36" s="2750">
        <f>IF(HLOOKUP("Shots",A1:CV300,36,FALSE)=0,0,HLOOKUP("Headers",A1:CV300,36,FALSE)/HLOOKUP("Shots",A1:CV300,36,FALSE))</f>
      </c>
      <c r="U36" t="n" s="2751">
        <v>3.0</v>
      </c>
      <c r="V36" s="2752">
        <f>IF(HLOOKUP("Shots",A1:CV300,36,FALSE)=0,0,HLOOKUP("SOT",A1:CV300,36,FALSE)/HLOOKUP("Shots",A1:CV300,36,FALSE))</f>
      </c>
      <c r="W36" s="2753">
        <f>IF(HLOOKUP("Shots",A1:CV300,36,FALSE)=0,0,HLOOKUP("Gs",A1:CV300,36,FALSE)/HLOOKUP("Shots",A1:CV300,36,FALSE))</f>
      </c>
      <c r="X36" t="n" s="2754">
        <v>0.0</v>
      </c>
      <c r="Y36" t="n" s="2755">
        <v>1.0</v>
      </c>
      <c r="Z36" t="n" s="2756">
        <v>3.0</v>
      </c>
      <c r="AA36" s="2757">
        <f>IF(HLOOKUP("KP",A1:CV300,36,FALSE)=0,0,HLOOKUP("As",A1:CV300,36,FALSE)/HLOOKUP("KP",A1:CV300,36,FALSE))</f>
      </c>
      <c r="AB36" t="n" s="2758">
        <v>18.9</v>
      </c>
      <c r="AC36" t="n" s="2759">
        <v>0.0</v>
      </c>
      <c r="AD36" t="n" s="2760">
        <v>0.0</v>
      </c>
      <c r="AE36" t="n" s="2761">
        <v>1.0</v>
      </c>
      <c r="AF36" t="n" s="2762">
        <v>1.0</v>
      </c>
      <c r="AG36" s="2763">
        <f>IF(HLOOKUP("BC",A1:CV300,36,FALSE)=0,0,HLOOKUP("Gs - BC",A1:CV300,36,FALSE)/HLOOKUP("BC",A1:CV300,36,FALSE))</f>
      </c>
      <c r="AH36" s="2764">
        <f>HLOOKUP("BC",A1:CV300,36,FALSE) - HLOOKUP("BC Miss",A1:CV300,36,FALSE)</f>
      </c>
      <c r="AI36" s="2765">
        <f>IF(HLOOKUP("Gs",A1:CV300,36,FALSE)=0,0,HLOOKUP("Gs - BC",A1:CV300,36,FALSE)/HLOOKUP("Gs",A1:CV300,36,FALSE))</f>
      </c>
      <c r="AJ36" t="n" s="2766">
        <v>0.0</v>
      </c>
      <c r="AK36" t="n" s="2767">
        <v>0.0</v>
      </c>
      <c r="AL36" s="2768">
        <f>HLOOKUP("BC",A1:CV300,36,FALSE) - (HLOOKUP("PK Gs",A1:CV300,36,FALSE) + HLOOKUP("PK Miss",A1:CV300,36,FALSE))</f>
      </c>
      <c r="AM36" s="2769">
        <f>HLOOKUP("BC Miss",A1:CV300,36,FALSE) - HLOOKUP("PK Miss",A1:CV300,36,FALSE)</f>
      </c>
      <c r="AN36" s="2770">
        <f>IF(HLOOKUP("BC - Open",A1:CV300,36,FALSE)=0,0,HLOOKUP("BC - Open Miss",A1:CV300,36,FALSE)/HLOOKUP("BC - Open",A1:CV300,36,FALSE))</f>
      </c>
      <c r="AO36" t="n" s="2771">
        <v>0.0</v>
      </c>
      <c r="AP36" s="2772">
        <f>IF(HLOOKUP("Gs",A1:CV300,36,FALSE)=0,0,HLOOKUP("GIB",A1:CV300,36,FALSE)/HLOOKUP("Gs",A1:CV300,36,FALSE))</f>
      </c>
      <c r="AQ36" t="n" s="2773">
        <v>0.0</v>
      </c>
      <c r="AR36" s="2774">
        <f>IF(HLOOKUP("Gs",A1:CV300,36,FALSE)=0,0,HLOOKUP("Gs - Open",A1:CV300,36,FALSE)/HLOOKUP("Gs",A1:CV300,36,FALSE))</f>
      </c>
      <c r="AS36" t="n" s="2775">
        <v>1.22</v>
      </c>
      <c r="AT36" t="n" s="2776">
        <v>0.09</v>
      </c>
      <c r="AU36" s="2777">
        <f>IF(HLOOKUP("Mins",A1:CV300,36,FALSE)=0,0,HLOOKUP("Pts",A1:CV300,36,FALSE)/HLOOKUP("Mins",A1:CV300,36,FALSE)* 90)</f>
      </c>
      <c r="AV36" s="2778">
        <f>IF(HLOOKUP("Apps",A1:CV300,36,FALSE)=0,0,HLOOKUP("Pts",A1:CV300,36,FALSE)/HLOOKUP("Apps",A1:CV300,36,FALSE)* 1)</f>
      </c>
      <c r="AW36" s="2779">
        <f>IF(HLOOKUP("Mins",A1:CV300,36,FALSE)=0,0,HLOOKUP("Gs",A1:CV300,36,FALSE)/HLOOKUP("Mins",A1:CV300,36,FALSE)* 90)</f>
      </c>
      <c r="AX36" s="2780">
        <f>IF(HLOOKUP("Mins",A1:CV300,36,FALSE)=0,0,HLOOKUP("Bonus",A1:CV300,36,FALSE)/HLOOKUP("Mins",A1:CV300,36,FALSE)* 90)</f>
      </c>
      <c r="AY36" s="2781">
        <f>IF(HLOOKUP("Mins",A1:CV300,36,FALSE)=0,0,HLOOKUP("BPS",A1:CV300,36,FALSE)/HLOOKUP("Mins",A1:CV300,36,FALSE)* 90)</f>
      </c>
      <c r="AZ36" s="2782">
        <f>IF(HLOOKUP("Mins",A1:CV300,36,FALSE)=0,0,HLOOKUP("Base BPS",A1:CV300,36,FALSE)/HLOOKUP("Mins",A1:CV300,36,FALSE)* 90)</f>
      </c>
      <c r="BA36" s="2783">
        <f>IF(HLOOKUP("Mins",A1:CV300,36,FALSE)=0,0,HLOOKUP("PenTchs",A1:CV300,36,FALSE)/HLOOKUP("Mins",A1:CV300,36,FALSE)* 90)</f>
      </c>
      <c r="BB36" s="2784">
        <f>IF(HLOOKUP("Mins",A1:CV300,36,FALSE)=0,0,HLOOKUP("Shots",A1:CV300,36,FALSE)/HLOOKUP("Mins",A1:CV300,36,FALSE)* 90)</f>
      </c>
      <c r="BC36" s="2785">
        <f>IF(HLOOKUP("Mins",A1:CV300,36,FALSE)=0,0,HLOOKUP("SIB",A1:CV300,36,FALSE)/HLOOKUP("Mins",A1:CV300,36,FALSE)* 90)</f>
      </c>
      <c r="BD36" s="2786">
        <f>IF(HLOOKUP("Mins",A1:CV300,36,FALSE)=0,0,HLOOKUP("S6YD",A1:CV300,36,FALSE)/HLOOKUP("Mins",A1:CV300,36,FALSE)* 90)</f>
      </c>
      <c r="BE36" s="2787">
        <f>IF(HLOOKUP("Mins",A1:CV300,36,FALSE)=0,0,HLOOKUP("Headers",A1:CV300,36,FALSE)/HLOOKUP("Mins",A1:CV300,36,FALSE)* 90)</f>
      </c>
      <c r="BF36" s="2788">
        <f>IF(HLOOKUP("Mins",A1:CV300,36,FALSE)=0,0,HLOOKUP("SOT",A1:CV300,36,FALSE)/HLOOKUP("Mins",A1:CV300,36,FALSE)* 90)</f>
      </c>
      <c r="BG36" s="2789">
        <f>IF(HLOOKUP("Mins",A1:CV300,36,FALSE)=0,0,HLOOKUP("As",A1:CV300,36,FALSE)/HLOOKUP("Mins",A1:CV300,36,FALSE)* 90)</f>
      </c>
      <c r="BH36" s="2790">
        <f>IF(HLOOKUP("Mins",A1:CV300,36,FALSE)=0,0,HLOOKUP("FPL As",A1:CV300,36,FALSE)/HLOOKUP("Mins",A1:CV300,36,FALSE)* 90)</f>
      </c>
      <c r="BI36" s="2791">
        <f>IF(HLOOKUP("Mins",A1:CV300,36,FALSE)=0,0,HLOOKUP("BC Created",A1:CV300,36,FALSE)/HLOOKUP("Mins",A1:CV300,36,FALSE)* 90)</f>
      </c>
      <c r="BJ36" s="2792">
        <f>IF(HLOOKUP("Mins",A1:CV300,36,FALSE)=0,0,HLOOKUP("KP",A1:CV300,36,FALSE)/HLOOKUP("Mins",A1:CV300,36,FALSE)* 90)</f>
      </c>
      <c r="BK36" s="2793">
        <f>IF(HLOOKUP("Mins",A1:CV300,36,FALSE)=0,0,HLOOKUP("BC",A1:CV300,36,FALSE)/HLOOKUP("Mins",A1:CV300,36,FALSE)* 90)</f>
      </c>
      <c r="BL36" s="2794">
        <f>IF(HLOOKUP("Mins",A1:CV300,36,FALSE)=0,0,HLOOKUP("BC Miss",A1:CV300,36,FALSE)/HLOOKUP("Mins",A1:CV300,36,FALSE)* 90)</f>
      </c>
      <c r="BM36" s="2795">
        <f>IF(HLOOKUP("Mins",A1:CV300,36,FALSE)=0,0,HLOOKUP("Gs - BC",A1:CV300,36,FALSE)/HLOOKUP("Mins",A1:CV300,36,FALSE)* 90)</f>
      </c>
      <c r="BN36" s="2796">
        <f>IF(HLOOKUP("Mins",A1:CV300,36,FALSE)=0,0,HLOOKUP("GIB",A1:CV300,36,FALSE)/HLOOKUP("Mins",A1:CV300,36,FALSE)* 90)</f>
      </c>
      <c r="BO36" s="2797">
        <f>IF(HLOOKUP("Mins",A1:CV300,36,FALSE)=0,0,HLOOKUP("Gs - Open",A1:CV300,36,FALSE)/HLOOKUP("Mins",A1:CV300,36,FALSE)* 90)</f>
      </c>
      <c r="BP36" s="2798">
        <f>IF(HLOOKUP("Mins",A1:CV300,36,FALSE)=0,0,HLOOKUP("ICT Index",A1:CV300,36,FALSE)/HLOOKUP("Mins",A1:CV300,36,FALSE)* 90)</f>
      </c>
      <c r="BQ36" s="2799">
        <f>IF(HLOOKUP("Mins",A1:CV300,36,FALSE)=0,0,(0.043*(HLOOKUP("Shots",A1:CV300,36,FALSE)-HLOOKUP("SIB",A1:CV300,36,FALSE))+0.162*(HLOOKUP("SIB",A1:CV300,36,FALSE)-(HLOOKUP("PK Gs",A1:CV300,36,FALSE)+HLOOKUP("PK Miss",A1:CV300,36,FALSE)))+0.75*(HLOOKUP("PK Gs",A1:CV300,36,FALSE)+HLOOKUP("PK Miss",A1:CV300,36,FALSE)))/HLOOKUP("Mins",A1:CV300,36,FALSE)*90)</f>
      </c>
      <c r="BR36" s="2800">
        <f>0.103*HLOOKUP("KP/90",A1:CV300,36,FALSE)</f>
      </c>
      <c r="BS36" s="2801">
        <f>4*HLOOKUP("xG/90",A1:CV300,36,FALSE)+3*HLOOKUP("xA/90",A1:CV300,36,FALSE)</f>
      </c>
      <c r="BT36" s="2802">
        <f>HLOOKUP("xPts/90",A1:CV300,36,FALSE)-(4*0.75*(HLOOKUP("PK Gs",A1:CV300,36,FALSE)+HLOOKUP("PK Miss",A1:CV300,36,FALSE))*90/HLOOKUP("Mins",A1:CV300,36,FALSE))</f>
      </c>
      <c r="BU36" s="2803">
        <f>IF(HLOOKUP("Mins",A1:CV300,36,FALSE)=0,0,HLOOKUP("fsXG",A1:CV300,36,FALSE)/HLOOKUP("Mins",A1:CV300,36,FALSE)* 90)</f>
      </c>
      <c r="BV36" s="2804">
        <f>IF(HLOOKUP("Mins",A1:CV300,36,FALSE)=0,0,HLOOKUP("fsXA",A1:CV300,36,FALSE)/HLOOKUP("Mins",A1:CV300,36,FALSE)* 90)</f>
      </c>
      <c r="BW36" s="2805">
        <f>4*HLOOKUP("fsXG/90",A1:CV300,36,FALSE)+3*HLOOKUP("fsXA/90",A1:CV300,36,FALSE)</f>
      </c>
      <c r="BX36" t="n" s="2806">
        <v>0.48049435019493103</v>
      </c>
      <c r="BY36" t="n" s="2807">
        <v>0.09788518399000168</v>
      </c>
      <c r="BZ36" s="2808">
        <f>4*HLOOKUP("uXG/90",A1:CV300,36,FALSE)+3*HLOOKUP("uXA/90",A1:CV300,36,FALSE)</f>
      </c>
    </row>
    <row r="37">
      <c r="A37" t="s" s="2809">
        <v>132</v>
      </c>
      <c r="B37" t="s" s="2810">
        <v>105</v>
      </c>
      <c r="C37" t="n" s="2811">
        <v>12.100000381469727</v>
      </c>
      <c r="D37" t="n" s="2812">
        <v>357.0</v>
      </c>
      <c r="E37" t="n" s="2813">
        <v>5.0</v>
      </c>
      <c r="F37" t="n" s="2814">
        <v>123.0</v>
      </c>
      <c r="G37" t="n" s="2815">
        <v>6.0</v>
      </c>
      <c r="H37" t="n" s="2816">
        <v>14.0</v>
      </c>
      <c r="I37" t="n" s="2817">
        <v>491.0</v>
      </c>
      <c r="J37" s="2818">
        <f>HLOOKUP("BPS",A1:CV300,37,FALSE)-((-6*HLOOKUP("OG",A1:CV300,37,FALSE))+(-6*HLOOKUP("PK Miss",A1:CV300,37,FALSE))+(9*HLOOKUP("FPL As",A1:CV300,37,FALSE))+(0*HLOOKUP("CS",A1:CV300,37,FALSE))+(24*HLOOKUP("Gs",A1:CV300,37,FALSE)))</f>
      </c>
      <c r="K37" t="n" s="2819">
        <v>0.0</v>
      </c>
      <c r="L37" t="n" s="2820">
        <v>4.0</v>
      </c>
      <c r="M37" t="n" s="2821">
        <v>47.0</v>
      </c>
      <c r="N37" t="n" s="2822">
        <v>26.0</v>
      </c>
      <c r="O37" t="n" s="2823">
        <v>21.0</v>
      </c>
      <c r="P37" s="2824">
        <f>IF(HLOOKUP("Shots",A1:CV300,37,FALSE)=0,0,HLOOKUP("SIB",A1:CV300,37,FALSE)/HLOOKUP("Shots",A1:CV300,37,FALSE))</f>
      </c>
      <c r="Q37" t="n" s="2825">
        <v>7.0</v>
      </c>
      <c r="R37" s="2826">
        <f>IF(HLOOKUP("Shots",A1:CV300,37,FALSE)=0,0,HLOOKUP("S6YD",A1:CV300,37,FALSE)/HLOOKUP("Shots",A1:CV300,37,FALSE))</f>
      </c>
      <c r="S37" t="n" s="2827">
        <v>1.0</v>
      </c>
      <c r="T37" s="2828">
        <f>IF(HLOOKUP("Shots",A1:CV300,37,FALSE)=0,0,HLOOKUP("Headers",A1:CV300,37,FALSE)/HLOOKUP("Shots",A1:CV300,37,FALSE))</f>
      </c>
      <c r="U37" t="n" s="2829">
        <v>11.0</v>
      </c>
      <c r="V37" s="2830">
        <f>IF(HLOOKUP("Shots",A1:CV300,37,FALSE)=0,0,HLOOKUP("SOT",A1:CV300,37,FALSE)/HLOOKUP("Shots",A1:CV300,37,FALSE))</f>
      </c>
      <c r="W37" s="2831">
        <f>IF(HLOOKUP("Shots",A1:CV300,37,FALSE)=0,0,HLOOKUP("Gs",A1:CV300,37,FALSE)/HLOOKUP("Shots",A1:CV300,37,FALSE))</f>
      </c>
      <c r="X37" t="n" s="2832">
        <v>1.0</v>
      </c>
      <c r="Y37" t="n" s="2833">
        <v>4.0</v>
      </c>
      <c r="Z37" t="n" s="2834">
        <v>5.0</v>
      </c>
      <c r="AA37" s="2835">
        <f>IF(HLOOKUP("KP",A1:CV300,37,FALSE)=0,0,HLOOKUP("As",A1:CV300,37,FALSE)/HLOOKUP("KP",A1:CV300,37,FALSE))</f>
      </c>
      <c r="AB37" t="n" s="2836">
        <v>82.4</v>
      </c>
      <c r="AC37" t="n" s="2837">
        <v>64.0</v>
      </c>
      <c r="AD37" t="n" s="2838">
        <v>0.0</v>
      </c>
      <c r="AE37" t="n" s="2839">
        <v>7.0</v>
      </c>
      <c r="AF37" t="n" s="2840">
        <v>2.0</v>
      </c>
      <c r="AG37" s="2841">
        <f>IF(HLOOKUP("BC",A1:CV300,37,FALSE)=0,0,HLOOKUP("Gs - BC",A1:CV300,37,FALSE)/HLOOKUP("BC",A1:CV300,37,FALSE))</f>
      </c>
      <c r="AH37" s="2842">
        <f>HLOOKUP("BC",A1:CV300,37,FALSE) - HLOOKUP("BC Miss",A1:CV300,37,FALSE)</f>
      </c>
      <c r="AI37" s="2843">
        <f>IF(HLOOKUP("Gs",A1:CV300,37,FALSE)=0,0,HLOOKUP("Gs - BC",A1:CV300,37,FALSE)/HLOOKUP("Gs",A1:CV300,37,FALSE))</f>
      </c>
      <c r="AJ37" t="n" s="2844">
        <v>0.0</v>
      </c>
      <c r="AK37" t="n" s="2845">
        <v>0.0</v>
      </c>
      <c r="AL37" s="2846">
        <f>HLOOKUP("BC",A1:CV300,37,FALSE) - (HLOOKUP("PK Gs",A1:CV300,37,FALSE) + HLOOKUP("PK Miss",A1:CV300,37,FALSE))</f>
      </c>
      <c r="AM37" s="2847">
        <f>HLOOKUP("BC Miss",A1:CV300,37,FALSE) - HLOOKUP("PK Miss",A1:CV300,37,FALSE)</f>
      </c>
      <c r="AN37" s="2848">
        <f>IF(HLOOKUP("BC - Open",A1:CV300,37,FALSE)=0,0,HLOOKUP("BC - Open Miss",A1:CV300,37,FALSE)/HLOOKUP("BC - Open",A1:CV300,37,FALSE))</f>
      </c>
      <c r="AO37" t="n" s="2849">
        <v>5.0</v>
      </c>
      <c r="AP37" s="2850">
        <f>IF(HLOOKUP("Gs",A1:CV300,37,FALSE)=0,0,HLOOKUP("GIB",A1:CV300,37,FALSE)/HLOOKUP("Gs",A1:CV300,37,FALSE))</f>
      </c>
      <c r="AQ37" t="n" s="2851">
        <v>6.0</v>
      </c>
      <c r="AR37" s="2852">
        <f>IF(HLOOKUP("Gs",A1:CV300,37,FALSE)=0,0,HLOOKUP("Gs - Open",A1:CV300,37,FALSE)/HLOOKUP("Gs",A1:CV300,37,FALSE))</f>
      </c>
      <c r="AS37" t="n" s="2853">
        <v>5.12</v>
      </c>
      <c r="AT37" t="n" s="2854">
        <v>0.57</v>
      </c>
      <c r="AU37" s="2855">
        <f>IF(HLOOKUP("Mins",A1:CV300,37,FALSE)=0,0,HLOOKUP("Pts",A1:CV300,37,FALSE)/HLOOKUP("Mins",A1:CV300,37,FALSE)* 90)</f>
      </c>
      <c r="AV37" s="2856">
        <f>IF(HLOOKUP("Apps",A1:CV300,37,FALSE)=0,0,HLOOKUP("Pts",A1:CV300,37,FALSE)/HLOOKUP("Apps",A1:CV300,37,FALSE)* 1)</f>
      </c>
      <c r="AW37" s="2857">
        <f>IF(HLOOKUP("Mins",A1:CV300,37,FALSE)=0,0,HLOOKUP("Gs",A1:CV300,37,FALSE)/HLOOKUP("Mins",A1:CV300,37,FALSE)* 90)</f>
      </c>
      <c r="AX37" s="2858">
        <f>IF(HLOOKUP("Mins",A1:CV300,37,FALSE)=0,0,HLOOKUP("Bonus",A1:CV300,37,FALSE)/HLOOKUP("Mins",A1:CV300,37,FALSE)* 90)</f>
      </c>
      <c r="AY37" s="2859">
        <f>IF(HLOOKUP("Mins",A1:CV300,37,FALSE)=0,0,HLOOKUP("BPS",A1:CV300,37,FALSE)/HLOOKUP("Mins",A1:CV300,37,FALSE)* 90)</f>
      </c>
      <c r="AZ37" s="2860">
        <f>IF(HLOOKUP("Mins",A1:CV300,37,FALSE)=0,0,HLOOKUP("Base BPS",A1:CV300,37,FALSE)/HLOOKUP("Mins",A1:CV300,37,FALSE)* 90)</f>
      </c>
      <c r="BA37" s="2861">
        <f>IF(HLOOKUP("Mins",A1:CV300,37,FALSE)=0,0,HLOOKUP("PenTchs",A1:CV300,37,FALSE)/HLOOKUP("Mins",A1:CV300,37,FALSE)* 90)</f>
      </c>
      <c r="BB37" s="2862">
        <f>IF(HLOOKUP("Mins",A1:CV300,37,FALSE)=0,0,HLOOKUP("Shots",A1:CV300,37,FALSE)/HLOOKUP("Mins",A1:CV300,37,FALSE)* 90)</f>
      </c>
      <c r="BC37" s="2863">
        <f>IF(HLOOKUP("Mins",A1:CV300,37,FALSE)=0,0,HLOOKUP("SIB",A1:CV300,37,FALSE)/HLOOKUP("Mins",A1:CV300,37,FALSE)* 90)</f>
      </c>
      <c r="BD37" s="2864">
        <f>IF(HLOOKUP("Mins",A1:CV300,37,FALSE)=0,0,HLOOKUP("S6YD",A1:CV300,37,FALSE)/HLOOKUP("Mins",A1:CV300,37,FALSE)* 90)</f>
      </c>
      <c r="BE37" s="2865">
        <f>IF(HLOOKUP("Mins",A1:CV300,37,FALSE)=0,0,HLOOKUP("Headers",A1:CV300,37,FALSE)/HLOOKUP("Mins",A1:CV300,37,FALSE)* 90)</f>
      </c>
      <c r="BF37" s="2866">
        <f>IF(HLOOKUP("Mins",A1:CV300,37,FALSE)=0,0,HLOOKUP("SOT",A1:CV300,37,FALSE)/HLOOKUP("Mins",A1:CV300,37,FALSE)* 90)</f>
      </c>
      <c r="BG37" s="2867">
        <f>IF(HLOOKUP("Mins",A1:CV300,37,FALSE)=0,0,HLOOKUP("As",A1:CV300,37,FALSE)/HLOOKUP("Mins",A1:CV300,37,FALSE)* 90)</f>
      </c>
      <c r="BH37" s="2868">
        <f>IF(HLOOKUP("Mins",A1:CV300,37,FALSE)=0,0,HLOOKUP("FPL As",A1:CV300,37,FALSE)/HLOOKUP("Mins",A1:CV300,37,FALSE)* 90)</f>
      </c>
      <c r="BI37" s="2869">
        <f>IF(HLOOKUP("Mins",A1:CV300,37,FALSE)=0,0,HLOOKUP("BC Created",A1:CV300,37,FALSE)/HLOOKUP("Mins",A1:CV300,37,FALSE)* 90)</f>
      </c>
      <c r="BJ37" s="2870">
        <f>IF(HLOOKUP("Mins",A1:CV300,37,FALSE)=0,0,HLOOKUP("KP",A1:CV300,37,FALSE)/HLOOKUP("Mins",A1:CV300,37,FALSE)* 90)</f>
      </c>
      <c r="BK37" s="2871">
        <f>IF(HLOOKUP("Mins",A1:CV300,37,FALSE)=0,0,HLOOKUP("BC",A1:CV300,37,FALSE)/HLOOKUP("Mins",A1:CV300,37,FALSE)* 90)</f>
      </c>
      <c r="BL37" s="2872">
        <f>IF(HLOOKUP("Mins",A1:CV300,37,FALSE)=0,0,HLOOKUP("BC Miss",A1:CV300,37,FALSE)/HLOOKUP("Mins",A1:CV300,37,FALSE)* 90)</f>
      </c>
      <c r="BM37" s="2873">
        <f>IF(HLOOKUP("Mins",A1:CV300,37,FALSE)=0,0,HLOOKUP("Gs - BC",A1:CV300,37,FALSE)/HLOOKUP("Mins",A1:CV300,37,FALSE)* 90)</f>
      </c>
      <c r="BN37" s="2874">
        <f>IF(HLOOKUP("Mins",A1:CV300,37,FALSE)=0,0,HLOOKUP("GIB",A1:CV300,37,FALSE)/HLOOKUP("Mins",A1:CV300,37,FALSE)* 90)</f>
      </c>
      <c r="BO37" s="2875">
        <f>IF(HLOOKUP("Mins",A1:CV300,37,FALSE)=0,0,HLOOKUP("Gs - Open",A1:CV300,37,FALSE)/HLOOKUP("Mins",A1:CV300,37,FALSE)* 90)</f>
      </c>
      <c r="BP37" s="2876">
        <f>IF(HLOOKUP("Mins",A1:CV300,37,FALSE)=0,0,HLOOKUP("ICT Index",A1:CV300,37,FALSE)/HLOOKUP("Mins",A1:CV300,37,FALSE)* 90)</f>
      </c>
      <c r="BQ37" s="2877">
        <f>IF(HLOOKUP("Mins",A1:CV300,37,FALSE)=0,0,(0.043*(HLOOKUP("Shots",A1:CV300,37,FALSE)-HLOOKUP("SIB",A1:CV300,37,FALSE))+0.162*(HLOOKUP("SIB",A1:CV300,37,FALSE)-(HLOOKUP("PK Gs",A1:CV300,37,FALSE)+HLOOKUP("PK Miss",A1:CV300,37,FALSE)))+0.75*(HLOOKUP("PK Gs",A1:CV300,37,FALSE)+HLOOKUP("PK Miss",A1:CV300,37,FALSE)))/HLOOKUP("Mins",A1:CV300,37,FALSE)*90)</f>
      </c>
      <c r="BR37" s="2878">
        <f>0.103*HLOOKUP("KP/90",A1:CV300,37,FALSE)</f>
      </c>
      <c r="BS37" s="2879">
        <f>4*HLOOKUP("xG/90",A1:CV300,37,FALSE)+3*HLOOKUP("xA/90",A1:CV300,37,FALSE)</f>
      </c>
      <c r="BT37" s="2880">
        <f>HLOOKUP("xPts/90",A1:CV300,37,FALSE)-(4*0.75*(HLOOKUP("PK Gs",A1:CV300,37,FALSE)+HLOOKUP("PK Miss",A1:CV300,37,FALSE))*90/HLOOKUP("Mins",A1:CV300,37,FALSE))</f>
      </c>
      <c r="BU37" s="2881">
        <f>IF(HLOOKUP("Mins",A1:CV300,37,FALSE)=0,0,HLOOKUP("fsXG",A1:CV300,37,FALSE)/HLOOKUP("Mins",A1:CV300,37,FALSE)* 90)</f>
      </c>
      <c r="BV37" s="2882">
        <f>IF(HLOOKUP("Mins",A1:CV300,37,FALSE)=0,0,HLOOKUP("fsXA",A1:CV300,37,FALSE)/HLOOKUP("Mins",A1:CV300,37,FALSE)* 90)</f>
      </c>
      <c r="BW37" s="2883">
        <f>4*HLOOKUP("fsXG/90",A1:CV300,37,FALSE)+3*HLOOKUP("fsXA/90",A1:CV300,37,FALSE)</f>
      </c>
      <c r="BX37" t="n" s="2884">
        <v>1.2407642602920532</v>
      </c>
      <c r="BY37" t="n" s="2885">
        <v>0.08779395371675491</v>
      </c>
      <c r="BZ37" s="2886">
        <f>4*HLOOKUP("uXG/90",A1:CV300,37,FALSE)+3*HLOOKUP("uXA/90",A1:CV300,37,FALSE)</f>
      </c>
    </row>
    <row r="38">
      <c r="A38" t="s" s="2887">
        <v>133</v>
      </c>
      <c r="B38" t="s" s="2888">
        <v>134</v>
      </c>
      <c r="C38" t="n" s="2889">
        <v>9.699999809265137</v>
      </c>
      <c r="D38" t="n" s="2890">
        <v>623.0</v>
      </c>
      <c r="E38" t="n" s="2891">
        <v>7.0</v>
      </c>
      <c r="F38" t="n" s="2892">
        <v>124.0</v>
      </c>
      <c r="G38" t="n" s="2893">
        <v>2.0</v>
      </c>
      <c r="H38" t="n" s="2894">
        <v>18.0</v>
      </c>
      <c r="I38" t="n" s="2895">
        <v>487.0</v>
      </c>
      <c r="J38" s="2896">
        <f>HLOOKUP("BPS",A1:CV300,38,FALSE)-((-6*HLOOKUP("OG",A1:CV300,38,FALSE))+(-6*HLOOKUP("PK Miss",A1:CV300,38,FALSE))+(9*HLOOKUP("FPL As",A1:CV300,38,FALSE))+(0*HLOOKUP("CS",A1:CV300,38,FALSE))+(24*HLOOKUP("Gs",A1:CV300,38,FALSE)))</f>
      </c>
      <c r="K38" t="n" s="2897">
        <v>0.0</v>
      </c>
      <c r="L38" t="n" s="2898">
        <v>14.0</v>
      </c>
      <c r="M38" t="n" s="2899">
        <v>54.0</v>
      </c>
      <c r="N38" t="n" s="2900">
        <v>23.0</v>
      </c>
      <c r="O38" t="n" s="2901">
        <v>22.0</v>
      </c>
      <c r="P38" s="2902">
        <f>IF(HLOOKUP("Shots",A1:CV300,38,FALSE)=0,0,HLOOKUP("SIB",A1:CV300,38,FALSE)/HLOOKUP("Shots",A1:CV300,38,FALSE))</f>
      </c>
      <c r="Q38" t="n" s="2903">
        <v>3.0</v>
      </c>
      <c r="R38" s="2904">
        <f>IF(HLOOKUP("Shots",A1:CV300,38,FALSE)=0,0,HLOOKUP("S6YD",A1:CV300,38,FALSE)/HLOOKUP("Shots",A1:CV300,38,FALSE))</f>
      </c>
      <c r="S38" t="n" s="2905">
        <v>1.0</v>
      </c>
      <c r="T38" s="2906">
        <f>IF(HLOOKUP("Shots",A1:CV300,38,FALSE)=0,0,HLOOKUP("Headers",A1:CV300,38,FALSE)/HLOOKUP("Shots",A1:CV300,38,FALSE))</f>
      </c>
      <c r="U38" t="n" s="2907">
        <v>8.0</v>
      </c>
      <c r="V38" s="2908">
        <f>IF(HLOOKUP("Shots",A1:CV300,38,FALSE)=0,0,HLOOKUP("SOT",A1:CV300,38,FALSE)/HLOOKUP("Shots",A1:CV300,38,FALSE))</f>
      </c>
      <c r="W38" s="2909">
        <f>IF(HLOOKUP("Shots",A1:CV300,38,FALSE)=0,0,HLOOKUP("Gs",A1:CV300,38,FALSE)/HLOOKUP("Shots",A1:CV300,38,FALSE))</f>
      </c>
      <c r="X38" t="n" s="2910">
        <v>3.0</v>
      </c>
      <c r="Y38" t="n" s="2911">
        <v>8.0</v>
      </c>
      <c r="Z38" t="n" s="2912">
        <v>15.0</v>
      </c>
      <c r="AA38" s="2913">
        <f>IF(HLOOKUP("KP",A1:CV300,38,FALSE)=0,0,HLOOKUP("As",A1:CV300,38,FALSE)/HLOOKUP("KP",A1:CV300,38,FALSE))</f>
      </c>
      <c r="AB38" t="n" s="2914">
        <v>77.3</v>
      </c>
      <c r="AC38" t="n" s="2915">
        <v>38.0</v>
      </c>
      <c r="AD38" t="n" s="2916">
        <v>1.0</v>
      </c>
      <c r="AE38" t="n" s="2917">
        <v>8.0</v>
      </c>
      <c r="AF38" t="n" s="2918">
        <v>7.0</v>
      </c>
      <c r="AG38" s="2919">
        <f>IF(HLOOKUP("BC",A1:CV300,38,FALSE)=0,0,HLOOKUP("Gs - BC",A1:CV300,38,FALSE)/HLOOKUP("BC",A1:CV300,38,FALSE))</f>
      </c>
      <c r="AH38" s="2920">
        <f>HLOOKUP("BC",A1:CV300,38,FALSE) - HLOOKUP("BC Miss",A1:CV300,38,FALSE)</f>
      </c>
      <c r="AI38" s="2921">
        <f>IF(HLOOKUP("Gs",A1:CV300,38,FALSE)=0,0,HLOOKUP("Gs - BC",A1:CV300,38,FALSE)/HLOOKUP("Gs",A1:CV300,38,FALSE))</f>
      </c>
      <c r="AJ38" t="n" s="2922">
        <v>0.0</v>
      </c>
      <c r="AK38" t="n" s="2923">
        <v>0.0</v>
      </c>
      <c r="AL38" s="2924">
        <f>HLOOKUP("BC",A1:CV300,38,FALSE) - (HLOOKUP("PK Gs",A1:CV300,38,FALSE) + HLOOKUP("PK Miss",A1:CV300,38,FALSE))</f>
      </c>
      <c r="AM38" s="2925">
        <f>HLOOKUP("BC Miss",A1:CV300,38,FALSE) - HLOOKUP("PK Miss",A1:CV300,38,FALSE)</f>
      </c>
      <c r="AN38" s="2926">
        <f>IF(HLOOKUP("BC - Open",A1:CV300,38,FALSE)=0,0,HLOOKUP("BC - Open Miss",A1:CV300,38,FALSE)/HLOOKUP("BC - Open",A1:CV300,38,FALSE))</f>
      </c>
      <c r="AO38" t="n" s="2927">
        <v>2.0</v>
      </c>
      <c r="AP38" s="2928">
        <f>IF(HLOOKUP("Gs",A1:CV300,38,FALSE)=0,0,HLOOKUP("GIB",A1:CV300,38,FALSE)/HLOOKUP("Gs",A1:CV300,38,FALSE))</f>
      </c>
      <c r="AQ38" t="n" s="2929">
        <v>2.0</v>
      </c>
      <c r="AR38" s="2930">
        <f>IF(HLOOKUP("Gs",A1:CV300,38,FALSE)=0,0,HLOOKUP("Gs - Open",A1:CV300,38,FALSE)/HLOOKUP("Gs",A1:CV300,38,FALSE))</f>
      </c>
      <c r="AS38" t="n" s="2931">
        <v>4.2</v>
      </c>
      <c r="AT38" t="n" s="2932">
        <v>1.36</v>
      </c>
      <c r="AU38" s="2933">
        <f>IF(HLOOKUP("Mins",A1:CV300,38,FALSE)=0,0,HLOOKUP("Pts",A1:CV300,38,FALSE)/HLOOKUP("Mins",A1:CV300,38,FALSE)* 90)</f>
      </c>
      <c r="AV38" s="2934">
        <f>IF(HLOOKUP("Apps",A1:CV300,38,FALSE)=0,0,HLOOKUP("Pts",A1:CV300,38,FALSE)/HLOOKUP("Apps",A1:CV300,38,FALSE)* 1)</f>
      </c>
      <c r="AW38" s="2935">
        <f>IF(HLOOKUP("Mins",A1:CV300,38,FALSE)=0,0,HLOOKUP("Gs",A1:CV300,38,FALSE)/HLOOKUP("Mins",A1:CV300,38,FALSE)* 90)</f>
      </c>
      <c r="AX38" s="2936">
        <f>IF(HLOOKUP("Mins",A1:CV300,38,FALSE)=0,0,HLOOKUP("Bonus",A1:CV300,38,FALSE)/HLOOKUP("Mins",A1:CV300,38,FALSE)* 90)</f>
      </c>
      <c r="AY38" s="2937">
        <f>IF(HLOOKUP("Mins",A1:CV300,38,FALSE)=0,0,HLOOKUP("BPS",A1:CV300,38,FALSE)/HLOOKUP("Mins",A1:CV300,38,FALSE)* 90)</f>
      </c>
      <c r="AZ38" s="2938">
        <f>IF(HLOOKUP("Mins",A1:CV300,38,FALSE)=0,0,HLOOKUP("Base BPS",A1:CV300,38,FALSE)/HLOOKUP("Mins",A1:CV300,38,FALSE)* 90)</f>
      </c>
      <c r="BA38" s="2939">
        <f>IF(HLOOKUP("Mins",A1:CV300,38,FALSE)=0,0,HLOOKUP("PenTchs",A1:CV300,38,FALSE)/HLOOKUP("Mins",A1:CV300,38,FALSE)* 90)</f>
      </c>
      <c r="BB38" s="2940">
        <f>IF(HLOOKUP("Mins",A1:CV300,38,FALSE)=0,0,HLOOKUP("Shots",A1:CV300,38,FALSE)/HLOOKUP("Mins",A1:CV300,38,FALSE)* 90)</f>
      </c>
      <c r="BC38" s="2941">
        <f>IF(HLOOKUP("Mins",A1:CV300,38,FALSE)=0,0,HLOOKUP("SIB",A1:CV300,38,FALSE)/HLOOKUP("Mins",A1:CV300,38,FALSE)* 90)</f>
      </c>
      <c r="BD38" s="2942">
        <f>IF(HLOOKUP("Mins",A1:CV300,38,FALSE)=0,0,HLOOKUP("S6YD",A1:CV300,38,FALSE)/HLOOKUP("Mins",A1:CV300,38,FALSE)* 90)</f>
      </c>
      <c r="BE38" s="2943">
        <f>IF(HLOOKUP("Mins",A1:CV300,38,FALSE)=0,0,HLOOKUP("Headers",A1:CV300,38,FALSE)/HLOOKUP("Mins",A1:CV300,38,FALSE)* 90)</f>
      </c>
      <c r="BF38" s="2944">
        <f>IF(HLOOKUP("Mins",A1:CV300,38,FALSE)=0,0,HLOOKUP("SOT",A1:CV300,38,FALSE)/HLOOKUP("Mins",A1:CV300,38,FALSE)* 90)</f>
      </c>
      <c r="BG38" s="2945">
        <f>IF(HLOOKUP("Mins",A1:CV300,38,FALSE)=0,0,HLOOKUP("As",A1:CV300,38,FALSE)/HLOOKUP("Mins",A1:CV300,38,FALSE)* 90)</f>
      </c>
      <c r="BH38" s="2946">
        <f>IF(HLOOKUP("Mins",A1:CV300,38,FALSE)=0,0,HLOOKUP("FPL As",A1:CV300,38,FALSE)/HLOOKUP("Mins",A1:CV300,38,FALSE)* 90)</f>
      </c>
      <c r="BI38" s="2947">
        <f>IF(HLOOKUP("Mins",A1:CV300,38,FALSE)=0,0,HLOOKUP("BC Created",A1:CV300,38,FALSE)/HLOOKUP("Mins",A1:CV300,38,FALSE)* 90)</f>
      </c>
      <c r="BJ38" s="2948">
        <f>IF(HLOOKUP("Mins",A1:CV300,38,FALSE)=0,0,HLOOKUP("KP",A1:CV300,38,FALSE)/HLOOKUP("Mins",A1:CV300,38,FALSE)* 90)</f>
      </c>
      <c r="BK38" s="2949">
        <f>IF(HLOOKUP("Mins",A1:CV300,38,FALSE)=0,0,HLOOKUP("BC",A1:CV300,38,FALSE)/HLOOKUP("Mins",A1:CV300,38,FALSE)* 90)</f>
      </c>
      <c r="BL38" s="2950">
        <f>IF(HLOOKUP("Mins",A1:CV300,38,FALSE)=0,0,HLOOKUP("BC Miss",A1:CV300,38,FALSE)/HLOOKUP("Mins",A1:CV300,38,FALSE)* 90)</f>
      </c>
      <c r="BM38" s="2951">
        <f>IF(HLOOKUP("Mins",A1:CV300,38,FALSE)=0,0,HLOOKUP("Gs - BC",A1:CV300,38,FALSE)/HLOOKUP("Mins",A1:CV300,38,FALSE)* 90)</f>
      </c>
      <c r="BN38" s="2952">
        <f>IF(HLOOKUP("Mins",A1:CV300,38,FALSE)=0,0,HLOOKUP("GIB",A1:CV300,38,FALSE)/HLOOKUP("Mins",A1:CV300,38,FALSE)* 90)</f>
      </c>
      <c r="BO38" s="2953">
        <f>IF(HLOOKUP("Mins",A1:CV300,38,FALSE)=0,0,HLOOKUP("Gs - Open",A1:CV300,38,FALSE)/HLOOKUP("Mins",A1:CV300,38,FALSE)* 90)</f>
      </c>
      <c r="BP38" s="2954">
        <f>IF(HLOOKUP("Mins",A1:CV300,38,FALSE)=0,0,HLOOKUP("ICT Index",A1:CV300,38,FALSE)/HLOOKUP("Mins",A1:CV300,38,FALSE)* 90)</f>
      </c>
      <c r="BQ38" s="2955">
        <f>IF(HLOOKUP("Mins",A1:CV300,38,FALSE)=0,0,(0.043*(HLOOKUP("Shots",A1:CV300,38,FALSE)-HLOOKUP("SIB",A1:CV300,38,FALSE))+0.162*(HLOOKUP("SIB",A1:CV300,38,FALSE)-(HLOOKUP("PK Gs",A1:CV300,38,FALSE)+HLOOKUP("PK Miss",A1:CV300,38,FALSE)))+0.75*(HLOOKUP("PK Gs",A1:CV300,38,FALSE)+HLOOKUP("PK Miss",A1:CV300,38,FALSE)))/HLOOKUP("Mins",A1:CV300,38,FALSE)*90)</f>
      </c>
      <c r="BR38" s="2956">
        <f>0.103*HLOOKUP("KP/90",A1:CV300,38,FALSE)</f>
      </c>
      <c r="BS38" s="2957">
        <f>4*HLOOKUP("xG/90",A1:CV300,38,FALSE)+3*HLOOKUP("xA/90",A1:CV300,38,FALSE)</f>
      </c>
      <c r="BT38" s="2958">
        <f>HLOOKUP("xPts/90",A1:CV300,38,FALSE)-(4*0.75*(HLOOKUP("PK Gs",A1:CV300,38,FALSE)+HLOOKUP("PK Miss",A1:CV300,38,FALSE))*90/HLOOKUP("Mins",A1:CV300,38,FALSE))</f>
      </c>
      <c r="BU38" s="2959">
        <f>IF(HLOOKUP("Mins",A1:CV300,38,FALSE)=0,0,HLOOKUP("fsXG",A1:CV300,38,FALSE)/HLOOKUP("Mins",A1:CV300,38,FALSE)* 90)</f>
      </c>
      <c r="BV38" s="2960">
        <f>IF(HLOOKUP("Mins",A1:CV300,38,FALSE)=0,0,HLOOKUP("fsXA",A1:CV300,38,FALSE)/HLOOKUP("Mins",A1:CV300,38,FALSE)* 90)</f>
      </c>
      <c r="BW38" s="2961">
        <f>4*HLOOKUP("fsXG/90",A1:CV300,38,FALSE)+3*HLOOKUP("fsXA/90",A1:CV300,38,FALSE)</f>
      </c>
      <c r="BX38" t="n" s="2962">
        <v>0.7328471541404724</v>
      </c>
      <c r="BY38" t="n" s="2963">
        <v>0.2771754860877991</v>
      </c>
      <c r="BZ38" s="2964">
        <f>4*HLOOKUP("uXG/90",A1:CV300,38,FALSE)+3*HLOOKUP("uXA/90",A1:CV300,38,FALSE)</f>
      </c>
    </row>
    <row r="39">
      <c r="A39" t="s" s="2965">
        <v>135</v>
      </c>
      <c r="B39" t="s" s="2966">
        <v>116</v>
      </c>
      <c r="C39" t="n" s="2967">
        <v>6.300000190734863</v>
      </c>
      <c r="D39" t="n" s="2968">
        <v>540.0</v>
      </c>
      <c r="E39" t="n" s="2969">
        <v>6.0</v>
      </c>
      <c r="F39" t="n" s="2970">
        <v>55.0</v>
      </c>
      <c r="G39" t="n" s="2971">
        <v>2.0</v>
      </c>
      <c r="H39" t="n" s="2972">
        <v>8.0</v>
      </c>
      <c r="I39" t="n" s="2973">
        <v>208.0</v>
      </c>
      <c r="J39" s="2974">
        <f>HLOOKUP("BPS",A1:CV300,39,FALSE)-((-6*HLOOKUP("OG",A1:CV300,39,FALSE))+(-6*HLOOKUP("PK Miss",A1:CV300,39,FALSE))+(9*HLOOKUP("FPL As",A1:CV300,39,FALSE))+(0*HLOOKUP("CS",A1:CV300,39,FALSE))+(24*HLOOKUP("Gs",A1:CV300,39,FALSE)))</f>
      </c>
      <c r="K39" t="n" s="2975">
        <v>0.0</v>
      </c>
      <c r="L39" t="n" s="2976">
        <v>5.0</v>
      </c>
      <c r="M39" t="n" s="2977">
        <v>31.0</v>
      </c>
      <c r="N39" t="n" s="2978">
        <v>12.0</v>
      </c>
      <c r="O39" t="n" s="2979">
        <v>12.0</v>
      </c>
      <c r="P39" s="2980">
        <f>IF(HLOOKUP("Shots",A1:CV300,39,FALSE)=0,0,HLOOKUP("SIB",A1:CV300,39,FALSE)/HLOOKUP("Shots",A1:CV300,39,FALSE))</f>
      </c>
      <c r="Q39" t="n" s="2981">
        <v>2.0</v>
      </c>
      <c r="R39" s="2982">
        <f>IF(HLOOKUP("Shots",A1:CV300,39,FALSE)=0,0,HLOOKUP("S6YD",A1:CV300,39,FALSE)/HLOOKUP("Shots",A1:CV300,39,FALSE))</f>
      </c>
      <c r="S39" t="n" s="2983">
        <v>4.0</v>
      </c>
      <c r="T39" s="2984">
        <f>IF(HLOOKUP("Shots",A1:CV300,39,FALSE)=0,0,HLOOKUP("Headers",A1:CV300,39,FALSE)/HLOOKUP("Shots",A1:CV300,39,FALSE))</f>
      </c>
      <c r="U39" t="n" s="2985">
        <v>7.0</v>
      </c>
      <c r="V39" s="2986">
        <f>IF(HLOOKUP("Shots",A1:CV300,39,FALSE)=0,0,HLOOKUP("SOT",A1:CV300,39,FALSE)/HLOOKUP("Shots",A1:CV300,39,FALSE))</f>
      </c>
      <c r="W39" s="2987">
        <f>IF(HLOOKUP("Shots",A1:CV300,39,FALSE)=0,0,HLOOKUP("Gs",A1:CV300,39,FALSE)/HLOOKUP("Shots",A1:CV300,39,FALSE))</f>
      </c>
      <c r="X39" t="n" s="2988">
        <v>1.0</v>
      </c>
      <c r="Y39" t="n" s="2989">
        <v>1.0</v>
      </c>
      <c r="Z39" t="n" s="2990">
        <v>10.0</v>
      </c>
      <c r="AA39" s="2991">
        <f>IF(HLOOKUP("KP",A1:CV300,39,FALSE)=0,0,HLOOKUP("As",A1:CV300,39,FALSE)/HLOOKUP("KP",A1:CV300,39,FALSE))</f>
      </c>
      <c r="AB39" t="n" s="2992">
        <v>49.9</v>
      </c>
      <c r="AC39" t="n" s="2993">
        <v>33.0</v>
      </c>
      <c r="AD39" t="n" s="2994">
        <v>3.0</v>
      </c>
      <c r="AE39" t="n" s="2995">
        <v>4.0</v>
      </c>
      <c r="AF39" t="n" s="2996">
        <v>3.0</v>
      </c>
      <c r="AG39" s="2997">
        <f>IF(HLOOKUP("BC",A1:CV300,39,FALSE)=0,0,HLOOKUP("Gs - BC",A1:CV300,39,FALSE)/HLOOKUP("BC",A1:CV300,39,FALSE))</f>
      </c>
      <c r="AH39" s="2998">
        <f>HLOOKUP("BC",A1:CV300,39,FALSE) - HLOOKUP("BC Miss",A1:CV300,39,FALSE)</f>
      </c>
      <c r="AI39" s="2999">
        <f>IF(HLOOKUP("Gs",A1:CV300,39,FALSE)=0,0,HLOOKUP("Gs - BC",A1:CV300,39,FALSE)/HLOOKUP("Gs",A1:CV300,39,FALSE))</f>
      </c>
      <c r="AJ39" t="n" s="3000">
        <v>0.0</v>
      </c>
      <c r="AK39" t="n" s="3001">
        <v>1.0</v>
      </c>
      <c r="AL39" s="3002">
        <f>HLOOKUP("BC",A1:CV300,39,FALSE) - (HLOOKUP("PK Gs",A1:CV300,39,FALSE) + HLOOKUP("PK Miss",A1:CV300,39,FALSE))</f>
      </c>
      <c r="AM39" s="3003">
        <f>HLOOKUP("BC Miss",A1:CV300,39,FALSE) - HLOOKUP("PK Miss",A1:CV300,39,FALSE)</f>
      </c>
      <c r="AN39" s="3004">
        <f>IF(HLOOKUP("BC - Open",A1:CV300,39,FALSE)=0,0,HLOOKUP("BC - Open Miss",A1:CV300,39,FALSE)/HLOOKUP("BC - Open",A1:CV300,39,FALSE))</f>
      </c>
      <c r="AO39" t="n" s="3005">
        <v>2.0</v>
      </c>
      <c r="AP39" s="3006">
        <f>IF(HLOOKUP("Gs",A1:CV300,39,FALSE)=0,0,HLOOKUP("GIB",A1:CV300,39,FALSE)/HLOOKUP("Gs",A1:CV300,39,FALSE))</f>
      </c>
      <c r="AQ39" t="n" s="3007">
        <v>2.0</v>
      </c>
      <c r="AR39" s="3008">
        <f>IF(HLOOKUP("Gs",A1:CV300,39,FALSE)=0,0,HLOOKUP("Gs - Open",A1:CV300,39,FALSE)/HLOOKUP("Gs",A1:CV300,39,FALSE))</f>
      </c>
      <c r="AS39" t="n" s="3009">
        <v>2.7</v>
      </c>
      <c r="AT39" t="n" s="3010">
        <v>0.36</v>
      </c>
      <c r="AU39" s="3011">
        <f>IF(HLOOKUP("Mins",A1:CV300,39,FALSE)=0,0,HLOOKUP("Pts",A1:CV300,39,FALSE)/HLOOKUP("Mins",A1:CV300,39,FALSE)* 90)</f>
      </c>
      <c r="AV39" s="3012">
        <f>IF(HLOOKUP("Apps",A1:CV300,39,FALSE)=0,0,HLOOKUP("Pts",A1:CV300,39,FALSE)/HLOOKUP("Apps",A1:CV300,39,FALSE)* 1)</f>
      </c>
      <c r="AW39" s="3013">
        <f>IF(HLOOKUP("Mins",A1:CV300,39,FALSE)=0,0,HLOOKUP("Gs",A1:CV300,39,FALSE)/HLOOKUP("Mins",A1:CV300,39,FALSE)* 90)</f>
      </c>
      <c r="AX39" s="3014">
        <f>IF(HLOOKUP("Mins",A1:CV300,39,FALSE)=0,0,HLOOKUP("Bonus",A1:CV300,39,FALSE)/HLOOKUP("Mins",A1:CV300,39,FALSE)* 90)</f>
      </c>
      <c r="AY39" s="3015">
        <f>IF(HLOOKUP("Mins",A1:CV300,39,FALSE)=0,0,HLOOKUP("BPS",A1:CV300,39,FALSE)/HLOOKUP("Mins",A1:CV300,39,FALSE)* 90)</f>
      </c>
      <c r="AZ39" s="3016">
        <f>IF(HLOOKUP("Mins",A1:CV300,39,FALSE)=0,0,HLOOKUP("Base BPS",A1:CV300,39,FALSE)/HLOOKUP("Mins",A1:CV300,39,FALSE)* 90)</f>
      </c>
      <c r="BA39" s="3017">
        <f>IF(HLOOKUP("Mins",A1:CV300,39,FALSE)=0,0,HLOOKUP("PenTchs",A1:CV300,39,FALSE)/HLOOKUP("Mins",A1:CV300,39,FALSE)* 90)</f>
      </c>
      <c r="BB39" s="3018">
        <f>IF(HLOOKUP("Mins",A1:CV300,39,FALSE)=0,0,HLOOKUP("Shots",A1:CV300,39,FALSE)/HLOOKUP("Mins",A1:CV300,39,FALSE)* 90)</f>
      </c>
      <c r="BC39" s="3019">
        <f>IF(HLOOKUP("Mins",A1:CV300,39,FALSE)=0,0,HLOOKUP("SIB",A1:CV300,39,FALSE)/HLOOKUP("Mins",A1:CV300,39,FALSE)* 90)</f>
      </c>
      <c r="BD39" s="3020">
        <f>IF(HLOOKUP("Mins",A1:CV300,39,FALSE)=0,0,HLOOKUP("S6YD",A1:CV300,39,FALSE)/HLOOKUP("Mins",A1:CV300,39,FALSE)* 90)</f>
      </c>
      <c r="BE39" s="3021">
        <f>IF(HLOOKUP("Mins",A1:CV300,39,FALSE)=0,0,HLOOKUP("Headers",A1:CV300,39,FALSE)/HLOOKUP("Mins",A1:CV300,39,FALSE)* 90)</f>
      </c>
      <c r="BF39" s="3022">
        <f>IF(HLOOKUP("Mins",A1:CV300,39,FALSE)=0,0,HLOOKUP("SOT",A1:CV300,39,FALSE)/HLOOKUP("Mins",A1:CV300,39,FALSE)* 90)</f>
      </c>
      <c r="BG39" s="3023">
        <f>IF(HLOOKUP("Mins",A1:CV300,39,FALSE)=0,0,HLOOKUP("As",A1:CV300,39,FALSE)/HLOOKUP("Mins",A1:CV300,39,FALSE)* 90)</f>
      </c>
      <c r="BH39" s="3024">
        <f>IF(HLOOKUP("Mins",A1:CV300,39,FALSE)=0,0,HLOOKUP("FPL As",A1:CV300,39,FALSE)/HLOOKUP("Mins",A1:CV300,39,FALSE)* 90)</f>
      </c>
      <c r="BI39" s="3025">
        <f>IF(HLOOKUP("Mins",A1:CV300,39,FALSE)=0,0,HLOOKUP("BC Created",A1:CV300,39,FALSE)/HLOOKUP("Mins",A1:CV300,39,FALSE)* 90)</f>
      </c>
      <c r="BJ39" s="3026">
        <f>IF(HLOOKUP("Mins",A1:CV300,39,FALSE)=0,0,HLOOKUP("KP",A1:CV300,39,FALSE)/HLOOKUP("Mins",A1:CV300,39,FALSE)* 90)</f>
      </c>
      <c r="BK39" s="3027">
        <f>IF(HLOOKUP("Mins",A1:CV300,39,FALSE)=0,0,HLOOKUP("BC",A1:CV300,39,FALSE)/HLOOKUP("Mins",A1:CV300,39,FALSE)* 90)</f>
      </c>
      <c r="BL39" s="3028">
        <f>IF(HLOOKUP("Mins",A1:CV300,39,FALSE)=0,0,HLOOKUP("BC Miss",A1:CV300,39,FALSE)/HLOOKUP("Mins",A1:CV300,39,FALSE)* 90)</f>
      </c>
      <c r="BM39" s="3029">
        <f>IF(HLOOKUP("Mins",A1:CV300,39,FALSE)=0,0,HLOOKUP("Gs - BC",A1:CV300,39,FALSE)/HLOOKUP("Mins",A1:CV300,39,FALSE)* 90)</f>
      </c>
      <c r="BN39" s="3030">
        <f>IF(HLOOKUP("Mins",A1:CV300,39,FALSE)=0,0,HLOOKUP("GIB",A1:CV300,39,FALSE)/HLOOKUP("Mins",A1:CV300,39,FALSE)* 90)</f>
      </c>
      <c r="BO39" s="3031">
        <f>IF(HLOOKUP("Mins",A1:CV300,39,FALSE)=0,0,HLOOKUP("Gs - Open",A1:CV300,39,FALSE)/HLOOKUP("Mins",A1:CV300,39,FALSE)* 90)</f>
      </c>
      <c r="BP39" s="3032">
        <f>IF(HLOOKUP("Mins",A1:CV300,39,FALSE)=0,0,HLOOKUP("ICT Index",A1:CV300,39,FALSE)/HLOOKUP("Mins",A1:CV300,39,FALSE)* 90)</f>
      </c>
      <c r="BQ39" s="3033">
        <f>IF(HLOOKUP("Mins",A1:CV300,39,FALSE)=0,0,(0.043*(HLOOKUP("Shots",A1:CV300,39,FALSE)-HLOOKUP("SIB",A1:CV300,39,FALSE))+0.162*(HLOOKUP("SIB",A1:CV300,39,FALSE)-(HLOOKUP("PK Gs",A1:CV300,39,FALSE)+HLOOKUP("PK Miss",A1:CV300,39,FALSE)))+0.75*(HLOOKUP("PK Gs",A1:CV300,39,FALSE)+HLOOKUP("PK Miss",A1:CV300,39,FALSE)))/HLOOKUP("Mins",A1:CV300,39,FALSE)*90)</f>
      </c>
      <c r="BR39" s="3034">
        <f>0.103*HLOOKUP("KP/90",A1:CV300,39,FALSE)</f>
      </c>
      <c r="BS39" s="3035">
        <f>4*HLOOKUP("xG/90",A1:CV300,39,FALSE)+3*HLOOKUP("xA/90",A1:CV300,39,FALSE)</f>
      </c>
      <c r="BT39" s="3036">
        <f>HLOOKUP("xPts/90",A1:CV300,39,FALSE)-(4*0.75*(HLOOKUP("PK Gs",A1:CV300,39,FALSE)+HLOOKUP("PK Miss",A1:CV300,39,FALSE))*90/HLOOKUP("Mins",A1:CV300,39,FALSE))</f>
      </c>
      <c r="BU39" s="3037">
        <f>IF(HLOOKUP("Mins",A1:CV300,39,FALSE)=0,0,HLOOKUP("fsXG",A1:CV300,39,FALSE)/HLOOKUP("Mins",A1:CV300,39,FALSE)* 90)</f>
      </c>
      <c r="BV39" s="3038">
        <f>IF(HLOOKUP("Mins",A1:CV300,39,FALSE)=0,0,HLOOKUP("fsXA",A1:CV300,39,FALSE)/HLOOKUP("Mins",A1:CV300,39,FALSE)* 90)</f>
      </c>
      <c r="BW39" s="3039">
        <f>4*HLOOKUP("fsXG/90",A1:CV300,39,FALSE)+3*HLOOKUP("fsXA/90",A1:CV300,39,FALSE)</f>
      </c>
      <c r="BX39" t="n" s="3040">
        <v>0.4376707077026367</v>
      </c>
      <c r="BY39" t="n" s="3041">
        <v>0.2688966393470764</v>
      </c>
      <c r="BZ39" s="3042">
        <f>4*HLOOKUP("uXG/90",A1:CV300,39,FALSE)+3*HLOOKUP("uXA/90",A1:CV300,39,FALSE)</f>
      </c>
    </row>
    <row r="40">
      <c r="A40" t="s" s="3043">
        <v>136</v>
      </c>
      <c r="B40" t="s" s="3044">
        <v>118</v>
      </c>
      <c r="C40" t="n" s="3045">
        <v>4.5</v>
      </c>
      <c r="D40" t="n" s="3046">
        <v>18.0</v>
      </c>
      <c r="E40" t="n" s="3047">
        <v>2.0</v>
      </c>
      <c r="F40" t="n" s="3048">
        <v>3.0</v>
      </c>
      <c r="G40" t="n" s="3049">
        <v>0.0</v>
      </c>
      <c r="H40" t="n" s="3050">
        <v>0.0</v>
      </c>
      <c r="I40" t="n" s="3051">
        <v>1.0</v>
      </c>
      <c r="J40" s="3052">
        <f>HLOOKUP("BPS",A1:CV300,40,FALSE)-((-6*HLOOKUP("OG",A1:CV300,40,FALSE))+(-6*HLOOKUP("PK Miss",A1:CV300,40,FALSE))+(9*HLOOKUP("FPL As",A1:CV300,40,FALSE))+(0*HLOOKUP("CS",A1:CV300,40,FALSE))+(24*HLOOKUP("Gs",A1:CV300,40,FALSE)))</f>
      </c>
      <c r="K40" t="n" s="3053">
        <v>0.0</v>
      </c>
      <c r="L40" t="n" s="3054">
        <v>0.0</v>
      </c>
      <c r="M40" t="n" s="3055">
        <v>0.0</v>
      </c>
      <c r="N40" t="n" s="3056">
        <v>0.0</v>
      </c>
      <c r="O40" t="n" s="3057">
        <v>0.0</v>
      </c>
      <c r="P40" s="3058">
        <f>IF(HLOOKUP("Shots",A1:CV300,40,FALSE)=0,0,HLOOKUP("SIB",A1:CV300,40,FALSE)/HLOOKUP("Shots",A1:CV300,40,FALSE))</f>
      </c>
      <c r="Q40" t="n" s="3059">
        <v>0.0</v>
      </c>
      <c r="R40" s="3060">
        <f>IF(HLOOKUP("Shots",A1:CV300,40,FALSE)=0,0,HLOOKUP("S6YD",A1:CV300,40,FALSE)/HLOOKUP("Shots",A1:CV300,40,FALSE))</f>
      </c>
      <c r="S40" t="n" s="3061">
        <v>0.0</v>
      </c>
      <c r="T40" s="3062">
        <f>IF(HLOOKUP("Shots",A1:CV300,40,FALSE)=0,0,HLOOKUP("Headers",A1:CV300,40,FALSE)/HLOOKUP("Shots",A1:CV300,40,FALSE))</f>
      </c>
      <c r="U40" t="n" s="3063">
        <v>0.0</v>
      </c>
      <c r="V40" s="3064">
        <f>IF(HLOOKUP("Shots",A1:CV300,40,FALSE)=0,0,HLOOKUP("SOT",A1:CV300,40,FALSE)/HLOOKUP("Shots",A1:CV300,40,FALSE))</f>
      </c>
      <c r="W40" s="3065">
        <f>IF(HLOOKUP("Shots",A1:CV300,40,FALSE)=0,0,HLOOKUP("Gs",A1:CV300,40,FALSE)/HLOOKUP("Shots",A1:CV300,40,FALSE))</f>
      </c>
      <c r="X40" t="n" s="3066">
        <v>0.0</v>
      </c>
      <c r="Y40" t="n" s="3067">
        <v>0.0</v>
      </c>
      <c r="Z40" t="n" s="3068">
        <v>0.0</v>
      </c>
      <c r="AA40" s="3069">
        <f>IF(HLOOKUP("KP",A1:CV300,40,FALSE)=0,0,HLOOKUP("As",A1:CV300,40,FALSE)/HLOOKUP("KP",A1:CV300,40,FALSE))</f>
      </c>
      <c r="AB40" t="n" s="3070">
        <v>0.6</v>
      </c>
      <c r="AC40" t="n" s="3071">
        <v>0.0</v>
      </c>
      <c r="AD40" t="n" s="3072">
        <v>0.0</v>
      </c>
      <c r="AE40" t="n" s="3073">
        <v>0.0</v>
      </c>
      <c r="AF40" t="n" s="3074">
        <v>0.0</v>
      </c>
      <c r="AG40" s="3075">
        <f>IF(HLOOKUP("BC",A1:CV300,40,FALSE)=0,0,HLOOKUP("Gs - BC",A1:CV300,40,FALSE)/HLOOKUP("BC",A1:CV300,40,FALSE))</f>
      </c>
      <c r="AH40" s="3076">
        <f>HLOOKUP("BC",A1:CV300,40,FALSE) - HLOOKUP("BC Miss",A1:CV300,40,FALSE)</f>
      </c>
      <c r="AI40" s="3077">
        <f>IF(HLOOKUP("Gs",A1:CV300,40,FALSE)=0,0,HLOOKUP("Gs - BC",A1:CV300,40,FALSE)/HLOOKUP("Gs",A1:CV300,40,FALSE))</f>
      </c>
      <c r="AJ40" t="n" s="3078">
        <v>0.0</v>
      </c>
      <c r="AK40" t="n" s="3079">
        <v>0.0</v>
      </c>
      <c r="AL40" s="3080">
        <f>HLOOKUP("BC",A1:CV300,40,FALSE) - (HLOOKUP("PK Gs",A1:CV300,40,FALSE) + HLOOKUP("PK Miss",A1:CV300,40,FALSE))</f>
      </c>
      <c r="AM40" s="3081">
        <f>HLOOKUP("BC Miss",A1:CV300,40,FALSE) - HLOOKUP("PK Miss",A1:CV300,40,FALSE)</f>
      </c>
      <c r="AN40" s="3082">
        <f>IF(HLOOKUP("BC - Open",A1:CV300,40,FALSE)=0,0,HLOOKUP("BC - Open Miss",A1:CV300,40,FALSE)/HLOOKUP("BC - Open",A1:CV300,40,FALSE))</f>
      </c>
      <c r="AO40" t="n" s="3083">
        <v>0.0</v>
      </c>
      <c r="AP40" s="3084">
        <f>IF(HLOOKUP("Gs",A1:CV300,40,FALSE)=0,0,HLOOKUP("GIB",A1:CV300,40,FALSE)/HLOOKUP("Gs",A1:CV300,40,FALSE))</f>
      </c>
      <c r="AQ40" t="n" s="3085">
        <v>0.0</v>
      </c>
      <c r="AR40" s="3086">
        <f>IF(HLOOKUP("Gs",A1:CV300,40,FALSE)=0,0,HLOOKUP("Gs - Open",A1:CV300,40,FALSE)/HLOOKUP("Gs",A1:CV300,40,FALSE))</f>
      </c>
      <c r="AS40" t="n" s="3087">
        <v>0.0</v>
      </c>
      <c r="AT40" t="n" s="3088">
        <v>0.01</v>
      </c>
      <c r="AU40" s="3089">
        <f>IF(HLOOKUP("Mins",A1:CV300,40,FALSE)=0,0,HLOOKUP("Pts",A1:CV300,40,FALSE)/HLOOKUP("Mins",A1:CV300,40,FALSE)* 90)</f>
      </c>
      <c r="AV40" s="3090">
        <f>IF(HLOOKUP("Apps",A1:CV300,40,FALSE)=0,0,HLOOKUP("Pts",A1:CV300,40,FALSE)/HLOOKUP("Apps",A1:CV300,40,FALSE)* 1)</f>
      </c>
      <c r="AW40" s="3091">
        <f>IF(HLOOKUP("Mins",A1:CV300,40,FALSE)=0,0,HLOOKUP("Gs",A1:CV300,40,FALSE)/HLOOKUP("Mins",A1:CV300,40,FALSE)* 90)</f>
      </c>
      <c r="AX40" s="3092">
        <f>IF(HLOOKUP("Mins",A1:CV300,40,FALSE)=0,0,HLOOKUP("Bonus",A1:CV300,40,FALSE)/HLOOKUP("Mins",A1:CV300,40,FALSE)* 90)</f>
      </c>
      <c r="AY40" s="3093">
        <f>IF(HLOOKUP("Mins",A1:CV300,40,FALSE)=0,0,HLOOKUP("BPS",A1:CV300,40,FALSE)/HLOOKUP("Mins",A1:CV300,40,FALSE)* 90)</f>
      </c>
      <c r="AZ40" s="3094">
        <f>IF(HLOOKUP("Mins",A1:CV300,40,FALSE)=0,0,HLOOKUP("Base BPS",A1:CV300,40,FALSE)/HLOOKUP("Mins",A1:CV300,40,FALSE)* 90)</f>
      </c>
      <c r="BA40" s="3095">
        <f>IF(HLOOKUP("Mins",A1:CV300,40,FALSE)=0,0,HLOOKUP("PenTchs",A1:CV300,40,FALSE)/HLOOKUP("Mins",A1:CV300,40,FALSE)* 90)</f>
      </c>
      <c r="BB40" s="3096">
        <f>IF(HLOOKUP("Mins",A1:CV300,40,FALSE)=0,0,HLOOKUP("Shots",A1:CV300,40,FALSE)/HLOOKUP("Mins",A1:CV300,40,FALSE)* 90)</f>
      </c>
      <c r="BC40" s="3097">
        <f>IF(HLOOKUP("Mins",A1:CV300,40,FALSE)=0,0,HLOOKUP("SIB",A1:CV300,40,FALSE)/HLOOKUP("Mins",A1:CV300,40,FALSE)* 90)</f>
      </c>
      <c r="BD40" s="3098">
        <f>IF(HLOOKUP("Mins",A1:CV300,40,FALSE)=0,0,HLOOKUP("S6YD",A1:CV300,40,FALSE)/HLOOKUP("Mins",A1:CV300,40,FALSE)* 90)</f>
      </c>
      <c r="BE40" s="3099">
        <f>IF(HLOOKUP("Mins",A1:CV300,40,FALSE)=0,0,HLOOKUP("Headers",A1:CV300,40,FALSE)/HLOOKUP("Mins",A1:CV300,40,FALSE)* 90)</f>
      </c>
      <c r="BF40" s="3100">
        <f>IF(HLOOKUP("Mins",A1:CV300,40,FALSE)=0,0,HLOOKUP("SOT",A1:CV300,40,FALSE)/HLOOKUP("Mins",A1:CV300,40,FALSE)* 90)</f>
      </c>
      <c r="BG40" s="3101">
        <f>IF(HLOOKUP("Mins",A1:CV300,40,FALSE)=0,0,HLOOKUP("As",A1:CV300,40,FALSE)/HLOOKUP("Mins",A1:CV300,40,FALSE)* 90)</f>
      </c>
      <c r="BH40" s="3102">
        <f>IF(HLOOKUP("Mins",A1:CV300,40,FALSE)=0,0,HLOOKUP("FPL As",A1:CV300,40,FALSE)/HLOOKUP("Mins",A1:CV300,40,FALSE)* 90)</f>
      </c>
      <c r="BI40" s="3103">
        <f>IF(HLOOKUP("Mins",A1:CV300,40,FALSE)=0,0,HLOOKUP("BC Created",A1:CV300,40,FALSE)/HLOOKUP("Mins",A1:CV300,40,FALSE)* 90)</f>
      </c>
      <c r="BJ40" s="3104">
        <f>IF(HLOOKUP("Mins",A1:CV300,40,FALSE)=0,0,HLOOKUP("KP",A1:CV300,40,FALSE)/HLOOKUP("Mins",A1:CV300,40,FALSE)* 90)</f>
      </c>
      <c r="BK40" s="3105">
        <f>IF(HLOOKUP("Mins",A1:CV300,40,FALSE)=0,0,HLOOKUP("BC",A1:CV300,40,FALSE)/HLOOKUP("Mins",A1:CV300,40,FALSE)* 90)</f>
      </c>
      <c r="BL40" s="3106">
        <f>IF(HLOOKUP("Mins",A1:CV300,40,FALSE)=0,0,HLOOKUP("BC Miss",A1:CV300,40,FALSE)/HLOOKUP("Mins",A1:CV300,40,FALSE)* 90)</f>
      </c>
      <c r="BM40" s="3107">
        <f>IF(HLOOKUP("Mins",A1:CV300,40,FALSE)=0,0,HLOOKUP("Gs - BC",A1:CV300,40,FALSE)/HLOOKUP("Mins",A1:CV300,40,FALSE)* 90)</f>
      </c>
      <c r="BN40" s="3108">
        <f>IF(HLOOKUP("Mins",A1:CV300,40,FALSE)=0,0,HLOOKUP("GIB",A1:CV300,40,FALSE)/HLOOKUP("Mins",A1:CV300,40,FALSE)* 90)</f>
      </c>
      <c r="BO40" s="3109">
        <f>IF(HLOOKUP("Mins",A1:CV300,40,FALSE)=0,0,HLOOKUP("Gs - Open",A1:CV300,40,FALSE)/HLOOKUP("Mins",A1:CV300,40,FALSE)* 90)</f>
      </c>
      <c r="BP40" s="3110">
        <f>IF(HLOOKUP("Mins",A1:CV300,40,FALSE)=0,0,HLOOKUP("ICT Index",A1:CV300,40,FALSE)/HLOOKUP("Mins",A1:CV300,40,FALSE)* 90)</f>
      </c>
      <c r="BQ40" s="3111">
        <f>IF(HLOOKUP("Mins",A1:CV300,40,FALSE)=0,0,(0.043*(HLOOKUP("Shots",A1:CV300,40,FALSE)-HLOOKUP("SIB",A1:CV300,40,FALSE))+0.162*(HLOOKUP("SIB",A1:CV300,40,FALSE)-(HLOOKUP("PK Gs",A1:CV300,40,FALSE)+HLOOKUP("PK Miss",A1:CV300,40,FALSE)))+0.75*(HLOOKUP("PK Gs",A1:CV300,40,FALSE)+HLOOKUP("PK Miss",A1:CV300,40,FALSE)))/HLOOKUP("Mins",A1:CV300,40,FALSE)*90)</f>
      </c>
      <c r="BR40" s="3112">
        <f>0.103*HLOOKUP("KP/90",A1:CV300,40,FALSE)</f>
      </c>
      <c r="BS40" s="3113">
        <f>4*HLOOKUP("xG/90",A1:CV300,40,FALSE)+3*HLOOKUP("xA/90",A1:CV300,40,FALSE)</f>
      </c>
      <c r="BT40" s="3114">
        <f>HLOOKUP("xPts/90",A1:CV300,40,FALSE)-(4*0.75*(HLOOKUP("PK Gs",A1:CV300,40,FALSE)+HLOOKUP("PK Miss",A1:CV300,40,FALSE))*90/HLOOKUP("Mins",A1:CV300,40,FALSE))</f>
      </c>
      <c r="BU40" s="3115">
        <f>IF(HLOOKUP("Mins",A1:CV300,40,FALSE)=0,0,HLOOKUP("fsXG",A1:CV300,40,FALSE)/HLOOKUP("Mins",A1:CV300,40,FALSE)* 90)</f>
      </c>
      <c r="BV40" s="3116">
        <f>IF(HLOOKUP("Mins",A1:CV300,40,FALSE)=0,0,HLOOKUP("fsXA",A1:CV300,40,FALSE)/HLOOKUP("Mins",A1:CV300,40,FALSE)* 90)</f>
      </c>
      <c r="BW40" s="3117">
        <f>4*HLOOKUP("fsXG/90",A1:CV300,40,FALSE)+3*HLOOKUP("fsXA/90",A1:CV300,40,FALSE)</f>
      </c>
      <c r="BX40" t="n" s="3118">
        <v>0.0</v>
      </c>
      <c r="BY40" t="n" s="3119">
        <v>0.0</v>
      </c>
      <c r="BZ40" s="3120">
        <f>4*HLOOKUP("uXG/90",A1:CV300,40,FALSE)+3*HLOOKUP("uXA/90",A1:CV300,40,FALSE)</f>
      </c>
    </row>
    <row r="41">
      <c r="A41" t="s" s="3121">
        <v>137</v>
      </c>
      <c r="B41" t="s" s="3122">
        <v>92</v>
      </c>
      <c r="C41" t="n" s="3123">
        <v>6.099999904632568</v>
      </c>
      <c r="D41" t="n" s="3124">
        <v>18.0</v>
      </c>
      <c r="E41" t="n" s="3125">
        <v>1.0</v>
      </c>
      <c r="F41" t="n" s="3126">
        <v>59.0</v>
      </c>
      <c r="G41" t="n" s="3127">
        <v>0.0</v>
      </c>
      <c r="H41" t="n" s="3128">
        <v>6.0</v>
      </c>
      <c r="I41" t="n" s="3129">
        <v>176.0</v>
      </c>
      <c r="J41" s="3130">
        <f>HLOOKUP("BPS",A1:CV300,41,FALSE)-((-6*HLOOKUP("OG",A1:CV300,41,FALSE))+(-6*HLOOKUP("PK Miss",A1:CV300,41,FALSE))+(9*HLOOKUP("FPL As",A1:CV300,41,FALSE))+(0*HLOOKUP("CS",A1:CV300,41,FALSE))+(24*HLOOKUP("Gs",A1:CV300,41,FALSE)))</f>
      </c>
      <c r="K41" t="n" s="3131">
        <v>0.0</v>
      </c>
      <c r="L41" t="n" s="3132">
        <v>3.0</v>
      </c>
      <c r="M41" t="n" s="3133">
        <v>0.0</v>
      </c>
      <c r="N41" t="n" s="3134">
        <v>0.0</v>
      </c>
      <c r="O41" t="n" s="3135">
        <v>0.0</v>
      </c>
      <c r="P41" s="3136">
        <f>IF(HLOOKUP("Shots",A1:CV300,41,FALSE)=0,0,HLOOKUP("SIB",A1:CV300,41,FALSE)/HLOOKUP("Shots",A1:CV300,41,FALSE))</f>
      </c>
      <c r="Q41" t="n" s="3137">
        <v>0.0</v>
      </c>
      <c r="R41" s="3138">
        <f>IF(HLOOKUP("Shots",A1:CV300,41,FALSE)=0,0,HLOOKUP("S6YD",A1:CV300,41,FALSE)/HLOOKUP("Shots",A1:CV300,41,FALSE))</f>
      </c>
      <c r="S41" t="n" s="3139">
        <v>0.0</v>
      </c>
      <c r="T41" s="3140">
        <f>IF(HLOOKUP("Shots",A1:CV300,41,FALSE)=0,0,HLOOKUP("Headers",A1:CV300,41,FALSE)/HLOOKUP("Shots",A1:CV300,41,FALSE))</f>
      </c>
      <c r="U41" t="n" s="3141">
        <v>0.0</v>
      </c>
      <c r="V41" s="3142">
        <f>IF(HLOOKUP("Shots",A1:CV300,41,FALSE)=0,0,HLOOKUP("SOT",A1:CV300,41,FALSE)/HLOOKUP("Shots",A1:CV300,41,FALSE))</f>
      </c>
      <c r="W41" s="3143">
        <f>IF(HLOOKUP("Shots",A1:CV300,41,FALSE)=0,0,HLOOKUP("Gs",A1:CV300,41,FALSE)/HLOOKUP("Shots",A1:CV300,41,FALSE))</f>
      </c>
      <c r="X41" t="n" s="3144">
        <v>0.0</v>
      </c>
      <c r="Y41" t="n" s="3145">
        <v>3.0</v>
      </c>
      <c r="Z41" t="n" s="3146">
        <v>0.0</v>
      </c>
      <c r="AA41" s="3147">
        <f>IF(HLOOKUP("KP",A1:CV300,41,FALSE)=0,0,HLOOKUP("As",A1:CV300,41,FALSE)/HLOOKUP("KP",A1:CV300,41,FALSE))</f>
      </c>
      <c r="AB41" t="n" s="3148">
        <v>0.0</v>
      </c>
      <c r="AC41" t="n" s="3149">
        <v>0.0</v>
      </c>
      <c r="AD41" t="n" s="3150">
        <v>0.0</v>
      </c>
      <c r="AE41" t="n" s="3151">
        <v>0.0</v>
      </c>
      <c r="AF41" t="n" s="3152">
        <v>0.0</v>
      </c>
      <c r="AG41" s="3153">
        <f>IF(HLOOKUP("BC",A1:CV300,41,FALSE)=0,0,HLOOKUP("Gs - BC",A1:CV300,41,FALSE)/HLOOKUP("BC",A1:CV300,41,FALSE))</f>
      </c>
      <c r="AH41" s="3154">
        <f>HLOOKUP("BC",A1:CV300,41,FALSE) - HLOOKUP("BC Miss",A1:CV300,41,FALSE)</f>
      </c>
      <c r="AI41" s="3155">
        <f>IF(HLOOKUP("Gs",A1:CV300,41,FALSE)=0,0,HLOOKUP("Gs - BC",A1:CV300,41,FALSE)/HLOOKUP("Gs",A1:CV300,41,FALSE))</f>
      </c>
      <c r="AJ41" t="n" s="3156">
        <v>0.0</v>
      </c>
      <c r="AK41" t="n" s="3157">
        <v>0.0</v>
      </c>
      <c r="AL41" s="3158">
        <f>HLOOKUP("BC",A1:CV300,41,FALSE) - (HLOOKUP("PK Gs",A1:CV300,41,FALSE) + HLOOKUP("PK Miss",A1:CV300,41,FALSE))</f>
      </c>
      <c r="AM41" s="3159">
        <f>HLOOKUP("BC Miss",A1:CV300,41,FALSE) - HLOOKUP("PK Miss",A1:CV300,41,FALSE)</f>
      </c>
      <c r="AN41" s="3160">
        <f>IF(HLOOKUP("BC - Open",A1:CV300,41,FALSE)=0,0,HLOOKUP("BC - Open Miss",A1:CV300,41,FALSE)/HLOOKUP("BC - Open",A1:CV300,41,FALSE))</f>
      </c>
      <c r="AO41" t="n" s="3161">
        <v>0.0</v>
      </c>
      <c r="AP41" s="3162">
        <f>IF(HLOOKUP("Gs",A1:CV300,41,FALSE)=0,0,HLOOKUP("GIB",A1:CV300,41,FALSE)/HLOOKUP("Gs",A1:CV300,41,FALSE))</f>
      </c>
      <c r="AQ41" t="n" s="3163">
        <v>0.0</v>
      </c>
      <c r="AR41" s="3164">
        <f>IF(HLOOKUP("Gs",A1:CV300,41,FALSE)=0,0,HLOOKUP("Gs - Open",A1:CV300,41,FALSE)/HLOOKUP("Gs",A1:CV300,41,FALSE))</f>
      </c>
      <c r="AS41" t="n" s="3165">
        <v>0.0</v>
      </c>
      <c r="AT41" t="n" s="3166">
        <v>0.0</v>
      </c>
      <c r="AU41" s="3167">
        <f>IF(HLOOKUP("Mins",A1:CV300,41,FALSE)=0,0,HLOOKUP("Pts",A1:CV300,41,FALSE)/HLOOKUP("Mins",A1:CV300,41,FALSE)* 90)</f>
      </c>
      <c r="AV41" s="3168">
        <f>IF(HLOOKUP("Apps",A1:CV300,41,FALSE)=0,0,HLOOKUP("Pts",A1:CV300,41,FALSE)/HLOOKUP("Apps",A1:CV300,41,FALSE)* 1)</f>
      </c>
      <c r="AW41" s="3169">
        <f>IF(HLOOKUP("Mins",A1:CV300,41,FALSE)=0,0,HLOOKUP("Gs",A1:CV300,41,FALSE)/HLOOKUP("Mins",A1:CV300,41,FALSE)* 90)</f>
      </c>
      <c r="AX41" s="3170">
        <f>IF(HLOOKUP("Mins",A1:CV300,41,FALSE)=0,0,HLOOKUP("Bonus",A1:CV300,41,FALSE)/HLOOKUP("Mins",A1:CV300,41,FALSE)* 90)</f>
      </c>
      <c r="AY41" s="3171">
        <f>IF(HLOOKUP("Mins",A1:CV300,41,FALSE)=0,0,HLOOKUP("BPS",A1:CV300,41,FALSE)/HLOOKUP("Mins",A1:CV300,41,FALSE)* 90)</f>
      </c>
      <c r="AZ41" s="3172">
        <f>IF(HLOOKUP("Mins",A1:CV300,41,FALSE)=0,0,HLOOKUP("Base BPS",A1:CV300,41,FALSE)/HLOOKUP("Mins",A1:CV300,41,FALSE)* 90)</f>
      </c>
      <c r="BA41" s="3173">
        <f>IF(HLOOKUP("Mins",A1:CV300,41,FALSE)=0,0,HLOOKUP("PenTchs",A1:CV300,41,FALSE)/HLOOKUP("Mins",A1:CV300,41,FALSE)* 90)</f>
      </c>
      <c r="BB41" s="3174">
        <f>IF(HLOOKUP("Mins",A1:CV300,41,FALSE)=0,0,HLOOKUP("Shots",A1:CV300,41,FALSE)/HLOOKUP("Mins",A1:CV300,41,FALSE)* 90)</f>
      </c>
      <c r="BC41" s="3175">
        <f>IF(HLOOKUP("Mins",A1:CV300,41,FALSE)=0,0,HLOOKUP("SIB",A1:CV300,41,FALSE)/HLOOKUP("Mins",A1:CV300,41,FALSE)* 90)</f>
      </c>
      <c r="BD41" s="3176">
        <f>IF(HLOOKUP("Mins",A1:CV300,41,FALSE)=0,0,HLOOKUP("S6YD",A1:CV300,41,FALSE)/HLOOKUP("Mins",A1:CV300,41,FALSE)* 90)</f>
      </c>
      <c r="BE41" s="3177">
        <f>IF(HLOOKUP("Mins",A1:CV300,41,FALSE)=0,0,HLOOKUP("Headers",A1:CV300,41,FALSE)/HLOOKUP("Mins",A1:CV300,41,FALSE)* 90)</f>
      </c>
      <c r="BF41" s="3178">
        <f>IF(HLOOKUP("Mins",A1:CV300,41,FALSE)=0,0,HLOOKUP("SOT",A1:CV300,41,FALSE)/HLOOKUP("Mins",A1:CV300,41,FALSE)* 90)</f>
      </c>
      <c r="BG41" s="3179">
        <f>IF(HLOOKUP("Mins",A1:CV300,41,FALSE)=0,0,HLOOKUP("As",A1:CV300,41,FALSE)/HLOOKUP("Mins",A1:CV300,41,FALSE)* 90)</f>
      </c>
      <c r="BH41" s="3180">
        <f>IF(HLOOKUP("Mins",A1:CV300,41,FALSE)=0,0,HLOOKUP("FPL As",A1:CV300,41,FALSE)/HLOOKUP("Mins",A1:CV300,41,FALSE)* 90)</f>
      </c>
      <c r="BI41" s="3181">
        <f>IF(HLOOKUP("Mins",A1:CV300,41,FALSE)=0,0,HLOOKUP("BC Created",A1:CV300,41,FALSE)/HLOOKUP("Mins",A1:CV300,41,FALSE)* 90)</f>
      </c>
      <c r="BJ41" s="3182">
        <f>IF(HLOOKUP("Mins",A1:CV300,41,FALSE)=0,0,HLOOKUP("KP",A1:CV300,41,FALSE)/HLOOKUP("Mins",A1:CV300,41,FALSE)* 90)</f>
      </c>
      <c r="BK41" s="3183">
        <f>IF(HLOOKUP("Mins",A1:CV300,41,FALSE)=0,0,HLOOKUP("BC",A1:CV300,41,FALSE)/HLOOKUP("Mins",A1:CV300,41,FALSE)* 90)</f>
      </c>
      <c r="BL41" s="3184">
        <f>IF(HLOOKUP("Mins",A1:CV300,41,FALSE)=0,0,HLOOKUP("BC Miss",A1:CV300,41,FALSE)/HLOOKUP("Mins",A1:CV300,41,FALSE)* 90)</f>
      </c>
      <c r="BM41" s="3185">
        <f>IF(HLOOKUP("Mins",A1:CV300,41,FALSE)=0,0,HLOOKUP("Gs - BC",A1:CV300,41,FALSE)/HLOOKUP("Mins",A1:CV300,41,FALSE)* 90)</f>
      </c>
      <c r="BN41" s="3186">
        <f>IF(HLOOKUP("Mins",A1:CV300,41,FALSE)=0,0,HLOOKUP("GIB",A1:CV300,41,FALSE)/HLOOKUP("Mins",A1:CV300,41,FALSE)* 90)</f>
      </c>
      <c r="BO41" s="3187">
        <f>IF(HLOOKUP("Mins",A1:CV300,41,FALSE)=0,0,HLOOKUP("Gs - Open",A1:CV300,41,FALSE)/HLOOKUP("Mins",A1:CV300,41,FALSE)* 90)</f>
      </c>
      <c r="BP41" s="3188">
        <f>IF(HLOOKUP("Mins",A1:CV300,41,FALSE)=0,0,HLOOKUP("ICT Index",A1:CV300,41,FALSE)/HLOOKUP("Mins",A1:CV300,41,FALSE)* 90)</f>
      </c>
      <c r="BQ41" s="3189">
        <f>IF(HLOOKUP("Mins",A1:CV300,41,FALSE)=0,0,(0.043*(HLOOKUP("Shots",A1:CV300,41,FALSE)-HLOOKUP("SIB",A1:CV300,41,FALSE))+0.162*(HLOOKUP("SIB",A1:CV300,41,FALSE)-(HLOOKUP("PK Gs",A1:CV300,41,FALSE)+HLOOKUP("PK Miss",A1:CV300,41,FALSE)))+0.75*(HLOOKUP("PK Gs",A1:CV300,41,FALSE)+HLOOKUP("PK Miss",A1:CV300,41,FALSE)))/HLOOKUP("Mins",A1:CV300,41,FALSE)*90)</f>
      </c>
      <c r="BR41" s="3190">
        <f>0.103*HLOOKUP("KP/90",A1:CV300,41,FALSE)</f>
      </c>
      <c r="BS41" s="3191">
        <f>4*HLOOKUP("xG/90",A1:CV300,41,FALSE)+3*HLOOKUP("xA/90",A1:CV300,41,FALSE)</f>
      </c>
      <c r="BT41" s="3192">
        <f>HLOOKUP("xPts/90",A1:CV300,41,FALSE)-(4*0.75*(HLOOKUP("PK Gs",A1:CV300,41,FALSE)+HLOOKUP("PK Miss",A1:CV300,41,FALSE))*90/HLOOKUP("Mins",A1:CV300,41,FALSE))</f>
      </c>
      <c r="BU41" s="3193">
        <f>IF(HLOOKUP("Mins",A1:CV300,41,FALSE)=0,0,HLOOKUP("fsXG",A1:CV300,41,FALSE)/HLOOKUP("Mins",A1:CV300,41,FALSE)* 90)</f>
      </c>
      <c r="BV41" s="3194">
        <f>IF(HLOOKUP("Mins",A1:CV300,41,FALSE)=0,0,HLOOKUP("fsXA",A1:CV300,41,FALSE)/HLOOKUP("Mins",A1:CV300,41,FALSE)* 90)</f>
      </c>
      <c r="BW41" s="3195">
        <f>4*HLOOKUP("fsXG/90",A1:CV300,41,FALSE)+3*HLOOKUP("fsXA/90",A1:CV300,41,FALSE)</f>
      </c>
      <c r="BX41" t="n" s="3196">
        <v>0.0</v>
      </c>
      <c r="BY41" t="n" s="3197">
        <v>0.0</v>
      </c>
      <c r="BZ41" s="3198">
        <f>4*HLOOKUP("uXG/90",A1:CV300,41,FALSE)+3*HLOOKUP("uXA/90",A1:CV300,41,FALSE)</f>
      </c>
    </row>
    <row r="42">
      <c r="A42" t="s" s="3199">
        <v>138</v>
      </c>
      <c r="B42" t="s" s="3200">
        <v>87</v>
      </c>
      <c r="C42" t="n" s="3201">
        <v>5.400000095367432</v>
      </c>
      <c r="D42" t="n" s="3202">
        <v>19.0</v>
      </c>
      <c r="E42" t="n" s="3203">
        <v>1.0</v>
      </c>
      <c r="F42" t="n" s="3204">
        <v>5.0</v>
      </c>
      <c r="G42" t="n" s="3205">
        <v>0.0</v>
      </c>
      <c r="H42" t="n" s="3206">
        <v>0.0</v>
      </c>
      <c r="I42" t="n" s="3207">
        <v>14.0</v>
      </c>
      <c r="J42" s="3208">
        <f>HLOOKUP("BPS",A1:CV300,42,FALSE)-((-6*HLOOKUP("OG",A1:CV300,42,FALSE))+(-6*HLOOKUP("PK Miss",A1:CV300,42,FALSE))+(9*HLOOKUP("FPL As",A1:CV300,42,FALSE))+(0*HLOOKUP("CS",A1:CV300,42,FALSE))+(24*HLOOKUP("Gs",A1:CV300,42,FALSE)))</f>
      </c>
      <c r="K42" t="n" s="3209">
        <v>0.0</v>
      </c>
      <c r="L42" t="n" s="3210">
        <v>0.0</v>
      </c>
      <c r="M42" t="n" s="3211">
        <v>1.0</v>
      </c>
      <c r="N42" t="n" s="3212">
        <v>2.0</v>
      </c>
      <c r="O42" t="n" s="3213">
        <v>1.0</v>
      </c>
      <c r="P42" s="3214">
        <f>IF(HLOOKUP("Shots",A1:CV300,42,FALSE)=0,0,HLOOKUP("SIB",A1:CV300,42,FALSE)/HLOOKUP("Shots",A1:CV300,42,FALSE))</f>
      </c>
      <c r="Q42" t="n" s="3215">
        <v>0.0</v>
      </c>
      <c r="R42" s="3216">
        <f>IF(HLOOKUP("Shots",A1:CV300,42,FALSE)=0,0,HLOOKUP("S6YD",A1:CV300,42,FALSE)/HLOOKUP("Shots",A1:CV300,42,FALSE))</f>
      </c>
      <c r="S42" t="n" s="3217">
        <v>0.0</v>
      </c>
      <c r="T42" s="3218">
        <f>IF(HLOOKUP("Shots",A1:CV300,42,FALSE)=0,0,HLOOKUP("Headers",A1:CV300,42,FALSE)/HLOOKUP("Shots",A1:CV300,42,FALSE))</f>
      </c>
      <c r="U42" t="n" s="3219">
        <v>0.0</v>
      </c>
      <c r="V42" s="3220">
        <f>IF(HLOOKUP("Shots",A1:CV300,42,FALSE)=0,0,HLOOKUP("SOT",A1:CV300,42,FALSE)/HLOOKUP("Shots",A1:CV300,42,FALSE))</f>
      </c>
      <c r="W42" s="3221">
        <f>IF(HLOOKUP("Shots",A1:CV300,42,FALSE)=0,0,HLOOKUP("Gs",A1:CV300,42,FALSE)/HLOOKUP("Shots",A1:CV300,42,FALSE))</f>
      </c>
      <c r="X42" t="n" s="3222">
        <v>0.0</v>
      </c>
      <c r="Y42" t="n" s="3223">
        <v>0.0</v>
      </c>
      <c r="Z42" t="n" s="3224">
        <v>0.0</v>
      </c>
      <c r="AA42" s="3225">
        <f>IF(HLOOKUP("KP",A1:CV300,42,FALSE)=0,0,HLOOKUP("As",A1:CV300,42,FALSE)/HLOOKUP("KP",A1:CV300,42,FALSE))</f>
      </c>
      <c r="AB42" t="n" s="3226">
        <v>1.0</v>
      </c>
      <c r="AC42" t="n" s="3227">
        <v>0.0</v>
      </c>
      <c r="AD42" t="n" s="3228">
        <v>0.0</v>
      </c>
      <c r="AE42" t="n" s="3229">
        <v>0.0</v>
      </c>
      <c r="AF42" t="n" s="3230">
        <v>0.0</v>
      </c>
      <c r="AG42" s="3231">
        <f>IF(HLOOKUP("BC",A1:CV300,42,FALSE)=0,0,HLOOKUP("Gs - BC",A1:CV300,42,FALSE)/HLOOKUP("BC",A1:CV300,42,FALSE))</f>
      </c>
      <c r="AH42" s="3232">
        <f>HLOOKUP("BC",A1:CV300,42,FALSE) - HLOOKUP("BC Miss",A1:CV300,42,FALSE)</f>
      </c>
      <c r="AI42" s="3233">
        <f>IF(HLOOKUP("Gs",A1:CV300,42,FALSE)=0,0,HLOOKUP("Gs - BC",A1:CV300,42,FALSE)/HLOOKUP("Gs",A1:CV300,42,FALSE))</f>
      </c>
      <c r="AJ42" t="n" s="3234">
        <v>0.0</v>
      </c>
      <c r="AK42" t="n" s="3235">
        <v>0.0</v>
      </c>
      <c r="AL42" s="3236">
        <f>HLOOKUP("BC",A1:CV300,42,FALSE) - (HLOOKUP("PK Gs",A1:CV300,42,FALSE) + HLOOKUP("PK Miss",A1:CV300,42,FALSE))</f>
      </c>
      <c r="AM42" s="3237">
        <f>HLOOKUP("BC Miss",A1:CV300,42,FALSE) - HLOOKUP("PK Miss",A1:CV300,42,FALSE)</f>
      </c>
      <c r="AN42" s="3238">
        <f>IF(HLOOKUP("BC - Open",A1:CV300,42,FALSE)=0,0,HLOOKUP("BC - Open Miss",A1:CV300,42,FALSE)/HLOOKUP("BC - Open",A1:CV300,42,FALSE))</f>
      </c>
      <c r="AO42" t="n" s="3239">
        <v>0.0</v>
      </c>
      <c r="AP42" s="3240">
        <f>IF(HLOOKUP("Gs",A1:CV300,42,FALSE)=0,0,HLOOKUP("GIB",A1:CV300,42,FALSE)/HLOOKUP("Gs",A1:CV300,42,FALSE))</f>
      </c>
      <c r="AQ42" t="n" s="3241">
        <v>0.0</v>
      </c>
      <c r="AR42" s="3242">
        <f>IF(HLOOKUP("Gs",A1:CV300,42,FALSE)=0,0,HLOOKUP("Gs - Open",A1:CV300,42,FALSE)/HLOOKUP("Gs",A1:CV300,42,FALSE))</f>
      </c>
      <c r="AS42" t="n" s="3243">
        <v>0.12</v>
      </c>
      <c r="AT42" t="n" s="3244">
        <v>0.0</v>
      </c>
      <c r="AU42" s="3245">
        <f>IF(HLOOKUP("Mins",A1:CV300,42,FALSE)=0,0,HLOOKUP("Pts",A1:CV300,42,FALSE)/HLOOKUP("Mins",A1:CV300,42,FALSE)* 90)</f>
      </c>
      <c r="AV42" s="3246">
        <f>IF(HLOOKUP("Apps",A1:CV300,42,FALSE)=0,0,HLOOKUP("Pts",A1:CV300,42,FALSE)/HLOOKUP("Apps",A1:CV300,42,FALSE)* 1)</f>
      </c>
      <c r="AW42" s="3247">
        <f>IF(HLOOKUP("Mins",A1:CV300,42,FALSE)=0,0,HLOOKUP("Gs",A1:CV300,42,FALSE)/HLOOKUP("Mins",A1:CV300,42,FALSE)* 90)</f>
      </c>
      <c r="AX42" s="3248">
        <f>IF(HLOOKUP("Mins",A1:CV300,42,FALSE)=0,0,HLOOKUP("Bonus",A1:CV300,42,FALSE)/HLOOKUP("Mins",A1:CV300,42,FALSE)* 90)</f>
      </c>
      <c r="AY42" s="3249">
        <f>IF(HLOOKUP("Mins",A1:CV300,42,FALSE)=0,0,HLOOKUP("BPS",A1:CV300,42,FALSE)/HLOOKUP("Mins",A1:CV300,42,FALSE)* 90)</f>
      </c>
      <c r="AZ42" s="3250">
        <f>IF(HLOOKUP("Mins",A1:CV300,42,FALSE)=0,0,HLOOKUP("Base BPS",A1:CV300,42,FALSE)/HLOOKUP("Mins",A1:CV300,42,FALSE)* 90)</f>
      </c>
      <c r="BA42" s="3251">
        <f>IF(HLOOKUP("Mins",A1:CV300,42,FALSE)=0,0,HLOOKUP("PenTchs",A1:CV300,42,FALSE)/HLOOKUP("Mins",A1:CV300,42,FALSE)* 90)</f>
      </c>
      <c r="BB42" s="3252">
        <f>IF(HLOOKUP("Mins",A1:CV300,42,FALSE)=0,0,HLOOKUP("Shots",A1:CV300,42,FALSE)/HLOOKUP("Mins",A1:CV300,42,FALSE)* 90)</f>
      </c>
      <c r="BC42" s="3253">
        <f>IF(HLOOKUP("Mins",A1:CV300,42,FALSE)=0,0,HLOOKUP("SIB",A1:CV300,42,FALSE)/HLOOKUP("Mins",A1:CV300,42,FALSE)* 90)</f>
      </c>
      <c r="BD42" s="3254">
        <f>IF(HLOOKUP("Mins",A1:CV300,42,FALSE)=0,0,HLOOKUP("S6YD",A1:CV300,42,FALSE)/HLOOKUP("Mins",A1:CV300,42,FALSE)* 90)</f>
      </c>
      <c r="BE42" s="3255">
        <f>IF(HLOOKUP("Mins",A1:CV300,42,FALSE)=0,0,HLOOKUP("Headers",A1:CV300,42,FALSE)/HLOOKUP("Mins",A1:CV300,42,FALSE)* 90)</f>
      </c>
      <c r="BF42" s="3256">
        <f>IF(HLOOKUP("Mins",A1:CV300,42,FALSE)=0,0,HLOOKUP("SOT",A1:CV300,42,FALSE)/HLOOKUP("Mins",A1:CV300,42,FALSE)* 90)</f>
      </c>
      <c r="BG42" s="3257">
        <f>IF(HLOOKUP("Mins",A1:CV300,42,FALSE)=0,0,HLOOKUP("As",A1:CV300,42,FALSE)/HLOOKUP("Mins",A1:CV300,42,FALSE)* 90)</f>
      </c>
      <c r="BH42" s="3258">
        <f>IF(HLOOKUP("Mins",A1:CV300,42,FALSE)=0,0,HLOOKUP("FPL As",A1:CV300,42,FALSE)/HLOOKUP("Mins",A1:CV300,42,FALSE)* 90)</f>
      </c>
      <c r="BI42" s="3259">
        <f>IF(HLOOKUP("Mins",A1:CV300,42,FALSE)=0,0,HLOOKUP("BC Created",A1:CV300,42,FALSE)/HLOOKUP("Mins",A1:CV300,42,FALSE)* 90)</f>
      </c>
      <c r="BJ42" s="3260">
        <f>IF(HLOOKUP("Mins",A1:CV300,42,FALSE)=0,0,HLOOKUP("KP",A1:CV300,42,FALSE)/HLOOKUP("Mins",A1:CV300,42,FALSE)* 90)</f>
      </c>
      <c r="BK42" s="3261">
        <f>IF(HLOOKUP("Mins",A1:CV300,42,FALSE)=0,0,HLOOKUP("BC",A1:CV300,42,FALSE)/HLOOKUP("Mins",A1:CV300,42,FALSE)* 90)</f>
      </c>
      <c r="BL42" s="3262">
        <f>IF(HLOOKUP("Mins",A1:CV300,42,FALSE)=0,0,HLOOKUP("BC Miss",A1:CV300,42,FALSE)/HLOOKUP("Mins",A1:CV300,42,FALSE)* 90)</f>
      </c>
      <c r="BM42" s="3263">
        <f>IF(HLOOKUP("Mins",A1:CV300,42,FALSE)=0,0,HLOOKUP("Gs - BC",A1:CV300,42,FALSE)/HLOOKUP("Mins",A1:CV300,42,FALSE)* 90)</f>
      </c>
      <c r="BN42" s="3264">
        <f>IF(HLOOKUP("Mins",A1:CV300,42,FALSE)=0,0,HLOOKUP("GIB",A1:CV300,42,FALSE)/HLOOKUP("Mins",A1:CV300,42,FALSE)* 90)</f>
      </c>
      <c r="BO42" s="3265">
        <f>IF(HLOOKUP("Mins",A1:CV300,42,FALSE)=0,0,HLOOKUP("Gs - Open",A1:CV300,42,FALSE)/HLOOKUP("Mins",A1:CV300,42,FALSE)* 90)</f>
      </c>
      <c r="BP42" s="3266">
        <f>IF(HLOOKUP("Mins",A1:CV300,42,FALSE)=0,0,HLOOKUP("ICT Index",A1:CV300,42,FALSE)/HLOOKUP("Mins",A1:CV300,42,FALSE)* 90)</f>
      </c>
      <c r="BQ42" s="3267">
        <f>IF(HLOOKUP("Mins",A1:CV300,42,FALSE)=0,0,(0.043*(HLOOKUP("Shots",A1:CV300,42,FALSE)-HLOOKUP("SIB",A1:CV300,42,FALSE))+0.162*(HLOOKUP("SIB",A1:CV300,42,FALSE)-(HLOOKUP("PK Gs",A1:CV300,42,FALSE)+HLOOKUP("PK Miss",A1:CV300,42,FALSE)))+0.75*(HLOOKUP("PK Gs",A1:CV300,42,FALSE)+HLOOKUP("PK Miss",A1:CV300,42,FALSE)))/HLOOKUP("Mins",A1:CV300,42,FALSE)*90)</f>
      </c>
      <c r="BR42" s="3268">
        <f>0.103*HLOOKUP("KP/90",A1:CV300,42,FALSE)</f>
      </c>
      <c r="BS42" s="3269">
        <f>4*HLOOKUP("xG/90",A1:CV300,42,FALSE)+3*HLOOKUP("xA/90",A1:CV300,42,FALSE)</f>
      </c>
      <c r="BT42" s="3270">
        <f>HLOOKUP("xPts/90",A1:CV300,42,FALSE)-(4*0.75*(HLOOKUP("PK Gs",A1:CV300,42,FALSE)+HLOOKUP("PK Miss",A1:CV300,42,FALSE))*90/HLOOKUP("Mins",A1:CV300,42,FALSE))</f>
      </c>
      <c r="BU42" s="3271">
        <f>IF(HLOOKUP("Mins",A1:CV300,42,FALSE)=0,0,HLOOKUP("fsXG",A1:CV300,42,FALSE)/HLOOKUP("Mins",A1:CV300,42,FALSE)* 90)</f>
      </c>
      <c r="BV42" s="3272">
        <f>IF(HLOOKUP("Mins",A1:CV300,42,FALSE)=0,0,HLOOKUP("fsXA",A1:CV300,42,FALSE)/HLOOKUP("Mins",A1:CV300,42,FALSE)* 90)</f>
      </c>
      <c r="BW42" s="3273">
        <f>4*HLOOKUP("fsXG/90",A1:CV300,42,FALSE)+3*HLOOKUP("fsXA/90",A1:CV300,42,FALSE)</f>
      </c>
      <c r="BX42" t="n" s="3274">
        <v>0.8399307131767273</v>
      </c>
      <c r="BY42" t="n" s="3275">
        <v>0.0</v>
      </c>
      <c r="BZ42" s="3276">
        <f>4*HLOOKUP("uXG/90",A1:CV300,42,FALSE)+3*HLOOKUP("uXA/90",A1:CV300,42,FALSE)</f>
      </c>
    </row>
    <row r="43">
      <c r="A43" t="s" s="3277">
        <v>139</v>
      </c>
      <c r="B43" t="s" s="3278">
        <v>131</v>
      </c>
      <c r="C43" t="n" s="3279">
        <v>7.800000190734863</v>
      </c>
      <c r="D43" t="n" s="3280">
        <v>539.0</v>
      </c>
      <c r="E43" t="n" s="3281">
        <v>6.0</v>
      </c>
      <c r="F43" t="n" s="3282">
        <v>133.0</v>
      </c>
      <c r="G43" t="n" s="3283">
        <v>3.0</v>
      </c>
      <c r="H43" t="n" s="3284">
        <v>22.0</v>
      </c>
      <c r="I43" t="n" s="3285">
        <v>471.0</v>
      </c>
      <c r="J43" s="3286">
        <f>HLOOKUP("BPS",A1:CV300,43,FALSE)-((-6*HLOOKUP("OG",A1:CV300,43,FALSE))+(-6*HLOOKUP("PK Miss",A1:CV300,43,FALSE))+(9*HLOOKUP("FPL As",A1:CV300,43,FALSE))+(0*HLOOKUP("CS",A1:CV300,43,FALSE))+(24*HLOOKUP("Gs",A1:CV300,43,FALSE)))</f>
      </c>
      <c r="K43" t="n" s="3287">
        <v>0.0</v>
      </c>
      <c r="L43" t="n" s="3288">
        <v>7.0</v>
      </c>
      <c r="M43" t="n" s="3289">
        <v>35.0</v>
      </c>
      <c r="N43" t="n" s="3290">
        <v>22.0</v>
      </c>
      <c r="O43" t="n" s="3291">
        <v>18.0</v>
      </c>
      <c r="P43" s="3292">
        <f>IF(HLOOKUP("Shots",A1:CV300,43,FALSE)=0,0,HLOOKUP("SIB",A1:CV300,43,FALSE)/HLOOKUP("Shots",A1:CV300,43,FALSE))</f>
      </c>
      <c r="Q43" t="n" s="3293">
        <v>3.0</v>
      </c>
      <c r="R43" s="3294">
        <f>IF(HLOOKUP("Shots",A1:CV300,43,FALSE)=0,0,HLOOKUP("S6YD",A1:CV300,43,FALSE)/HLOOKUP("Shots",A1:CV300,43,FALSE))</f>
      </c>
      <c r="S43" t="n" s="3295">
        <v>6.0</v>
      </c>
      <c r="T43" s="3296">
        <f>IF(HLOOKUP("Shots",A1:CV300,43,FALSE)=0,0,HLOOKUP("Headers",A1:CV300,43,FALSE)/HLOOKUP("Shots",A1:CV300,43,FALSE))</f>
      </c>
      <c r="U43" t="n" s="3297">
        <v>7.0</v>
      </c>
      <c r="V43" s="3298">
        <f>IF(HLOOKUP("Shots",A1:CV300,43,FALSE)=0,0,HLOOKUP("SOT",A1:CV300,43,FALSE)/HLOOKUP("Shots",A1:CV300,43,FALSE))</f>
      </c>
      <c r="W43" s="3299">
        <f>IF(HLOOKUP("Shots",A1:CV300,43,FALSE)=0,0,HLOOKUP("Gs",A1:CV300,43,FALSE)/HLOOKUP("Shots",A1:CV300,43,FALSE))</f>
      </c>
      <c r="X43" t="n" s="3300">
        <v>0.0</v>
      </c>
      <c r="Y43" t="n" s="3301">
        <v>6.0</v>
      </c>
      <c r="Z43" t="n" s="3302">
        <v>3.0</v>
      </c>
      <c r="AA43" s="3303">
        <f>IF(HLOOKUP("KP",A1:CV300,43,FALSE)=0,0,HLOOKUP("As",A1:CV300,43,FALSE)/HLOOKUP("KP",A1:CV300,43,FALSE))</f>
      </c>
      <c r="AB43" t="n" s="3304">
        <v>47.7</v>
      </c>
      <c r="AC43" t="n" s="3305">
        <v>50.0</v>
      </c>
      <c r="AD43" t="n" s="3306">
        <v>1.0</v>
      </c>
      <c r="AE43" t="n" s="3307">
        <v>8.0</v>
      </c>
      <c r="AF43" t="n" s="3308">
        <v>5.0</v>
      </c>
      <c r="AG43" s="3309">
        <f>IF(HLOOKUP("BC",A1:CV300,43,FALSE)=0,0,HLOOKUP("Gs - BC",A1:CV300,43,FALSE)/HLOOKUP("BC",A1:CV300,43,FALSE))</f>
      </c>
      <c r="AH43" s="3310">
        <f>HLOOKUP("BC",A1:CV300,43,FALSE) - HLOOKUP("BC Miss",A1:CV300,43,FALSE)</f>
      </c>
      <c r="AI43" s="3311">
        <f>IF(HLOOKUP("Gs",A1:CV300,43,FALSE)=0,0,HLOOKUP("Gs - BC",A1:CV300,43,FALSE)/HLOOKUP("Gs",A1:CV300,43,FALSE))</f>
      </c>
      <c r="AJ43" t="n" s="3312">
        <v>1.0</v>
      </c>
      <c r="AK43" t="n" s="3313">
        <v>0.0</v>
      </c>
      <c r="AL43" s="3314">
        <f>HLOOKUP("BC",A1:CV300,43,FALSE) - (HLOOKUP("PK Gs",A1:CV300,43,FALSE) + HLOOKUP("PK Miss",A1:CV300,43,FALSE))</f>
      </c>
      <c r="AM43" s="3315">
        <f>HLOOKUP("BC Miss",A1:CV300,43,FALSE) - HLOOKUP("PK Miss",A1:CV300,43,FALSE)</f>
      </c>
      <c r="AN43" s="3316">
        <f>IF(HLOOKUP("BC - Open",A1:CV300,43,FALSE)=0,0,HLOOKUP("BC - Open Miss",A1:CV300,43,FALSE)/HLOOKUP("BC - Open",A1:CV300,43,FALSE))</f>
      </c>
      <c r="AO43" t="n" s="3317">
        <v>3.0</v>
      </c>
      <c r="AP43" s="3318">
        <f>IF(HLOOKUP("Gs",A1:CV300,43,FALSE)=0,0,HLOOKUP("GIB",A1:CV300,43,FALSE)/HLOOKUP("Gs",A1:CV300,43,FALSE))</f>
      </c>
      <c r="AQ43" t="n" s="3319">
        <v>2.0</v>
      </c>
      <c r="AR43" s="3320">
        <f>IF(HLOOKUP("Gs",A1:CV300,43,FALSE)=0,0,HLOOKUP("Gs - Open",A1:CV300,43,FALSE)/HLOOKUP("Gs",A1:CV300,43,FALSE))</f>
      </c>
      <c r="AS43" t="n" s="3321">
        <v>4.04</v>
      </c>
      <c r="AT43" t="n" s="3322">
        <v>0.71</v>
      </c>
      <c r="AU43" s="3323">
        <f>IF(HLOOKUP("Mins",A1:CV300,43,FALSE)=0,0,HLOOKUP("Pts",A1:CV300,43,FALSE)/HLOOKUP("Mins",A1:CV300,43,FALSE)* 90)</f>
      </c>
      <c r="AV43" s="3324">
        <f>IF(HLOOKUP("Apps",A1:CV300,43,FALSE)=0,0,HLOOKUP("Pts",A1:CV300,43,FALSE)/HLOOKUP("Apps",A1:CV300,43,FALSE)* 1)</f>
      </c>
      <c r="AW43" s="3325">
        <f>IF(HLOOKUP("Mins",A1:CV300,43,FALSE)=0,0,HLOOKUP("Gs",A1:CV300,43,FALSE)/HLOOKUP("Mins",A1:CV300,43,FALSE)* 90)</f>
      </c>
      <c r="AX43" s="3326">
        <f>IF(HLOOKUP("Mins",A1:CV300,43,FALSE)=0,0,HLOOKUP("Bonus",A1:CV300,43,FALSE)/HLOOKUP("Mins",A1:CV300,43,FALSE)* 90)</f>
      </c>
      <c r="AY43" s="3327">
        <f>IF(HLOOKUP("Mins",A1:CV300,43,FALSE)=0,0,HLOOKUP("BPS",A1:CV300,43,FALSE)/HLOOKUP("Mins",A1:CV300,43,FALSE)* 90)</f>
      </c>
      <c r="AZ43" s="3328">
        <f>IF(HLOOKUP("Mins",A1:CV300,43,FALSE)=0,0,HLOOKUP("Base BPS",A1:CV300,43,FALSE)/HLOOKUP("Mins",A1:CV300,43,FALSE)* 90)</f>
      </c>
      <c r="BA43" s="3329">
        <f>IF(HLOOKUP("Mins",A1:CV300,43,FALSE)=0,0,HLOOKUP("PenTchs",A1:CV300,43,FALSE)/HLOOKUP("Mins",A1:CV300,43,FALSE)* 90)</f>
      </c>
      <c r="BB43" s="3330">
        <f>IF(HLOOKUP("Mins",A1:CV300,43,FALSE)=0,0,HLOOKUP("Shots",A1:CV300,43,FALSE)/HLOOKUP("Mins",A1:CV300,43,FALSE)* 90)</f>
      </c>
      <c r="BC43" s="3331">
        <f>IF(HLOOKUP("Mins",A1:CV300,43,FALSE)=0,0,HLOOKUP("SIB",A1:CV300,43,FALSE)/HLOOKUP("Mins",A1:CV300,43,FALSE)* 90)</f>
      </c>
      <c r="BD43" s="3332">
        <f>IF(HLOOKUP("Mins",A1:CV300,43,FALSE)=0,0,HLOOKUP("S6YD",A1:CV300,43,FALSE)/HLOOKUP("Mins",A1:CV300,43,FALSE)* 90)</f>
      </c>
      <c r="BE43" s="3333">
        <f>IF(HLOOKUP("Mins",A1:CV300,43,FALSE)=0,0,HLOOKUP("Headers",A1:CV300,43,FALSE)/HLOOKUP("Mins",A1:CV300,43,FALSE)* 90)</f>
      </c>
      <c r="BF43" s="3334">
        <f>IF(HLOOKUP("Mins",A1:CV300,43,FALSE)=0,0,HLOOKUP("SOT",A1:CV300,43,FALSE)/HLOOKUP("Mins",A1:CV300,43,FALSE)* 90)</f>
      </c>
      <c r="BG43" s="3335">
        <f>IF(HLOOKUP("Mins",A1:CV300,43,FALSE)=0,0,HLOOKUP("As",A1:CV300,43,FALSE)/HLOOKUP("Mins",A1:CV300,43,FALSE)* 90)</f>
      </c>
      <c r="BH43" s="3336">
        <f>IF(HLOOKUP("Mins",A1:CV300,43,FALSE)=0,0,HLOOKUP("FPL As",A1:CV300,43,FALSE)/HLOOKUP("Mins",A1:CV300,43,FALSE)* 90)</f>
      </c>
      <c r="BI43" s="3337">
        <f>IF(HLOOKUP("Mins",A1:CV300,43,FALSE)=0,0,HLOOKUP("BC Created",A1:CV300,43,FALSE)/HLOOKUP("Mins",A1:CV300,43,FALSE)* 90)</f>
      </c>
      <c r="BJ43" s="3338">
        <f>IF(HLOOKUP("Mins",A1:CV300,43,FALSE)=0,0,HLOOKUP("KP",A1:CV300,43,FALSE)/HLOOKUP("Mins",A1:CV300,43,FALSE)* 90)</f>
      </c>
      <c r="BK43" s="3339">
        <f>IF(HLOOKUP("Mins",A1:CV300,43,FALSE)=0,0,HLOOKUP("BC",A1:CV300,43,FALSE)/HLOOKUP("Mins",A1:CV300,43,FALSE)* 90)</f>
      </c>
      <c r="BL43" s="3340">
        <f>IF(HLOOKUP("Mins",A1:CV300,43,FALSE)=0,0,HLOOKUP("BC Miss",A1:CV300,43,FALSE)/HLOOKUP("Mins",A1:CV300,43,FALSE)* 90)</f>
      </c>
      <c r="BM43" s="3341">
        <f>IF(HLOOKUP("Mins",A1:CV300,43,FALSE)=0,0,HLOOKUP("Gs - BC",A1:CV300,43,FALSE)/HLOOKUP("Mins",A1:CV300,43,FALSE)* 90)</f>
      </c>
      <c r="BN43" s="3342">
        <f>IF(HLOOKUP("Mins",A1:CV300,43,FALSE)=0,0,HLOOKUP("GIB",A1:CV300,43,FALSE)/HLOOKUP("Mins",A1:CV300,43,FALSE)* 90)</f>
      </c>
      <c r="BO43" s="3343">
        <f>IF(HLOOKUP("Mins",A1:CV300,43,FALSE)=0,0,HLOOKUP("Gs - Open",A1:CV300,43,FALSE)/HLOOKUP("Mins",A1:CV300,43,FALSE)* 90)</f>
      </c>
      <c r="BP43" s="3344">
        <f>IF(HLOOKUP("Mins",A1:CV300,43,FALSE)=0,0,HLOOKUP("ICT Index",A1:CV300,43,FALSE)/HLOOKUP("Mins",A1:CV300,43,FALSE)* 90)</f>
      </c>
      <c r="BQ43" s="3345">
        <f>IF(HLOOKUP("Mins",A1:CV300,43,FALSE)=0,0,(0.043*(HLOOKUP("Shots",A1:CV300,43,FALSE)-HLOOKUP("SIB",A1:CV300,43,FALSE))+0.162*(HLOOKUP("SIB",A1:CV300,43,FALSE)-(HLOOKUP("PK Gs",A1:CV300,43,FALSE)+HLOOKUP("PK Miss",A1:CV300,43,FALSE)))+0.75*(HLOOKUP("PK Gs",A1:CV300,43,FALSE)+HLOOKUP("PK Miss",A1:CV300,43,FALSE)))/HLOOKUP("Mins",A1:CV300,43,FALSE)*90)</f>
      </c>
      <c r="BR43" s="3346">
        <f>0.103*HLOOKUP("KP/90",A1:CV300,43,FALSE)</f>
      </c>
      <c r="BS43" s="3347">
        <f>4*HLOOKUP("xG/90",A1:CV300,43,FALSE)+3*HLOOKUP("xA/90",A1:CV300,43,FALSE)</f>
      </c>
      <c r="BT43" s="3348">
        <f>HLOOKUP("xPts/90",A1:CV300,43,FALSE)-(4*0.75*(HLOOKUP("PK Gs",A1:CV300,43,FALSE)+HLOOKUP("PK Miss",A1:CV300,43,FALSE))*90/HLOOKUP("Mins",A1:CV300,43,FALSE))</f>
      </c>
      <c r="BU43" s="3349">
        <f>IF(HLOOKUP("Mins",A1:CV300,43,FALSE)=0,0,HLOOKUP("fsXG",A1:CV300,43,FALSE)/HLOOKUP("Mins",A1:CV300,43,FALSE)* 90)</f>
      </c>
      <c r="BV43" s="3350">
        <f>IF(HLOOKUP("Mins",A1:CV300,43,FALSE)=0,0,HLOOKUP("fsXA",A1:CV300,43,FALSE)/HLOOKUP("Mins",A1:CV300,43,FALSE)* 90)</f>
      </c>
      <c r="BW43" s="3351">
        <f>4*HLOOKUP("fsXG/90",A1:CV300,43,FALSE)+3*HLOOKUP("fsXA/90",A1:CV300,43,FALSE)</f>
      </c>
      <c r="BX43" t="n" s="3352">
        <v>0.7086198329925537</v>
      </c>
      <c r="BY43" t="n" s="3353">
        <v>0.11620316654443741</v>
      </c>
      <c r="BZ43" s="3354">
        <f>4*HLOOKUP("uXG/90",A1:CV300,43,FALSE)+3*HLOOKUP("uXA/90",A1:CV300,43,FALSE)</f>
      </c>
    </row>
    <row r="44">
      <c r="A44" t="s" s="3355">
        <v>140</v>
      </c>
      <c r="B44" t="s" s="3356">
        <v>100</v>
      </c>
      <c r="C44" t="n" s="3357">
        <v>4.599999904632568</v>
      </c>
      <c r="D44" t="n" s="3358">
        <v>407.0</v>
      </c>
      <c r="E44" t="n" s="3359">
        <v>6.0</v>
      </c>
      <c r="F44" t="n" s="3360">
        <v>40.0</v>
      </c>
      <c r="G44" t="n" s="3361">
        <v>1.0</v>
      </c>
      <c r="H44" t="n" s="3362">
        <v>1.0</v>
      </c>
      <c r="I44" t="n" s="3363">
        <v>90.0</v>
      </c>
      <c r="J44" s="3364">
        <f>HLOOKUP("BPS",A1:CV300,44,FALSE)-((-6*HLOOKUP("OG",A1:CV300,44,FALSE))+(-6*HLOOKUP("PK Miss",A1:CV300,44,FALSE))+(9*HLOOKUP("FPL As",A1:CV300,44,FALSE))+(0*HLOOKUP("CS",A1:CV300,44,FALSE))+(24*HLOOKUP("Gs",A1:CV300,44,FALSE)))</f>
      </c>
      <c r="K44" t="n" s="3365">
        <v>0.0</v>
      </c>
      <c r="L44" t="n" s="3366">
        <v>1.0</v>
      </c>
      <c r="M44" t="n" s="3367">
        <v>18.0</v>
      </c>
      <c r="N44" t="n" s="3368">
        <v>11.0</v>
      </c>
      <c r="O44" t="n" s="3369">
        <v>10.0</v>
      </c>
      <c r="P44" s="3370">
        <f>IF(HLOOKUP("Shots",A1:CV300,44,FALSE)=0,0,HLOOKUP("SIB",A1:CV300,44,FALSE)/HLOOKUP("Shots",A1:CV300,44,FALSE))</f>
      </c>
      <c r="Q44" t="n" s="3371">
        <v>2.0</v>
      </c>
      <c r="R44" s="3372">
        <f>IF(HLOOKUP("Shots",A1:CV300,44,FALSE)=0,0,HLOOKUP("S6YD",A1:CV300,44,FALSE)/HLOOKUP("Shots",A1:CV300,44,FALSE))</f>
      </c>
      <c r="S44" t="n" s="3373">
        <v>7.0</v>
      </c>
      <c r="T44" s="3374">
        <f>IF(HLOOKUP("Shots",A1:CV300,44,FALSE)=0,0,HLOOKUP("Headers",A1:CV300,44,FALSE)/HLOOKUP("Shots",A1:CV300,44,FALSE))</f>
      </c>
      <c r="U44" t="n" s="3375">
        <v>4.0</v>
      </c>
      <c r="V44" s="3376">
        <f>IF(HLOOKUP("Shots",A1:CV300,44,FALSE)=0,0,HLOOKUP("SOT",A1:CV300,44,FALSE)/HLOOKUP("Shots",A1:CV300,44,FALSE))</f>
      </c>
      <c r="W44" s="3377">
        <f>IF(HLOOKUP("Shots",A1:CV300,44,FALSE)=0,0,HLOOKUP("Gs",A1:CV300,44,FALSE)/HLOOKUP("Shots",A1:CV300,44,FALSE))</f>
      </c>
      <c r="X44" t="n" s="3378">
        <v>1.0</v>
      </c>
      <c r="Y44" t="n" s="3379">
        <v>3.0</v>
      </c>
      <c r="Z44" t="n" s="3380">
        <v>7.0</v>
      </c>
      <c r="AA44" s="3381">
        <f>IF(HLOOKUP("KP",A1:CV300,44,FALSE)=0,0,HLOOKUP("As",A1:CV300,44,FALSE)/HLOOKUP("KP",A1:CV300,44,FALSE))</f>
      </c>
      <c r="AB44" t="n" s="3382">
        <v>27.3</v>
      </c>
      <c r="AC44" t="n" s="3383">
        <v>33.0</v>
      </c>
      <c r="AD44" t="n" s="3384">
        <v>0.0</v>
      </c>
      <c r="AE44" t="n" s="3385">
        <v>3.0</v>
      </c>
      <c r="AF44" t="n" s="3386">
        <v>3.0</v>
      </c>
      <c r="AG44" s="3387">
        <f>IF(HLOOKUP("BC",A1:CV300,44,FALSE)=0,0,HLOOKUP("Gs - BC",A1:CV300,44,FALSE)/HLOOKUP("BC",A1:CV300,44,FALSE))</f>
      </c>
      <c r="AH44" s="3388">
        <f>HLOOKUP("BC",A1:CV300,44,FALSE) - HLOOKUP("BC Miss",A1:CV300,44,FALSE)</f>
      </c>
      <c r="AI44" s="3389">
        <f>IF(HLOOKUP("Gs",A1:CV300,44,FALSE)=0,0,HLOOKUP("Gs - BC",A1:CV300,44,FALSE)/HLOOKUP("Gs",A1:CV300,44,FALSE))</f>
      </c>
      <c r="AJ44" t="n" s="3390">
        <v>0.0</v>
      </c>
      <c r="AK44" t="n" s="3391">
        <v>0.0</v>
      </c>
      <c r="AL44" s="3392">
        <f>HLOOKUP("BC",A1:CV300,44,FALSE) - (HLOOKUP("PK Gs",A1:CV300,44,FALSE) + HLOOKUP("PK Miss",A1:CV300,44,FALSE))</f>
      </c>
      <c r="AM44" s="3393">
        <f>HLOOKUP("BC Miss",A1:CV300,44,FALSE) - HLOOKUP("PK Miss",A1:CV300,44,FALSE)</f>
      </c>
      <c r="AN44" s="3394">
        <f>IF(HLOOKUP("BC - Open",A1:CV300,44,FALSE)=0,0,HLOOKUP("BC - Open Miss",A1:CV300,44,FALSE)/HLOOKUP("BC - Open",A1:CV300,44,FALSE))</f>
      </c>
      <c r="AO44" t="n" s="3395">
        <v>1.0</v>
      </c>
      <c r="AP44" s="3396">
        <f>IF(HLOOKUP("Gs",A1:CV300,44,FALSE)=0,0,HLOOKUP("GIB",A1:CV300,44,FALSE)/HLOOKUP("Gs",A1:CV300,44,FALSE))</f>
      </c>
      <c r="AQ44" t="n" s="3397">
        <v>1.0</v>
      </c>
      <c r="AR44" s="3398">
        <f>IF(HLOOKUP("Gs",A1:CV300,44,FALSE)=0,0,HLOOKUP("Gs - Open",A1:CV300,44,FALSE)/HLOOKUP("Gs",A1:CV300,44,FALSE))</f>
      </c>
      <c r="AS44" t="n" s="3399">
        <v>1.0</v>
      </c>
      <c r="AT44" t="n" s="3400">
        <v>0.63</v>
      </c>
      <c r="AU44" s="3401">
        <f>IF(HLOOKUP("Mins",A1:CV300,44,FALSE)=0,0,HLOOKUP("Pts",A1:CV300,44,FALSE)/HLOOKUP("Mins",A1:CV300,44,FALSE)* 90)</f>
      </c>
      <c r="AV44" s="3402">
        <f>IF(HLOOKUP("Apps",A1:CV300,44,FALSE)=0,0,HLOOKUP("Pts",A1:CV300,44,FALSE)/HLOOKUP("Apps",A1:CV300,44,FALSE)* 1)</f>
      </c>
      <c r="AW44" s="3403">
        <f>IF(HLOOKUP("Mins",A1:CV300,44,FALSE)=0,0,HLOOKUP("Gs",A1:CV300,44,FALSE)/HLOOKUP("Mins",A1:CV300,44,FALSE)* 90)</f>
      </c>
      <c r="AX44" s="3404">
        <f>IF(HLOOKUP("Mins",A1:CV300,44,FALSE)=0,0,HLOOKUP("Bonus",A1:CV300,44,FALSE)/HLOOKUP("Mins",A1:CV300,44,FALSE)* 90)</f>
      </c>
      <c r="AY44" s="3405">
        <f>IF(HLOOKUP("Mins",A1:CV300,44,FALSE)=0,0,HLOOKUP("BPS",A1:CV300,44,FALSE)/HLOOKUP("Mins",A1:CV300,44,FALSE)* 90)</f>
      </c>
      <c r="AZ44" s="3406">
        <f>IF(HLOOKUP("Mins",A1:CV300,44,FALSE)=0,0,HLOOKUP("Base BPS",A1:CV300,44,FALSE)/HLOOKUP("Mins",A1:CV300,44,FALSE)* 90)</f>
      </c>
      <c r="BA44" s="3407">
        <f>IF(HLOOKUP("Mins",A1:CV300,44,FALSE)=0,0,HLOOKUP("PenTchs",A1:CV300,44,FALSE)/HLOOKUP("Mins",A1:CV300,44,FALSE)* 90)</f>
      </c>
      <c r="BB44" s="3408">
        <f>IF(HLOOKUP("Mins",A1:CV300,44,FALSE)=0,0,HLOOKUP("Shots",A1:CV300,44,FALSE)/HLOOKUP("Mins",A1:CV300,44,FALSE)* 90)</f>
      </c>
      <c r="BC44" s="3409">
        <f>IF(HLOOKUP("Mins",A1:CV300,44,FALSE)=0,0,HLOOKUP("SIB",A1:CV300,44,FALSE)/HLOOKUP("Mins",A1:CV300,44,FALSE)* 90)</f>
      </c>
      <c r="BD44" s="3410">
        <f>IF(HLOOKUP("Mins",A1:CV300,44,FALSE)=0,0,HLOOKUP("S6YD",A1:CV300,44,FALSE)/HLOOKUP("Mins",A1:CV300,44,FALSE)* 90)</f>
      </c>
      <c r="BE44" s="3411">
        <f>IF(HLOOKUP("Mins",A1:CV300,44,FALSE)=0,0,HLOOKUP("Headers",A1:CV300,44,FALSE)/HLOOKUP("Mins",A1:CV300,44,FALSE)* 90)</f>
      </c>
      <c r="BF44" s="3412">
        <f>IF(HLOOKUP("Mins",A1:CV300,44,FALSE)=0,0,HLOOKUP("SOT",A1:CV300,44,FALSE)/HLOOKUP("Mins",A1:CV300,44,FALSE)* 90)</f>
      </c>
      <c r="BG44" s="3413">
        <f>IF(HLOOKUP("Mins",A1:CV300,44,FALSE)=0,0,HLOOKUP("As",A1:CV300,44,FALSE)/HLOOKUP("Mins",A1:CV300,44,FALSE)* 90)</f>
      </c>
      <c r="BH44" s="3414">
        <f>IF(HLOOKUP("Mins",A1:CV300,44,FALSE)=0,0,HLOOKUP("FPL As",A1:CV300,44,FALSE)/HLOOKUP("Mins",A1:CV300,44,FALSE)* 90)</f>
      </c>
      <c r="BI44" s="3415">
        <f>IF(HLOOKUP("Mins",A1:CV300,44,FALSE)=0,0,HLOOKUP("BC Created",A1:CV300,44,FALSE)/HLOOKUP("Mins",A1:CV300,44,FALSE)* 90)</f>
      </c>
      <c r="BJ44" s="3416">
        <f>IF(HLOOKUP("Mins",A1:CV300,44,FALSE)=0,0,HLOOKUP("KP",A1:CV300,44,FALSE)/HLOOKUP("Mins",A1:CV300,44,FALSE)* 90)</f>
      </c>
      <c r="BK44" s="3417">
        <f>IF(HLOOKUP("Mins",A1:CV300,44,FALSE)=0,0,HLOOKUP("BC",A1:CV300,44,FALSE)/HLOOKUP("Mins",A1:CV300,44,FALSE)* 90)</f>
      </c>
      <c r="BL44" s="3418">
        <f>IF(HLOOKUP("Mins",A1:CV300,44,FALSE)=0,0,HLOOKUP("BC Miss",A1:CV300,44,FALSE)/HLOOKUP("Mins",A1:CV300,44,FALSE)* 90)</f>
      </c>
      <c r="BM44" s="3419">
        <f>IF(HLOOKUP("Mins",A1:CV300,44,FALSE)=0,0,HLOOKUP("Gs - BC",A1:CV300,44,FALSE)/HLOOKUP("Mins",A1:CV300,44,FALSE)* 90)</f>
      </c>
      <c r="BN44" s="3420">
        <f>IF(HLOOKUP("Mins",A1:CV300,44,FALSE)=0,0,HLOOKUP("GIB",A1:CV300,44,FALSE)/HLOOKUP("Mins",A1:CV300,44,FALSE)* 90)</f>
      </c>
      <c r="BO44" s="3421">
        <f>IF(HLOOKUP("Mins",A1:CV300,44,FALSE)=0,0,HLOOKUP("Gs - Open",A1:CV300,44,FALSE)/HLOOKUP("Mins",A1:CV300,44,FALSE)* 90)</f>
      </c>
      <c r="BP44" s="3422">
        <f>IF(HLOOKUP("Mins",A1:CV300,44,FALSE)=0,0,HLOOKUP("ICT Index",A1:CV300,44,FALSE)/HLOOKUP("Mins",A1:CV300,44,FALSE)* 90)</f>
      </c>
      <c r="BQ44" s="3423">
        <f>IF(HLOOKUP("Mins",A1:CV300,44,FALSE)=0,0,(0.043*(HLOOKUP("Shots",A1:CV300,44,FALSE)-HLOOKUP("SIB",A1:CV300,44,FALSE))+0.162*(HLOOKUP("SIB",A1:CV300,44,FALSE)-(HLOOKUP("PK Gs",A1:CV300,44,FALSE)+HLOOKUP("PK Miss",A1:CV300,44,FALSE)))+0.75*(HLOOKUP("PK Gs",A1:CV300,44,FALSE)+HLOOKUP("PK Miss",A1:CV300,44,FALSE)))/HLOOKUP("Mins",A1:CV300,44,FALSE)*90)</f>
      </c>
      <c r="BR44" s="3424">
        <f>0.103*HLOOKUP("KP/90",A1:CV300,44,FALSE)</f>
      </c>
      <c r="BS44" s="3425">
        <f>4*HLOOKUP("xG/90",A1:CV300,44,FALSE)+3*HLOOKUP("xA/90",A1:CV300,44,FALSE)</f>
      </c>
      <c r="BT44" s="3426">
        <f>HLOOKUP("xPts/90",A1:CV300,44,FALSE)-(4*0.75*(HLOOKUP("PK Gs",A1:CV300,44,FALSE)+HLOOKUP("PK Miss",A1:CV300,44,FALSE))*90/HLOOKUP("Mins",A1:CV300,44,FALSE))</f>
      </c>
      <c r="BU44" s="3427">
        <f>IF(HLOOKUP("Mins",A1:CV300,44,FALSE)=0,0,HLOOKUP("fsXG",A1:CV300,44,FALSE)/HLOOKUP("Mins",A1:CV300,44,FALSE)* 90)</f>
      </c>
      <c r="BV44" s="3428">
        <f>IF(HLOOKUP("Mins",A1:CV300,44,FALSE)=0,0,HLOOKUP("fsXA",A1:CV300,44,FALSE)/HLOOKUP("Mins",A1:CV300,44,FALSE)* 90)</f>
      </c>
      <c r="BW44" s="3429">
        <f>4*HLOOKUP("fsXG/90",A1:CV300,44,FALSE)+3*HLOOKUP("fsXA/90",A1:CV300,44,FALSE)</f>
      </c>
      <c r="BX44" t="n" s="3430">
        <v>0.22197282314300537</v>
      </c>
      <c r="BY44" t="n" s="3431">
        <v>0.0848546177148819</v>
      </c>
      <c r="BZ44" s="3432">
        <f>4*HLOOKUP("uXG/90",A1:CV300,44,FALSE)+3*HLOOKUP("uXA/90",A1:CV300,44,FALSE)</f>
      </c>
    </row>
    <row r="45">
      <c r="A45" t="s" s="3433">
        <v>141</v>
      </c>
      <c r="B45" t="s" s="3434">
        <v>102</v>
      </c>
      <c r="C45" t="n" s="3435">
        <v>5.099999904632568</v>
      </c>
      <c r="D45" t="n" s="3436">
        <v>90.0</v>
      </c>
      <c r="E45" t="n" s="3437">
        <v>1.0</v>
      </c>
      <c r="F45" t="n" s="3438">
        <v>8.0</v>
      </c>
      <c r="G45" t="n" s="3439">
        <v>0.0</v>
      </c>
      <c r="H45" t="n" s="3440">
        <v>0.0</v>
      </c>
      <c r="I45" t="n" s="3441">
        <v>22.0</v>
      </c>
      <c r="J45" s="3442">
        <f>HLOOKUP("BPS",A1:CV300,45,FALSE)-((-6*HLOOKUP("OG",A1:CV300,45,FALSE))+(-6*HLOOKUP("PK Miss",A1:CV300,45,FALSE))+(9*HLOOKUP("FPL As",A1:CV300,45,FALSE))+(0*HLOOKUP("CS",A1:CV300,45,FALSE))+(24*HLOOKUP("Gs",A1:CV300,45,FALSE)))</f>
      </c>
      <c r="K45" t="n" s="3443">
        <v>0.0</v>
      </c>
      <c r="L45" t="n" s="3444">
        <v>0.0</v>
      </c>
      <c r="M45" t="n" s="3445">
        <v>0.0</v>
      </c>
      <c r="N45" t="n" s="3446">
        <v>0.0</v>
      </c>
      <c r="O45" t="n" s="3447">
        <v>0.0</v>
      </c>
      <c r="P45" s="3448">
        <f>IF(HLOOKUP("Shots",A1:CV300,45,FALSE)=0,0,HLOOKUP("SIB",A1:CV300,45,FALSE)/HLOOKUP("Shots",A1:CV300,45,FALSE))</f>
      </c>
      <c r="Q45" t="n" s="3449">
        <v>0.0</v>
      </c>
      <c r="R45" s="3450">
        <f>IF(HLOOKUP("Shots",A1:CV300,45,FALSE)=0,0,HLOOKUP("S6YD",A1:CV300,45,FALSE)/HLOOKUP("Shots",A1:CV300,45,FALSE))</f>
      </c>
      <c r="S45" t="n" s="3451">
        <v>0.0</v>
      </c>
      <c r="T45" s="3452">
        <f>IF(HLOOKUP("Shots",A1:CV300,45,FALSE)=0,0,HLOOKUP("Headers",A1:CV300,45,FALSE)/HLOOKUP("Shots",A1:CV300,45,FALSE))</f>
      </c>
      <c r="U45" t="n" s="3453">
        <v>0.0</v>
      </c>
      <c r="V45" s="3454">
        <f>IF(HLOOKUP("Shots",A1:CV300,45,FALSE)=0,0,HLOOKUP("SOT",A1:CV300,45,FALSE)/HLOOKUP("Shots",A1:CV300,45,FALSE))</f>
      </c>
      <c r="W45" s="3455">
        <f>IF(HLOOKUP("Shots",A1:CV300,45,FALSE)=0,0,HLOOKUP("Gs",A1:CV300,45,FALSE)/HLOOKUP("Shots",A1:CV300,45,FALSE))</f>
      </c>
      <c r="X45" t="n" s="3456">
        <v>0.0</v>
      </c>
      <c r="Y45" t="n" s="3457">
        <v>0.0</v>
      </c>
      <c r="Z45" t="n" s="3458">
        <v>1.0</v>
      </c>
      <c r="AA45" s="3459">
        <f>IF(HLOOKUP("KP",A1:CV300,45,FALSE)=0,0,HLOOKUP("As",A1:CV300,45,FALSE)/HLOOKUP("KP",A1:CV300,45,FALSE))</f>
      </c>
      <c r="AB45" t="n" s="3460">
        <v>1.7</v>
      </c>
      <c r="AC45" t="n" s="3461">
        <v>0.0</v>
      </c>
      <c r="AD45" t="n" s="3462">
        <v>0.0</v>
      </c>
      <c r="AE45" t="n" s="3463">
        <v>0.0</v>
      </c>
      <c r="AF45" t="n" s="3464">
        <v>0.0</v>
      </c>
      <c r="AG45" s="3465">
        <f>IF(HLOOKUP("BC",A1:CV300,45,FALSE)=0,0,HLOOKUP("Gs - BC",A1:CV300,45,FALSE)/HLOOKUP("BC",A1:CV300,45,FALSE))</f>
      </c>
      <c r="AH45" s="3466">
        <f>HLOOKUP("BC",A1:CV300,45,FALSE) - HLOOKUP("BC Miss",A1:CV300,45,FALSE)</f>
      </c>
      <c r="AI45" s="3467">
        <f>IF(HLOOKUP("Gs",A1:CV300,45,FALSE)=0,0,HLOOKUP("Gs - BC",A1:CV300,45,FALSE)/HLOOKUP("Gs",A1:CV300,45,FALSE))</f>
      </c>
      <c r="AJ45" t="n" s="3468">
        <v>0.0</v>
      </c>
      <c r="AK45" t="n" s="3469">
        <v>0.0</v>
      </c>
      <c r="AL45" s="3470">
        <f>HLOOKUP("BC",A1:CV300,45,FALSE) - (HLOOKUP("PK Gs",A1:CV300,45,FALSE) + HLOOKUP("PK Miss",A1:CV300,45,FALSE))</f>
      </c>
      <c r="AM45" s="3471">
        <f>HLOOKUP("BC Miss",A1:CV300,45,FALSE) - HLOOKUP("PK Miss",A1:CV300,45,FALSE)</f>
      </c>
      <c r="AN45" s="3472">
        <f>IF(HLOOKUP("BC - Open",A1:CV300,45,FALSE)=0,0,HLOOKUP("BC - Open Miss",A1:CV300,45,FALSE)/HLOOKUP("BC - Open",A1:CV300,45,FALSE))</f>
      </c>
      <c r="AO45" t="n" s="3473">
        <v>0.0</v>
      </c>
      <c r="AP45" s="3474">
        <f>IF(HLOOKUP("Gs",A1:CV300,45,FALSE)=0,0,HLOOKUP("GIB",A1:CV300,45,FALSE)/HLOOKUP("Gs",A1:CV300,45,FALSE))</f>
      </c>
      <c r="AQ45" t="n" s="3475">
        <v>0.0</v>
      </c>
      <c r="AR45" s="3476">
        <f>IF(HLOOKUP("Gs",A1:CV300,45,FALSE)=0,0,HLOOKUP("Gs - Open",A1:CV300,45,FALSE)/HLOOKUP("Gs",A1:CV300,45,FALSE))</f>
      </c>
      <c r="AS45" t="n" s="3477">
        <v>0.0</v>
      </c>
      <c r="AT45" t="n" s="3478">
        <v>0.01</v>
      </c>
      <c r="AU45" s="3479">
        <f>IF(HLOOKUP("Mins",A1:CV300,45,FALSE)=0,0,HLOOKUP("Pts",A1:CV300,45,FALSE)/HLOOKUP("Mins",A1:CV300,45,FALSE)* 90)</f>
      </c>
      <c r="AV45" s="3480">
        <f>IF(HLOOKUP("Apps",A1:CV300,45,FALSE)=0,0,HLOOKUP("Pts",A1:CV300,45,FALSE)/HLOOKUP("Apps",A1:CV300,45,FALSE)* 1)</f>
      </c>
      <c r="AW45" s="3481">
        <f>IF(HLOOKUP("Mins",A1:CV300,45,FALSE)=0,0,HLOOKUP("Gs",A1:CV300,45,FALSE)/HLOOKUP("Mins",A1:CV300,45,FALSE)* 90)</f>
      </c>
      <c r="AX45" s="3482">
        <f>IF(HLOOKUP("Mins",A1:CV300,45,FALSE)=0,0,HLOOKUP("Bonus",A1:CV300,45,FALSE)/HLOOKUP("Mins",A1:CV300,45,FALSE)* 90)</f>
      </c>
      <c r="AY45" s="3483">
        <f>IF(HLOOKUP("Mins",A1:CV300,45,FALSE)=0,0,HLOOKUP("BPS",A1:CV300,45,FALSE)/HLOOKUP("Mins",A1:CV300,45,FALSE)* 90)</f>
      </c>
      <c r="AZ45" s="3484">
        <f>IF(HLOOKUP("Mins",A1:CV300,45,FALSE)=0,0,HLOOKUP("Base BPS",A1:CV300,45,FALSE)/HLOOKUP("Mins",A1:CV300,45,FALSE)* 90)</f>
      </c>
      <c r="BA45" s="3485">
        <f>IF(HLOOKUP("Mins",A1:CV300,45,FALSE)=0,0,HLOOKUP("PenTchs",A1:CV300,45,FALSE)/HLOOKUP("Mins",A1:CV300,45,FALSE)* 90)</f>
      </c>
      <c r="BB45" s="3486">
        <f>IF(HLOOKUP("Mins",A1:CV300,45,FALSE)=0,0,HLOOKUP("Shots",A1:CV300,45,FALSE)/HLOOKUP("Mins",A1:CV300,45,FALSE)* 90)</f>
      </c>
      <c r="BC45" s="3487">
        <f>IF(HLOOKUP("Mins",A1:CV300,45,FALSE)=0,0,HLOOKUP("SIB",A1:CV300,45,FALSE)/HLOOKUP("Mins",A1:CV300,45,FALSE)* 90)</f>
      </c>
      <c r="BD45" s="3488">
        <f>IF(HLOOKUP("Mins",A1:CV300,45,FALSE)=0,0,HLOOKUP("S6YD",A1:CV300,45,FALSE)/HLOOKUP("Mins",A1:CV300,45,FALSE)* 90)</f>
      </c>
      <c r="BE45" s="3489">
        <f>IF(HLOOKUP("Mins",A1:CV300,45,FALSE)=0,0,HLOOKUP("Headers",A1:CV300,45,FALSE)/HLOOKUP("Mins",A1:CV300,45,FALSE)* 90)</f>
      </c>
      <c r="BF45" s="3490">
        <f>IF(HLOOKUP("Mins",A1:CV300,45,FALSE)=0,0,HLOOKUP("SOT",A1:CV300,45,FALSE)/HLOOKUP("Mins",A1:CV300,45,FALSE)* 90)</f>
      </c>
      <c r="BG45" s="3491">
        <f>IF(HLOOKUP("Mins",A1:CV300,45,FALSE)=0,0,HLOOKUP("As",A1:CV300,45,FALSE)/HLOOKUP("Mins",A1:CV300,45,FALSE)* 90)</f>
      </c>
      <c r="BH45" s="3492">
        <f>IF(HLOOKUP("Mins",A1:CV300,45,FALSE)=0,0,HLOOKUP("FPL As",A1:CV300,45,FALSE)/HLOOKUP("Mins",A1:CV300,45,FALSE)* 90)</f>
      </c>
      <c r="BI45" s="3493">
        <f>IF(HLOOKUP("Mins",A1:CV300,45,FALSE)=0,0,HLOOKUP("BC Created",A1:CV300,45,FALSE)/HLOOKUP("Mins",A1:CV300,45,FALSE)* 90)</f>
      </c>
      <c r="BJ45" s="3494">
        <f>IF(HLOOKUP("Mins",A1:CV300,45,FALSE)=0,0,HLOOKUP("KP",A1:CV300,45,FALSE)/HLOOKUP("Mins",A1:CV300,45,FALSE)* 90)</f>
      </c>
      <c r="BK45" s="3495">
        <f>IF(HLOOKUP("Mins",A1:CV300,45,FALSE)=0,0,HLOOKUP("BC",A1:CV300,45,FALSE)/HLOOKUP("Mins",A1:CV300,45,FALSE)* 90)</f>
      </c>
      <c r="BL45" s="3496">
        <f>IF(HLOOKUP("Mins",A1:CV300,45,FALSE)=0,0,HLOOKUP("BC Miss",A1:CV300,45,FALSE)/HLOOKUP("Mins",A1:CV300,45,FALSE)* 90)</f>
      </c>
      <c r="BM45" s="3497">
        <f>IF(HLOOKUP("Mins",A1:CV300,45,FALSE)=0,0,HLOOKUP("Gs - BC",A1:CV300,45,FALSE)/HLOOKUP("Mins",A1:CV300,45,FALSE)* 90)</f>
      </c>
      <c r="BN45" s="3498">
        <f>IF(HLOOKUP("Mins",A1:CV300,45,FALSE)=0,0,HLOOKUP("GIB",A1:CV300,45,FALSE)/HLOOKUP("Mins",A1:CV300,45,FALSE)* 90)</f>
      </c>
      <c r="BO45" s="3499">
        <f>IF(HLOOKUP("Mins",A1:CV300,45,FALSE)=0,0,HLOOKUP("Gs - Open",A1:CV300,45,FALSE)/HLOOKUP("Mins",A1:CV300,45,FALSE)* 90)</f>
      </c>
      <c r="BP45" s="3500">
        <f>IF(HLOOKUP("Mins",A1:CV300,45,FALSE)=0,0,HLOOKUP("ICT Index",A1:CV300,45,FALSE)/HLOOKUP("Mins",A1:CV300,45,FALSE)* 90)</f>
      </c>
      <c r="BQ45" s="3501">
        <f>IF(HLOOKUP("Mins",A1:CV300,45,FALSE)=0,0,(0.043*(HLOOKUP("Shots",A1:CV300,45,FALSE)-HLOOKUP("SIB",A1:CV300,45,FALSE))+0.162*(HLOOKUP("SIB",A1:CV300,45,FALSE)-(HLOOKUP("PK Gs",A1:CV300,45,FALSE)+HLOOKUP("PK Miss",A1:CV300,45,FALSE)))+0.75*(HLOOKUP("PK Gs",A1:CV300,45,FALSE)+HLOOKUP("PK Miss",A1:CV300,45,FALSE)))/HLOOKUP("Mins",A1:CV300,45,FALSE)*90)</f>
      </c>
      <c r="BR45" s="3502">
        <f>0.103*HLOOKUP("KP/90",A1:CV300,45,FALSE)</f>
      </c>
      <c r="BS45" s="3503">
        <f>4*HLOOKUP("xG/90",A1:CV300,45,FALSE)+3*HLOOKUP("xA/90",A1:CV300,45,FALSE)</f>
      </c>
      <c r="BT45" s="3504">
        <f>HLOOKUP("xPts/90",A1:CV300,45,FALSE)-(4*0.75*(HLOOKUP("PK Gs",A1:CV300,45,FALSE)+HLOOKUP("PK Miss",A1:CV300,45,FALSE))*90/HLOOKUP("Mins",A1:CV300,45,FALSE))</f>
      </c>
      <c r="BU45" s="3505">
        <f>IF(HLOOKUP("Mins",A1:CV300,45,FALSE)=0,0,HLOOKUP("fsXG",A1:CV300,45,FALSE)/HLOOKUP("Mins",A1:CV300,45,FALSE)* 90)</f>
      </c>
      <c r="BV45" s="3506">
        <f>IF(HLOOKUP("Mins",A1:CV300,45,FALSE)=0,0,HLOOKUP("fsXA",A1:CV300,45,FALSE)/HLOOKUP("Mins",A1:CV300,45,FALSE)* 90)</f>
      </c>
      <c r="BW45" s="3507">
        <f>4*HLOOKUP("fsXG/90",A1:CV300,45,FALSE)+3*HLOOKUP("fsXA/90",A1:CV300,45,FALSE)</f>
      </c>
      <c r="BX45" t="n" s="3508">
        <v>0.0</v>
      </c>
      <c r="BY45" t="n" s="3509">
        <v>0.014180720783770084</v>
      </c>
      <c r="BZ45" s="3510">
        <f>4*HLOOKUP("uXG/90",A1:CV300,45,FALSE)+3*HLOOKUP("uXA/90",A1:CV300,45,FALSE)</f>
      </c>
    </row>
    <row r="46">
      <c r="A46" t="s" s="3511">
        <v>142</v>
      </c>
      <c r="B46" t="s" s="3512">
        <v>134</v>
      </c>
      <c r="C46" t="n" s="3513">
        <v>6.300000190734863</v>
      </c>
      <c r="D46" t="n" s="3514">
        <v>66.0</v>
      </c>
      <c r="E46" t="n" s="3515">
        <v>2.0</v>
      </c>
      <c r="F46" t="n" s="3516">
        <v>2.0</v>
      </c>
      <c r="G46" t="n" s="3517">
        <v>0.0</v>
      </c>
      <c r="H46" t="n" s="3518">
        <v>0.0</v>
      </c>
      <c r="I46" t="n" s="3519">
        <v>2.0</v>
      </c>
      <c r="J46" s="3520">
        <f>HLOOKUP("BPS",A1:CV300,46,FALSE)-((-6*HLOOKUP("OG",A1:CV300,46,FALSE))+(-6*HLOOKUP("PK Miss",A1:CV300,46,FALSE))+(9*HLOOKUP("FPL As",A1:CV300,46,FALSE))+(0*HLOOKUP("CS",A1:CV300,46,FALSE))+(24*HLOOKUP("Gs",A1:CV300,46,FALSE)))</f>
      </c>
      <c r="K46" t="n" s="3521">
        <v>0.0</v>
      </c>
      <c r="L46" t="n" s="3522">
        <v>0.0</v>
      </c>
      <c r="M46" t="n" s="3523">
        <v>1.0</v>
      </c>
      <c r="N46" t="n" s="3524">
        <v>2.0</v>
      </c>
      <c r="O46" t="n" s="3525">
        <v>1.0</v>
      </c>
      <c r="P46" s="3526">
        <f>IF(HLOOKUP("Shots",A1:CV300,46,FALSE)=0,0,HLOOKUP("SIB",A1:CV300,46,FALSE)/HLOOKUP("Shots",A1:CV300,46,FALSE))</f>
      </c>
      <c r="Q46" t="n" s="3527">
        <v>0.0</v>
      </c>
      <c r="R46" s="3528">
        <f>IF(HLOOKUP("Shots",A1:CV300,46,FALSE)=0,0,HLOOKUP("S6YD",A1:CV300,46,FALSE)/HLOOKUP("Shots",A1:CV300,46,FALSE))</f>
      </c>
      <c r="S46" t="n" s="3529">
        <v>0.0</v>
      </c>
      <c r="T46" s="3530">
        <f>IF(HLOOKUP("Shots",A1:CV300,46,FALSE)=0,0,HLOOKUP("Headers",A1:CV300,46,FALSE)/HLOOKUP("Shots",A1:CV300,46,FALSE))</f>
      </c>
      <c r="U46" t="n" s="3531">
        <v>0.0</v>
      </c>
      <c r="V46" s="3532">
        <f>IF(HLOOKUP("Shots",A1:CV300,46,FALSE)=0,0,HLOOKUP("SOT",A1:CV300,46,FALSE)/HLOOKUP("Shots",A1:CV300,46,FALSE))</f>
      </c>
      <c r="W46" s="3533">
        <f>IF(HLOOKUP("Shots",A1:CV300,46,FALSE)=0,0,HLOOKUP("Gs",A1:CV300,46,FALSE)/HLOOKUP("Shots",A1:CV300,46,FALSE))</f>
      </c>
      <c r="X46" t="n" s="3534">
        <v>0.0</v>
      </c>
      <c r="Y46" t="n" s="3535">
        <v>0.0</v>
      </c>
      <c r="Z46" t="n" s="3536">
        <v>0.0</v>
      </c>
      <c r="AA46" s="3537">
        <f>IF(HLOOKUP("KP",A1:CV300,46,FALSE)=0,0,HLOOKUP("As",A1:CV300,46,FALSE)/HLOOKUP("KP",A1:CV300,46,FALSE))</f>
      </c>
      <c r="AB46" t="n" s="3538">
        <v>2.1</v>
      </c>
      <c r="AC46" t="n" s="3539">
        <v>0.0</v>
      </c>
      <c r="AD46" t="n" s="3540">
        <v>0.0</v>
      </c>
      <c r="AE46" t="n" s="3541">
        <v>1.0</v>
      </c>
      <c r="AF46" t="n" s="3542">
        <v>1.0</v>
      </c>
      <c r="AG46" s="3543">
        <f>IF(HLOOKUP("BC",A1:CV300,46,FALSE)=0,0,HLOOKUP("Gs - BC",A1:CV300,46,FALSE)/HLOOKUP("BC",A1:CV300,46,FALSE))</f>
      </c>
      <c r="AH46" s="3544">
        <f>HLOOKUP("BC",A1:CV300,46,FALSE) - HLOOKUP("BC Miss",A1:CV300,46,FALSE)</f>
      </c>
      <c r="AI46" s="3545">
        <f>IF(HLOOKUP("Gs",A1:CV300,46,FALSE)=0,0,HLOOKUP("Gs - BC",A1:CV300,46,FALSE)/HLOOKUP("Gs",A1:CV300,46,FALSE))</f>
      </c>
      <c r="AJ46" t="n" s="3546">
        <v>0.0</v>
      </c>
      <c r="AK46" t="n" s="3547">
        <v>0.0</v>
      </c>
      <c r="AL46" s="3548">
        <f>HLOOKUP("BC",A1:CV300,46,FALSE) - (HLOOKUP("PK Gs",A1:CV300,46,FALSE) + HLOOKUP("PK Miss",A1:CV300,46,FALSE))</f>
      </c>
      <c r="AM46" s="3549">
        <f>HLOOKUP("BC Miss",A1:CV300,46,FALSE) - HLOOKUP("PK Miss",A1:CV300,46,FALSE)</f>
      </c>
      <c r="AN46" s="3550">
        <f>IF(HLOOKUP("BC - Open",A1:CV300,46,FALSE)=0,0,HLOOKUP("BC - Open Miss",A1:CV300,46,FALSE)/HLOOKUP("BC - Open",A1:CV300,46,FALSE))</f>
      </c>
      <c r="AO46" t="n" s="3551">
        <v>0.0</v>
      </c>
      <c r="AP46" s="3552">
        <f>IF(HLOOKUP("Gs",A1:CV300,46,FALSE)=0,0,HLOOKUP("GIB",A1:CV300,46,FALSE)/HLOOKUP("Gs",A1:CV300,46,FALSE))</f>
      </c>
      <c r="AQ46" t="n" s="3553">
        <v>0.0</v>
      </c>
      <c r="AR46" s="3554">
        <f>IF(HLOOKUP("Gs",A1:CV300,46,FALSE)=0,0,HLOOKUP("Gs - Open",A1:CV300,46,FALSE)/HLOOKUP("Gs",A1:CV300,46,FALSE))</f>
      </c>
      <c r="AS46" t="n" s="3555">
        <v>0.55</v>
      </c>
      <c r="AT46" t="n" s="3556">
        <v>0.02</v>
      </c>
      <c r="AU46" s="3557">
        <f>IF(HLOOKUP("Mins",A1:CV300,46,FALSE)=0,0,HLOOKUP("Pts",A1:CV300,46,FALSE)/HLOOKUP("Mins",A1:CV300,46,FALSE)* 90)</f>
      </c>
      <c r="AV46" s="3558">
        <f>IF(HLOOKUP("Apps",A1:CV300,46,FALSE)=0,0,HLOOKUP("Pts",A1:CV300,46,FALSE)/HLOOKUP("Apps",A1:CV300,46,FALSE)* 1)</f>
      </c>
      <c r="AW46" s="3559">
        <f>IF(HLOOKUP("Mins",A1:CV300,46,FALSE)=0,0,HLOOKUP("Gs",A1:CV300,46,FALSE)/HLOOKUP("Mins",A1:CV300,46,FALSE)* 90)</f>
      </c>
      <c r="AX46" s="3560">
        <f>IF(HLOOKUP("Mins",A1:CV300,46,FALSE)=0,0,HLOOKUP("Bonus",A1:CV300,46,FALSE)/HLOOKUP("Mins",A1:CV300,46,FALSE)* 90)</f>
      </c>
      <c r="AY46" s="3561">
        <f>IF(HLOOKUP("Mins",A1:CV300,46,FALSE)=0,0,HLOOKUP("BPS",A1:CV300,46,FALSE)/HLOOKUP("Mins",A1:CV300,46,FALSE)* 90)</f>
      </c>
      <c r="AZ46" s="3562">
        <f>IF(HLOOKUP("Mins",A1:CV300,46,FALSE)=0,0,HLOOKUP("Base BPS",A1:CV300,46,FALSE)/HLOOKUP("Mins",A1:CV300,46,FALSE)* 90)</f>
      </c>
      <c r="BA46" s="3563">
        <f>IF(HLOOKUP("Mins",A1:CV300,46,FALSE)=0,0,HLOOKUP("PenTchs",A1:CV300,46,FALSE)/HLOOKUP("Mins",A1:CV300,46,FALSE)* 90)</f>
      </c>
      <c r="BB46" s="3564">
        <f>IF(HLOOKUP("Mins",A1:CV300,46,FALSE)=0,0,HLOOKUP("Shots",A1:CV300,46,FALSE)/HLOOKUP("Mins",A1:CV300,46,FALSE)* 90)</f>
      </c>
      <c r="BC46" s="3565">
        <f>IF(HLOOKUP("Mins",A1:CV300,46,FALSE)=0,0,HLOOKUP("SIB",A1:CV300,46,FALSE)/HLOOKUP("Mins",A1:CV300,46,FALSE)* 90)</f>
      </c>
      <c r="BD46" s="3566">
        <f>IF(HLOOKUP("Mins",A1:CV300,46,FALSE)=0,0,HLOOKUP("S6YD",A1:CV300,46,FALSE)/HLOOKUP("Mins",A1:CV300,46,FALSE)* 90)</f>
      </c>
      <c r="BE46" s="3567">
        <f>IF(HLOOKUP("Mins",A1:CV300,46,FALSE)=0,0,HLOOKUP("Headers",A1:CV300,46,FALSE)/HLOOKUP("Mins",A1:CV300,46,FALSE)* 90)</f>
      </c>
      <c r="BF46" s="3568">
        <f>IF(HLOOKUP("Mins",A1:CV300,46,FALSE)=0,0,HLOOKUP("SOT",A1:CV300,46,FALSE)/HLOOKUP("Mins",A1:CV300,46,FALSE)* 90)</f>
      </c>
      <c r="BG46" s="3569">
        <f>IF(HLOOKUP("Mins",A1:CV300,46,FALSE)=0,0,HLOOKUP("As",A1:CV300,46,FALSE)/HLOOKUP("Mins",A1:CV300,46,FALSE)* 90)</f>
      </c>
      <c r="BH46" s="3570">
        <f>IF(HLOOKUP("Mins",A1:CV300,46,FALSE)=0,0,HLOOKUP("FPL As",A1:CV300,46,FALSE)/HLOOKUP("Mins",A1:CV300,46,FALSE)* 90)</f>
      </c>
      <c r="BI46" s="3571">
        <f>IF(HLOOKUP("Mins",A1:CV300,46,FALSE)=0,0,HLOOKUP("BC Created",A1:CV300,46,FALSE)/HLOOKUP("Mins",A1:CV300,46,FALSE)* 90)</f>
      </c>
      <c r="BJ46" s="3572">
        <f>IF(HLOOKUP("Mins",A1:CV300,46,FALSE)=0,0,HLOOKUP("KP",A1:CV300,46,FALSE)/HLOOKUP("Mins",A1:CV300,46,FALSE)* 90)</f>
      </c>
      <c r="BK46" s="3573">
        <f>IF(HLOOKUP("Mins",A1:CV300,46,FALSE)=0,0,HLOOKUP("BC",A1:CV300,46,FALSE)/HLOOKUP("Mins",A1:CV300,46,FALSE)* 90)</f>
      </c>
      <c r="BL46" s="3574">
        <f>IF(HLOOKUP("Mins",A1:CV300,46,FALSE)=0,0,HLOOKUP("BC Miss",A1:CV300,46,FALSE)/HLOOKUP("Mins",A1:CV300,46,FALSE)* 90)</f>
      </c>
      <c r="BM46" s="3575">
        <f>IF(HLOOKUP("Mins",A1:CV300,46,FALSE)=0,0,HLOOKUP("Gs - BC",A1:CV300,46,FALSE)/HLOOKUP("Mins",A1:CV300,46,FALSE)* 90)</f>
      </c>
      <c r="BN46" s="3576">
        <f>IF(HLOOKUP("Mins",A1:CV300,46,FALSE)=0,0,HLOOKUP("GIB",A1:CV300,46,FALSE)/HLOOKUP("Mins",A1:CV300,46,FALSE)* 90)</f>
      </c>
      <c r="BO46" s="3577">
        <f>IF(HLOOKUP("Mins",A1:CV300,46,FALSE)=0,0,HLOOKUP("Gs - Open",A1:CV300,46,FALSE)/HLOOKUP("Mins",A1:CV300,46,FALSE)* 90)</f>
      </c>
      <c r="BP46" s="3578">
        <f>IF(HLOOKUP("Mins",A1:CV300,46,FALSE)=0,0,HLOOKUP("ICT Index",A1:CV300,46,FALSE)/HLOOKUP("Mins",A1:CV300,46,FALSE)* 90)</f>
      </c>
      <c r="BQ46" s="3579">
        <f>IF(HLOOKUP("Mins",A1:CV300,46,FALSE)=0,0,(0.043*(HLOOKUP("Shots",A1:CV300,46,FALSE)-HLOOKUP("SIB",A1:CV300,46,FALSE))+0.162*(HLOOKUP("SIB",A1:CV300,46,FALSE)-(HLOOKUP("PK Gs",A1:CV300,46,FALSE)+HLOOKUP("PK Miss",A1:CV300,46,FALSE)))+0.75*(HLOOKUP("PK Gs",A1:CV300,46,FALSE)+HLOOKUP("PK Miss",A1:CV300,46,FALSE)))/HLOOKUP("Mins",A1:CV300,46,FALSE)*90)</f>
      </c>
      <c r="BR46" s="3580">
        <f>0.103*HLOOKUP("KP/90",A1:CV300,46,FALSE)</f>
      </c>
      <c r="BS46" s="3581">
        <f>4*HLOOKUP("xG/90",A1:CV300,46,FALSE)+3*HLOOKUP("xA/90",A1:CV300,46,FALSE)</f>
      </c>
      <c r="BT46" s="3582">
        <f>HLOOKUP("xPts/90",A1:CV300,46,FALSE)-(4*0.75*(HLOOKUP("PK Gs",A1:CV300,46,FALSE)+HLOOKUP("PK Miss",A1:CV300,46,FALSE))*90/HLOOKUP("Mins",A1:CV300,46,FALSE))</f>
      </c>
      <c r="BU46" s="3583">
        <f>IF(HLOOKUP("Mins",A1:CV300,46,FALSE)=0,0,HLOOKUP("fsXG",A1:CV300,46,FALSE)/HLOOKUP("Mins",A1:CV300,46,FALSE)* 90)</f>
      </c>
      <c r="BV46" s="3584">
        <f>IF(HLOOKUP("Mins",A1:CV300,46,FALSE)=0,0,HLOOKUP("fsXA",A1:CV300,46,FALSE)/HLOOKUP("Mins",A1:CV300,46,FALSE)* 90)</f>
      </c>
      <c r="BW46" s="3585">
        <f>4*HLOOKUP("fsXG/90",A1:CV300,46,FALSE)+3*HLOOKUP("fsXA/90",A1:CV300,46,FALSE)</f>
      </c>
      <c r="BX46" t="n" s="3586">
        <v>0.7558307647705078</v>
      </c>
      <c r="BY46" t="n" s="3587">
        <v>0.0</v>
      </c>
      <c r="BZ46" s="3588">
        <f>4*HLOOKUP("uXG/90",A1:CV300,46,FALSE)+3*HLOOKUP("uXA/90",A1:CV300,46,FALSE)</f>
      </c>
    </row>
    <row r="47">
      <c r="A47" t="s" s="3589">
        <v>143</v>
      </c>
      <c r="B47" t="s" s="3590">
        <v>97</v>
      </c>
      <c r="C47" t="n" s="3591">
        <v>6.099999904632568</v>
      </c>
      <c r="D47" t="n" s="3592">
        <v>45.0</v>
      </c>
      <c r="E47" t="n" s="3593">
        <v>1.0</v>
      </c>
      <c r="F47" t="n" s="3594">
        <v>61.0</v>
      </c>
      <c r="G47" t="n" s="3595">
        <v>0.0</v>
      </c>
      <c r="H47" t="n" s="3596">
        <v>6.0</v>
      </c>
      <c r="I47" t="n" s="3597">
        <v>161.0</v>
      </c>
      <c r="J47" s="3598">
        <f>HLOOKUP("BPS",A1:CV300,47,FALSE)-((-6*HLOOKUP("OG",A1:CV300,47,FALSE))+(-6*HLOOKUP("PK Miss",A1:CV300,47,FALSE))+(9*HLOOKUP("FPL As",A1:CV300,47,FALSE))+(0*HLOOKUP("CS",A1:CV300,47,FALSE))+(24*HLOOKUP("Gs",A1:CV300,47,FALSE)))</f>
      </c>
      <c r="K47" t="n" s="3599">
        <v>0.0</v>
      </c>
      <c r="L47" t="n" s="3600">
        <v>8.0</v>
      </c>
      <c r="M47" t="n" s="3601">
        <v>1.0</v>
      </c>
      <c r="N47" t="n" s="3602">
        <v>1.0</v>
      </c>
      <c r="O47" t="n" s="3603">
        <v>0.0</v>
      </c>
      <c r="P47" s="3604">
        <f>IF(HLOOKUP("Shots",A1:CV300,47,FALSE)=0,0,HLOOKUP("SIB",A1:CV300,47,FALSE)/HLOOKUP("Shots",A1:CV300,47,FALSE))</f>
      </c>
      <c r="Q47" t="n" s="3605">
        <v>0.0</v>
      </c>
      <c r="R47" s="3606">
        <f>IF(HLOOKUP("Shots",A1:CV300,47,FALSE)=0,0,HLOOKUP("S6YD",A1:CV300,47,FALSE)/HLOOKUP("Shots",A1:CV300,47,FALSE))</f>
      </c>
      <c r="S47" t="n" s="3607">
        <v>0.0</v>
      </c>
      <c r="T47" s="3608">
        <f>IF(HLOOKUP("Shots",A1:CV300,47,FALSE)=0,0,HLOOKUP("Headers",A1:CV300,47,FALSE)/HLOOKUP("Shots",A1:CV300,47,FALSE))</f>
      </c>
      <c r="U47" t="n" s="3609">
        <v>0.0</v>
      </c>
      <c r="V47" s="3610">
        <f>IF(HLOOKUP("Shots",A1:CV300,47,FALSE)=0,0,HLOOKUP("SOT",A1:CV300,47,FALSE)/HLOOKUP("Shots",A1:CV300,47,FALSE))</f>
      </c>
      <c r="W47" s="3611">
        <f>IF(HLOOKUP("Shots",A1:CV300,47,FALSE)=0,0,HLOOKUP("Gs",A1:CV300,47,FALSE)/HLOOKUP("Shots",A1:CV300,47,FALSE))</f>
      </c>
      <c r="X47" t="n" s="3612">
        <v>0.0</v>
      </c>
      <c r="Y47" t="n" s="3613">
        <v>0.0</v>
      </c>
      <c r="Z47" t="n" s="3614">
        <v>0.0</v>
      </c>
      <c r="AA47" s="3615">
        <f>IF(HLOOKUP("KP",A1:CV300,47,FALSE)=0,0,HLOOKUP("As",A1:CV300,47,FALSE)/HLOOKUP("KP",A1:CV300,47,FALSE))</f>
      </c>
      <c r="AB47" t="n" s="3616">
        <v>0.2</v>
      </c>
      <c r="AC47" t="n" s="3617">
        <v>0.0</v>
      </c>
      <c r="AD47" t="n" s="3618">
        <v>0.0</v>
      </c>
      <c r="AE47" t="n" s="3619">
        <v>0.0</v>
      </c>
      <c r="AF47" t="n" s="3620">
        <v>0.0</v>
      </c>
      <c r="AG47" s="3621">
        <f>IF(HLOOKUP("BC",A1:CV300,47,FALSE)=0,0,HLOOKUP("Gs - BC",A1:CV300,47,FALSE)/HLOOKUP("BC",A1:CV300,47,FALSE))</f>
      </c>
      <c r="AH47" s="3622">
        <f>HLOOKUP("BC",A1:CV300,47,FALSE) - HLOOKUP("BC Miss",A1:CV300,47,FALSE)</f>
      </c>
      <c r="AI47" s="3623">
        <f>IF(HLOOKUP("Gs",A1:CV300,47,FALSE)=0,0,HLOOKUP("Gs - BC",A1:CV300,47,FALSE)/HLOOKUP("Gs",A1:CV300,47,FALSE))</f>
      </c>
      <c r="AJ47" t="n" s="3624">
        <v>0.0</v>
      </c>
      <c r="AK47" t="n" s="3625">
        <v>0.0</v>
      </c>
      <c r="AL47" s="3626">
        <f>HLOOKUP("BC",A1:CV300,47,FALSE) - (HLOOKUP("PK Gs",A1:CV300,47,FALSE) + HLOOKUP("PK Miss",A1:CV300,47,FALSE))</f>
      </c>
      <c r="AM47" s="3627">
        <f>HLOOKUP("BC Miss",A1:CV300,47,FALSE) - HLOOKUP("PK Miss",A1:CV300,47,FALSE)</f>
      </c>
      <c r="AN47" s="3628">
        <f>IF(HLOOKUP("BC - Open",A1:CV300,47,FALSE)=0,0,HLOOKUP("BC - Open Miss",A1:CV300,47,FALSE)/HLOOKUP("BC - Open",A1:CV300,47,FALSE))</f>
      </c>
      <c r="AO47" t="n" s="3629">
        <v>0.0</v>
      </c>
      <c r="AP47" s="3630">
        <f>IF(HLOOKUP("Gs",A1:CV300,47,FALSE)=0,0,HLOOKUP("GIB",A1:CV300,47,FALSE)/HLOOKUP("Gs",A1:CV300,47,FALSE))</f>
      </c>
      <c r="AQ47" t="n" s="3631">
        <v>0.0</v>
      </c>
      <c r="AR47" s="3632">
        <f>IF(HLOOKUP("Gs",A1:CV300,47,FALSE)=0,0,HLOOKUP("Gs - Open",A1:CV300,47,FALSE)/HLOOKUP("Gs",A1:CV300,47,FALSE))</f>
      </c>
      <c r="AS47" t="n" s="3633">
        <v>0.02</v>
      </c>
      <c r="AT47" t="n" s="3634">
        <v>0.0</v>
      </c>
      <c r="AU47" s="3635">
        <f>IF(HLOOKUP("Mins",A1:CV300,47,FALSE)=0,0,HLOOKUP("Pts",A1:CV300,47,FALSE)/HLOOKUP("Mins",A1:CV300,47,FALSE)* 90)</f>
      </c>
      <c r="AV47" s="3636">
        <f>IF(HLOOKUP("Apps",A1:CV300,47,FALSE)=0,0,HLOOKUP("Pts",A1:CV300,47,FALSE)/HLOOKUP("Apps",A1:CV300,47,FALSE)* 1)</f>
      </c>
      <c r="AW47" s="3637">
        <f>IF(HLOOKUP("Mins",A1:CV300,47,FALSE)=0,0,HLOOKUP("Gs",A1:CV300,47,FALSE)/HLOOKUP("Mins",A1:CV300,47,FALSE)* 90)</f>
      </c>
      <c r="AX47" s="3638">
        <f>IF(HLOOKUP("Mins",A1:CV300,47,FALSE)=0,0,HLOOKUP("Bonus",A1:CV300,47,FALSE)/HLOOKUP("Mins",A1:CV300,47,FALSE)* 90)</f>
      </c>
      <c r="AY47" s="3639">
        <f>IF(HLOOKUP("Mins",A1:CV300,47,FALSE)=0,0,HLOOKUP("BPS",A1:CV300,47,FALSE)/HLOOKUP("Mins",A1:CV300,47,FALSE)* 90)</f>
      </c>
      <c r="AZ47" s="3640">
        <f>IF(HLOOKUP("Mins",A1:CV300,47,FALSE)=0,0,HLOOKUP("Base BPS",A1:CV300,47,FALSE)/HLOOKUP("Mins",A1:CV300,47,FALSE)* 90)</f>
      </c>
      <c r="BA47" s="3641">
        <f>IF(HLOOKUP("Mins",A1:CV300,47,FALSE)=0,0,HLOOKUP("PenTchs",A1:CV300,47,FALSE)/HLOOKUP("Mins",A1:CV300,47,FALSE)* 90)</f>
      </c>
      <c r="BB47" s="3642">
        <f>IF(HLOOKUP("Mins",A1:CV300,47,FALSE)=0,0,HLOOKUP("Shots",A1:CV300,47,FALSE)/HLOOKUP("Mins",A1:CV300,47,FALSE)* 90)</f>
      </c>
      <c r="BC47" s="3643">
        <f>IF(HLOOKUP("Mins",A1:CV300,47,FALSE)=0,0,HLOOKUP("SIB",A1:CV300,47,FALSE)/HLOOKUP("Mins",A1:CV300,47,FALSE)* 90)</f>
      </c>
      <c r="BD47" s="3644">
        <f>IF(HLOOKUP("Mins",A1:CV300,47,FALSE)=0,0,HLOOKUP("S6YD",A1:CV300,47,FALSE)/HLOOKUP("Mins",A1:CV300,47,FALSE)* 90)</f>
      </c>
      <c r="BE47" s="3645">
        <f>IF(HLOOKUP("Mins",A1:CV300,47,FALSE)=0,0,HLOOKUP("Headers",A1:CV300,47,FALSE)/HLOOKUP("Mins",A1:CV300,47,FALSE)* 90)</f>
      </c>
      <c r="BF47" s="3646">
        <f>IF(HLOOKUP("Mins",A1:CV300,47,FALSE)=0,0,HLOOKUP("SOT",A1:CV300,47,FALSE)/HLOOKUP("Mins",A1:CV300,47,FALSE)* 90)</f>
      </c>
      <c r="BG47" s="3647">
        <f>IF(HLOOKUP("Mins",A1:CV300,47,FALSE)=0,0,HLOOKUP("As",A1:CV300,47,FALSE)/HLOOKUP("Mins",A1:CV300,47,FALSE)* 90)</f>
      </c>
      <c r="BH47" s="3648">
        <f>IF(HLOOKUP("Mins",A1:CV300,47,FALSE)=0,0,HLOOKUP("FPL As",A1:CV300,47,FALSE)/HLOOKUP("Mins",A1:CV300,47,FALSE)* 90)</f>
      </c>
      <c r="BI47" s="3649">
        <f>IF(HLOOKUP("Mins",A1:CV300,47,FALSE)=0,0,HLOOKUP("BC Created",A1:CV300,47,FALSE)/HLOOKUP("Mins",A1:CV300,47,FALSE)* 90)</f>
      </c>
      <c r="BJ47" s="3650">
        <f>IF(HLOOKUP("Mins",A1:CV300,47,FALSE)=0,0,HLOOKUP("KP",A1:CV300,47,FALSE)/HLOOKUP("Mins",A1:CV300,47,FALSE)* 90)</f>
      </c>
      <c r="BK47" s="3651">
        <f>IF(HLOOKUP("Mins",A1:CV300,47,FALSE)=0,0,HLOOKUP("BC",A1:CV300,47,FALSE)/HLOOKUP("Mins",A1:CV300,47,FALSE)* 90)</f>
      </c>
      <c r="BL47" s="3652">
        <f>IF(HLOOKUP("Mins",A1:CV300,47,FALSE)=0,0,HLOOKUP("BC Miss",A1:CV300,47,FALSE)/HLOOKUP("Mins",A1:CV300,47,FALSE)* 90)</f>
      </c>
      <c r="BM47" s="3653">
        <f>IF(HLOOKUP("Mins",A1:CV300,47,FALSE)=0,0,HLOOKUP("Gs - BC",A1:CV300,47,FALSE)/HLOOKUP("Mins",A1:CV300,47,FALSE)* 90)</f>
      </c>
      <c r="BN47" s="3654">
        <f>IF(HLOOKUP("Mins",A1:CV300,47,FALSE)=0,0,HLOOKUP("GIB",A1:CV300,47,FALSE)/HLOOKUP("Mins",A1:CV300,47,FALSE)* 90)</f>
      </c>
      <c r="BO47" s="3655">
        <f>IF(HLOOKUP("Mins",A1:CV300,47,FALSE)=0,0,HLOOKUP("Gs - Open",A1:CV300,47,FALSE)/HLOOKUP("Mins",A1:CV300,47,FALSE)* 90)</f>
      </c>
      <c r="BP47" s="3656">
        <f>IF(HLOOKUP("Mins",A1:CV300,47,FALSE)=0,0,HLOOKUP("ICT Index",A1:CV300,47,FALSE)/HLOOKUP("Mins",A1:CV300,47,FALSE)* 90)</f>
      </c>
      <c r="BQ47" s="3657">
        <f>IF(HLOOKUP("Mins",A1:CV300,47,FALSE)=0,0,(0.043*(HLOOKUP("Shots",A1:CV300,47,FALSE)-HLOOKUP("SIB",A1:CV300,47,FALSE))+0.162*(HLOOKUP("SIB",A1:CV300,47,FALSE)-(HLOOKUP("PK Gs",A1:CV300,47,FALSE)+HLOOKUP("PK Miss",A1:CV300,47,FALSE)))+0.75*(HLOOKUP("PK Gs",A1:CV300,47,FALSE)+HLOOKUP("PK Miss",A1:CV300,47,FALSE)))/HLOOKUP("Mins",A1:CV300,47,FALSE)*90)</f>
      </c>
      <c r="BR47" s="3658">
        <f>0.103*HLOOKUP("KP/90",A1:CV300,47,FALSE)</f>
      </c>
      <c r="BS47" s="3659">
        <f>4*HLOOKUP("xG/90",A1:CV300,47,FALSE)+3*HLOOKUP("xA/90",A1:CV300,47,FALSE)</f>
      </c>
      <c r="BT47" s="3660">
        <f>HLOOKUP("xPts/90",A1:CV300,47,FALSE)-(4*0.75*(HLOOKUP("PK Gs",A1:CV300,47,FALSE)+HLOOKUP("PK Miss",A1:CV300,47,FALSE))*90/HLOOKUP("Mins",A1:CV300,47,FALSE))</f>
      </c>
      <c r="BU47" s="3661">
        <f>IF(HLOOKUP("Mins",A1:CV300,47,FALSE)=0,0,HLOOKUP("fsXG",A1:CV300,47,FALSE)/HLOOKUP("Mins",A1:CV300,47,FALSE)* 90)</f>
      </c>
      <c r="BV47" s="3662">
        <f>IF(HLOOKUP("Mins",A1:CV300,47,FALSE)=0,0,HLOOKUP("fsXA",A1:CV300,47,FALSE)/HLOOKUP("Mins",A1:CV300,47,FALSE)* 90)</f>
      </c>
      <c r="BW47" s="3663">
        <f>4*HLOOKUP("fsXG/90",A1:CV300,47,FALSE)+3*HLOOKUP("fsXA/90",A1:CV300,47,FALSE)</f>
      </c>
      <c r="BX47" t="n" s="3664">
        <v>0.03024965710937977</v>
      </c>
      <c r="BY47" t="n" s="3665">
        <v>0.0</v>
      </c>
      <c r="BZ47" s="3666">
        <f>4*HLOOKUP("uXG/90",A1:CV300,47,FALSE)+3*HLOOKUP("uXA/90",A1:CV300,47,FALSE)</f>
      </c>
    </row>
    <row r="48">
      <c r="A48" t="s" s="3667">
        <v>144</v>
      </c>
      <c r="B48" t="s" s="3668">
        <v>107</v>
      </c>
      <c r="C48" t="n" s="3669">
        <v>5.699999809265137</v>
      </c>
      <c r="D48" t="n" s="3670">
        <v>167.0</v>
      </c>
      <c r="E48" t="n" s="3671">
        <v>2.0</v>
      </c>
      <c r="F48" t="n" s="3672">
        <v>26.0</v>
      </c>
      <c r="G48" t="n" s="3673">
        <v>1.0</v>
      </c>
      <c r="H48" t="n" s="3674">
        <v>1.0</v>
      </c>
      <c r="I48" t="n" s="3675">
        <v>85.0</v>
      </c>
      <c r="J48" s="3676">
        <f>HLOOKUP("BPS",A1:CV300,48,FALSE)-((-6*HLOOKUP("OG",A1:CV300,48,FALSE))+(-6*HLOOKUP("PK Miss",A1:CV300,48,FALSE))+(9*HLOOKUP("FPL As",A1:CV300,48,FALSE))+(0*HLOOKUP("CS",A1:CV300,48,FALSE))+(24*HLOOKUP("Gs",A1:CV300,48,FALSE)))</f>
      </c>
      <c r="K48" t="n" s="3677">
        <v>0.0</v>
      </c>
      <c r="L48" t="n" s="3678">
        <v>1.0</v>
      </c>
      <c r="M48" t="n" s="3679">
        <v>15.0</v>
      </c>
      <c r="N48" t="n" s="3680">
        <v>5.0</v>
      </c>
      <c r="O48" t="n" s="3681">
        <v>5.0</v>
      </c>
      <c r="P48" s="3682">
        <f>IF(HLOOKUP("Shots",A1:CV300,48,FALSE)=0,0,HLOOKUP("SIB",A1:CV300,48,FALSE)/HLOOKUP("Shots",A1:CV300,48,FALSE))</f>
      </c>
      <c r="Q48" t="n" s="3683">
        <v>1.0</v>
      </c>
      <c r="R48" s="3684">
        <f>IF(HLOOKUP("Shots",A1:CV300,48,FALSE)=0,0,HLOOKUP("S6YD",A1:CV300,48,FALSE)/HLOOKUP("Shots",A1:CV300,48,FALSE))</f>
      </c>
      <c r="S48" t="n" s="3685">
        <v>1.0</v>
      </c>
      <c r="T48" s="3686">
        <f>IF(HLOOKUP("Shots",A1:CV300,48,FALSE)=0,0,HLOOKUP("Headers",A1:CV300,48,FALSE)/HLOOKUP("Shots",A1:CV300,48,FALSE))</f>
      </c>
      <c r="U48" t="n" s="3687">
        <v>3.0</v>
      </c>
      <c r="V48" s="3688">
        <f>IF(HLOOKUP("Shots",A1:CV300,48,FALSE)=0,0,HLOOKUP("SOT",A1:CV300,48,FALSE)/HLOOKUP("Shots",A1:CV300,48,FALSE))</f>
      </c>
      <c r="W48" s="3689">
        <f>IF(HLOOKUP("Shots",A1:CV300,48,FALSE)=0,0,HLOOKUP("Gs",A1:CV300,48,FALSE)/HLOOKUP("Shots",A1:CV300,48,FALSE))</f>
      </c>
      <c r="X48" t="n" s="3690">
        <v>0.0</v>
      </c>
      <c r="Y48" t="n" s="3691">
        <v>0.0</v>
      </c>
      <c r="Z48" t="n" s="3692">
        <v>4.0</v>
      </c>
      <c r="AA48" s="3693">
        <f>IF(HLOOKUP("KP",A1:CV300,48,FALSE)=0,0,HLOOKUP("As",A1:CV300,48,FALSE)/HLOOKUP("KP",A1:CV300,48,FALSE))</f>
      </c>
      <c r="AB48" t="n" s="3694">
        <v>19.0</v>
      </c>
      <c r="AC48" t="n" s="3695">
        <v>100.0</v>
      </c>
      <c r="AD48" t="n" s="3696">
        <v>0.0</v>
      </c>
      <c r="AE48" t="n" s="3697">
        <v>1.0</v>
      </c>
      <c r="AF48" t="n" s="3698">
        <v>1.0</v>
      </c>
      <c r="AG48" s="3699">
        <f>IF(HLOOKUP("BC",A1:CV300,48,FALSE)=0,0,HLOOKUP("Gs - BC",A1:CV300,48,FALSE)/HLOOKUP("BC",A1:CV300,48,FALSE))</f>
      </c>
      <c r="AH48" s="3700">
        <f>HLOOKUP("BC",A1:CV300,48,FALSE) - HLOOKUP("BC Miss",A1:CV300,48,FALSE)</f>
      </c>
      <c r="AI48" s="3701">
        <f>IF(HLOOKUP("Gs",A1:CV300,48,FALSE)=0,0,HLOOKUP("Gs - BC",A1:CV300,48,FALSE)/HLOOKUP("Gs",A1:CV300,48,FALSE))</f>
      </c>
      <c r="AJ48" t="n" s="3702">
        <v>0.0</v>
      </c>
      <c r="AK48" t="n" s="3703">
        <v>0.0</v>
      </c>
      <c r="AL48" s="3704">
        <f>HLOOKUP("BC",A1:CV300,48,FALSE) - (HLOOKUP("PK Gs",A1:CV300,48,FALSE) + HLOOKUP("PK Miss",A1:CV300,48,FALSE))</f>
      </c>
      <c r="AM48" s="3705">
        <f>HLOOKUP("BC Miss",A1:CV300,48,FALSE) - HLOOKUP("PK Miss",A1:CV300,48,FALSE)</f>
      </c>
      <c r="AN48" s="3706">
        <f>IF(HLOOKUP("BC - Open",A1:CV300,48,FALSE)=0,0,HLOOKUP("BC - Open Miss",A1:CV300,48,FALSE)/HLOOKUP("BC - Open",A1:CV300,48,FALSE))</f>
      </c>
      <c r="AO48" t="n" s="3707">
        <v>1.0</v>
      </c>
      <c r="AP48" s="3708">
        <f>IF(HLOOKUP("Gs",A1:CV300,48,FALSE)=0,0,HLOOKUP("GIB",A1:CV300,48,FALSE)/HLOOKUP("Gs",A1:CV300,48,FALSE))</f>
      </c>
      <c r="AQ48" t="n" s="3709">
        <v>1.0</v>
      </c>
      <c r="AR48" s="3710">
        <f>IF(HLOOKUP("Gs",A1:CV300,48,FALSE)=0,0,HLOOKUP("Gs - Open",A1:CV300,48,FALSE)/HLOOKUP("Gs",A1:CV300,48,FALSE))</f>
      </c>
      <c r="AS48" t="n" s="3711">
        <v>0.98</v>
      </c>
      <c r="AT48" t="n" s="3712">
        <v>0.03</v>
      </c>
      <c r="AU48" s="3713">
        <f>IF(HLOOKUP("Mins",A1:CV300,48,FALSE)=0,0,HLOOKUP("Pts",A1:CV300,48,FALSE)/HLOOKUP("Mins",A1:CV300,48,FALSE)* 90)</f>
      </c>
      <c r="AV48" s="3714">
        <f>IF(HLOOKUP("Apps",A1:CV300,48,FALSE)=0,0,HLOOKUP("Pts",A1:CV300,48,FALSE)/HLOOKUP("Apps",A1:CV300,48,FALSE)* 1)</f>
      </c>
      <c r="AW48" s="3715">
        <f>IF(HLOOKUP("Mins",A1:CV300,48,FALSE)=0,0,HLOOKUP("Gs",A1:CV300,48,FALSE)/HLOOKUP("Mins",A1:CV300,48,FALSE)* 90)</f>
      </c>
      <c r="AX48" s="3716">
        <f>IF(HLOOKUP("Mins",A1:CV300,48,FALSE)=0,0,HLOOKUP("Bonus",A1:CV300,48,FALSE)/HLOOKUP("Mins",A1:CV300,48,FALSE)* 90)</f>
      </c>
      <c r="AY48" s="3717">
        <f>IF(HLOOKUP("Mins",A1:CV300,48,FALSE)=0,0,HLOOKUP("BPS",A1:CV300,48,FALSE)/HLOOKUP("Mins",A1:CV300,48,FALSE)* 90)</f>
      </c>
      <c r="AZ48" s="3718">
        <f>IF(HLOOKUP("Mins",A1:CV300,48,FALSE)=0,0,HLOOKUP("Base BPS",A1:CV300,48,FALSE)/HLOOKUP("Mins",A1:CV300,48,FALSE)* 90)</f>
      </c>
      <c r="BA48" s="3719">
        <f>IF(HLOOKUP("Mins",A1:CV300,48,FALSE)=0,0,HLOOKUP("PenTchs",A1:CV300,48,FALSE)/HLOOKUP("Mins",A1:CV300,48,FALSE)* 90)</f>
      </c>
      <c r="BB48" s="3720">
        <f>IF(HLOOKUP("Mins",A1:CV300,48,FALSE)=0,0,HLOOKUP("Shots",A1:CV300,48,FALSE)/HLOOKUP("Mins",A1:CV300,48,FALSE)* 90)</f>
      </c>
      <c r="BC48" s="3721">
        <f>IF(HLOOKUP("Mins",A1:CV300,48,FALSE)=0,0,HLOOKUP("SIB",A1:CV300,48,FALSE)/HLOOKUP("Mins",A1:CV300,48,FALSE)* 90)</f>
      </c>
      <c r="BD48" s="3722">
        <f>IF(HLOOKUP("Mins",A1:CV300,48,FALSE)=0,0,HLOOKUP("S6YD",A1:CV300,48,FALSE)/HLOOKUP("Mins",A1:CV300,48,FALSE)* 90)</f>
      </c>
      <c r="BE48" s="3723">
        <f>IF(HLOOKUP("Mins",A1:CV300,48,FALSE)=0,0,HLOOKUP("Headers",A1:CV300,48,FALSE)/HLOOKUP("Mins",A1:CV300,48,FALSE)* 90)</f>
      </c>
      <c r="BF48" s="3724">
        <f>IF(HLOOKUP("Mins",A1:CV300,48,FALSE)=0,0,HLOOKUP("SOT",A1:CV300,48,FALSE)/HLOOKUP("Mins",A1:CV300,48,FALSE)* 90)</f>
      </c>
      <c r="BG48" s="3725">
        <f>IF(HLOOKUP("Mins",A1:CV300,48,FALSE)=0,0,HLOOKUP("As",A1:CV300,48,FALSE)/HLOOKUP("Mins",A1:CV300,48,FALSE)* 90)</f>
      </c>
      <c r="BH48" s="3726">
        <f>IF(HLOOKUP("Mins",A1:CV300,48,FALSE)=0,0,HLOOKUP("FPL As",A1:CV300,48,FALSE)/HLOOKUP("Mins",A1:CV300,48,FALSE)* 90)</f>
      </c>
      <c r="BI48" s="3727">
        <f>IF(HLOOKUP("Mins",A1:CV300,48,FALSE)=0,0,HLOOKUP("BC Created",A1:CV300,48,FALSE)/HLOOKUP("Mins",A1:CV300,48,FALSE)* 90)</f>
      </c>
      <c r="BJ48" s="3728">
        <f>IF(HLOOKUP("Mins",A1:CV300,48,FALSE)=0,0,HLOOKUP("KP",A1:CV300,48,FALSE)/HLOOKUP("Mins",A1:CV300,48,FALSE)* 90)</f>
      </c>
      <c r="BK48" s="3729">
        <f>IF(HLOOKUP("Mins",A1:CV300,48,FALSE)=0,0,HLOOKUP("BC",A1:CV300,48,FALSE)/HLOOKUP("Mins",A1:CV300,48,FALSE)* 90)</f>
      </c>
      <c r="BL48" s="3730">
        <f>IF(HLOOKUP("Mins",A1:CV300,48,FALSE)=0,0,HLOOKUP("BC Miss",A1:CV300,48,FALSE)/HLOOKUP("Mins",A1:CV300,48,FALSE)* 90)</f>
      </c>
      <c r="BM48" s="3731">
        <f>IF(HLOOKUP("Mins",A1:CV300,48,FALSE)=0,0,HLOOKUP("Gs - BC",A1:CV300,48,FALSE)/HLOOKUP("Mins",A1:CV300,48,FALSE)* 90)</f>
      </c>
      <c r="BN48" s="3732">
        <f>IF(HLOOKUP("Mins",A1:CV300,48,FALSE)=0,0,HLOOKUP("GIB",A1:CV300,48,FALSE)/HLOOKUP("Mins",A1:CV300,48,FALSE)* 90)</f>
      </c>
      <c r="BO48" s="3733">
        <f>IF(HLOOKUP("Mins",A1:CV300,48,FALSE)=0,0,HLOOKUP("Gs - Open",A1:CV300,48,FALSE)/HLOOKUP("Mins",A1:CV300,48,FALSE)* 90)</f>
      </c>
      <c r="BP48" s="3734">
        <f>IF(HLOOKUP("Mins",A1:CV300,48,FALSE)=0,0,HLOOKUP("ICT Index",A1:CV300,48,FALSE)/HLOOKUP("Mins",A1:CV300,48,FALSE)* 90)</f>
      </c>
      <c r="BQ48" s="3735">
        <f>IF(HLOOKUP("Mins",A1:CV300,48,FALSE)=0,0,(0.043*(HLOOKUP("Shots",A1:CV300,48,FALSE)-HLOOKUP("SIB",A1:CV300,48,FALSE))+0.162*(HLOOKUP("SIB",A1:CV300,48,FALSE)-(HLOOKUP("PK Gs",A1:CV300,48,FALSE)+HLOOKUP("PK Miss",A1:CV300,48,FALSE)))+0.75*(HLOOKUP("PK Gs",A1:CV300,48,FALSE)+HLOOKUP("PK Miss",A1:CV300,48,FALSE)))/HLOOKUP("Mins",A1:CV300,48,FALSE)*90)</f>
      </c>
      <c r="BR48" s="3736">
        <f>0.103*HLOOKUP("KP/90",A1:CV300,48,FALSE)</f>
      </c>
      <c r="BS48" s="3737">
        <f>4*HLOOKUP("xG/90",A1:CV300,48,FALSE)+3*HLOOKUP("xA/90",A1:CV300,48,FALSE)</f>
      </c>
      <c r="BT48" s="3738">
        <f>HLOOKUP("xPts/90",A1:CV300,48,FALSE)-(4*0.75*(HLOOKUP("PK Gs",A1:CV300,48,FALSE)+HLOOKUP("PK Miss",A1:CV300,48,FALSE))*90/HLOOKUP("Mins",A1:CV300,48,FALSE))</f>
      </c>
      <c r="BU48" s="3739">
        <f>IF(HLOOKUP("Mins",A1:CV300,48,FALSE)=0,0,HLOOKUP("fsXG",A1:CV300,48,FALSE)/HLOOKUP("Mins",A1:CV300,48,FALSE)* 90)</f>
      </c>
      <c r="BV48" s="3740">
        <f>IF(HLOOKUP("Mins",A1:CV300,48,FALSE)=0,0,HLOOKUP("fsXA",A1:CV300,48,FALSE)/HLOOKUP("Mins",A1:CV300,48,FALSE)* 90)</f>
      </c>
      <c r="BW48" s="3741">
        <f>4*HLOOKUP("fsXG/90",A1:CV300,48,FALSE)+3*HLOOKUP("fsXA/90",A1:CV300,48,FALSE)</f>
      </c>
      <c r="BX48" t="n" s="3742">
        <v>0.4296445846557617</v>
      </c>
      <c r="BY48" t="n" s="3743">
        <v>0.04181413725018501</v>
      </c>
      <c r="BZ48" s="3744">
        <f>4*HLOOKUP("uXG/90",A1:CV300,48,FALSE)+3*HLOOKUP("uXA/90",A1:CV300,48,FALSE)</f>
      </c>
    </row>
    <row r="49">
      <c r="A49" t="s" s="3745">
        <v>145</v>
      </c>
      <c r="B49" t="s" s="3746">
        <v>85</v>
      </c>
      <c r="C49" t="n" s="3747">
        <v>5.400000095367432</v>
      </c>
      <c r="D49" t="n" s="3748">
        <v>126.0</v>
      </c>
      <c r="E49" t="n" s="3749">
        <v>2.0</v>
      </c>
      <c r="F49" t="n" s="3750">
        <v>40.0</v>
      </c>
      <c r="G49" t="n" s="3751">
        <v>0.0</v>
      </c>
      <c r="H49" t="n" s="3752">
        <v>3.0</v>
      </c>
      <c r="I49" t="n" s="3753">
        <v>100.0</v>
      </c>
      <c r="J49" s="3754">
        <f>HLOOKUP("BPS",A1:CV300,49,FALSE)-((-6*HLOOKUP("OG",A1:CV300,49,FALSE))+(-6*HLOOKUP("PK Miss",A1:CV300,49,FALSE))+(9*HLOOKUP("FPL As",A1:CV300,49,FALSE))+(0*HLOOKUP("CS",A1:CV300,49,FALSE))+(24*HLOOKUP("Gs",A1:CV300,49,FALSE)))</f>
      </c>
      <c r="K49" t="n" s="3755">
        <v>0.0</v>
      </c>
      <c r="L49" t="n" s="3756">
        <v>5.0</v>
      </c>
      <c r="M49" t="n" s="3757">
        <v>1.0</v>
      </c>
      <c r="N49" t="n" s="3758">
        <v>2.0</v>
      </c>
      <c r="O49" t="n" s="3759">
        <v>1.0</v>
      </c>
      <c r="P49" s="3760">
        <f>IF(HLOOKUP("Shots",A1:CV300,49,FALSE)=0,0,HLOOKUP("SIB",A1:CV300,49,FALSE)/HLOOKUP("Shots",A1:CV300,49,FALSE))</f>
      </c>
      <c r="Q49" t="n" s="3761">
        <v>0.0</v>
      </c>
      <c r="R49" s="3762">
        <f>IF(HLOOKUP("Shots",A1:CV300,49,FALSE)=0,0,HLOOKUP("S6YD",A1:CV300,49,FALSE)/HLOOKUP("Shots",A1:CV300,49,FALSE))</f>
      </c>
      <c r="S49" t="n" s="3763">
        <v>0.0</v>
      </c>
      <c r="T49" s="3764">
        <f>IF(HLOOKUP("Shots",A1:CV300,49,FALSE)=0,0,HLOOKUP("Headers",A1:CV300,49,FALSE)/HLOOKUP("Shots",A1:CV300,49,FALSE))</f>
      </c>
      <c r="U49" t="n" s="3765">
        <v>1.0</v>
      </c>
      <c r="V49" s="3766">
        <f>IF(HLOOKUP("Shots",A1:CV300,49,FALSE)=0,0,HLOOKUP("SOT",A1:CV300,49,FALSE)/HLOOKUP("Shots",A1:CV300,49,FALSE))</f>
      </c>
      <c r="W49" s="3767">
        <f>IF(HLOOKUP("Shots",A1:CV300,49,FALSE)=0,0,HLOOKUP("Gs",A1:CV300,49,FALSE)/HLOOKUP("Shots",A1:CV300,49,FALSE))</f>
      </c>
      <c r="X49" t="n" s="3768">
        <v>0.0</v>
      </c>
      <c r="Y49" t="n" s="3769">
        <v>2.0</v>
      </c>
      <c r="Z49" t="n" s="3770">
        <v>0.0</v>
      </c>
      <c r="AA49" s="3771">
        <f>IF(HLOOKUP("KP",A1:CV300,49,FALSE)=0,0,HLOOKUP("As",A1:CV300,49,FALSE)/HLOOKUP("KP",A1:CV300,49,FALSE))</f>
      </c>
      <c r="AB49" t="n" s="3772">
        <v>2.5</v>
      </c>
      <c r="AC49" t="n" s="3773">
        <v>0.0</v>
      </c>
      <c r="AD49" t="n" s="3774">
        <v>0.0</v>
      </c>
      <c r="AE49" t="n" s="3775">
        <v>0.0</v>
      </c>
      <c r="AF49" t="n" s="3776">
        <v>0.0</v>
      </c>
      <c r="AG49" s="3777">
        <f>IF(HLOOKUP("BC",A1:CV300,49,FALSE)=0,0,HLOOKUP("Gs - BC",A1:CV300,49,FALSE)/HLOOKUP("BC",A1:CV300,49,FALSE))</f>
      </c>
      <c r="AH49" s="3778">
        <f>HLOOKUP("BC",A1:CV300,49,FALSE) - HLOOKUP("BC Miss",A1:CV300,49,FALSE)</f>
      </c>
      <c r="AI49" s="3779">
        <f>IF(HLOOKUP("Gs",A1:CV300,49,FALSE)=0,0,HLOOKUP("Gs - BC",A1:CV300,49,FALSE)/HLOOKUP("Gs",A1:CV300,49,FALSE))</f>
      </c>
      <c r="AJ49" t="n" s="3780">
        <v>0.0</v>
      </c>
      <c r="AK49" t="n" s="3781">
        <v>0.0</v>
      </c>
      <c r="AL49" s="3782">
        <f>HLOOKUP("BC",A1:CV300,49,FALSE) - (HLOOKUP("PK Gs",A1:CV300,49,FALSE) + HLOOKUP("PK Miss",A1:CV300,49,FALSE))</f>
      </c>
      <c r="AM49" s="3783">
        <f>HLOOKUP("BC Miss",A1:CV300,49,FALSE) - HLOOKUP("PK Miss",A1:CV300,49,FALSE)</f>
      </c>
      <c r="AN49" s="3784">
        <f>IF(HLOOKUP("BC - Open",A1:CV300,49,FALSE)=0,0,HLOOKUP("BC - Open Miss",A1:CV300,49,FALSE)/HLOOKUP("BC - Open",A1:CV300,49,FALSE))</f>
      </c>
      <c r="AO49" t="n" s="3785">
        <v>0.0</v>
      </c>
      <c r="AP49" s="3786">
        <f>IF(HLOOKUP("Gs",A1:CV300,49,FALSE)=0,0,HLOOKUP("GIB",A1:CV300,49,FALSE)/HLOOKUP("Gs",A1:CV300,49,FALSE))</f>
      </c>
      <c r="AQ49" t="n" s="3787">
        <v>0.0</v>
      </c>
      <c r="AR49" s="3788">
        <f>IF(HLOOKUP("Gs",A1:CV300,49,FALSE)=0,0,HLOOKUP("Gs - Open",A1:CV300,49,FALSE)/HLOOKUP("Gs",A1:CV300,49,FALSE))</f>
      </c>
      <c r="AS49" t="n" s="3789">
        <v>0.1</v>
      </c>
      <c r="AT49" t="n" s="3790">
        <v>0.19</v>
      </c>
      <c r="AU49" s="3791">
        <f>IF(HLOOKUP("Mins",A1:CV300,49,FALSE)=0,0,HLOOKUP("Pts",A1:CV300,49,FALSE)/HLOOKUP("Mins",A1:CV300,49,FALSE)* 90)</f>
      </c>
      <c r="AV49" s="3792">
        <f>IF(HLOOKUP("Apps",A1:CV300,49,FALSE)=0,0,HLOOKUP("Pts",A1:CV300,49,FALSE)/HLOOKUP("Apps",A1:CV300,49,FALSE)* 1)</f>
      </c>
      <c r="AW49" s="3793">
        <f>IF(HLOOKUP("Mins",A1:CV300,49,FALSE)=0,0,HLOOKUP("Gs",A1:CV300,49,FALSE)/HLOOKUP("Mins",A1:CV300,49,FALSE)* 90)</f>
      </c>
      <c r="AX49" s="3794">
        <f>IF(HLOOKUP("Mins",A1:CV300,49,FALSE)=0,0,HLOOKUP("Bonus",A1:CV300,49,FALSE)/HLOOKUP("Mins",A1:CV300,49,FALSE)* 90)</f>
      </c>
      <c r="AY49" s="3795">
        <f>IF(HLOOKUP("Mins",A1:CV300,49,FALSE)=0,0,HLOOKUP("BPS",A1:CV300,49,FALSE)/HLOOKUP("Mins",A1:CV300,49,FALSE)* 90)</f>
      </c>
      <c r="AZ49" s="3796">
        <f>IF(HLOOKUP("Mins",A1:CV300,49,FALSE)=0,0,HLOOKUP("Base BPS",A1:CV300,49,FALSE)/HLOOKUP("Mins",A1:CV300,49,FALSE)* 90)</f>
      </c>
      <c r="BA49" s="3797">
        <f>IF(HLOOKUP("Mins",A1:CV300,49,FALSE)=0,0,HLOOKUP("PenTchs",A1:CV300,49,FALSE)/HLOOKUP("Mins",A1:CV300,49,FALSE)* 90)</f>
      </c>
      <c r="BB49" s="3798">
        <f>IF(HLOOKUP("Mins",A1:CV300,49,FALSE)=0,0,HLOOKUP("Shots",A1:CV300,49,FALSE)/HLOOKUP("Mins",A1:CV300,49,FALSE)* 90)</f>
      </c>
      <c r="BC49" s="3799">
        <f>IF(HLOOKUP("Mins",A1:CV300,49,FALSE)=0,0,HLOOKUP("SIB",A1:CV300,49,FALSE)/HLOOKUP("Mins",A1:CV300,49,FALSE)* 90)</f>
      </c>
      <c r="BD49" s="3800">
        <f>IF(HLOOKUP("Mins",A1:CV300,49,FALSE)=0,0,HLOOKUP("S6YD",A1:CV300,49,FALSE)/HLOOKUP("Mins",A1:CV300,49,FALSE)* 90)</f>
      </c>
      <c r="BE49" s="3801">
        <f>IF(HLOOKUP("Mins",A1:CV300,49,FALSE)=0,0,HLOOKUP("Headers",A1:CV300,49,FALSE)/HLOOKUP("Mins",A1:CV300,49,FALSE)* 90)</f>
      </c>
      <c r="BF49" s="3802">
        <f>IF(HLOOKUP("Mins",A1:CV300,49,FALSE)=0,0,HLOOKUP("SOT",A1:CV300,49,FALSE)/HLOOKUP("Mins",A1:CV300,49,FALSE)* 90)</f>
      </c>
      <c r="BG49" s="3803">
        <f>IF(HLOOKUP("Mins",A1:CV300,49,FALSE)=0,0,HLOOKUP("As",A1:CV300,49,FALSE)/HLOOKUP("Mins",A1:CV300,49,FALSE)* 90)</f>
      </c>
      <c r="BH49" s="3804">
        <f>IF(HLOOKUP("Mins",A1:CV300,49,FALSE)=0,0,HLOOKUP("FPL As",A1:CV300,49,FALSE)/HLOOKUP("Mins",A1:CV300,49,FALSE)* 90)</f>
      </c>
      <c r="BI49" s="3805">
        <f>IF(HLOOKUP("Mins",A1:CV300,49,FALSE)=0,0,HLOOKUP("BC Created",A1:CV300,49,FALSE)/HLOOKUP("Mins",A1:CV300,49,FALSE)* 90)</f>
      </c>
      <c r="BJ49" s="3806">
        <f>IF(HLOOKUP("Mins",A1:CV300,49,FALSE)=0,0,HLOOKUP("KP",A1:CV300,49,FALSE)/HLOOKUP("Mins",A1:CV300,49,FALSE)* 90)</f>
      </c>
      <c r="BK49" s="3807">
        <f>IF(HLOOKUP("Mins",A1:CV300,49,FALSE)=0,0,HLOOKUP("BC",A1:CV300,49,FALSE)/HLOOKUP("Mins",A1:CV300,49,FALSE)* 90)</f>
      </c>
      <c r="BL49" s="3808">
        <f>IF(HLOOKUP("Mins",A1:CV300,49,FALSE)=0,0,HLOOKUP("BC Miss",A1:CV300,49,FALSE)/HLOOKUP("Mins",A1:CV300,49,FALSE)* 90)</f>
      </c>
      <c r="BM49" s="3809">
        <f>IF(HLOOKUP("Mins",A1:CV300,49,FALSE)=0,0,HLOOKUP("Gs - BC",A1:CV300,49,FALSE)/HLOOKUP("Mins",A1:CV300,49,FALSE)* 90)</f>
      </c>
      <c r="BN49" s="3810">
        <f>IF(HLOOKUP("Mins",A1:CV300,49,FALSE)=0,0,HLOOKUP("GIB",A1:CV300,49,FALSE)/HLOOKUP("Mins",A1:CV300,49,FALSE)* 90)</f>
      </c>
      <c r="BO49" s="3811">
        <f>IF(HLOOKUP("Mins",A1:CV300,49,FALSE)=0,0,HLOOKUP("Gs - Open",A1:CV300,49,FALSE)/HLOOKUP("Mins",A1:CV300,49,FALSE)* 90)</f>
      </c>
      <c r="BP49" s="3812">
        <f>IF(HLOOKUP("Mins",A1:CV300,49,FALSE)=0,0,HLOOKUP("ICT Index",A1:CV300,49,FALSE)/HLOOKUP("Mins",A1:CV300,49,FALSE)* 90)</f>
      </c>
      <c r="BQ49" s="3813">
        <f>IF(HLOOKUP("Mins",A1:CV300,49,FALSE)=0,0,(0.043*(HLOOKUP("Shots",A1:CV300,49,FALSE)-HLOOKUP("SIB",A1:CV300,49,FALSE))+0.162*(HLOOKUP("SIB",A1:CV300,49,FALSE)-(HLOOKUP("PK Gs",A1:CV300,49,FALSE)+HLOOKUP("PK Miss",A1:CV300,49,FALSE)))+0.75*(HLOOKUP("PK Gs",A1:CV300,49,FALSE)+HLOOKUP("PK Miss",A1:CV300,49,FALSE)))/HLOOKUP("Mins",A1:CV300,49,FALSE)*90)</f>
      </c>
      <c r="BR49" s="3814">
        <f>0.103*HLOOKUP("KP/90",A1:CV300,49,FALSE)</f>
      </c>
      <c r="BS49" s="3815">
        <f>4*HLOOKUP("xG/90",A1:CV300,49,FALSE)+3*HLOOKUP("xA/90",A1:CV300,49,FALSE)</f>
      </c>
      <c r="BT49" s="3816">
        <f>HLOOKUP("xPts/90",A1:CV300,49,FALSE)-(4*0.75*(HLOOKUP("PK Gs",A1:CV300,49,FALSE)+HLOOKUP("PK Miss",A1:CV300,49,FALSE))*90/HLOOKUP("Mins",A1:CV300,49,FALSE))</f>
      </c>
      <c r="BU49" s="3817">
        <f>IF(HLOOKUP("Mins",A1:CV300,49,FALSE)=0,0,HLOOKUP("fsXG",A1:CV300,49,FALSE)/HLOOKUP("Mins",A1:CV300,49,FALSE)* 90)</f>
      </c>
      <c r="BV49" s="3818">
        <f>IF(HLOOKUP("Mins",A1:CV300,49,FALSE)=0,0,HLOOKUP("fsXA",A1:CV300,49,FALSE)/HLOOKUP("Mins",A1:CV300,49,FALSE)* 90)</f>
      </c>
      <c r="BW49" s="3819">
        <f>4*HLOOKUP("fsXG/90",A1:CV300,49,FALSE)+3*HLOOKUP("fsXA/90",A1:CV300,49,FALSE)</f>
      </c>
      <c r="BX49" t="n" s="3820">
        <v>0.05129515379667282</v>
      </c>
      <c r="BY49" t="n" s="3821">
        <v>0.0</v>
      </c>
      <c r="BZ49" s="3822">
        <f>4*HLOOKUP("uXG/90",A1:CV300,49,FALSE)+3*HLOOKUP("uXA/90",A1:CV300,49,FALSE)</f>
      </c>
    </row>
    <row r="50">
      <c r="A50" t="s" s="3823">
        <v>146</v>
      </c>
      <c r="B50" t="s" s="3824">
        <v>102</v>
      </c>
      <c r="C50" t="n" s="3825">
        <v>5.0</v>
      </c>
      <c r="D50" t="n" s="3826">
        <v>28.0</v>
      </c>
      <c r="E50" t="n" s="3827">
        <v>1.0</v>
      </c>
      <c r="F50" t="n" s="3828">
        <v>12.0</v>
      </c>
      <c r="G50" t="n" s="3829">
        <v>0.0</v>
      </c>
      <c r="H50" t="n" s="3830">
        <v>0.0</v>
      </c>
      <c r="I50" t="n" s="3831">
        <v>32.0</v>
      </c>
      <c r="J50" s="3832">
        <f>HLOOKUP("BPS",A1:CV300,50,FALSE)-((-6*HLOOKUP("OG",A1:CV300,50,FALSE))+(-6*HLOOKUP("PK Miss",A1:CV300,50,FALSE))+(9*HLOOKUP("FPL As",A1:CV300,50,FALSE))+(0*HLOOKUP("CS",A1:CV300,50,FALSE))+(24*HLOOKUP("Gs",A1:CV300,50,FALSE)))</f>
      </c>
      <c r="K50" t="n" s="3833">
        <v>0.0</v>
      </c>
      <c r="L50" t="n" s="3834">
        <v>0.0</v>
      </c>
      <c r="M50" t="n" s="3835">
        <v>1.0</v>
      </c>
      <c r="N50" t="n" s="3836">
        <v>0.0</v>
      </c>
      <c r="O50" t="n" s="3837">
        <v>0.0</v>
      </c>
      <c r="P50" s="3838">
        <f>IF(HLOOKUP("Shots",A1:CV300,50,FALSE)=0,0,HLOOKUP("SIB",A1:CV300,50,FALSE)/HLOOKUP("Shots",A1:CV300,50,FALSE))</f>
      </c>
      <c r="Q50" t="n" s="3839">
        <v>0.0</v>
      </c>
      <c r="R50" s="3840">
        <f>IF(HLOOKUP("Shots",A1:CV300,50,FALSE)=0,0,HLOOKUP("S6YD",A1:CV300,50,FALSE)/HLOOKUP("Shots",A1:CV300,50,FALSE))</f>
      </c>
      <c r="S50" t="n" s="3841">
        <v>0.0</v>
      </c>
      <c r="T50" s="3842">
        <f>IF(HLOOKUP("Shots",A1:CV300,50,FALSE)=0,0,HLOOKUP("Headers",A1:CV300,50,FALSE)/HLOOKUP("Shots",A1:CV300,50,FALSE))</f>
      </c>
      <c r="U50" t="n" s="3843">
        <v>0.0</v>
      </c>
      <c r="V50" s="3844">
        <f>IF(HLOOKUP("Shots",A1:CV300,50,FALSE)=0,0,HLOOKUP("SOT",A1:CV300,50,FALSE)/HLOOKUP("Shots",A1:CV300,50,FALSE))</f>
      </c>
      <c r="W50" s="3845">
        <f>IF(HLOOKUP("Shots",A1:CV300,50,FALSE)=0,0,HLOOKUP("Gs",A1:CV300,50,FALSE)/HLOOKUP("Shots",A1:CV300,50,FALSE))</f>
      </c>
      <c r="X50" t="n" s="3846">
        <v>1.0</v>
      </c>
      <c r="Y50" t="n" s="3847">
        <v>1.0</v>
      </c>
      <c r="Z50" t="n" s="3848">
        <v>2.0</v>
      </c>
      <c r="AA50" s="3849">
        <f>IF(HLOOKUP("KP",A1:CV300,50,FALSE)=0,0,HLOOKUP("As",A1:CV300,50,FALSE)/HLOOKUP("KP",A1:CV300,50,FALSE))</f>
      </c>
      <c r="AB50" t="n" s="3850">
        <v>5.2</v>
      </c>
      <c r="AC50" t="n" s="3851">
        <v>100.0</v>
      </c>
      <c r="AD50" t="n" s="3852">
        <v>0.0</v>
      </c>
      <c r="AE50" t="n" s="3853">
        <v>0.0</v>
      </c>
      <c r="AF50" t="n" s="3854">
        <v>0.0</v>
      </c>
      <c r="AG50" s="3855">
        <f>IF(HLOOKUP("BC",A1:CV300,50,FALSE)=0,0,HLOOKUP("Gs - BC",A1:CV300,50,FALSE)/HLOOKUP("BC",A1:CV300,50,FALSE))</f>
      </c>
      <c r="AH50" s="3856">
        <f>HLOOKUP("BC",A1:CV300,50,FALSE) - HLOOKUP("BC Miss",A1:CV300,50,FALSE)</f>
      </c>
      <c r="AI50" s="3857">
        <f>IF(HLOOKUP("Gs",A1:CV300,50,FALSE)=0,0,HLOOKUP("Gs - BC",A1:CV300,50,FALSE)/HLOOKUP("Gs",A1:CV300,50,FALSE))</f>
      </c>
      <c r="AJ50" t="n" s="3858">
        <v>0.0</v>
      </c>
      <c r="AK50" t="n" s="3859">
        <v>0.0</v>
      </c>
      <c r="AL50" s="3860">
        <f>HLOOKUP("BC",A1:CV300,50,FALSE) - (HLOOKUP("PK Gs",A1:CV300,50,FALSE) + HLOOKUP("PK Miss",A1:CV300,50,FALSE))</f>
      </c>
      <c r="AM50" s="3861">
        <f>HLOOKUP("BC Miss",A1:CV300,50,FALSE) - HLOOKUP("PK Miss",A1:CV300,50,FALSE)</f>
      </c>
      <c r="AN50" s="3862">
        <f>IF(HLOOKUP("BC - Open",A1:CV300,50,FALSE)=0,0,HLOOKUP("BC - Open Miss",A1:CV300,50,FALSE)/HLOOKUP("BC - Open",A1:CV300,50,FALSE))</f>
      </c>
      <c r="AO50" t="n" s="3863">
        <v>0.0</v>
      </c>
      <c r="AP50" s="3864">
        <f>IF(HLOOKUP("Gs",A1:CV300,50,FALSE)=0,0,HLOOKUP("GIB",A1:CV300,50,FALSE)/HLOOKUP("Gs",A1:CV300,50,FALSE))</f>
      </c>
      <c r="AQ50" t="n" s="3865">
        <v>0.0</v>
      </c>
      <c r="AR50" s="3866">
        <f>IF(HLOOKUP("Gs",A1:CV300,50,FALSE)=0,0,HLOOKUP("Gs - Open",A1:CV300,50,FALSE)/HLOOKUP("Gs",A1:CV300,50,FALSE))</f>
      </c>
      <c r="AS50" t="n" s="3867">
        <v>0.0</v>
      </c>
      <c r="AT50" t="n" s="3868">
        <v>0.05</v>
      </c>
      <c r="AU50" s="3869">
        <f>IF(HLOOKUP("Mins",A1:CV300,50,FALSE)=0,0,HLOOKUP("Pts",A1:CV300,50,FALSE)/HLOOKUP("Mins",A1:CV300,50,FALSE)* 90)</f>
      </c>
      <c r="AV50" s="3870">
        <f>IF(HLOOKUP("Apps",A1:CV300,50,FALSE)=0,0,HLOOKUP("Pts",A1:CV300,50,FALSE)/HLOOKUP("Apps",A1:CV300,50,FALSE)* 1)</f>
      </c>
      <c r="AW50" s="3871">
        <f>IF(HLOOKUP("Mins",A1:CV300,50,FALSE)=0,0,HLOOKUP("Gs",A1:CV300,50,FALSE)/HLOOKUP("Mins",A1:CV300,50,FALSE)* 90)</f>
      </c>
      <c r="AX50" s="3872">
        <f>IF(HLOOKUP("Mins",A1:CV300,50,FALSE)=0,0,HLOOKUP("Bonus",A1:CV300,50,FALSE)/HLOOKUP("Mins",A1:CV300,50,FALSE)* 90)</f>
      </c>
      <c r="AY50" s="3873">
        <f>IF(HLOOKUP("Mins",A1:CV300,50,FALSE)=0,0,HLOOKUP("BPS",A1:CV300,50,FALSE)/HLOOKUP("Mins",A1:CV300,50,FALSE)* 90)</f>
      </c>
      <c r="AZ50" s="3874">
        <f>IF(HLOOKUP("Mins",A1:CV300,50,FALSE)=0,0,HLOOKUP("Base BPS",A1:CV300,50,FALSE)/HLOOKUP("Mins",A1:CV300,50,FALSE)* 90)</f>
      </c>
      <c r="BA50" s="3875">
        <f>IF(HLOOKUP("Mins",A1:CV300,50,FALSE)=0,0,HLOOKUP("PenTchs",A1:CV300,50,FALSE)/HLOOKUP("Mins",A1:CV300,50,FALSE)* 90)</f>
      </c>
      <c r="BB50" s="3876">
        <f>IF(HLOOKUP("Mins",A1:CV300,50,FALSE)=0,0,HLOOKUP("Shots",A1:CV300,50,FALSE)/HLOOKUP("Mins",A1:CV300,50,FALSE)* 90)</f>
      </c>
      <c r="BC50" s="3877">
        <f>IF(HLOOKUP("Mins",A1:CV300,50,FALSE)=0,0,HLOOKUP("SIB",A1:CV300,50,FALSE)/HLOOKUP("Mins",A1:CV300,50,FALSE)* 90)</f>
      </c>
      <c r="BD50" s="3878">
        <f>IF(HLOOKUP("Mins",A1:CV300,50,FALSE)=0,0,HLOOKUP("S6YD",A1:CV300,50,FALSE)/HLOOKUP("Mins",A1:CV300,50,FALSE)* 90)</f>
      </c>
      <c r="BE50" s="3879">
        <f>IF(HLOOKUP("Mins",A1:CV300,50,FALSE)=0,0,HLOOKUP("Headers",A1:CV300,50,FALSE)/HLOOKUP("Mins",A1:CV300,50,FALSE)* 90)</f>
      </c>
      <c r="BF50" s="3880">
        <f>IF(HLOOKUP("Mins",A1:CV300,50,FALSE)=0,0,HLOOKUP("SOT",A1:CV300,50,FALSE)/HLOOKUP("Mins",A1:CV300,50,FALSE)* 90)</f>
      </c>
      <c r="BG50" s="3881">
        <f>IF(HLOOKUP("Mins",A1:CV300,50,FALSE)=0,0,HLOOKUP("As",A1:CV300,50,FALSE)/HLOOKUP("Mins",A1:CV300,50,FALSE)* 90)</f>
      </c>
      <c r="BH50" s="3882">
        <f>IF(HLOOKUP("Mins",A1:CV300,50,FALSE)=0,0,HLOOKUP("FPL As",A1:CV300,50,FALSE)/HLOOKUP("Mins",A1:CV300,50,FALSE)* 90)</f>
      </c>
      <c r="BI50" s="3883">
        <f>IF(HLOOKUP("Mins",A1:CV300,50,FALSE)=0,0,HLOOKUP("BC Created",A1:CV300,50,FALSE)/HLOOKUP("Mins",A1:CV300,50,FALSE)* 90)</f>
      </c>
      <c r="BJ50" s="3884">
        <f>IF(HLOOKUP("Mins",A1:CV300,50,FALSE)=0,0,HLOOKUP("KP",A1:CV300,50,FALSE)/HLOOKUP("Mins",A1:CV300,50,FALSE)* 90)</f>
      </c>
      <c r="BK50" s="3885">
        <f>IF(HLOOKUP("Mins",A1:CV300,50,FALSE)=0,0,HLOOKUP("BC",A1:CV300,50,FALSE)/HLOOKUP("Mins",A1:CV300,50,FALSE)* 90)</f>
      </c>
      <c r="BL50" s="3886">
        <f>IF(HLOOKUP("Mins",A1:CV300,50,FALSE)=0,0,HLOOKUP("BC Miss",A1:CV300,50,FALSE)/HLOOKUP("Mins",A1:CV300,50,FALSE)* 90)</f>
      </c>
      <c r="BM50" s="3887">
        <f>IF(HLOOKUP("Mins",A1:CV300,50,FALSE)=0,0,HLOOKUP("Gs - BC",A1:CV300,50,FALSE)/HLOOKUP("Mins",A1:CV300,50,FALSE)* 90)</f>
      </c>
      <c r="BN50" s="3888">
        <f>IF(HLOOKUP("Mins",A1:CV300,50,FALSE)=0,0,HLOOKUP("GIB",A1:CV300,50,FALSE)/HLOOKUP("Mins",A1:CV300,50,FALSE)* 90)</f>
      </c>
      <c r="BO50" s="3889">
        <f>IF(HLOOKUP("Mins",A1:CV300,50,FALSE)=0,0,HLOOKUP("Gs - Open",A1:CV300,50,FALSE)/HLOOKUP("Mins",A1:CV300,50,FALSE)* 90)</f>
      </c>
      <c r="BP50" s="3890">
        <f>IF(HLOOKUP("Mins",A1:CV300,50,FALSE)=0,0,HLOOKUP("ICT Index",A1:CV300,50,FALSE)/HLOOKUP("Mins",A1:CV300,50,FALSE)* 90)</f>
      </c>
      <c r="BQ50" s="3891">
        <f>IF(HLOOKUP("Mins",A1:CV300,50,FALSE)=0,0,(0.043*(HLOOKUP("Shots",A1:CV300,50,FALSE)-HLOOKUP("SIB",A1:CV300,50,FALSE))+0.162*(HLOOKUP("SIB",A1:CV300,50,FALSE)-(HLOOKUP("PK Gs",A1:CV300,50,FALSE)+HLOOKUP("PK Miss",A1:CV300,50,FALSE)))+0.75*(HLOOKUP("PK Gs",A1:CV300,50,FALSE)+HLOOKUP("PK Miss",A1:CV300,50,FALSE)))/HLOOKUP("Mins",A1:CV300,50,FALSE)*90)</f>
      </c>
      <c r="BR50" s="3892">
        <f>0.103*HLOOKUP("KP/90",A1:CV300,50,FALSE)</f>
      </c>
      <c r="BS50" s="3893">
        <f>4*HLOOKUP("xG/90",A1:CV300,50,FALSE)+3*HLOOKUP("xA/90",A1:CV300,50,FALSE)</f>
      </c>
      <c r="BT50" s="3894">
        <f>HLOOKUP("xPts/90",A1:CV300,50,FALSE)-(4*0.75*(HLOOKUP("PK Gs",A1:CV300,50,FALSE)+HLOOKUP("PK Miss",A1:CV300,50,FALSE))*90/HLOOKUP("Mins",A1:CV300,50,FALSE))</f>
      </c>
      <c r="BU50" s="3895">
        <f>IF(HLOOKUP("Mins",A1:CV300,50,FALSE)=0,0,HLOOKUP("fsXG",A1:CV300,50,FALSE)/HLOOKUP("Mins",A1:CV300,50,FALSE)* 90)</f>
      </c>
      <c r="BV50" s="3896">
        <f>IF(HLOOKUP("Mins",A1:CV300,50,FALSE)=0,0,HLOOKUP("fsXA",A1:CV300,50,FALSE)/HLOOKUP("Mins",A1:CV300,50,FALSE)* 90)</f>
      </c>
      <c r="BW50" s="3897">
        <f>4*HLOOKUP("fsXG/90",A1:CV300,50,FALSE)+3*HLOOKUP("fsXA/90",A1:CV300,50,FALSE)</f>
      </c>
      <c r="BX50" t="n" s="3898">
        <v>0.0</v>
      </c>
      <c r="BY50" t="n" s="3899">
        <v>0.38497862219810486</v>
      </c>
      <c r="BZ50" s="3900">
        <f>4*HLOOKUP("uXG/90",A1:CV300,50,FALSE)+3*HLOOKUP("uXA/90",A1:CV300,50,FALSE)</f>
      </c>
    </row>
    <row r="51">
      <c r="A51" t="s" s="3901">
        <v>147</v>
      </c>
      <c r="B51" t="s" s="3902">
        <v>107</v>
      </c>
      <c r="C51" t="n" s="3903">
        <v>5.0</v>
      </c>
      <c r="D51" t="n" s="3904">
        <v>540.0</v>
      </c>
      <c r="E51" t="n" s="3905">
        <v>6.0</v>
      </c>
      <c r="F51" t="n" s="3906">
        <v>90.0</v>
      </c>
      <c r="G51" t="n" s="3907">
        <v>1.0</v>
      </c>
      <c r="H51" t="n" s="3908">
        <v>17.0</v>
      </c>
      <c r="I51" t="n" s="3909">
        <v>297.0</v>
      </c>
      <c r="J51" s="3910">
        <f>HLOOKUP("BPS",A1:CV300,51,FALSE)-((-6*HLOOKUP("OG",A1:CV300,51,FALSE))+(-6*HLOOKUP("PK Miss",A1:CV300,51,FALSE))+(9*HLOOKUP("FPL As",A1:CV300,51,FALSE))+(0*HLOOKUP("CS",A1:CV300,51,FALSE))+(24*HLOOKUP("Gs",A1:CV300,51,FALSE)))</f>
      </c>
      <c r="K51" t="n" s="3911">
        <v>0.0</v>
      </c>
      <c r="L51" t="n" s="3912">
        <v>8.0</v>
      </c>
      <c r="M51" t="n" s="3913">
        <v>20.0</v>
      </c>
      <c r="N51" t="n" s="3914">
        <v>4.0</v>
      </c>
      <c r="O51" t="n" s="3915">
        <v>4.0</v>
      </c>
      <c r="P51" s="3916">
        <f>IF(HLOOKUP("Shots",A1:CV300,51,FALSE)=0,0,HLOOKUP("SIB",A1:CV300,51,FALSE)/HLOOKUP("Shots",A1:CV300,51,FALSE))</f>
      </c>
      <c r="Q51" t="n" s="3917">
        <v>0.0</v>
      </c>
      <c r="R51" s="3918">
        <f>IF(HLOOKUP("Shots",A1:CV300,51,FALSE)=0,0,HLOOKUP("S6YD",A1:CV300,51,FALSE)/HLOOKUP("Shots",A1:CV300,51,FALSE))</f>
      </c>
      <c r="S51" t="n" s="3919">
        <v>1.0</v>
      </c>
      <c r="T51" s="3920">
        <f>IF(HLOOKUP("Shots",A1:CV300,51,FALSE)=0,0,HLOOKUP("Headers",A1:CV300,51,FALSE)/HLOOKUP("Shots",A1:CV300,51,FALSE))</f>
      </c>
      <c r="U51" t="n" s="3921">
        <v>2.0</v>
      </c>
      <c r="V51" s="3922">
        <f>IF(HLOOKUP("Shots",A1:CV300,51,FALSE)=0,0,HLOOKUP("SOT",A1:CV300,51,FALSE)/HLOOKUP("Shots",A1:CV300,51,FALSE))</f>
      </c>
      <c r="W51" s="3923">
        <f>IF(HLOOKUP("Shots",A1:CV300,51,FALSE)=0,0,HLOOKUP("Gs",A1:CV300,51,FALSE)/HLOOKUP("Shots",A1:CV300,51,FALSE))</f>
      </c>
      <c r="X51" t="n" s="3924">
        <v>0.0</v>
      </c>
      <c r="Y51" t="n" s="3925">
        <v>1.0</v>
      </c>
      <c r="Z51" t="n" s="3926">
        <v>5.0</v>
      </c>
      <c r="AA51" s="3927">
        <f>IF(HLOOKUP("KP",A1:CV300,51,FALSE)=0,0,HLOOKUP("As",A1:CV300,51,FALSE)/HLOOKUP("KP",A1:CV300,51,FALSE))</f>
      </c>
      <c r="AB51" t="n" s="3928">
        <v>26.2</v>
      </c>
      <c r="AC51" t="n" s="3929">
        <v>20.0</v>
      </c>
      <c r="AD51" t="n" s="3930">
        <v>1.0</v>
      </c>
      <c r="AE51" t="n" s="3931">
        <v>0.0</v>
      </c>
      <c r="AF51" t="n" s="3932">
        <v>0.0</v>
      </c>
      <c r="AG51" s="3933">
        <f>IF(HLOOKUP("BC",A1:CV300,51,FALSE)=0,0,HLOOKUP("Gs - BC",A1:CV300,51,FALSE)/HLOOKUP("BC",A1:CV300,51,FALSE))</f>
      </c>
      <c r="AH51" s="3934">
        <f>HLOOKUP("BC",A1:CV300,51,FALSE) - HLOOKUP("BC Miss",A1:CV300,51,FALSE)</f>
      </c>
      <c r="AI51" s="3935">
        <f>IF(HLOOKUP("Gs",A1:CV300,51,FALSE)=0,0,HLOOKUP("Gs - BC",A1:CV300,51,FALSE)/HLOOKUP("Gs",A1:CV300,51,FALSE))</f>
      </c>
      <c r="AJ51" t="n" s="3936">
        <v>0.0</v>
      </c>
      <c r="AK51" t="n" s="3937">
        <v>0.0</v>
      </c>
      <c r="AL51" s="3938">
        <f>HLOOKUP("BC",A1:CV300,51,FALSE) - (HLOOKUP("PK Gs",A1:CV300,51,FALSE) + HLOOKUP("PK Miss",A1:CV300,51,FALSE))</f>
      </c>
      <c r="AM51" s="3939">
        <f>HLOOKUP("BC Miss",A1:CV300,51,FALSE) - HLOOKUP("PK Miss",A1:CV300,51,FALSE)</f>
      </c>
      <c r="AN51" s="3940">
        <f>IF(HLOOKUP("BC - Open",A1:CV300,51,FALSE)=0,0,HLOOKUP("BC - Open Miss",A1:CV300,51,FALSE)/HLOOKUP("BC - Open",A1:CV300,51,FALSE))</f>
      </c>
      <c r="AO51" t="n" s="3941">
        <v>1.0</v>
      </c>
      <c r="AP51" s="3942">
        <f>IF(HLOOKUP("Gs",A1:CV300,51,FALSE)=0,0,HLOOKUP("GIB",A1:CV300,51,FALSE)/HLOOKUP("Gs",A1:CV300,51,FALSE))</f>
      </c>
      <c r="AQ51" t="n" s="3943">
        <v>0.0</v>
      </c>
      <c r="AR51" s="3944">
        <f>IF(HLOOKUP("Gs",A1:CV300,51,FALSE)=0,0,HLOOKUP("Gs - Open",A1:CV300,51,FALSE)/HLOOKUP("Gs",A1:CV300,51,FALSE))</f>
      </c>
      <c r="AS51" t="n" s="3945">
        <v>0.27</v>
      </c>
      <c r="AT51" t="n" s="3946">
        <v>0.17</v>
      </c>
      <c r="AU51" s="3947">
        <f>IF(HLOOKUP("Mins",A1:CV300,51,FALSE)=0,0,HLOOKUP("Pts",A1:CV300,51,FALSE)/HLOOKUP("Mins",A1:CV300,51,FALSE)* 90)</f>
      </c>
      <c r="AV51" s="3948">
        <f>IF(HLOOKUP("Apps",A1:CV300,51,FALSE)=0,0,HLOOKUP("Pts",A1:CV300,51,FALSE)/HLOOKUP("Apps",A1:CV300,51,FALSE)* 1)</f>
      </c>
      <c r="AW51" s="3949">
        <f>IF(HLOOKUP("Mins",A1:CV300,51,FALSE)=0,0,HLOOKUP("Gs",A1:CV300,51,FALSE)/HLOOKUP("Mins",A1:CV300,51,FALSE)* 90)</f>
      </c>
      <c r="AX51" s="3950">
        <f>IF(HLOOKUP("Mins",A1:CV300,51,FALSE)=0,0,HLOOKUP("Bonus",A1:CV300,51,FALSE)/HLOOKUP("Mins",A1:CV300,51,FALSE)* 90)</f>
      </c>
      <c r="AY51" s="3951">
        <f>IF(HLOOKUP("Mins",A1:CV300,51,FALSE)=0,0,HLOOKUP("BPS",A1:CV300,51,FALSE)/HLOOKUP("Mins",A1:CV300,51,FALSE)* 90)</f>
      </c>
      <c r="AZ51" s="3952">
        <f>IF(HLOOKUP("Mins",A1:CV300,51,FALSE)=0,0,HLOOKUP("Base BPS",A1:CV300,51,FALSE)/HLOOKUP("Mins",A1:CV300,51,FALSE)* 90)</f>
      </c>
      <c r="BA51" s="3953">
        <f>IF(HLOOKUP("Mins",A1:CV300,51,FALSE)=0,0,HLOOKUP("PenTchs",A1:CV300,51,FALSE)/HLOOKUP("Mins",A1:CV300,51,FALSE)* 90)</f>
      </c>
      <c r="BB51" s="3954">
        <f>IF(HLOOKUP("Mins",A1:CV300,51,FALSE)=0,0,HLOOKUP("Shots",A1:CV300,51,FALSE)/HLOOKUP("Mins",A1:CV300,51,FALSE)* 90)</f>
      </c>
      <c r="BC51" s="3955">
        <f>IF(HLOOKUP("Mins",A1:CV300,51,FALSE)=0,0,HLOOKUP("SIB",A1:CV300,51,FALSE)/HLOOKUP("Mins",A1:CV300,51,FALSE)* 90)</f>
      </c>
      <c r="BD51" s="3956">
        <f>IF(HLOOKUP("Mins",A1:CV300,51,FALSE)=0,0,HLOOKUP("S6YD",A1:CV300,51,FALSE)/HLOOKUP("Mins",A1:CV300,51,FALSE)* 90)</f>
      </c>
      <c r="BE51" s="3957">
        <f>IF(HLOOKUP("Mins",A1:CV300,51,FALSE)=0,0,HLOOKUP("Headers",A1:CV300,51,FALSE)/HLOOKUP("Mins",A1:CV300,51,FALSE)* 90)</f>
      </c>
      <c r="BF51" s="3958">
        <f>IF(HLOOKUP("Mins",A1:CV300,51,FALSE)=0,0,HLOOKUP("SOT",A1:CV300,51,FALSE)/HLOOKUP("Mins",A1:CV300,51,FALSE)* 90)</f>
      </c>
      <c r="BG51" s="3959">
        <f>IF(HLOOKUP("Mins",A1:CV300,51,FALSE)=0,0,HLOOKUP("As",A1:CV300,51,FALSE)/HLOOKUP("Mins",A1:CV300,51,FALSE)* 90)</f>
      </c>
      <c r="BH51" s="3960">
        <f>IF(HLOOKUP("Mins",A1:CV300,51,FALSE)=0,0,HLOOKUP("FPL As",A1:CV300,51,FALSE)/HLOOKUP("Mins",A1:CV300,51,FALSE)* 90)</f>
      </c>
      <c r="BI51" s="3961">
        <f>IF(HLOOKUP("Mins",A1:CV300,51,FALSE)=0,0,HLOOKUP("BC Created",A1:CV300,51,FALSE)/HLOOKUP("Mins",A1:CV300,51,FALSE)* 90)</f>
      </c>
      <c r="BJ51" s="3962">
        <f>IF(HLOOKUP("Mins",A1:CV300,51,FALSE)=0,0,HLOOKUP("KP",A1:CV300,51,FALSE)/HLOOKUP("Mins",A1:CV300,51,FALSE)* 90)</f>
      </c>
      <c r="BK51" s="3963">
        <f>IF(HLOOKUP("Mins",A1:CV300,51,FALSE)=0,0,HLOOKUP("BC",A1:CV300,51,FALSE)/HLOOKUP("Mins",A1:CV300,51,FALSE)* 90)</f>
      </c>
      <c r="BL51" s="3964">
        <f>IF(HLOOKUP("Mins",A1:CV300,51,FALSE)=0,0,HLOOKUP("BC Miss",A1:CV300,51,FALSE)/HLOOKUP("Mins",A1:CV300,51,FALSE)* 90)</f>
      </c>
      <c r="BM51" s="3965">
        <f>IF(HLOOKUP("Mins",A1:CV300,51,FALSE)=0,0,HLOOKUP("Gs - BC",A1:CV300,51,FALSE)/HLOOKUP("Mins",A1:CV300,51,FALSE)* 90)</f>
      </c>
      <c r="BN51" s="3966">
        <f>IF(HLOOKUP("Mins",A1:CV300,51,FALSE)=0,0,HLOOKUP("GIB",A1:CV300,51,FALSE)/HLOOKUP("Mins",A1:CV300,51,FALSE)* 90)</f>
      </c>
      <c r="BO51" s="3967">
        <f>IF(HLOOKUP("Mins",A1:CV300,51,FALSE)=0,0,HLOOKUP("Gs - Open",A1:CV300,51,FALSE)/HLOOKUP("Mins",A1:CV300,51,FALSE)* 90)</f>
      </c>
      <c r="BP51" s="3968">
        <f>IF(HLOOKUP("Mins",A1:CV300,51,FALSE)=0,0,HLOOKUP("ICT Index",A1:CV300,51,FALSE)/HLOOKUP("Mins",A1:CV300,51,FALSE)* 90)</f>
      </c>
      <c r="BQ51" s="3969">
        <f>IF(HLOOKUP("Mins",A1:CV300,51,FALSE)=0,0,(0.043*(HLOOKUP("Shots",A1:CV300,51,FALSE)-HLOOKUP("SIB",A1:CV300,51,FALSE))+0.162*(HLOOKUP("SIB",A1:CV300,51,FALSE)-(HLOOKUP("PK Gs",A1:CV300,51,FALSE)+HLOOKUP("PK Miss",A1:CV300,51,FALSE)))+0.75*(HLOOKUP("PK Gs",A1:CV300,51,FALSE)+HLOOKUP("PK Miss",A1:CV300,51,FALSE)))/HLOOKUP("Mins",A1:CV300,51,FALSE)*90)</f>
      </c>
      <c r="BR51" s="3970">
        <f>0.103*HLOOKUP("KP/90",A1:CV300,51,FALSE)</f>
      </c>
      <c r="BS51" s="3971">
        <f>4*HLOOKUP("xG/90",A1:CV300,51,FALSE)+3*HLOOKUP("xA/90",A1:CV300,51,FALSE)</f>
      </c>
      <c r="BT51" s="3972">
        <f>HLOOKUP("xPts/90",A1:CV300,51,FALSE)-(4*0.75*(HLOOKUP("PK Gs",A1:CV300,51,FALSE)+HLOOKUP("PK Miss",A1:CV300,51,FALSE))*90/HLOOKUP("Mins",A1:CV300,51,FALSE))</f>
      </c>
      <c r="BU51" s="3973">
        <f>IF(HLOOKUP("Mins",A1:CV300,51,FALSE)=0,0,HLOOKUP("fsXG",A1:CV300,51,FALSE)/HLOOKUP("Mins",A1:CV300,51,FALSE)* 90)</f>
      </c>
      <c r="BV51" s="3974">
        <f>IF(HLOOKUP("Mins",A1:CV300,51,FALSE)=0,0,HLOOKUP("fsXA",A1:CV300,51,FALSE)/HLOOKUP("Mins",A1:CV300,51,FALSE)* 90)</f>
      </c>
      <c r="BW51" s="3975">
        <f>4*HLOOKUP("fsXG/90",A1:CV300,51,FALSE)+3*HLOOKUP("fsXA/90",A1:CV300,51,FALSE)</f>
      </c>
      <c r="BX51" t="n" s="3976">
        <v>0.05218157917261124</v>
      </c>
      <c r="BY51" t="n" s="3977">
        <v>0.08166120201349258</v>
      </c>
      <c r="BZ51" s="3978">
        <f>4*HLOOKUP("uXG/90",A1:CV300,51,FALSE)+3*HLOOKUP("uXA/90",A1:CV300,51,FALSE)</f>
      </c>
    </row>
    <row r="52">
      <c r="A52" t="s" s="3979">
        <v>148</v>
      </c>
      <c r="B52" t="s" s="3980">
        <v>149</v>
      </c>
      <c r="C52" t="n" s="3981">
        <v>6.5</v>
      </c>
      <c r="D52" t="n" s="3982">
        <v>22.0</v>
      </c>
      <c r="E52" t="n" s="3983">
        <v>1.0</v>
      </c>
      <c r="F52" t="n" s="3984">
        <v>8.0</v>
      </c>
      <c r="G52" t="n" s="3985">
        <v>0.0</v>
      </c>
      <c r="H52" t="n" s="3986">
        <v>0.0</v>
      </c>
      <c r="I52" t="n" s="3987">
        <v>19.0</v>
      </c>
      <c r="J52" s="3988">
        <f>HLOOKUP("BPS",A1:CV300,52,FALSE)-((-6*HLOOKUP("OG",A1:CV300,52,FALSE))+(-6*HLOOKUP("PK Miss",A1:CV300,52,FALSE))+(9*HLOOKUP("FPL As",A1:CV300,52,FALSE))+(0*HLOOKUP("CS",A1:CV300,52,FALSE))+(24*HLOOKUP("Gs",A1:CV300,52,FALSE)))</f>
      </c>
      <c r="K52" t="n" s="3989">
        <v>0.0</v>
      </c>
      <c r="L52" t="n" s="3990">
        <v>1.0</v>
      </c>
      <c r="M52" t="n" s="3991">
        <v>1.0</v>
      </c>
      <c r="N52" t="n" s="3992">
        <v>0.0</v>
      </c>
      <c r="O52" t="n" s="3993">
        <v>0.0</v>
      </c>
      <c r="P52" s="3994">
        <f>IF(HLOOKUP("Shots",A1:CV300,52,FALSE)=0,0,HLOOKUP("SIB",A1:CV300,52,FALSE)/HLOOKUP("Shots",A1:CV300,52,FALSE))</f>
      </c>
      <c r="Q52" t="n" s="3995">
        <v>0.0</v>
      </c>
      <c r="R52" s="3996">
        <f>IF(HLOOKUP("Shots",A1:CV300,52,FALSE)=0,0,HLOOKUP("S6YD",A1:CV300,52,FALSE)/HLOOKUP("Shots",A1:CV300,52,FALSE))</f>
      </c>
      <c r="S52" t="n" s="3997">
        <v>0.0</v>
      </c>
      <c r="T52" s="3998">
        <f>IF(HLOOKUP("Shots",A1:CV300,52,FALSE)=0,0,HLOOKUP("Headers",A1:CV300,52,FALSE)/HLOOKUP("Shots",A1:CV300,52,FALSE))</f>
      </c>
      <c r="U52" t="n" s="3999">
        <v>0.0</v>
      </c>
      <c r="V52" s="4000">
        <f>IF(HLOOKUP("Shots",A1:CV300,52,FALSE)=0,0,HLOOKUP("SOT",A1:CV300,52,FALSE)/HLOOKUP("Shots",A1:CV300,52,FALSE))</f>
      </c>
      <c r="W52" s="4001">
        <f>IF(HLOOKUP("Shots",A1:CV300,52,FALSE)=0,0,HLOOKUP("Gs",A1:CV300,52,FALSE)/HLOOKUP("Shots",A1:CV300,52,FALSE))</f>
      </c>
      <c r="X52" t="n" s="4002">
        <v>0.0</v>
      </c>
      <c r="Y52" t="n" s="4003">
        <v>0.0</v>
      </c>
      <c r="Z52" t="n" s="4004">
        <v>1.0</v>
      </c>
      <c r="AA52" s="4005">
        <f>IF(HLOOKUP("KP",A1:CV300,52,FALSE)=0,0,HLOOKUP("As",A1:CV300,52,FALSE)/HLOOKUP("KP",A1:CV300,52,FALSE))</f>
      </c>
      <c r="AB52" t="n" s="4006">
        <v>2.0</v>
      </c>
      <c r="AC52" t="n" s="4007">
        <v>0.0</v>
      </c>
      <c r="AD52" t="n" s="4008">
        <v>0.0</v>
      </c>
      <c r="AE52" t="n" s="4009">
        <v>0.0</v>
      </c>
      <c r="AF52" t="n" s="4010">
        <v>0.0</v>
      </c>
      <c r="AG52" s="4011">
        <f>IF(HLOOKUP("BC",A1:CV300,52,FALSE)=0,0,HLOOKUP("Gs - BC",A1:CV300,52,FALSE)/HLOOKUP("BC",A1:CV300,52,FALSE))</f>
      </c>
      <c r="AH52" s="4012">
        <f>HLOOKUP("BC",A1:CV300,52,FALSE) - HLOOKUP("BC Miss",A1:CV300,52,FALSE)</f>
      </c>
      <c r="AI52" s="4013">
        <f>IF(HLOOKUP("Gs",A1:CV300,52,FALSE)=0,0,HLOOKUP("Gs - BC",A1:CV300,52,FALSE)/HLOOKUP("Gs",A1:CV300,52,FALSE))</f>
      </c>
      <c r="AJ52" t="n" s="4014">
        <v>0.0</v>
      </c>
      <c r="AK52" t="n" s="4015">
        <v>0.0</v>
      </c>
      <c r="AL52" s="4016">
        <f>HLOOKUP("BC",A1:CV300,52,FALSE) - (HLOOKUP("PK Gs",A1:CV300,52,FALSE) + HLOOKUP("PK Miss",A1:CV300,52,FALSE))</f>
      </c>
      <c r="AM52" s="4017">
        <f>HLOOKUP("BC Miss",A1:CV300,52,FALSE) - HLOOKUP("PK Miss",A1:CV300,52,FALSE)</f>
      </c>
      <c r="AN52" s="4018">
        <f>IF(HLOOKUP("BC - Open",A1:CV300,52,FALSE)=0,0,HLOOKUP("BC - Open Miss",A1:CV300,52,FALSE)/HLOOKUP("BC - Open",A1:CV300,52,FALSE))</f>
      </c>
      <c r="AO52" t="n" s="4019">
        <v>0.0</v>
      </c>
      <c r="AP52" s="4020">
        <f>IF(HLOOKUP("Gs",A1:CV300,52,FALSE)=0,0,HLOOKUP("GIB",A1:CV300,52,FALSE)/HLOOKUP("Gs",A1:CV300,52,FALSE))</f>
      </c>
      <c r="AQ52" t="n" s="4021">
        <v>0.0</v>
      </c>
      <c r="AR52" s="4022">
        <f>IF(HLOOKUP("Gs",A1:CV300,52,FALSE)=0,0,HLOOKUP("Gs - Open",A1:CV300,52,FALSE)/HLOOKUP("Gs",A1:CV300,52,FALSE))</f>
      </c>
      <c r="AS52" t="n" s="4023">
        <v>0.48</v>
      </c>
      <c r="AT52" t="n" s="4024">
        <v>0.01</v>
      </c>
      <c r="AU52" s="4025">
        <f>IF(HLOOKUP("Mins",A1:CV300,52,FALSE)=0,0,HLOOKUP("Pts",A1:CV300,52,FALSE)/HLOOKUP("Mins",A1:CV300,52,FALSE)* 90)</f>
      </c>
      <c r="AV52" s="4026">
        <f>IF(HLOOKUP("Apps",A1:CV300,52,FALSE)=0,0,HLOOKUP("Pts",A1:CV300,52,FALSE)/HLOOKUP("Apps",A1:CV300,52,FALSE)* 1)</f>
      </c>
      <c r="AW52" s="4027">
        <f>IF(HLOOKUP("Mins",A1:CV300,52,FALSE)=0,0,HLOOKUP("Gs",A1:CV300,52,FALSE)/HLOOKUP("Mins",A1:CV300,52,FALSE)* 90)</f>
      </c>
      <c r="AX52" s="4028">
        <f>IF(HLOOKUP("Mins",A1:CV300,52,FALSE)=0,0,HLOOKUP("Bonus",A1:CV300,52,FALSE)/HLOOKUP("Mins",A1:CV300,52,FALSE)* 90)</f>
      </c>
      <c r="AY52" s="4029">
        <f>IF(HLOOKUP("Mins",A1:CV300,52,FALSE)=0,0,HLOOKUP("BPS",A1:CV300,52,FALSE)/HLOOKUP("Mins",A1:CV300,52,FALSE)* 90)</f>
      </c>
      <c r="AZ52" s="4030">
        <f>IF(HLOOKUP("Mins",A1:CV300,52,FALSE)=0,0,HLOOKUP("Base BPS",A1:CV300,52,FALSE)/HLOOKUP("Mins",A1:CV300,52,FALSE)* 90)</f>
      </c>
      <c r="BA52" s="4031">
        <f>IF(HLOOKUP("Mins",A1:CV300,52,FALSE)=0,0,HLOOKUP("PenTchs",A1:CV300,52,FALSE)/HLOOKUP("Mins",A1:CV300,52,FALSE)* 90)</f>
      </c>
      <c r="BB52" s="4032">
        <f>IF(HLOOKUP("Mins",A1:CV300,52,FALSE)=0,0,HLOOKUP("Shots",A1:CV300,52,FALSE)/HLOOKUP("Mins",A1:CV300,52,FALSE)* 90)</f>
      </c>
      <c r="BC52" s="4033">
        <f>IF(HLOOKUP("Mins",A1:CV300,52,FALSE)=0,0,HLOOKUP("SIB",A1:CV300,52,FALSE)/HLOOKUP("Mins",A1:CV300,52,FALSE)* 90)</f>
      </c>
      <c r="BD52" s="4034">
        <f>IF(HLOOKUP("Mins",A1:CV300,52,FALSE)=0,0,HLOOKUP("S6YD",A1:CV300,52,FALSE)/HLOOKUP("Mins",A1:CV300,52,FALSE)* 90)</f>
      </c>
      <c r="BE52" s="4035">
        <f>IF(HLOOKUP("Mins",A1:CV300,52,FALSE)=0,0,HLOOKUP("Headers",A1:CV300,52,FALSE)/HLOOKUP("Mins",A1:CV300,52,FALSE)* 90)</f>
      </c>
      <c r="BF52" s="4036">
        <f>IF(HLOOKUP("Mins",A1:CV300,52,FALSE)=0,0,HLOOKUP("SOT",A1:CV300,52,FALSE)/HLOOKUP("Mins",A1:CV300,52,FALSE)* 90)</f>
      </c>
      <c r="BG52" s="4037">
        <f>IF(HLOOKUP("Mins",A1:CV300,52,FALSE)=0,0,HLOOKUP("As",A1:CV300,52,FALSE)/HLOOKUP("Mins",A1:CV300,52,FALSE)* 90)</f>
      </c>
      <c r="BH52" s="4038">
        <f>IF(HLOOKUP("Mins",A1:CV300,52,FALSE)=0,0,HLOOKUP("FPL As",A1:CV300,52,FALSE)/HLOOKUP("Mins",A1:CV300,52,FALSE)* 90)</f>
      </c>
      <c r="BI52" s="4039">
        <f>IF(HLOOKUP("Mins",A1:CV300,52,FALSE)=0,0,HLOOKUP("BC Created",A1:CV300,52,FALSE)/HLOOKUP("Mins",A1:CV300,52,FALSE)* 90)</f>
      </c>
      <c r="BJ52" s="4040">
        <f>IF(HLOOKUP("Mins",A1:CV300,52,FALSE)=0,0,HLOOKUP("KP",A1:CV300,52,FALSE)/HLOOKUP("Mins",A1:CV300,52,FALSE)* 90)</f>
      </c>
      <c r="BK52" s="4041">
        <f>IF(HLOOKUP("Mins",A1:CV300,52,FALSE)=0,0,HLOOKUP("BC",A1:CV300,52,FALSE)/HLOOKUP("Mins",A1:CV300,52,FALSE)* 90)</f>
      </c>
      <c r="BL52" s="4042">
        <f>IF(HLOOKUP("Mins",A1:CV300,52,FALSE)=0,0,HLOOKUP("BC Miss",A1:CV300,52,FALSE)/HLOOKUP("Mins",A1:CV300,52,FALSE)* 90)</f>
      </c>
      <c r="BM52" s="4043">
        <f>IF(HLOOKUP("Mins",A1:CV300,52,FALSE)=0,0,HLOOKUP("Gs - BC",A1:CV300,52,FALSE)/HLOOKUP("Mins",A1:CV300,52,FALSE)* 90)</f>
      </c>
      <c r="BN52" s="4044">
        <f>IF(HLOOKUP("Mins",A1:CV300,52,FALSE)=0,0,HLOOKUP("GIB",A1:CV300,52,FALSE)/HLOOKUP("Mins",A1:CV300,52,FALSE)* 90)</f>
      </c>
      <c r="BO52" s="4045">
        <f>IF(HLOOKUP("Mins",A1:CV300,52,FALSE)=0,0,HLOOKUP("Gs - Open",A1:CV300,52,FALSE)/HLOOKUP("Mins",A1:CV300,52,FALSE)* 90)</f>
      </c>
      <c r="BP52" s="4046">
        <f>IF(HLOOKUP("Mins",A1:CV300,52,FALSE)=0,0,HLOOKUP("ICT Index",A1:CV300,52,FALSE)/HLOOKUP("Mins",A1:CV300,52,FALSE)* 90)</f>
      </c>
      <c r="BQ52" s="4047">
        <f>IF(HLOOKUP("Mins",A1:CV300,52,FALSE)=0,0,(0.043*(HLOOKUP("Shots",A1:CV300,52,FALSE)-HLOOKUP("SIB",A1:CV300,52,FALSE))+0.162*(HLOOKUP("SIB",A1:CV300,52,FALSE)-(HLOOKUP("PK Gs",A1:CV300,52,FALSE)+HLOOKUP("PK Miss",A1:CV300,52,FALSE)))+0.75*(HLOOKUP("PK Gs",A1:CV300,52,FALSE)+HLOOKUP("PK Miss",A1:CV300,52,FALSE)))/HLOOKUP("Mins",A1:CV300,52,FALSE)*90)</f>
      </c>
      <c r="BR52" s="4048">
        <f>0.103*HLOOKUP("KP/90",A1:CV300,52,FALSE)</f>
      </c>
      <c r="BS52" s="4049">
        <f>4*HLOOKUP("xG/90",A1:CV300,52,FALSE)+3*HLOOKUP("xA/90",A1:CV300,52,FALSE)</f>
      </c>
      <c r="BT52" s="4050">
        <f>HLOOKUP("xPts/90",A1:CV300,52,FALSE)-(4*0.75*(HLOOKUP("PK Gs",A1:CV300,52,FALSE)+HLOOKUP("PK Miss",A1:CV300,52,FALSE))*90/HLOOKUP("Mins",A1:CV300,52,FALSE))</f>
      </c>
      <c r="BU52" s="4051">
        <f>IF(HLOOKUP("Mins",A1:CV300,52,FALSE)=0,0,HLOOKUP("fsXG",A1:CV300,52,FALSE)/HLOOKUP("Mins",A1:CV300,52,FALSE)* 90)</f>
      </c>
      <c r="BV52" s="4052">
        <f>IF(HLOOKUP("Mins",A1:CV300,52,FALSE)=0,0,HLOOKUP("fsXA",A1:CV300,52,FALSE)/HLOOKUP("Mins",A1:CV300,52,FALSE)* 90)</f>
      </c>
      <c r="BW52" s="4053">
        <f>4*HLOOKUP("fsXG/90",A1:CV300,52,FALSE)+3*HLOOKUP("fsXA/90",A1:CV300,52,FALSE)</f>
      </c>
      <c r="BX52" t="n" s="4054">
        <v>0.0</v>
      </c>
      <c r="BY52" t="n" s="4055">
        <v>0.47596028447151184</v>
      </c>
      <c r="BZ52" s="4056">
        <f>4*HLOOKUP("uXG/90",A1:CV300,52,FALSE)+3*HLOOKUP("uXA/90",A1:CV300,52,FALSE)</f>
      </c>
    </row>
    <row r="53">
      <c r="A53" t="s" s="4057">
        <v>150</v>
      </c>
      <c r="B53" t="s" s="4058">
        <v>80</v>
      </c>
      <c r="C53" t="n" s="4059">
        <v>4.300000190734863</v>
      </c>
      <c r="D53" t="n" s="4060">
        <v>102.0</v>
      </c>
      <c r="E53" t="n" s="4061">
        <v>3.0</v>
      </c>
      <c r="F53" t="n" s="4062">
        <v>4.0</v>
      </c>
      <c r="G53" t="n" s="4063">
        <v>0.0</v>
      </c>
      <c r="H53" t="n" s="4064">
        <v>0.0</v>
      </c>
      <c r="I53" t="n" s="4065">
        <v>6.0</v>
      </c>
      <c r="J53" s="4066">
        <f>HLOOKUP("BPS",A1:CV300,53,FALSE)-((-6*HLOOKUP("OG",A1:CV300,53,FALSE))+(-6*HLOOKUP("PK Miss",A1:CV300,53,FALSE))+(9*HLOOKUP("FPL As",A1:CV300,53,FALSE))+(0*HLOOKUP("CS",A1:CV300,53,FALSE))+(24*HLOOKUP("Gs",A1:CV300,53,FALSE)))</f>
      </c>
      <c r="K53" t="n" s="4067">
        <v>0.0</v>
      </c>
      <c r="L53" t="n" s="4068">
        <v>1.0</v>
      </c>
      <c r="M53" t="n" s="4069">
        <v>8.0</v>
      </c>
      <c r="N53" t="n" s="4070">
        <v>3.0</v>
      </c>
      <c r="O53" t="n" s="4071">
        <v>3.0</v>
      </c>
      <c r="P53" s="4072">
        <f>IF(HLOOKUP("Shots",A1:CV300,53,FALSE)=0,0,HLOOKUP("SIB",A1:CV300,53,FALSE)/HLOOKUP("Shots",A1:CV300,53,FALSE))</f>
      </c>
      <c r="Q53" t="n" s="4073">
        <v>0.0</v>
      </c>
      <c r="R53" s="4074">
        <f>IF(HLOOKUP("Shots",A1:CV300,53,FALSE)=0,0,HLOOKUP("S6YD",A1:CV300,53,FALSE)/HLOOKUP("Shots",A1:CV300,53,FALSE))</f>
      </c>
      <c r="S53" t="n" s="4075">
        <v>0.0</v>
      </c>
      <c r="T53" s="4076">
        <f>IF(HLOOKUP("Shots",A1:CV300,53,FALSE)=0,0,HLOOKUP("Headers",A1:CV300,53,FALSE)/HLOOKUP("Shots",A1:CV300,53,FALSE))</f>
      </c>
      <c r="U53" t="n" s="4077">
        <v>1.0</v>
      </c>
      <c r="V53" s="4078">
        <f>IF(HLOOKUP("Shots",A1:CV300,53,FALSE)=0,0,HLOOKUP("SOT",A1:CV300,53,FALSE)/HLOOKUP("Shots",A1:CV300,53,FALSE))</f>
      </c>
      <c r="W53" s="4079">
        <f>IF(HLOOKUP("Shots",A1:CV300,53,FALSE)=0,0,HLOOKUP("Gs",A1:CV300,53,FALSE)/HLOOKUP("Shots",A1:CV300,53,FALSE))</f>
      </c>
      <c r="X53" t="n" s="4080">
        <v>0.0</v>
      </c>
      <c r="Y53" t="n" s="4081">
        <v>0.0</v>
      </c>
      <c r="Z53" t="n" s="4082">
        <v>1.0</v>
      </c>
      <c r="AA53" s="4083">
        <f>IF(HLOOKUP("KP",A1:CV300,53,FALSE)=0,0,HLOOKUP("As",A1:CV300,53,FALSE)/HLOOKUP("KP",A1:CV300,53,FALSE))</f>
      </c>
      <c r="AB53" t="n" s="4084">
        <v>5.2</v>
      </c>
      <c r="AC53" t="n" s="4085">
        <v>0.0</v>
      </c>
      <c r="AD53" t="n" s="4086">
        <v>0.0</v>
      </c>
      <c r="AE53" t="n" s="4087">
        <v>1.0</v>
      </c>
      <c r="AF53" t="n" s="4088">
        <v>1.0</v>
      </c>
      <c r="AG53" s="4089">
        <f>IF(HLOOKUP("BC",A1:CV300,53,FALSE)=0,0,HLOOKUP("Gs - BC",A1:CV300,53,FALSE)/HLOOKUP("BC",A1:CV300,53,FALSE))</f>
      </c>
      <c r="AH53" s="4090">
        <f>HLOOKUP("BC",A1:CV300,53,FALSE) - HLOOKUP("BC Miss",A1:CV300,53,FALSE)</f>
      </c>
      <c r="AI53" s="4091">
        <f>IF(HLOOKUP("Gs",A1:CV300,53,FALSE)=0,0,HLOOKUP("Gs - BC",A1:CV300,53,FALSE)/HLOOKUP("Gs",A1:CV300,53,FALSE))</f>
      </c>
      <c r="AJ53" t="n" s="4092">
        <v>0.0</v>
      </c>
      <c r="AK53" t="n" s="4093">
        <v>0.0</v>
      </c>
      <c r="AL53" s="4094">
        <f>HLOOKUP("BC",A1:CV300,53,FALSE) - (HLOOKUP("PK Gs",A1:CV300,53,FALSE) + HLOOKUP("PK Miss",A1:CV300,53,FALSE))</f>
      </c>
      <c r="AM53" s="4095">
        <f>HLOOKUP("BC Miss",A1:CV300,53,FALSE) - HLOOKUP("PK Miss",A1:CV300,53,FALSE)</f>
      </c>
      <c r="AN53" s="4096">
        <f>IF(HLOOKUP("BC - Open",A1:CV300,53,FALSE)=0,0,HLOOKUP("BC - Open Miss",A1:CV300,53,FALSE)/HLOOKUP("BC - Open",A1:CV300,53,FALSE))</f>
      </c>
      <c r="AO53" t="n" s="4097">
        <v>0.0</v>
      </c>
      <c r="AP53" s="4098">
        <f>IF(HLOOKUP("Gs",A1:CV300,53,FALSE)=0,0,HLOOKUP("GIB",A1:CV300,53,FALSE)/HLOOKUP("Gs",A1:CV300,53,FALSE))</f>
      </c>
      <c r="AQ53" t="n" s="4099">
        <v>0.0</v>
      </c>
      <c r="AR53" s="4100">
        <f>IF(HLOOKUP("Gs",A1:CV300,53,FALSE)=0,0,HLOOKUP("Gs - Open",A1:CV300,53,FALSE)/HLOOKUP("Gs",A1:CV300,53,FALSE))</f>
      </c>
      <c r="AS53" t="n" s="4101">
        <v>0.65</v>
      </c>
      <c r="AT53" t="n" s="4102">
        <v>0.01</v>
      </c>
      <c r="AU53" s="4103">
        <f>IF(HLOOKUP("Mins",A1:CV300,53,FALSE)=0,0,HLOOKUP("Pts",A1:CV300,53,FALSE)/HLOOKUP("Mins",A1:CV300,53,FALSE)* 90)</f>
      </c>
      <c r="AV53" s="4104">
        <f>IF(HLOOKUP("Apps",A1:CV300,53,FALSE)=0,0,HLOOKUP("Pts",A1:CV300,53,FALSE)/HLOOKUP("Apps",A1:CV300,53,FALSE)* 1)</f>
      </c>
      <c r="AW53" s="4105">
        <f>IF(HLOOKUP("Mins",A1:CV300,53,FALSE)=0,0,HLOOKUP("Gs",A1:CV300,53,FALSE)/HLOOKUP("Mins",A1:CV300,53,FALSE)* 90)</f>
      </c>
      <c r="AX53" s="4106">
        <f>IF(HLOOKUP("Mins",A1:CV300,53,FALSE)=0,0,HLOOKUP("Bonus",A1:CV300,53,FALSE)/HLOOKUP("Mins",A1:CV300,53,FALSE)* 90)</f>
      </c>
      <c r="AY53" s="4107">
        <f>IF(HLOOKUP("Mins",A1:CV300,53,FALSE)=0,0,HLOOKUP("BPS",A1:CV300,53,FALSE)/HLOOKUP("Mins",A1:CV300,53,FALSE)* 90)</f>
      </c>
      <c r="AZ53" s="4108">
        <f>IF(HLOOKUP("Mins",A1:CV300,53,FALSE)=0,0,HLOOKUP("Base BPS",A1:CV300,53,FALSE)/HLOOKUP("Mins",A1:CV300,53,FALSE)* 90)</f>
      </c>
      <c r="BA53" s="4109">
        <f>IF(HLOOKUP("Mins",A1:CV300,53,FALSE)=0,0,HLOOKUP("PenTchs",A1:CV300,53,FALSE)/HLOOKUP("Mins",A1:CV300,53,FALSE)* 90)</f>
      </c>
      <c r="BB53" s="4110">
        <f>IF(HLOOKUP("Mins",A1:CV300,53,FALSE)=0,0,HLOOKUP("Shots",A1:CV300,53,FALSE)/HLOOKUP("Mins",A1:CV300,53,FALSE)* 90)</f>
      </c>
      <c r="BC53" s="4111">
        <f>IF(HLOOKUP("Mins",A1:CV300,53,FALSE)=0,0,HLOOKUP("SIB",A1:CV300,53,FALSE)/HLOOKUP("Mins",A1:CV300,53,FALSE)* 90)</f>
      </c>
      <c r="BD53" s="4112">
        <f>IF(HLOOKUP("Mins",A1:CV300,53,FALSE)=0,0,HLOOKUP("S6YD",A1:CV300,53,FALSE)/HLOOKUP("Mins",A1:CV300,53,FALSE)* 90)</f>
      </c>
      <c r="BE53" s="4113">
        <f>IF(HLOOKUP("Mins",A1:CV300,53,FALSE)=0,0,HLOOKUP("Headers",A1:CV300,53,FALSE)/HLOOKUP("Mins",A1:CV300,53,FALSE)* 90)</f>
      </c>
      <c r="BF53" s="4114">
        <f>IF(HLOOKUP("Mins",A1:CV300,53,FALSE)=0,0,HLOOKUP("SOT",A1:CV300,53,FALSE)/HLOOKUP("Mins",A1:CV300,53,FALSE)* 90)</f>
      </c>
      <c r="BG53" s="4115">
        <f>IF(HLOOKUP("Mins",A1:CV300,53,FALSE)=0,0,HLOOKUP("As",A1:CV300,53,FALSE)/HLOOKUP("Mins",A1:CV300,53,FALSE)* 90)</f>
      </c>
      <c r="BH53" s="4116">
        <f>IF(HLOOKUP("Mins",A1:CV300,53,FALSE)=0,0,HLOOKUP("FPL As",A1:CV300,53,FALSE)/HLOOKUP("Mins",A1:CV300,53,FALSE)* 90)</f>
      </c>
      <c r="BI53" s="4117">
        <f>IF(HLOOKUP("Mins",A1:CV300,53,FALSE)=0,0,HLOOKUP("BC Created",A1:CV300,53,FALSE)/HLOOKUP("Mins",A1:CV300,53,FALSE)* 90)</f>
      </c>
      <c r="BJ53" s="4118">
        <f>IF(HLOOKUP("Mins",A1:CV300,53,FALSE)=0,0,HLOOKUP("KP",A1:CV300,53,FALSE)/HLOOKUP("Mins",A1:CV300,53,FALSE)* 90)</f>
      </c>
      <c r="BK53" s="4119">
        <f>IF(HLOOKUP("Mins",A1:CV300,53,FALSE)=0,0,HLOOKUP("BC",A1:CV300,53,FALSE)/HLOOKUP("Mins",A1:CV300,53,FALSE)* 90)</f>
      </c>
      <c r="BL53" s="4120">
        <f>IF(HLOOKUP("Mins",A1:CV300,53,FALSE)=0,0,HLOOKUP("BC Miss",A1:CV300,53,FALSE)/HLOOKUP("Mins",A1:CV300,53,FALSE)* 90)</f>
      </c>
      <c r="BM53" s="4121">
        <f>IF(HLOOKUP("Mins",A1:CV300,53,FALSE)=0,0,HLOOKUP("Gs - BC",A1:CV300,53,FALSE)/HLOOKUP("Mins",A1:CV300,53,FALSE)* 90)</f>
      </c>
      <c r="BN53" s="4122">
        <f>IF(HLOOKUP("Mins",A1:CV300,53,FALSE)=0,0,HLOOKUP("GIB",A1:CV300,53,FALSE)/HLOOKUP("Mins",A1:CV300,53,FALSE)* 90)</f>
      </c>
      <c r="BO53" s="4123">
        <f>IF(HLOOKUP("Mins",A1:CV300,53,FALSE)=0,0,HLOOKUP("Gs - Open",A1:CV300,53,FALSE)/HLOOKUP("Mins",A1:CV300,53,FALSE)* 90)</f>
      </c>
      <c r="BP53" s="4124">
        <f>IF(HLOOKUP("Mins",A1:CV300,53,FALSE)=0,0,HLOOKUP("ICT Index",A1:CV300,53,FALSE)/HLOOKUP("Mins",A1:CV300,53,FALSE)* 90)</f>
      </c>
      <c r="BQ53" s="4125">
        <f>IF(HLOOKUP("Mins",A1:CV300,53,FALSE)=0,0,(0.043*(HLOOKUP("Shots",A1:CV300,53,FALSE)-HLOOKUP("SIB",A1:CV300,53,FALSE))+0.162*(HLOOKUP("SIB",A1:CV300,53,FALSE)-(HLOOKUP("PK Gs",A1:CV300,53,FALSE)+HLOOKUP("PK Miss",A1:CV300,53,FALSE)))+0.75*(HLOOKUP("PK Gs",A1:CV300,53,FALSE)+HLOOKUP("PK Miss",A1:CV300,53,FALSE)))/HLOOKUP("Mins",A1:CV300,53,FALSE)*90)</f>
      </c>
      <c r="BR53" s="4126">
        <f>0.103*HLOOKUP("KP/90",A1:CV300,53,FALSE)</f>
      </c>
      <c r="BS53" s="4127">
        <f>4*HLOOKUP("xG/90",A1:CV300,53,FALSE)+3*HLOOKUP("xA/90",A1:CV300,53,FALSE)</f>
      </c>
      <c r="BT53" s="4128">
        <f>HLOOKUP("xPts/90",A1:CV300,53,FALSE)-(4*0.75*(HLOOKUP("PK Gs",A1:CV300,53,FALSE)+HLOOKUP("PK Miss",A1:CV300,53,FALSE))*90/HLOOKUP("Mins",A1:CV300,53,FALSE))</f>
      </c>
      <c r="BU53" s="4129">
        <f>IF(HLOOKUP("Mins",A1:CV300,53,FALSE)=0,0,HLOOKUP("fsXG",A1:CV300,53,FALSE)/HLOOKUP("Mins",A1:CV300,53,FALSE)* 90)</f>
      </c>
      <c r="BV53" s="4130">
        <f>IF(HLOOKUP("Mins",A1:CV300,53,FALSE)=0,0,HLOOKUP("fsXA",A1:CV300,53,FALSE)/HLOOKUP("Mins",A1:CV300,53,FALSE)* 90)</f>
      </c>
      <c r="BW53" s="4131">
        <f>4*HLOOKUP("fsXG/90",A1:CV300,53,FALSE)+3*HLOOKUP("fsXA/90",A1:CV300,53,FALSE)</f>
      </c>
      <c r="BX53" t="n" s="4132">
        <v>0.6570910811424255</v>
      </c>
      <c r="BY53" t="n" s="4133">
        <v>0.05816981941461563</v>
      </c>
      <c r="BZ53" s="4134">
        <f>4*HLOOKUP("uXG/90",A1:CV300,53,FALSE)+3*HLOOKUP("uXA/90",A1:CV300,53,FALSE)</f>
      </c>
    </row>
    <row r="54">
      <c r="A54" t="s" s="4135">
        <v>151</v>
      </c>
      <c r="B54" t="s" s="4136">
        <v>97</v>
      </c>
      <c r="C54" t="n" s="4137">
        <v>5.699999809265137</v>
      </c>
      <c r="D54" t="n" s="4138">
        <v>405.0</v>
      </c>
      <c r="E54" t="n" s="4139">
        <v>5.0</v>
      </c>
      <c r="F54" t="n" s="4140">
        <v>52.0</v>
      </c>
      <c r="G54" t="n" s="4141">
        <v>1.0</v>
      </c>
      <c r="H54" t="n" s="4142">
        <v>3.0</v>
      </c>
      <c r="I54" t="n" s="4143">
        <v>142.0</v>
      </c>
      <c r="J54" s="4144">
        <f>HLOOKUP("BPS",A1:CV300,54,FALSE)-((-6*HLOOKUP("OG",A1:CV300,54,FALSE))+(-6*HLOOKUP("PK Miss",A1:CV300,54,FALSE))+(9*HLOOKUP("FPL As",A1:CV300,54,FALSE))+(0*HLOOKUP("CS",A1:CV300,54,FALSE))+(24*HLOOKUP("Gs",A1:CV300,54,FALSE)))</f>
      </c>
      <c r="K54" t="n" s="4145">
        <v>0.0</v>
      </c>
      <c r="L54" t="n" s="4146">
        <v>2.0</v>
      </c>
      <c r="M54" t="n" s="4147">
        <v>16.0</v>
      </c>
      <c r="N54" t="n" s="4148">
        <v>14.0</v>
      </c>
      <c r="O54" t="n" s="4149">
        <v>9.0</v>
      </c>
      <c r="P54" s="4150">
        <f>IF(HLOOKUP("Shots",A1:CV300,54,FALSE)=0,0,HLOOKUP("SIB",A1:CV300,54,FALSE)/HLOOKUP("Shots",A1:CV300,54,FALSE))</f>
      </c>
      <c r="Q54" t="n" s="4151">
        <v>2.0</v>
      </c>
      <c r="R54" s="4152">
        <f>IF(HLOOKUP("Shots",A1:CV300,54,FALSE)=0,0,HLOOKUP("S6YD",A1:CV300,54,FALSE)/HLOOKUP("Shots",A1:CV300,54,FALSE))</f>
      </c>
      <c r="S54" t="n" s="4153">
        <v>3.0</v>
      </c>
      <c r="T54" s="4154">
        <f>IF(HLOOKUP("Shots",A1:CV300,54,FALSE)=0,0,HLOOKUP("Headers",A1:CV300,54,FALSE)/HLOOKUP("Shots",A1:CV300,54,FALSE))</f>
      </c>
      <c r="U54" t="n" s="4155">
        <v>6.0</v>
      </c>
      <c r="V54" s="4156">
        <f>IF(HLOOKUP("Shots",A1:CV300,54,FALSE)=0,0,HLOOKUP("SOT",A1:CV300,54,FALSE)/HLOOKUP("Shots",A1:CV300,54,FALSE))</f>
      </c>
      <c r="W54" s="4157">
        <f>IF(HLOOKUP("Shots",A1:CV300,54,FALSE)=0,0,HLOOKUP("Gs",A1:CV300,54,FALSE)/HLOOKUP("Shots",A1:CV300,54,FALSE))</f>
      </c>
      <c r="X54" t="n" s="4158">
        <v>0.0</v>
      </c>
      <c r="Y54" t="n" s="4159">
        <v>0.0</v>
      </c>
      <c r="Z54" t="n" s="4160">
        <v>0.0</v>
      </c>
      <c r="AA54" s="4161">
        <f>IF(HLOOKUP("KP",A1:CV300,54,FALSE)=0,0,HLOOKUP("As",A1:CV300,54,FALSE)/HLOOKUP("KP",A1:CV300,54,FALSE))</f>
      </c>
      <c r="AB54" t="n" s="4162">
        <v>20.8</v>
      </c>
      <c r="AC54" t="n" s="4163">
        <v>14.0</v>
      </c>
      <c r="AD54" t="n" s="4164">
        <v>0.0</v>
      </c>
      <c r="AE54" t="n" s="4165">
        <v>3.0</v>
      </c>
      <c r="AF54" t="n" s="4166">
        <v>3.0</v>
      </c>
      <c r="AG54" s="4167">
        <f>IF(HLOOKUP("BC",A1:CV300,54,FALSE)=0,0,HLOOKUP("Gs - BC",A1:CV300,54,FALSE)/HLOOKUP("BC",A1:CV300,54,FALSE))</f>
      </c>
      <c r="AH54" s="4168">
        <f>HLOOKUP("BC",A1:CV300,54,FALSE) - HLOOKUP("BC Miss",A1:CV300,54,FALSE)</f>
      </c>
      <c r="AI54" s="4169">
        <f>IF(HLOOKUP("Gs",A1:CV300,54,FALSE)=0,0,HLOOKUP("Gs - BC",A1:CV300,54,FALSE)/HLOOKUP("Gs",A1:CV300,54,FALSE))</f>
      </c>
      <c r="AJ54" t="n" s="4170">
        <v>0.0</v>
      </c>
      <c r="AK54" t="n" s="4171">
        <v>0.0</v>
      </c>
      <c r="AL54" s="4172">
        <f>HLOOKUP("BC",A1:CV300,54,FALSE) - (HLOOKUP("PK Gs",A1:CV300,54,FALSE) + HLOOKUP("PK Miss",A1:CV300,54,FALSE))</f>
      </c>
      <c r="AM54" s="4173">
        <f>HLOOKUP("BC Miss",A1:CV300,54,FALSE) - HLOOKUP("PK Miss",A1:CV300,54,FALSE)</f>
      </c>
      <c r="AN54" s="4174">
        <f>IF(HLOOKUP("BC - Open",A1:CV300,54,FALSE)=0,0,HLOOKUP("BC - Open Miss",A1:CV300,54,FALSE)/HLOOKUP("BC - Open",A1:CV300,54,FALSE))</f>
      </c>
      <c r="AO54" t="n" s="4175">
        <v>1.0</v>
      </c>
      <c r="AP54" s="4176">
        <f>IF(HLOOKUP("Gs",A1:CV300,54,FALSE)=0,0,HLOOKUP("GIB",A1:CV300,54,FALSE)/HLOOKUP("Gs",A1:CV300,54,FALSE))</f>
      </c>
      <c r="AQ54" t="n" s="4177">
        <v>1.0</v>
      </c>
      <c r="AR54" s="4178">
        <f>IF(HLOOKUP("Gs",A1:CV300,54,FALSE)=0,0,HLOOKUP("Gs - Open",A1:CV300,54,FALSE)/HLOOKUP("Gs",A1:CV300,54,FALSE))</f>
      </c>
      <c r="AS54" t="n" s="4179">
        <v>2.16</v>
      </c>
      <c r="AT54" t="n" s="4180">
        <v>0.08</v>
      </c>
      <c r="AU54" s="4181">
        <f>IF(HLOOKUP("Mins",A1:CV300,54,FALSE)=0,0,HLOOKUP("Pts",A1:CV300,54,FALSE)/HLOOKUP("Mins",A1:CV300,54,FALSE)* 90)</f>
      </c>
      <c r="AV54" s="4182">
        <f>IF(HLOOKUP("Apps",A1:CV300,54,FALSE)=0,0,HLOOKUP("Pts",A1:CV300,54,FALSE)/HLOOKUP("Apps",A1:CV300,54,FALSE)* 1)</f>
      </c>
      <c r="AW54" s="4183">
        <f>IF(HLOOKUP("Mins",A1:CV300,54,FALSE)=0,0,HLOOKUP("Gs",A1:CV300,54,FALSE)/HLOOKUP("Mins",A1:CV300,54,FALSE)* 90)</f>
      </c>
      <c r="AX54" s="4184">
        <f>IF(HLOOKUP("Mins",A1:CV300,54,FALSE)=0,0,HLOOKUP("Bonus",A1:CV300,54,FALSE)/HLOOKUP("Mins",A1:CV300,54,FALSE)* 90)</f>
      </c>
      <c r="AY54" s="4185">
        <f>IF(HLOOKUP("Mins",A1:CV300,54,FALSE)=0,0,HLOOKUP("BPS",A1:CV300,54,FALSE)/HLOOKUP("Mins",A1:CV300,54,FALSE)* 90)</f>
      </c>
      <c r="AZ54" s="4186">
        <f>IF(HLOOKUP("Mins",A1:CV300,54,FALSE)=0,0,HLOOKUP("Base BPS",A1:CV300,54,FALSE)/HLOOKUP("Mins",A1:CV300,54,FALSE)* 90)</f>
      </c>
      <c r="BA54" s="4187">
        <f>IF(HLOOKUP("Mins",A1:CV300,54,FALSE)=0,0,HLOOKUP("PenTchs",A1:CV300,54,FALSE)/HLOOKUP("Mins",A1:CV300,54,FALSE)* 90)</f>
      </c>
      <c r="BB54" s="4188">
        <f>IF(HLOOKUP("Mins",A1:CV300,54,FALSE)=0,0,HLOOKUP("Shots",A1:CV300,54,FALSE)/HLOOKUP("Mins",A1:CV300,54,FALSE)* 90)</f>
      </c>
      <c r="BC54" s="4189">
        <f>IF(HLOOKUP("Mins",A1:CV300,54,FALSE)=0,0,HLOOKUP("SIB",A1:CV300,54,FALSE)/HLOOKUP("Mins",A1:CV300,54,FALSE)* 90)</f>
      </c>
      <c r="BD54" s="4190">
        <f>IF(HLOOKUP("Mins",A1:CV300,54,FALSE)=0,0,HLOOKUP("S6YD",A1:CV300,54,FALSE)/HLOOKUP("Mins",A1:CV300,54,FALSE)* 90)</f>
      </c>
      <c r="BE54" s="4191">
        <f>IF(HLOOKUP("Mins",A1:CV300,54,FALSE)=0,0,HLOOKUP("Headers",A1:CV300,54,FALSE)/HLOOKUP("Mins",A1:CV300,54,FALSE)* 90)</f>
      </c>
      <c r="BF54" s="4192">
        <f>IF(HLOOKUP("Mins",A1:CV300,54,FALSE)=0,0,HLOOKUP("SOT",A1:CV300,54,FALSE)/HLOOKUP("Mins",A1:CV300,54,FALSE)* 90)</f>
      </c>
      <c r="BG54" s="4193">
        <f>IF(HLOOKUP("Mins",A1:CV300,54,FALSE)=0,0,HLOOKUP("As",A1:CV300,54,FALSE)/HLOOKUP("Mins",A1:CV300,54,FALSE)* 90)</f>
      </c>
      <c r="BH54" s="4194">
        <f>IF(HLOOKUP("Mins",A1:CV300,54,FALSE)=0,0,HLOOKUP("FPL As",A1:CV300,54,FALSE)/HLOOKUP("Mins",A1:CV300,54,FALSE)* 90)</f>
      </c>
      <c r="BI54" s="4195">
        <f>IF(HLOOKUP("Mins",A1:CV300,54,FALSE)=0,0,HLOOKUP("BC Created",A1:CV300,54,FALSE)/HLOOKUP("Mins",A1:CV300,54,FALSE)* 90)</f>
      </c>
      <c r="BJ54" s="4196">
        <f>IF(HLOOKUP("Mins",A1:CV300,54,FALSE)=0,0,HLOOKUP("KP",A1:CV300,54,FALSE)/HLOOKUP("Mins",A1:CV300,54,FALSE)* 90)</f>
      </c>
      <c r="BK54" s="4197">
        <f>IF(HLOOKUP("Mins",A1:CV300,54,FALSE)=0,0,HLOOKUP("BC",A1:CV300,54,FALSE)/HLOOKUP("Mins",A1:CV300,54,FALSE)* 90)</f>
      </c>
      <c r="BL54" s="4198">
        <f>IF(HLOOKUP("Mins",A1:CV300,54,FALSE)=0,0,HLOOKUP("BC Miss",A1:CV300,54,FALSE)/HLOOKUP("Mins",A1:CV300,54,FALSE)* 90)</f>
      </c>
      <c r="BM54" s="4199">
        <f>IF(HLOOKUP("Mins",A1:CV300,54,FALSE)=0,0,HLOOKUP("Gs - BC",A1:CV300,54,FALSE)/HLOOKUP("Mins",A1:CV300,54,FALSE)* 90)</f>
      </c>
      <c r="BN54" s="4200">
        <f>IF(HLOOKUP("Mins",A1:CV300,54,FALSE)=0,0,HLOOKUP("GIB",A1:CV300,54,FALSE)/HLOOKUP("Mins",A1:CV300,54,FALSE)* 90)</f>
      </c>
      <c r="BO54" s="4201">
        <f>IF(HLOOKUP("Mins",A1:CV300,54,FALSE)=0,0,HLOOKUP("Gs - Open",A1:CV300,54,FALSE)/HLOOKUP("Mins",A1:CV300,54,FALSE)* 90)</f>
      </c>
      <c r="BP54" s="4202">
        <f>IF(HLOOKUP("Mins",A1:CV300,54,FALSE)=0,0,HLOOKUP("ICT Index",A1:CV300,54,FALSE)/HLOOKUP("Mins",A1:CV300,54,FALSE)* 90)</f>
      </c>
      <c r="BQ54" s="4203">
        <f>IF(HLOOKUP("Mins",A1:CV300,54,FALSE)=0,0,(0.043*(HLOOKUP("Shots",A1:CV300,54,FALSE)-HLOOKUP("SIB",A1:CV300,54,FALSE))+0.162*(HLOOKUP("SIB",A1:CV300,54,FALSE)-(HLOOKUP("PK Gs",A1:CV300,54,FALSE)+HLOOKUP("PK Miss",A1:CV300,54,FALSE)))+0.75*(HLOOKUP("PK Gs",A1:CV300,54,FALSE)+HLOOKUP("PK Miss",A1:CV300,54,FALSE)))/HLOOKUP("Mins",A1:CV300,54,FALSE)*90)</f>
      </c>
      <c r="BR54" s="4204">
        <f>0.103*HLOOKUP("KP/90",A1:CV300,54,FALSE)</f>
      </c>
      <c r="BS54" s="4205">
        <f>4*HLOOKUP("xG/90",A1:CV300,54,FALSE)+3*HLOOKUP("xA/90",A1:CV300,54,FALSE)</f>
      </c>
      <c r="BT54" s="4206">
        <f>HLOOKUP("xPts/90",A1:CV300,54,FALSE)-(4*0.75*(HLOOKUP("PK Gs",A1:CV300,54,FALSE)+HLOOKUP("PK Miss",A1:CV300,54,FALSE))*90/HLOOKUP("Mins",A1:CV300,54,FALSE))</f>
      </c>
      <c r="BU54" s="4207">
        <f>IF(HLOOKUP("Mins",A1:CV300,54,FALSE)=0,0,HLOOKUP("fsXG",A1:CV300,54,FALSE)/HLOOKUP("Mins",A1:CV300,54,FALSE)* 90)</f>
      </c>
      <c r="BV54" s="4208">
        <f>IF(HLOOKUP("Mins",A1:CV300,54,FALSE)=0,0,HLOOKUP("fsXA",A1:CV300,54,FALSE)/HLOOKUP("Mins",A1:CV300,54,FALSE)* 90)</f>
      </c>
      <c r="BW54" s="4209">
        <f>4*HLOOKUP("fsXG/90",A1:CV300,54,FALSE)+3*HLOOKUP("fsXA/90",A1:CV300,54,FALSE)</f>
      </c>
      <c r="BX54" t="n" s="4210">
        <v>0.5147618651390076</v>
      </c>
      <c r="BY54" t="n" s="4211">
        <v>0.0</v>
      </c>
      <c r="BZ54" s="4212">
        <f>4*HLOOKUP("uXG/90",A1:CV300,54,FALSE)+3*HLOOKUP("uXA/90",A1:CV300,54,FALSE)</f>
      </c>
    </row>
    <row r="55">
      <c r="A55" t="s" s="4213">
        <v>152</v>
      </c>
      <c r="B55" t="s" s="4214">
        <v>80</v>
      </c>
      <c r="C55" t="n" s="4215">
        <v>9.300000190734863</v>
      </c>
      <c r="D55" t="n" s="4216">
        <v>429.0</v>
      </c>
      <c r="E55" t="n" s="4217">
        <v>6.0</v>
      </c>
      <c r="F55" t="n" s="4218">
        <v>71.0</v>
      </c>
      <c r="G55" t="n" s="4219">
        <v>1.0</v>
      </c>
      <c r="H55" t="n" s="4220">
        <v>7.0</v>
      </c>
      <c r="I55" t="n" s="4221">
        <v>245.0</v>
      </c>
      <c r="J55" s="4222">
        <f>HLOOKUP("BPS",A1:CV300,55,FALSE)-((-6*HLOOKUP("OG",A1:CV300,55,FALSE))+(-6*HLOOKUP("PK Miss",A1:CV300,55,FALSE))+(9*HLOOKUP("FPL As",A1:CV300,55,FALSE))+(0*HLOOKUP("CS",A1:CV300,55,FALSE))+(24*HLOOKUP("Gs",A1:CV300,55,FALSE)))</f>
      </c>
      <c r="K55" t="n" s="4223">
        <v>0.0</v>
      </c>
      <c r="L55" t="n" s="4224">
        <v>3.0</v>
      </c>
      <c r="M55" t="n" s="4225">
        <v>23.0</v>
      </c>
      <c r="N55" t="n" s="4226">
        <v>9.0</v>
      </c>
      <c r="O55" t="n" s="4227">
        <v>7.0</v>
      </c>
      <c r="P55" s="4228">
        <f>IF(HLOOKUP("Shots",A1:CV300,55,FALSE)=0,0,HLOOKUP("SIB",A1:CV300,55,FALSE)/HLOOKUP("Shots",A1:CV300,55,FALSE))</f>
      </c>
      <c r="Q55" t="n" s="4229">
        <v>3.0</v>
      </c>
      <c r="R55" s="4230">
        <f>IF(HLOOKUP("Shots",A1:CV300,55,FALSE)=0,0,HLOOKUP("S6YD",A1:CV300,55,FALSE)/HLOOKUP("Shots",A1:CV300,55,FALSE))</f>
      </c>
      <c r="S55" t="n" s="4231">
        <v>2.0</v>
      </c>
      <c r="T55" s="4232">
        <f>IF(HLOOKUP("Shots",A1:CV300,55,FALSE)=0,0,HLOOKUP("Headers",A1:CV300,55,FALSE)/HLOOKUP("Shots",A1:CV300,55,FALSE))</f>
      </c>
      <c r="U55" t="n" s="4233">
        <v>4.0</v>
      </c>
      <c r="V55" s="4234">
        <f>IF(HLOOKUP("Shots",A1:CV300,55,FALSE)=0,0,HLOOKUP("SOT",A1:CV300,55,FALSE)/HLOOKUP("Shots",A1:CV300,55,FALSE))</f>
      </c>
      <c r="W55" s="4235">
        <f>IF(HLOOKUP("Shots",A1:CV300,55,FALSE)=0,0,HLOOKUP("Gs",A1:CV300,55,FALSE)/HLOOKUP("Shots",A1:CV300,55,FALSE))</f>
      </c>
      <c r="X55" t="n" s="4236">
        <v>2.0</v>
      </c>
      <c r="Y55" t="n" s="4237">
        <v>4.0</v>
      </c>
      <c r="Z55" t="n" s="4238">
        <v>7.0</v>
      </c>
      <c r="AA55" s="4239">
        <f>IF(HLOOKUP("KP",A1:CV300,55,FALSE)=0,0,HLOOKUP("As",A1:CV300,55,FALSE)/HLOOKUP("KP",A1:CV300,55,FALSE))</f>
      </c>
      <c r="AB55" t="n" s="4240">
        <v>36.8</v>
      </c>
      <c r="AC55" t="n" s="4241">
        <v>38.0</v>
      </c>
      <c r="AD55" t="n" s="4242">
        <v>2.0</v>
      </c>
      <c r="AE55" t="n" s="4243">
        <v>3.0</v>
      </c>
      <c r="AF55" t="n" s="4244">
        <v>1.0</v>
      </c>
      <c r="AG55" s="4245">
        <f>IF(HLOOKUP("BC",A1:CV300,55,FALSE)=0,0,HLOOKUP("Gs - BC",A1:CV300,55,FALSE)/HLOOKUP("BC",A1:CV300,55,FALSE))</f>
      </c>
      <c r="AH55" s="4246">
        <f>HLOOKUP("BC",A1:CV300,55,FALSE) - HLOOKUP("BC Miss",A1:CV300,55,FALSE)</f>
      </c>
      <c r="AI55" s="4247">
        <f>IF(HLOOKUP("Gs",A1:CV300,55,FALSE)=0,0,HLOOKUP("Gs - BC",A1:CV300,55,FALSE)/HLOOKUP("Gs",A1:CV300,55,FALSE))</f>
      </c>
      <c r="AJ55" t="n" s="4248">
        <v>0.0</v>
      </c>
      <c r="AK55" t="n" s="4249">
        <v>0.0</v>
      </c>
      <c r="AL55" s="4250">
        <f>HLOOKUP("BC",A1:CV300,55,FALSE) - (HLOOKUP("PK Gs",A1:CV300,55,FALSE) + HLOOKUP("PK Miss",A1:CV300,55,FALSE))</f>
      </c>
      <c r="AM55" s="4251">
        <f>HLOOKUP("BC Miss",A1:CV300,55,FALSE) - HLOOKUP("PK Miss",A1:CV300,55,FALSE)</f>
      </c>
      <c r="AN55" s="4252">
        <f>IF(HLOOKUP("BC - Open",A1:CV300,55,FALSE)=0,0,HLOOKUP("BC - Open Miss",A1:CV300,55,FALSE)/HLOOKUP("BC - Open",A1:CV300,55,FALSE))</f>
      </c>
      <c r="AO55" t="n" s="4253">
        <v>1.0</v>
      </c>
      <c r="AP55" s="4254">
        <f>IF(HLOOKUP("Gs",A1:CV300,55,FALSE)=0,0,HLOOKUP("GIB",A1:CV300,55,FALSE)/HLOOKUP("Gs",A1:CV300,55,FALSE))</f>
      </c>
      <c r="AQ55" t="n" s="4255">
        <v>1.0</v>
      </c>
      <c r="AR55" s="4256">
        <f>IF(HLOOKUP("Gs",A1:CV300,55,FALSE)=0,0,HLOOKUP("Gs - Open",A1:CV300,55,FALSE)/HLOOKUP("Gs",A1:CV300,55,FALSE))</f>
      </c>
      <c r="AS55" t="n" s="4257">
        <v>2.32</v>
      </c>
      <c r="AT55" t="n" s="4258">
        <v>0.64</v>
      </c>
      <c r="AU55" s="4259">
        <f>IF(HLOOKUP("Mins",A1:CV300,55,FALSE)=0,0,HLOOKUP("Pts",A1:CV300,55,FALSE)/HLOOKUP("Mins",A1:CV300,55,FALSE)* 90)</f>
      </c>
      <c r="AV55" s="4260">
        <f>IF(HLOOKUP("Apps",A1:CV300,55,FALSE)=0,0,HLOOKUP("Pts",A1:CV300,55,FALSE)/HLOOKUP("Apps",A1:CV300,55,FALSE)* 1)</f>
      </c>
      <c r="AW55" s="4261">
        <f>IF(HLOOKUP("Mins",A1:CV300,55,FALSE)=0,0,HLOOKUP("Gs",A1:CV300,55,FALSE)/HLOOKUP("Mins",A1:CV300,55,FALSE)* 90)</f>
      </c>
      <c r="AX55" s="4262">
        <f>IF(HLOOKUP("Mins",A1:CV300,55,FALSE)=0,0,HLOOKUP("Bonus",A1:CV300,55,FALSE)/HLOOKUP("Mins",A1:CV300,55,FALSE)* 90)</f>
      </c>
      <c r="AY55" s="4263">
        <f>IF(HLOOKUP("Mins",A1:CV300,55,FALSE)=0,0,HLOOKUP("BPS",A1:CV300,55,FALSE)/HLOOKUP("Mins",A1:CV300,55,FALSE)* 90)</f>
      </c>
      <c r="AZ55" s="4264">
        <f>IF(HLOOKUP("Mins",A1:CV300,55,FALSE)=0,0,HLOOKUP("Base BPS",A1:CV300,55,FALSE)/HLOOKUP("Mins",A1:CV300,55,FALSE)* 90)</f>
      </c>
      <c r="BA55" s="4265">
        <f>IF(HLOOKUP("Mins",A1:CV300,55,FALSE)=0,0,HLOOKUP("PenTchs",A1:CV300,55,FALSE)/HLOOKUP("Mins",A1:CV300,55,FALSE)* 90)</f>
      </c>
      <c r="BB55" s="4266">
        <f>IF(HLOOKUP("Mins",A1:CV300,55,FALSE)=0,0,HLOOKUP("Shots",A1:CV300,55,FALSE)/HLOOKUP("Mins",A1:CV300,55,FALSE)* 90)</f>
      </c>
      <c r="BC55" s="4267">
        <f>IF(HLOOKUP("Mins",A1:CV300,55,FALSE)=0,0,HLOOKUP("SIB",A1:CV300,55,FALSE)/HLOOKUP("Mins",A1:CV300,55,FALSE)* 90)</f>
      </c>
      <c r="BD55" s="4268">
        <f>IF(HLOOKUP("Mins",A1:CV300,55,FALSE)=0,0,HLOOKUP("S6YD",A1:CV300,55,FALSE)/HLOOKUP("Mins",A1:CV300,55,FALSE)* 90)</f>
      </c>
      <c r="BE55" s="4269">
        <f>IF(HLOOKUP("Mins",A1:CV300,55,FALSE)=0,0,HLOOKUP("Headers",A1:CV300,55,FALSE)/HLOOKUP("Mins",A1:CV300,55,FALSE)* 90)</f>
      </c>
      <c r="BF55" s="4270">
        <f>IF(HLOOKUP("Mins",A1:CV300,55,FALSE)=0,0,HLOOKUP("SOT",A1:CV300,55,FALSE)/HLOOKUP("Mins",A1:CV300,55,FALSE)* 90)</f>
      </c>
      <c r="BG55" s="4271">
        <f>IF(HLOOKUP("Mins",A1:CV300,55,FALSE)=0,0,HLOOKUP("As",A1:CV300,55,FALSE)/HLOOKUP("Mins",A1:CV300,55,FALSE)* 90)</f>
      </c>
      <c r="BH55" s="4272">
        <f>IF(HLOOKUP("Mins",A1:CV300,55,FALSE)=0,0,HLOOKUP("FPL As",A1:CV300,55,FALSE)/HLOOKUP("Mins",A1:CV300,55,FALSE)* 90)</f>
      </c>
      <c r="BI55" s="4273">
        <f>IF(HLOOKUP("Mins",A1:CV300,55,FALSE)=0,0,HLOOKUP("BC Created",A1:CV300,55,FALSE)/HLOOKUP("Mins",A1:CV300,55,FALSE)* 90)</f>
      </c>
      <c r="BJ55" s="4274">
        <f>IF(HLOOKUP("Mins",A1:CV300,55,FALSE)=0,0,HLOOKUP("KP",A1:CV300,55,FALSE)/HLOOKUP("Mins",A1:CV300,55,FALSE)* 90)</f>
      </c>
      <c r="BK55" s="4275">
        <f>IF(HLOOKUP("Mins",A1:CV300,55,FALSE)=0,0,HLOOKUP("BC",A1:CV300,55,FALSE)/HLOOKUP("Mins",A1:CV300,55,FALSE)* 90)</f>
      </c>
      <c r="BL55" s="4276">
        <f>IF(HLOOKUP("Mins",A1:CV300,55,FALSE)=0,0,HLOOKUP("BC Miss",A1:CV300,55,FALSE)/HLOOKUP("Mins",A1:CV300,55,FALSE)* 90)</f>
      </c>
      <c r="BM55" s="4277">
        <f>IF(HLOOKUP("Mins",A1:CV300,55,FALSE)=0,0,HLOOKUP("Gs - BC",A1:CV300,55,FALSE)/HLOOKUP("Mins",A1:CV300,55,FALSE)* 90)</f>
      </c>
      <c r="BN55" s="4278">
        <f>IF(HLOOKUP("Mins",A1:CV300,55,FALSE)=0,0,HLOOKUP("GIB",A1:CV300,55,FALSE)/HLOOKUP("Mins",A1:CV300,55,FALSE)* 90)</f>
      </c>
      <c r="BO55" s="4279">
        <f>IF(HLOOKUP("Mins",A1:CV300,55,FALSE)=0,0,HLOOKUP("Gs - Open",A1:CV300,55,FALSE)/HLOOKUP("Mins",A1:CV300,55,FALSE)* 90)</f>
      </c>
      <c r="BP55" s="4280">
        <f>IF(HLOOKUP("Mins",A1:CV300,55,FALSE)=0,0,HLOOKUP("ICT Index",A1:CV300,55,FALSE)/HLOOKUP("Mins",A1:CV300,55,FALSE)* 90)</f>
      </c>
      <c r="BQ55" s="4281">
        <f>IF(HLOOKUP("Mins",A1:CV300,55,FALSE)=0,0,(0.043*(HLOOKUP("Shots",A1:CV300,55,FALSE)-HLOOKUP("SIB",A1:CV300,55,FALSE))+0.162*(HLOOKUP("SIB",A1:CV300,55,FALSE)-(HLOOKUP("PK Gs",A1:CV300,55,FALSE)+HLOOKUP("PK Miss",A1:CV300,55,FALSE)))+0.75*(HLOOKUP("PK Gs",A1:CV300,55,FALSE)+HLOOKUP("PK Miss",A1:CV300,55,FALSE)))/HLOOKUP("Mins",A1:CV300,55,FALSE)*90)</f>
      </c>
      <c r="BR55" s="4282">
        <f>0.103*HLOOKUP("KP/90",A1:CV300,55,FALSE)</f>
      </c>
      <c r="BS55" s="4283">
        <f>4*HLOOKUP("xG/90",A1:CV300,55,FALSE)+3*HLOOKUP("xA/90",A1:CV300,55,FALSE)</f>
      </c>
      <c r="BT55" s="4284">
        <f>HLOOKUP("xPts/90",A1:CV300,55,FALSE)-(4*0.75*(HLOOKUP("PK Gs",A1:CV300,55,FALSE)+HLOOKUP("PK Miss",A1:CV300,55,FALSE))*90/HLOOKUP("Mins",A1:CV300,55,FALSE))</f>
      </c>
      <c r="BU55" s="4285">
        <f>IF(HLOOKUP("Mins",A1:CV300,55,FALSE)=0,0,HLOOKUP("fsXG",A1:CV300,55,FALSE)/HLOOKUP("Mins",A1:CV300,55,FALSE)* 90)</f>
      </c>
      <c r="BV55" s="4286">
        <f>IF(HLOOKUP("Mins",A1:CV300,55,FALSE)=0,0,HLOOKUP("fsXA",A1:CV300,55,FALSE)/HLOOKUP("Mins",A1:CV300,55,FALSE)* 90)</f>
      </c>
      <c r="BW55" s="4287">
        <f>4*HLOOKUP("fsXG/90",A1:CV300,55,FALSE)+3*HLOOKUP("fsXA/90",A1:CV300,55,FALSE)</f>
      </c>
      <c r="BX55" t="n" s="4288">
        <v>0.4064801335334778</v>
      </c>
      <c r="BY55" t="n" s="4289">
        <v>0.3236141800880432</v>
      </c>
      <c r="BZ55" s="4290">
        <f>4*HLOOKUP("uXG/90",A1:CV300,55,FALSE)+3*HLOOKUP("uXA/90",A1:CV300,55,FALSE)</f>
      </c>
    </row>
    <row r="56">
      <c r="A56" t="s" s="4291">
        <v>153</v>
      </c>
      <c r="B56" t="s" s="4292">
        <v>122</v>
      </c>
      <c r="C56" t="n" s="4293">
        <v>4.400000095367432</v>
      </c>
      <c r="D56" t="n" s="4294">
        <v>130.0</v>
      </c>
      <c r="E56" t="n" s="4295">
        <v>5.0</v>
      </c>
      <c r="F56" t="n" s="4296">
        <v>43.0</v>
      </c>
      <c r="G56" t="n" s="4297">
        <v>1.0</v>
      </c>
      <c r="H56" t="n" s="4298">
        <v>5.0</v>
      </c>
      <c r="I56" t="n" s="4299">
        <v>168.0</v>
      </c>
      <c r="J56" s="4300">
        <f>HLOOKUP("BPS",A1:CV300,56,FALSE)-((-6*HLOOKUP("OG",A1:CV300,56,FALSE))+(-6*HLOOKUP("PK Miss",A1:CV300,56,FALSE))+(9*HLOOKUP("FPL As",A1:CV300,56,FALSE))+(0*HLOOKUP("CS",A1:CV300,56,FALSE))+(24*HLOOKUP("Gs",A1:CV300,56,FALSE)))</f>
      </c>
      <c r="K56" t="n" s="4301">
        <v>0.0</v>
      </c>
      <c r="L56" t="n" s="4302">
        <v>0.0</v>
      </c>
      <c r="M56" t="n" s="4303">
        <v>9.0</v>
      </c>
      <c r="N56" t="n" s="4304">
        <v>5.0</v>
      </c>
      <c r="O56" t="n" s="4305">
        <v>2.0</v>
      </c>
      <c r="P56" s="4306">
        <f>IF(HLOOKUP("Shots",A1:CV300,56,FALSE)=0,0,HLOOKUP("SIB",A1:CV300,56,FALSE)/HLOOKUP("Shots",A1:CV300,56,FALSE))</f>
      </c>
      <c r="Q56" t="n" s="4307">
        <v>0.0</v>
      </c>
      <c r="R56" s="4308">
        <f>IF(HLOOKUP("Shots",A1:CV300,56,FALSE)=0,0,HLOOKUP("S6YD",A1:CV300,56,FALSE)/HLOOKUP("Shots",A1:CV300,56,FALSE))</f>
      </c>
      <c r="S56" t="n" s="4309">
        <v>0.0</v>
      </c>
      <c r="T56" s="4310">
        <f>IF(HLOOKUP("Shots",A1:CV300,56,FALSE)=0,0,HLOOKUP("Headers",A1:CV300,56,FALSE)/HLOOKUP("Shots",A1:CV300,56,FALSE))</f>
      </c>
      <c r="U56" t="n" s="4311">
        <v>2.0</v>
      </c>
      <c r="V56" s="4312">
        <f>IF(HLOOKUP("Shots",A1:CV300,56,FALSE)=0,0,HLOOKUP("SOT",A1:CV300,56,FALSE)/HLOOKUP("Shots",A1:CV300,56,FALSE))</f>
      </c>
      <c r="W56" s="4313">
        <f>IF(HLOOKUP("Shots",A1:CV300,56,FALSE)=0,0,HLOOKUP("Gs",A1:CV300,56,FALSE)/HLOOKUP("Shots",A1:CV300,56,FALSE))</f>
      </c>
      <c r="X56" t="n" s="4314">
        <v>0.0</v>
      </c>
      <c r="Y56" t="n" s="4315">
        <v>0.0</v>
      </c>
      <c r="Z56" t="n" s="4316">
        <v>1.0</v>
      </c>
      <c r="AA56" s="4317">
        <f>IF(HLOOKUP("KP",A1:CV300,56,FALSE)=0,0,HLOOKUP("As",A1:CV300,56,FALSE)/HLOOKUP("KP",A1:CV300,56,FALSE))</f>
      </c>
      <c r="AB56" t="n" s="4318">
        <v>11.3</v>
      </c>
      <c r="AC56" t="n" s="4319">
        <v>100.0</v>
      </c>
      <c r="AD56" t="n" s="4320">
        <v>0.0</v>
      </c>
      <c r="AE56" t="n" s="4321">
        <v>0.0</v>
      </c>
      <c r="AF56" t="n" s="4322">
        <v>0.0</v>
      </c>
      <c r="AG56" s="4323">
        <f>IF(HLOOKUP("BC",A1:CV300,56,FALSE)=0,0,HLOOKUP("Gs - BC",A1:CV300,56,FALSE)/HLOOKUP("BC",A1:CV300,56,FALSE))</f>
      </c>
      <c r="AH56" s="4324">
        <f>HLOOKUP("BC",A1:CV300,56,FALSE) - HLOOKUP("BC Miss",A1:CV300,56,FALSE)</f>
      </c>
      <c r="AI56" s="4325">
        <f>IF(HLOOKUP("Gs",A1:CV300,56,FALSE)=0,0,HLOOKUP("Gs - BC",A1:CV300,56,FALSE)/HLOOKUP("Gs",A1:CV300,56,FALSE))</f>
      </c>
      <c r="AJ56" t="n" s="4326">
        <v>0.0</v>
      </c>
      <c r="AK56" t="n" s="4327">
        <v>0.0</v>
      </c>
      <c r="AL56" s="4328">
        <f>HLOOKUP("BC",A1:CV300,56,FALSE) - (HLOOKUP("PK Gs",A1:CV300,56,FALSE) + HLOOKUP("PK Miss",A1:CV300,56,FALSE))</f>
      </c>
      <c r="AM56" s="4329">
        <f>HLOOKUP("BC Miss",A1:CV300,56,FALSE) - HLOOKUP("PK Miss",A1:CV300,56,FALSE)</f>
      </c>
      <c r="AN56" s="4330">
        <f>IF(HLOOKUP("BC - Open",A1:CV300,56,FALSE)=0,0,HLOOKUP("BC - Open Miss",A1:CV300,56,FALSE)/HLOOKUP("BC - Open",A1:CV300,56,FALSE))</f>
      </c>
      <c r="AO56" t="n" s="4331">
        <v>0.0</v>
      </c>
      <c r="AP56" s="4332">
        <f>IF(HLOOKUP("Gs",A1:CV300,56,FALSE)=0,0,HLOOKUP("GIB",A1:CV300,56,FALSE)/HLOOKUP("Gs",A1:CV300,56,FALSE))</f>
      </c>
      <c r="AQ56" t="n" s="4333">
        <v>1.0</v>
      </c>
      <c r="AR56" s="4334">
        <f>IF(HLOOKUP("Gs",A1:CV300,56,FALSE)=0,0,HLOOKUP("Gs - Open",A1:CV300,56,FALSE)/HLOOKUP("Gs",A1:CV300,56,FALSE))</f>
      </c>
      <c r="AS56" t="n" s="4335">
        <v>0.2</v>
      </c>
      <c r="AT56" t="n" s="4336">
        <v>0.07</v>
      </c>
      <c r="AU56" s="4337">
        <f>IF(HLOOKUP("Mins",A1:CV300,56,FALSE)=0,0,HLOOKUP("Pts",A1:CV300,56,FALSE)/HLOOKUP("Mins",A1:CV300,56,FALSE)* 90)</f>
      </c>
      <c r="AV56" s="4338">
        <f>IF(HLOOKUP("Apps",A1:CV300,56,FALSE)=0,0,HLOOKUP("Pts",A1:CV300,56,FALSE)/HLOOKUP("Apps",A1:CV300,56,FALSE)* 1)</f>
      </c>
      <c r="AW56" s="4339">
        <f>IF(HLOOKUP("Mins",A1:CV300,56,FALSE)=0,0,HLOOKUP("Gs",A1:CV300,56,FALSE)/HLOOKUP("Mins",A1:CV300,56,FALSE)* 90)</f>
      </c>
      <c r="AX56" s="4340">
        <f>IF(HLOOKUP("Mins",A1:CV300,56,FALSE)=0,0,HLOOKUP("Bonus",A1:CV300,56,FALSE)/HLOOKUP("Mins",A1:CV300,56,FALSE)* 90)</f>
      </c>
      <c r="AY56" s="4341">
        <f>IF(HLOOKUP("Mins",A1:CV300,56,FALSE)=0,0,HLOOKUP("BPS",A1:CV300,56,FALSE)/HLOOKUP("Mins",A1:CV300,56,FALSE)* 90)</f>
      </c>
      <c r="AZ56" s="4342">
        <f>IF(HLOOKUP("Mins",A1:CV300,56,FALSE)=0,0,HLOOKUP("Base BPS",A1:CV300,56,FALSE)/HLOOKUP("Mins",A1:CV300,56,FALSE)* 90)</f>
      </c>
      <c r="BA56" s="4343">
        <f>IF(HLOOKUP("Mins",A1:CV300,56,FALSE)=0,0,HLOOKUP("PenTchs",A1:CV300,56,FALSE)/HLOOKUP("Mins",A1:CV300,56,FALSE)* 90)</f>
      </c>
      <c r="BB56" s="4344">
        <f>IF(HLOOKUP("Mins",A1:CV300,56,FALSE)=0,0,HLOOKUP("Shots",A1:CV300,56,FALSE)/HLOOKUP("Mins",A1:CV300,56,FALSE)* 90)</f>
      </c>
      <c r="BC56" s="4345">
        <f>IF(HLOOKUP("Mins",A1:CV300,56,FALSE)=0,0,HLOOKUP("SIB",A1:CV300,56,FALSE)/HLOOKUP("Mins",A1:CV300,56,FALSE)* 90)</f>
      </c>
      <c r="BD56" s="4346">
        <f>IF(HLOOKUP("Mins",A1:CV300,56,FALSE)=0,0,HLOOKUP("S6YD",A1:CV300,56,FALSE)/HLOOKUP("Mins",A1:CV300,56,FALSE)* 90)</f>
      </c>
      <c r="BE56" s="4347">
        <f>IF(HLOOKUP("Mins",A1:CV300,56,FALSE)=0,0,HLOOKUP("Headers",A1:CV300,56,FALSE)/HLOOKUP("Mins",A1:CV300,56,FALSE)* 90)</f>
      </c>
      <c r="BF56" s="4348">
        <f>IF(HLOOKUP("Mins",A1:CV300,56,FALSE)=0,0,HLOOKUP("SOT",A1:CV300,56,FALSE)/HLOOKUP("Mins",A1:CV300,56,FALSE)* 90)</f>
      </c>
      <c r="BG56" s="4349">
        <f>IF(HLOOKUP("Mins",A1:CV300,56,FALSE)=0,0,HLOOKUP("As",A1:CV300,56,FALSE)/HLOOKUP("Mins",A1:CV300,56,FALSE)* 90)</f>
      </c>
      <c r="BH56" s="4350">
        <f>IF(HLOOKUP("Mins",A1:CV300,56,FALSE)=0,0,HLOOKUP("FPL As",A1:CV300,56,FALSE)/HLOOKUP("Mins",A1:CV300,56,FALSE)* 90)</f>
      </c>
      <c r="BI56" s="4351">
        <f>IF(HLOOKUP("Mins",A1:CV300,56,FALSE)=0,0,HLOOKUP("BC Created",A1:CV300,56,FALSE)/HLOOKUP("Mins",A1:CV300,56,FALSE)* 90)</f>
      </c>
      <c r="BJ56" s="4352">
        <f>IF(HLOOKUP("Mins",A1:CV300,56,FALSE)=0,0,HLOOKUP("KP",A1:CV300,56,FALSE)/HLOOKUP("Mins",A1:CV300,56,FALSE)* 90)</f>
      </c>
      <c r="BK56" s="4353">
        <f>IF(HLOOKUP("Mins",A1:CV300,56,FALSE)=0,0,HLOOKUP("BC",A1:CV300,56,FALSE)/HLOOKUP("Mins",A1:CV300,56,FALSE)* 90)</f>
      </c>
      <c r="BL56" s="4354">
        <f>IF(HLOOKUP("Mins",A1:CV300,56,FALSE)=0,0,HLOOKUP("BC Miss",A1:CV300,56,FALSE)/HLOOKUP("Mins",A1:CV300,56,FALSE)* 90)</f>
      </c>
      <c r="BM56" s="4355">
        <f>IF(HLOOKUP("Mins",A1:CV300,56,FALSE)=0,0,HLOOKUP("Gs - BC",A1:CV300,56,FALSE)/HLOOKUP("Mins",A1:CV300,56,FALSE)* 90)</f>
      </c>
      <c r="BN56" s="4356">
        <f>IF(HLOOKUP("Mins",A1:CV300,56,FALSE)=0,0,HLOOKUP("GIB",A1:CV300,56,FALSE)/HLOOKUP("Mins",A1:CV300,56,FALSE)* 90)</f>
      </c>
      <c r="BO56" s="4357">
        <f>IF(HLOOKUP("Mins",A1:CV300,56,FALSE)=0,0,HLOOKUP("Gs - Open",A1:CV300,56,FALSE)/HLOOKUP("Mins",A1:CV300,56,FALSE)* 90)</f>
      </c>
      <c r="BP56" s="4358">
        <f>IF(HLOOKUP("Mins",A1:CV300,56,FALSE)=0,0,HLOOKUP("ICT Index",A1:CV300,56,FALSE)/HLOOKUP("Mins",A1:CV300,56,FALSE)* 90)</f>
      </c>
      <c r="BQ56" s="4359">
        <f>IF(HLOOKUP("Mins",A1:CV300,56,FALSE)=0,0,(0.043*(HLOOKUP("Shots",A1:CV300,56,FALSE)-HLOOKUP("SIB",A1:CV300,56,FALSE))+0.162*(HLOOKUP("SIB",A1:CV300,56,FALSE)-(HLOOKUP("PK Gs",A1:CV300,56,FALSE)+HLOOKUP("PK Miss",A1:CV300,56,FALSE)))+0.75*(HLOOKUP("PK Gs",A1:CV300,56,FALSE)+HLOOKUP("PK Miss",A1:CV300,56,FALSE)))/HLOOKUP("Mins",A1:CV300,56,FALSE)*90)</f>
      </c>
      <c r="BR56" s="4360">
        <f>0.103*HLOOKUP("KP/90",A1:CV300,56,FALSE)</f>
      </c>
      <c r="BS56" s="4361">
        <f>4*HLOOKUP("xG/90",A1:CV300,56,FALSE)+3*HLOOKUP("xA/90",A1:CV300,56,FALSE)</f>
      </c>
      <c r="BT56" s="4362">
        <f>HLOOKUP("xPts/90",A1:CV300,56,FALSE)-(4*0.75*(HLOOKUP("PK Gs",A1:CV300,56,FALSE)+HLOOKUP("PK Miss",A1:CV300,56,FALSE))*90/HLOOKUP("Mins",A1:CV300,56,FALSE))</f>
      </c>
      <c r="BU56" s="4363">
        <f>IF(HLOOKUP("Mins",A1:CV300,56,FALSE)=0,0,HLOOKUP("fsXG",A1:CV300,56,FALSE)/HLOOKUP("Mins",A1:CV300,56,FALSE)* 90)</f>
      </c>
      <c r="BV56" s="4364">
        <f>IF(HLOOKUP("Mins",A1:CV300,56,FALSE)=0,0,HLOOKUP("fsXA",A1:CV300,56,FALSE)/HLOOKUP("Mins",A1:CV300,56,FALSE)* 90)</f>
      </c>
      <c r="BW56" s="4365">
        <f>4*HLOOKUP("fsXG/90",A1:CV300,56,FALSE)+3*HLOOKUP("fsXA/90",A1:CV300,56,FALSE)</f>
      </c>
      <c r="BX56" t="n" s="4366">
        <v>0.08286337554454803</v>
      </c>
      <c r="BY56" t="n" s="4367">
        <v>0.009223023429512978</v>
      </c>
      <c r="BZ56" s="4368">
        <f>4*HLOOKUP("uXG/90",A1:CV300,56,FALSE)+3*HLOOKUP("uXA/90",A1:CV300,56,FALSE)</f>
      </c>
    </row>
    <row r="57">
      <c r="A57" t="s" s="4369">
        <v>154</v>
      </c>
      <c r="B57" t="s" s="4370">
        <v>102</v>
      </c>
      <c r="C57" t="n" s="4371">
        <v>5.400000095367432</v>
      </c>
      <c r="D57" t="n" s="4372">
        <v>11.0</v>
      </c>
      <c r="E57" t="n" s="4373">
        <v>1.0</v>
      </c>
      <c r="F57" t="n" s="4374">
        <v>25.0</v>
      </c>
      <c r="G57" t="n" s="4375">
        <v>0.0</v>
      </c>
      <c r="H57" t="n" s="4376">
        <v>0.0</v>
      </c>
      <c r="I57" t="n" s="4377">
        <v>75.0</v>
      </c>
      <c r="J57" s="4378">
        <f>HLOOKUP("BPS",A1:CV300,57,FALSE)-((-6*HLOOKUP("OG",A1:CV300,57,FALSE))+(-6*HLOOKUP("PK Miss",A1:CV300,57,FALSE))+(9*HLOOKUP("FPL As",A1:CV300,57,FALSE))+(0*HLOOKUP("CS",A1:CV300,57,FALSE))+(24*HLOOKUP("Gs",A1:CV300,57,FALSE)))</f>
      </c>
      <c r="K57" t="n" s="4379">
        <v>0.0</v>
      </c>
      <c r="L57" t="n" s="4380">
        <v>2.0</v>
      </c>
      <c r="M57" t="n" s="4381">
        <v>0.0</v>
      </c>
      <c r="N57" t="n" s="4382">
        <v>0.0</v>
      </c>
      <c r="O57" t="n" s="4383">
        <v>0.0</v>
      </c>
      <c r="P57" s="4384">
        <f>IF(HLOOKUP("Shots",A1:CV300,57,FALSE)=0,0,HLOOKUP("SIB",A1:CV300,57,FALSE)/HLOOKUP("Shots",A1:CV300,57,FALSE))</f>
      </c>
      <c r="Q57" t="n" s="4385">
        <v>0.0</v>
      </c>
      <c r="R57" s="4386">
        <f>IF(HLOOKUP("Shots",A1:CV300,57,FALSE)=0,0,HLOOKUP("S6YD",A1:CV300,57,FALSE)/HLOOKUP("Shots",A1:CV300,57,FALSE))</f>
      </c>
      <c r="S57" t="n" s="4387">
        <v>0.0</v>
      </c>
      <c r="T57" s="4388">
        <f>IF(HLOOKUP("Shots",A1:CV300,57,FALSE)=0,0,HLOOKUP("Headers",A1:CV300,57,FALSE)/HLOOKUP("Shots",A1:CV300,57,FALSE))</f>
      </c>
      <c r="U57" t="n" s="4389">
        <v>0.0</v>
      </c>
      <c r="V57" s="4390">
        <f>IF(HLOOKUP("Shots",A1:CV300,57,FALSE)=0,0,HLOOKUP("SOT",A1:CV300,57,FALSE)/HLOOKUP("Shots",A1:CV300,57,FALSE))</f>
      </c>
      <c r="W57" s="4391">
        <f>IF(HLOOKUP("Shots",A1:CV300,57,FALSE)=0,0,HLOOKUP("Gs",A1:CV300,57,FALSE)/HLOOKUP("Shots",A1:CV300,57,FALSE))</f>
      </c>
      <c r="X57" t="n" s="4392">
        <v>0.0</v>
      </c>
      <c r="Y57" t="n" s="4393">
        <v>3.0</v>
      </c>
      <c r="Z57" t="n" s="4394">
        <v>0.0</v>
      </c>
      <c r="AA57" s="4395">
        <f>IF(HLOOKUP("KP",A1:CV300,57,FALSE)=0,0,HLOOKUP("As",A1:CV300,57,FALSE)/HLOOKUP("KP",A1:CV300,57,FALSE))</f>
      </c>
      <c r="AB57" t="n" s="4396">
        <v>0.2</v>
      </c>
      <c r="AC57" t="n" s="4397">
        <v>0.0</v>
      </c>
      <c r="AD57" t="n" s="4398">
        <v>0.0</v>
      </c>
      <c r="AE57" t="n" s="4399">
        <v>0.0</v>
      </c>
      <c r="AF57" t="n" s="4400">
        <v>0.0</v>
      </c>
      <c r="AG57" s="4401">
        <f>IF(HLOOKUP("BC",A1:CV300,57,FALSE)=0,0,HLOOKUP("Gs - BC",A1:CV300,57,FALSE)/HLOOKUP("BC",A1:CV300,57,FALSE))</f>
      </c>
      <c r="AH57" s="4402">
        <f>HLOOKUP("BC",A1:CV300,57,FALSE) - HLOOKUP("BC Miss",A1:CV300,57,FALSE)</f>
      </c>
      <c r="AI57" s="4403">
        <f>IF(HLOOKUP("Gs",A1:CV300,57,FALSE)=0,0,HLOOKUP("Gs - BC",A1:CV300,57,FALSE)/HLOOKUP("Gs",A1:CV300,57,FALSE))</f>
      </c>
      <c r="AJ57" t="n" s="4404">
        <v>0.0</v>
      </c>
      <c r="AK57" t="n" s="4405">
        <v>0.0</v>
      </c>
      <c r="AL57" s="4406">
        <f>HLOOKUP("BC",A1:CV300,57,FALSE) - (HLOOKUP("PK Gs",A1:CV300,57,FALSE) + HLOOKUP("PK Miss",A1:CV300,57,FALSE))</f>
      </c>
      <c r="AM57" s="4407">
        <f>HLOOKUP("BC Miss",A1:CV300,57,FALSE) - HLOOKUP("PK Miss",A1:CV300,57,FALSE)</f>
      </c>
      <c r="AN57" s="4408">
        <f>IF(HLOOKUP("BC - Open",A1:CV300,57,FALSE)=0,0,HLOOKUP("BC - Open Miss",A1:CV300,57,FALSE)/HLOOKUP("BC - Open",A1:CV300,57,FALSE))</f>
      </c>
      <c r="AO57" t="n" s="4409">
        <v>0.0</v>
      </c>
      <c r="AP57" s="4410">
        <f>IF(HLOOKUP("Gs",A1:CV300,57,FALSE)=0,0,HLOOKUP("GIB",A1:CV300,57,FALSE)/HLOOKUP("Gs",A1:CV300,57,FALSE))</f>
      </c>
      <c r="AQ57" t="n" s="4411">
        <v>0.0</v>
      </c>
      <c r="AR57" s="4412">
        <f>IF(HLOOKUP("Gs",A1:CV300,57,FALSE)=0,0,HLOOKUP("Gs - Open",A1:CV300,57,FALSE)/HLOOKUP("Gs",A1:CV300,57,FALSE))</f>
      </c>
      <c r="AS57" t="n" s="4413">
        <v>0.0</v>
      </c>
      <c r="AT57" t="n" s="4414">
        <v>0.0</v>
      </c>
      <c r="AU57" s="4415">
        <f>IF(HLOOKUP("Mins",A1:CV300,57,FALSE)=0,0,HLOOKUP("Pts",A1:CV300,57,FALSE)/HLOOKUP("Mins",A1:CV300,57,FALSE)* 90)</f>
      </c>
      <c r="AV57" s="4416">
        <f>IF(HLOOKUP("Apps",A1:CV300,57,FALSE)=0,0,HLOOKUP("Pts",A1:CV300,57,FALSE)/HLOOKUP("Apps",A1:CV300,57,FALSE)* 1)</f>
      </c>
      <c r="AW57" s="4417">
        <f>IF(HLOOKUP("Mins",A1:CV300,57,FALSE)=0,0,HLOOKUP("Gs",A1:CV300,57,FALSE)/HLOOKUP("Mins",A1:CV300,57,FALSE)* 90)</f>
      </c>
      <c r="AX57" s="4418">
        <f>IF(HLOOKUP("Mins",A1:CV300,57,FALSE)=0,0,HLOOKUP("Bonus",A1:CV300,57,FALSE)/HLOOKUP("Mins",A1:CV300,57,FALSE)* 90)</f>
      </c>
      <c r="AY57" s="4419">
        <f>IF(HLOOKUP("Mins",A1:CV300,57,FALSE)=0,0,HLOOKUP("BPS",A1:CV300,57,FALSE)/HLOOKUP("Mins",A1:CV300,57,FALSE)* 90)</f>
      </c>
      <c r="AZ57" s="4420">
        <f>IF(HLOOKUP("Mins",A1:CV300,57,FALSE)=0,0,HLOOKUP("Base BPS",A1:CV300,57,FALSE)/HLOOKUP("Mins",A1:CV300,57,FALSE)* 90)</f>
      </c>
      <c r="BA57" s="4421">
        <f>IF(HLOOKUP("Mins",A1:CV300,57,FALSE)=0,0,HLOOKUP("PenTchs",A1:CV300,57,FALSE)/HLOOKUP("Mins",A1:CV300,57,FALSE)* 90)</f>
      </c>
      <c r="BB57" s="4422">
        <f>IF(HLOOKUP("Mins",A1:CV300,57,FALSE)=0,0,HLOOKUP("Shots",A1:CV300,57,FALSE)/HLOOKUP("Mins",A1:CV300,57,FALSE)* 90)</f>
      </c>
      <c r="BC57" s="4423">
        <f>IF(HLOOKUP("Mins",A1:CV300,57,FALSE)=0,0,HLOOKUP("SIB",A1:CV300,57,FALSE)/HLOOKUP("Mins",A1:CV300,57,FALSE)* 90)</f>
      </c>
      <c r="BD57" s="4424">
        <f>IF(HLOOKUP("Mins",A1:CV300,57,FALSE)=0,0,HLOOKUP("S6YD",A1:CV300,57,FALSE)/HLOOKUP("Mins",A1:CV300,57,FALSE)* 90)</f>
      </c>
      <c r="BE57" s="4425">
        <f>IF(HLOOKUP("Mins",A1:CV300,57,FALSE)=0,0,HLOOKUP("Headers",A1:CV300,57,FALSE)/HLOOKUP("Mins",A1:CV300,57,FALSE)* 90)</f>
      </c>
      <c r="BF57" s="4426">
        <f>IF(HLOOKUP("Mins",A1:CV300,57,FALSE)=0,0,HLOOKUP("SOT",A1:CV300,57,FALSE)/HLOOKUP("Mins",A1:CV300,57,FALSE)* 90)</f>
      </c>
      <c r="BG57" s="4427">
        <f>IF(HLOOKUP("Mins",A1:CV300,57,FALSE)=0,0,HLOOKUP("As",A1:CV300,57,FALSE)/HLOOKUP("Mins",A1:CV300,57,FALSE)* 90)</f>
      </c>
      <c r="BH57" s="4428">
        <f>IF(HLOOKUP("Mins",A1:CV300,57,FALSE)=0,0,HLOOKUP("FPL As",A1:CV300,57,FALSE)/HLOOKUP("Mins",A1:CV300,57,FALSE)* 90)</f>
      </c>
      <c r="BI57" s="4429">
        <f>IF(HLOOKUP("Mins",A1:CV300,57,FALSE)=0,0,HLOOKUP("BC Created",A1:CV300,57,FALSE)/HLOOKUP("Mins",A1:CV300,57,FALSE)* 90)</f>
      </c>
      <c r="BJ57" s="4430">
        <f>IF(HLOOKUP("Mins",A1:CV300,57,FALSE)=0,0,HLOOKUP("KP",A1:CV300,57,FALSE)/HLOOKUP("Mins",A1:CV300,57,FALSE)* 90)</f>
      </c>
      <c r="BK57" s="4431">
        <f>IF(HLOOKUP("Mins",A1:CV300,57,FALSE)=0,0,HLOOKUP("BC",A1:CV300,57,FALSE)/HLOOKUP("Mins",A1:CV300,57,FALSE)* 90)</f>
      </c>
      <c r="BL57" s="4432">
        <f>IF(HLOOKUP("Mins",A1:CV300,57,FALSE)=0,0,HLOOKUP("BC Miss",A1:CV300,57,FALSE)/HLOOKUP("Mins",A1:CV300,57,FALSE)* 90)</f>
      </c>
      <c r="BM57" s="4433">
        <f>IF(HLOOKUP("Mins",A1:CV300,57,FALSE)=0,0,HLOOKUP("Gs - BC",A1:CV300,57,FALSE)/HLOOKUP("Mins",A1:CV300,57,FALSE)* 90)</f>
      </c>
      <c r="BN57" s="4434">
        <f>IF(HLOOKUP("Mins",A1:CV300,57,FALSE)=0,0,HLOOKUP("GIB",A1:CV300,57,FALSE)/HLOOKUP("Mins",A1:CV300,57,FALSE)* 90)</f>
      </c>
      <c r="BO57" s="4435">
        <f>IF(HLOOKUP("Mins",A1:CV300,57,FALSE)=0,0,HLOOKUP("Gs - Open",A1:CV300,57,FALSE)/HLOOKUP("Mins",A1:CV300,57,FALSE)* 90)</f>
      </c>
      <c r="BP57" s="4436">
        <f>IF(HLOOKUP("Mins",A1:CV300,57,FALSE)=0,0,HLOOKUP("ICT Index",A1:CV300,57,FALSE)/HLOOKUP("Mins",A1:CV300,57,FALSE)* 90)</f>
      </c>
      <c r="BQ57" s="4437">
        <f>IF(HLOOKUP("Mins",A1:CV300,57,FALSE)=0,0,(0.043*(HLOOKUP("Shots",A1:CV300,57,FALSE)-HLOOKUP("SIB",A1:CV300,57,FALSE))+0.162*(HLOOKUP("SIB",A1:CV300,57,FALSE)-(HLOOKUP("PK Gs",A1:CV300,57,FALSE)+HLOOKUP("PK Miss",A1:CV300,57,FALSE)))+0.75*(HLOOKUP("PK Gs",A1:CV300,57,FALSE)+HLOOKUP("PK Miss",A1:CV300,57,FALSE)))/HLOOKUP("Mins",A1:CV300,57,FALSE)*90)</f>
      </c>
      <c r="BR57" s="4438">
        <f>0.103*HLOOKUP("KP/90",A1:CV300,57,FALSE)</f>
      </c>
      <c r="BS57" s="4439">
        <f>4*HLOOKUP("xG/90",A1:CV300,57,FALSE)+3*HLOOKUP("xA/90",A1:CV300,57,FALSE)</f>
      </c>
      <c r="BT57" s="4440">
        <f>HLOOKUP("xPts/90",A1:CV300,57,FALSE)-(4*0.75*(HLOOKUP("PK Gs",A1:CV300,57,FALSE)+HLOOKUP("PK Miss",A1:CV300,57,FALSE))*90/HLOOKUP("Mins",A1:CV300,57,FALSE))</f>
      </c>
      <c r="BU57" s="4441">
        <f>IF(HLOOKUP("Mins",A1:CV300,57,FALSE)=0,0,HLOOKUP("fsXG",A1:CV300,57,FALSE)/HLOOKUP("Mins",A1:CV300,57,FALSE)* 90)</f>
      </c>
      <c r="BV57" s="4442">
        <f>IF(HLOOKUP("Mins",A1:CV300,57,FALSE)=0,0,HLOOKUP("fsXA",A1:CV300,57,FALSE)/HLOOKUP("Mins",A1:CV300,57,FALSE)* 90)</f>
      </c>
      <c r="BW57" s="4443">
        <f>4*HLOOKUP("fsXG/90",A1:CV300,57,FALSE)+3*HLOOKUP("fsXA/90",A1:CV300,57,FALSE)</f>
      </c>
      <c r="BX57" t="n" s="4444">
        <v>0.0</v>
      </c>
      <c r="BY57" t="n" s="4445">
        <v>0.0</v>
      </c>
      <c r="BZ57" s="4446">
        <f>4*HLOOKUP("uXG/90",A1:CV300,57,FALSE)+3*HLOOKUP("uXA/90",A1:CV300,57,FALSE)</f>
      </c>
    </row>
    <row r="58">
      <c r="A58" t="s" s="4447">
        <v>155</v>
      </c>
      <c r="B58" t="s" s="4448">
        <v>149</v>
      </c>
      <c r="C58" t="n" s="4449">
        <v>7.699999809265137</v>
      </c>
      <c r="D58" t="n" s="4450">
        <v>433.0</v>
      </c>
      <c r="E58" t="n" s="4451">
        <v>5.0</v>
      </c>
      <c r="F58" t="n" s="4452">
        <v>130.0</v>
      </c>
      <c r="G58" t="n" s="4453">
        <v>1.0</v>
      </c>
      <c r="H58" t="n" s="4454">
        <v>20.0</v>
      </c>
      <c r="I58" t="n" s="4455">
        <v>395.0</v>
      </c>
      <c r="J58" s="4456">
        <f>HLOOKUP("BPS",A1:CV300,58,FALSE)-((-6*HLOOKUP("OG",A1:CV300,58,FALSE))+(-6*HLOOKUP("PK Miss",A1:CV300,58,FALSE))+(9*HLOOKUP("FPL As",A1:CV300,58,FALSE))+(0*HLOOKUP("CS",A1:CV300,58,FALSE))+(24*HLOOKUP("Gs",A1:CV300,58,FALSE)))</f>
      </c>
      <c r="K58" t="n" s="4457">
        <v>1.0</v>
      </c>
      <c r="L58" t="n" s="4458">
        <v>7.0</v>
      </c>
      <c r="M58" t="n" s="4459">
        <v>25.0</v>
      </c>
      <c r="N58" t="n" s="4460">
        <v>12.0</v>
      </c>
      <c r="O58" t="n" s="4461">
        <v>11.0</v>
      </c>
      <c r="P58" s="4462">
        <f>IF(HLOOKUP("Shots",A1:CV300,58,FALSE)=0,0,HLOOKUP("SIB",A1:CV300,58,FALSE)/HLOOKUP("Shots",A1:CV300,58,FALSE))</f>
      </c>
      <c r="Q58" t="n" s="4463">
        <v>3.0</v>
      </c>
      <c r="R58" s="4464">
        <f>IF(HLOOKUP("Shots",A1:CV300,58,FALSE)=0,0,HLOOKUP("S6YD",A1:CV300,58,FALSE)/HLOOKUP("Shots",A1:CV300,58,FALSE))</f>
      </c>
      <c r="S58" t="n" s="4465">
        <v>4.0</v>
      </c>
      <c r="T58" s="4466">
        <f>IF(HLOOKUP("Shots",A1:CV300,58,FALSE)=0,0,HLOOKUP("Headers",A1:CV300,58,FALSE)/HLOOKUP("Shots",A1:CV300,58,FALSE))</f>
      </c>
      <c r="U58" t="n" s="4467">
        <v>4.0</v>
      </c>
      <c r="V58" s="4468">
        <f>IF(HLOOKUP("Shots",A1:CV300,58,FALSE)=0,0,HLOOKUP("SOT",A1:CV300,58,FALSE)/HLOOKUP("Shots",A1:CV300,58,FALSE))</f>
      </c>
      <c r="W58" s="4469">
        <f>IF(HLOOKUP("Shots",A1:CV300,58,FALSE)=0,0,HLOOKUP("Gs",A1:CV300,58,FALSE)/HLOOKUP("Shots",A1:CV300,58,FALSE))</f>
      </c>
      <c r="X58" t="n" s="4470">
        <v>0.0</v>
      </c>
      <c r="Y58" t="n" s="4471">
        <v>5.0</v>
      </c>
      <c r="Z58" t="n" s="4472">
        <v>4.0</v>
      </c>
      <c r="AA58" s="4473">
        <f>IF(HLOOKUP("KP",A1:CV300,58,FALSE)=0,0,HLOOKUP("As",A1:CV300,58,FALSE)/HLOOKUP("KP",A1:CV300,58,FALSE))</f>
      </c>
      <c r="AB58" t="n" s="4474">
        <v>31.9</v>
      </c>
      <c r="AC58" t="n" s="4475">
        <v>38.0</v>
      </c>
      <c r="AD58" t="n" s="4476">
        <v>0.0</v>
      </c>
      <c r="AE58" t="n" s="4477">
        <v>5.0</v>
      </c>
      <c r="AF58" t="n" s="4478">
        <v>5.0</v>
      </c>
      <c r="AG58" s="4479">
        <f>IF(HLOOKUP("BC",A1:CV300,58,FALSE)=0,0,HLOOKUP("Gs - BC",A1:CV300,58,FALSE)/HLOOKUP("BC",A1:CV300,58,FALSE))</f>
      </c>
      <c r="AH58" s="4480">
        <f>HLOOKUP("BC",A1:CV300,58,FALSE) - HLOOKUP("BC Miss",A1:CV300,58,FALSE)</f>
      </c>
      <c r="AI58" s="4481">
        <f>IF(HLOOKUP("Gs",A1:CV300,58,FALSE)=0,0,HLOOKUP("Gs - BC",A1:CV300,58,FALSE)/HLOOKUP("Gs",A1:CV300,58,FALSE))</f>
      </c>
      <c r="AJ58" t="n" s="4482">
        <v>0.0</v>
      </c>
      <c r="AK58" t="n" s="4483">
        <v>0.0</v>
      </c>
      <c r="AL58" s="4484">
        <f>HLOOKUP("BC",A1:CV300,58,FALSE) - (HLOOKUP("PK Gs",A1:CV300,58,FALSE) + HLOOKUP("PK Miss",A1:CV300,58,FALSE))</f>
      </c>
      <c r="AM58" s="4485">
        <f>HLOOKUP("BC Miss",A1:CV300,58,FALSE) - HLOOKUP("PK Miss",A1:CV300,58,FALSE)</f>
      </c>
      <c r="AN58" s="4486">
        <f>IF(HLOOKUP("BC - Open",A1:CV300,58,FALSE)=0,0,HLOOKUP("BC - Open Miss",A1:CV300,58,FALSE)/HLOOKUP("BC - Open",A1:CV300,58,FALSE))</f>
      </c>
      <c r="AO58" t="n" s="4487">
        <v>1.0</v>
      </c>
      <c r="AP58" s="4488">
        <f>IF(HLOOKUP("Gs",A1:CV300,58,FALSE)=0,0,HLOOKUP("GIB",A1:CV300,58,FALSE)/HLOOKUP("Gs",A1:CV300,58,FALSE))</f>
      </c>
      <c r="AQ58" t="n" s="4489">
        <v>1.0</v>
      </c>
      <c r="AR58" s="4490">
        <f>IF(HLOOKUP("Gs",A1:CV300,58,FALSE)=0,0,HLOOKUP("Gs - Open",A1:CV300,58,FALSE)/HLOOKUP("Gs",A1:CV300,58,FALSE))</f>
      </c>
      <c r="AS58" t="n" s="4491">
        <v>2.33</v>
      </c>
      <c r="AT58" t="n" s="4492">
        <v>0.16</v>
      </c>
      <c r="AU58" s="4493">
        <f>IF(HLOOKUP("Mins",A1:CV300,58,FALSE)=0,0,HLOOKUP("Pts",A1:CV300,58,FALSE)/HLOOKUP("Mins",A1:CV300,58,FALSE)* 90)</f>
      </c>
      <c r="AV58" s="4494">
        <f>IF(HLOOKUP("Apps",A1:CV300,58,FALSE)=0,0,HLOOKUP("Pts",A1:CV300,58,FALSE)/HLOOKUP("Apps",A1:CV300,58,FALSE)* 1)</f>
      </c>
      <c r="AW58" s="4495">
        <f>IF(HLOOKUP("Mins",A1:CV300,58,FALSE)=0,0,HLOOKUP("Gs",A1:CV300,58,FALSE)/HLOOKUP("Mins",A1:CV300,58,FALSE)* 90)</f>
      </c>
      <c r="AX58" s="4496">
        <f>IF(HLOOKUP("Mins",A1:CV300,58,FALSE)=0,0,HLOOKUP("Bonus",A1:CV300,58,FALSE)/HLOOKUP("Mins",A1:CV300,58,FALSE)* 90)</f>
      </c>
      <c r="AY58" s="4497">
        <f>IF(HLOOKUP("Mins",A1:CV300,58,FALSE)=0,0,HLOOKUP("BPS",A1:CV300,58,FALSE)/HLOOKUP("Mins",A1:CV300,58,FALSE)* 90)</f>
      </c>
      <c r="AZ58" s="4498">
        <f>IF(HLOOKUP("Mins",A1:CV300,58,FALSE)=0,0,HLOOKUP("Base BPS",A1:CV300,58,FALSE)/HLOOKUP("Mins",A1:CV300,58,FALSE)* 90)</f>
      </c>
      <c r="BA58" s="4499">
        <f>IF(HLOOKUP("Mins",A1:CV300,58,FALSE)=0,0,HLOOKUP("PenTchs",A1:CV300,58,FALSE)/HLOOKUP("Mins",A1:CV300,58,FALSE)* 90)</f>
      </c>
      <c r="BB58" s="4500">
        <f>IF(HLOOKUP("Mins",A1:CV300,58,FALSE)=0,0,HLOOKUP("Shots",A1:CV300,58,FALSE)/HLOOKUP("Mins",A1:CV300,58,FALSE)* 90)</f>
      </c>
      <c r="BC58" s="4501">
        <f>IF(HLOOKUP("Mins",A1:CV300,58,FALSE)=0,0,HLOOKUP("SIB",A1:CV300,58,FALSE)/HLOOKUP("Mins",A1:CV300,58,FALSE)* 90)</f>
      </c>
      <c r="BD58" s="4502">
        <f>IF(HLOOKUP("Mins",A1:CV300,58,FALSE)=0,0,HLOOKUP("S6YD",A1:CV300,58,FALSE)/HLOOKUP("Mins",A1:CV300,58,FALSE)* 90)</f>
      </c>
      <c r="BE58" s="4503">
        <f>IF(HLOOKUP("Mins",A1:CV300,58,FALSE)=0,0,HLOOKUP("Headers",A1:CV300,58,FALSE)/HLOOKUP("Mins",A1:CV300,58,FALSE)* 90)</f>
      </c>
      <c r="BF58" s="4504">
        <f>IF(HLOOKUP("Mins",A1:CV300,58,FALSE)=0,0,HLOOKUP("SOT",A1:CV300,58,FALSE)/HLOOKUP("Mins",A1:CV300,58,FALSE)* 90)</f>
      </c>
      <c r="BG58" s="4505">
        <f>IF(HLOOKUP("Mins",A1:CV300,58,FALSE)=0,0,HLOOKUP("As",A1:CV300,58,FALSE)/HLOOKUP("Mins",A1:CV300,58,FALSE)* 90)</f>
      </c>
      <c r="BH58" s="4506">
        <f>IF(HLOOKUP("Mins",A1:CV300,58,FALSE)=0,0,HLOOKUP("FPL As",A1:CV300,58,FALSE)/HLOOKUP("Mins",A1:CV300,58,FALSE)* 90)</f>
      </c>
      <c r="BI58" s="4507">
        <f>IF(HLOOKUP("Mins",A1:CV300,58,FALSE)=0,0,HLOOKUP("BC Created",A1:CV300,58,FALSE)/HLOOKUP("Mins",A1:CV300,58,FALSE)* 90)</f>
      </c>
      <c r="BJ58" s="4508">
        <f>IF(HLOOKUP("Mins",A1:CV300,58,FALSE)=0,0,HLOOKUP("KP",A1:CV300,58,FALSE)/HLOOKUP("Mins",A1:CV300,58,FALSE)* 90)</f>
      </c>
      <c r="BK58" s="4509">
        <f>IF(HLOOKUP("Mins",A1:CV300,58,FALSE)=0,0,HLOOKUP("BC",A1:CV300,58,FALSE)/HLOOKUP("Mins",A1:CV300,58,FALSE)* 90)</f>
      </c>
      <c r="BL58" s="4510">
        <f>IF(HLOOKUP("Mins",A1:CV300,58,FALSE)=0,0,HLOOKUP("BC Miss",A1:CV300,58,FALSE)/HLOOKUP("Mins",A1:CV300,58,FALSE)* 90)</f>
      </c>
      <c r="BM58" s="4511">
        <f>IF(HLOOKUP("Mins",A1:CV300,58,FALSE)=0,0,HLOOKUP("Gs - BC",A1:CV300,58,FALSE)/HLOOKUP("Mins",A1:CV300,58,FALSE)* 90)</f>
      </c>
      <c r="BN58" s="4512">
        <f>IF(HLOOKUP("Mins",A1:CV300,58,FALSE)=0,0,HLOOKUP("GIB",A1:CV300,58,FALSE)/HLOOKUP("Mins",A1:CV300,58,FALSE)* 90)</f>
      </c>
      <c r="BO58" s="4513">
        <f>IF(HLOOKUP("Mins",A1:CV300,58,FALSE)=0,0,HLOOKUP("Gs - Open",A1:CV300,58,FALSE)/HLOOKUP("Mins",A1:CV300,58,FALSE)* 90)</f>
      </c>
      <c r="BP58" s="4514">
        <f>IF(HLOOKUP("Mins",A1:CV300,58,FALSE)=0,0,HLOOKUP("ICT Index",A1:CV300,58,FALSE)/HLOOKUP("Mins",A1:CV300,58,FALSE)* 90)</f>
      </c>
      <c r="BQ58" s="4515">
        <f>IF(HLOOKUP("Mins",A1:CV300,58,FALSE)=0,0,(0.043*(HLOOKUP("Shots",A1:CV300,58,FALSE)-HLOOKUP("SIB",A1:CV300,58,FALSE))+0.162*(HLOOKUP("SIB",A1:CV300,58,FALSE)-(HLOOKUP("PK Gs",A1:CV300,58,FALSE)+HLOOKUP("PK Miss",A1:CV300,58,FALSE)))+0.75*(HLOOKUP("PK Gs",A1:CV300,58,FALSE)+HLOOKUP("PK Miss",A1:CV300,58,FALSE)))/HLOOKUP("Mins",A1:CV300,58,FALSE)*90)</f>
      </c>
      <c r="BR58" s="4516">
        <f>0.103*HLOOKUP("KP/90",A1:CV300,58,FALSE)</f>
      </c>
      <c r="BS58" s="4517">
        <f>4*HLOOKUP("xG/90",A1:CV300,58,FALSE)+3*HLOOKUP("xA/90",A1:CV300,58,FALSE)</f>
      </c>
      <c r="BT58" s="4518">
        <f>HLOOKUP("xPts/90",A1:CV300,58,FALSE)-(4*0.75*(HLOOKUP("PK Gs",A1:CV300,58,FALSE)+HLOOKUP("PK Miss",A1:CV300,58,FALSE))*90/HLOOKUP("Mins",A1:CV300,58,FALSE))</f>
      </c>
      <c r="BU58" s="4519">
        <f>IF(HLOOKUP("Mins",A1:CV300,58,FALSE)=0,0,HLOOKUP("fsXG",A1:CV300,58,FALSE)/HLOOKUP("Mins",A1:CV300,58,FALSE)* 90)</f>
      </c>
      <c r="BV58" s="4520">
        <f>IF(HLOOKUP("Mins",A1:CV300,58,FALSE)=0,0,HLOOKUP("fsXA",A1:CV300,58,FALSE)/HLOOKUP("Mins",A1:CV300,58,FALSE)* 90)</f>
      </c>
      <c r="BW58" s="4521">
        <f>4*HLOOKUP("fsXG/90",A1:CV300,58,FALSE)+3*HLOOKUP("fsXA/90",A1:CV300,58,FALSE)</f>
      </c>
      <c r="BX58" t="n" s="4522">
        <v>0.5035607218742371</v>
      </c>
      <c r="BY58" t="n" s="4523">
        <v>0.05916013941168785</v>
      </c>
      <c r="BZ58" s="4524">
        <f>4*HLOOKUP("uXG/90",A1:CV300,58,FALSE)+3*HLOOKUP("uXA/90",A1:CV300,58,FALSE)</f>
      </c>
    </row>
    <row r="59">
      <c r="A59" t="s" s="4525">
        <v>156</v>
      </c>
      <c r="B59" t="s" s="4526">
        <v>100</v>
      </c>
      <c r="C59" t="n" s="4527">
        <v>7.099999904632568</v>
      </c>
      <c r="D59" t="n" s="4528">
        <v>436.0</v>
      </c>
      <c r="E59" t="n" s="4529">
        <v>6.0</v>
      </c>
      <c r="F59" t="n" s="4530">
        <v>135.0</v>
      </c>
      <c r="G59" t="n" s="4531">
        <v>3.0</v>
      </c>
      <c r="H59" t="n" s="4532">
        <v>28.0</v>
      </c>
      <c r="I59" t="n" s="4533">
        <v>488.0</v>
      </c>
      <c r="J59" s="4534">
        <f>HLOOKUP("BPS",A1:CV300,59,FALSE)-((-6*HLOOKUP("OG",A1:CV300,59,FALSE))+(-6*HLOOKUP("PK Miss",A1:CV300,59,FALSE))+(9*HLOOKUP("FPL As",A1:CV300,59,FALSE))+(0*HLOOKUP("CS",A1:CV300,59,FALSE))+(24*HLOOKUP("Gs",A1:CV300,59,FALSE)))</f>
      </c>
      <c r="K59" t="n" s="4535">
        <v>0.0</v>
      </c>
      <c r="L59" t="n" s="4536">
        <v>2.0</v>
      </c>
      <c r="M59" t="n" s="4537">
        <v>37.0</v>
      </c>
      <c r="N59" t="n" s="4538">
        <v>17.0</v>
      </c>
      <c r="O59" t="n" s="4539">
        <v>15.0</v>
      </c>
      <c r="P59" s="4540">
        <f>IF(HLOOKUP("Shots",A1:CV300,59,FALSE)=0,0,HLOOKUP("SIB",A1:CV300,59,FALSE)/HLOOKUP("Shots",A1:CV300,59,FALSE))</f>
      </c>
      <c r="Q59" t="n" s="4541">
        <v>3.0</v>
      </c>
      <c r="R59" s="4542">
        <f>IF(HLOOKUP("Shots",A1:CV300,59,FALSE)=0,0,HLOOKUP("S6YD",A1:CV300,59,FALSE)/HLOOKUP("Shots",A1:CV300,59,FALSE))</f>
      </c>
      <c r="S59" t="n" s="4543">
        <v>3.0</v>
      </c>
      <c r="T59" s="4544">
        <f>IF(HLOOKUP("Shots",A1:CV300,59,FALSE)=0,0,HLOOKUP("Headers",A1:CV300,59,FALSE)/HLOOKUP("Shots",A1:CV300,59,FALSE))</f>
      </c>
      <c r="U59" t="n" s="4545">
        <v>8.0</v>
      </c>
      <c r="V59" s="4546">
        <f>IF(HLOOKUP("Shots",A1:CV300,59,FALSE)=0,0,HLOOKUP("SOT",A1:CV300,59,FALSE)/HLOOKUP("Shots",A1:CV300,59,FALSE))</f>
      </c>
      <c r="W59" s="4547">
        <f>IF(HLOOKUP("Shots",A1:CV300,59,FALSE)=0,0,HLOOKUP("Gs",A1:CV300,59,FALSE)/HLOOKUP("Shots",A1:CV300,59,FALSE))</f>
      </c>
      <c r="X59" t="n" s="4548">
        <v>0.0</v>
      </c>
      <c r="Y59" t="n" s="4549">
        <v>1.0</v>
      </c>
      <c r="Z59" t="n" s="4550">
        <v>4.0</v>
      </c>
      <c r="AA59" s="4551">
        <f>IF(HLOOKUP("KP",A1:CV300,59,FALSE)=0,0,HLOOKUP("As",A1:CV300,59,FALSE)/HLOOKUP("KP",A1:CV300,59,FALSE))</f>
      </c>
      <c r="AB59" t="n" s="4552">
        <v>48.1</v>
      </c>
      <c r="AC59" t="n" s="4553">
        <v>50.0</v>
      </c>
      <c r="AD59" t="n" s="4554">
        <v>0.0</v>
      </c>
      <c r="AE59" t="n" s="4555">
        <v>4.0</v>
      </c>
      <c r="AF59" t="n" s="4556">
        <v>2.0</v>
      </c>
      <c r="AG59" s="4557">
        <f>IF(HLOOKUP("BC",A1:CV300,59,FALSE)=0,0,HLOOKUP("Gs - BC",A1:CV300,59,FALSE)/HLOOKUP("BC",A1:CV300,59,FALSE))</f>
      </c>
      <c r="AH59" s="4558">
        <f>HLOOKUP("BC",A1:CV300,59,FALSE) - HLOOKUP("BC Miss",A1:CV300,59,FALSE)</f>
      </c>
      <c r="AI59" s="4559">
        <f>IF(HLOOKUP("Gs",A1:CV300,59,FALSE)=0,0,HLOOKUP("Gs - BC",A1:CV300,59,FALSE)/HLOOKUP("Gs",A1:CV300,59,FALSE))</f>
      </c>
      <c r="AJ59" t="n" s="4560">
        <v>0.0</v>
      </c>
      <c r="AK59" t="n" s="4561">
        <v>0.0</v>
      </c>
      <c r="AL59" s="4562">
        <f>HLOOKUP("BC",A1:CV300,59,FALSE) - (HLOOKUP("PK Gs",A1:CV300,59,FALSE) + HLOOKUP("PK Miss",A1:CV300,59,FALSE))</f>
      </c>
      <c r="AM59" s="4563">
        <f>HLOOKUP("BC Miss",A1:CV300,59,FALSE) - HLOOKUP("PK Miss",A1:CV300,59,FALSE)</f>
      </c>
      <c r="AN59" s="4564">
        <f>IF(HLOOKUP("BC - Open",A1:CV300,59,FALSE)=0,0,HLOOKUP("BC - Open Miss",A1:CV300,59,FALSE)/HLOOKUP("BC - Open",A1:CV300,59,FALSE))</f>
      </c>
      <c r="AO59" t="n" s="4565">
        <v>1.0</v>
      </c>
      <c r="AP59" s="4566">
        <f>IF(HLOOKUP("Gs",A1:CV300,59,FALSE)=0,0,HLOOKUP("GIB",A1:CV300,59,FALSE)/HLOOKUP("Gs",A1:CV300,59,FALSE))</f>
      </c>
      <c r="AQ59" t="n" s="4567">
        <v>3.0</v>
      </c>
      <c r="AR59" s="4568">
        <f>IF(HLOOKUP("Gs",A1:CV300,59,FALSE)=0,0,HLOOKUP("Gs - Open",A1:CV300,59,FALSE)/HLOOKUP("Gs",A1:CV300,59,FALSE))</f>
      </c>
      <c r="AS59" t="n" s="4569">
        <v>2.63</v>
      </c>
      <c r="AT59" t="n" s="4570">
        <v>0.18</v>
      </c>
      <c r="AU59" s="4571">
        <f>IF(HLOOKUP("Mins",A1:CV300,59,FALSE)=0,0,HLOOKUP("Pts",A1:CV300,59,FALSE)/HLOOKUP("Mins",A1:CV300,59,FALSE)* 90)</f>
      </c>
      <c r="AV59" s="4572">
        <f>IF(HLOOKUP("Apps",A1:CV300,59,FALSE)=0,0,HLOOKUP("Pts",A1:CV300,59,FALSE)/HLOOKUP("Apps",A1:CV300,59,FALSE)* 1)</f>
      </c>
      <c r="AW59" s="4573">
        <f>IF(HLOOKUP("Mins",A1:CV300,59,FALSE)=0,0,HLOOKUP("Gs",A1:CV300,59,FALSE)/HLOOKUP("Mins",A1:CV300,59,FALSE)* 90)</f>
      </c>
      <c r="AX59" s="4574">
        <f>IF(HLOOKUP("Mins",A1:CV300,59,FALSE)=0,0,HLOOKUP("Bonus",A1:CV300,59,FALSE)/HLOOKUP("Mins",A1:CV300,59,FALSE)* 90)</f>
      </c>
      <c r="AY59" s="4575">
        <f>IF(HLOOKUP("Mins",A1:CV300,59,FALSE)=0,0,HLOOKUP("BPS",A1:CV300,59,FALSE)/HLOOKUP("Mins",A1:CV300,59,FALSE)* 90)</f>
      </c>
      <c r="AZ59" s="4576">
        <f>IF(HLOOKUP("Mins",A1:CV300,59,FALSE)=0,0,HLOOKUP("Base BPS",A1:CV300,59,FALSE)/HLOOKUP("Mins",A1:CV300,59,FALSE)* 90)</f>
      </c>
      <c r="BA59" s="4577">
        <f>IF(HLOOKUP("Mins",A1:CV300,59,FALSE)=0,0,HLOOKUP("PenTchs",A1:CV300,59,FALSE)/HLOOKUP("Mins",A1:CV300,59,FALSE)* 90)</f>
      </c>
      <c r="BB59" s="4578">
        <f>IF(HLOOKUP("Mins",A1:CV300,59,FALSE)=0,0,HLOOKUP("Shots",A1:CV300,59,FALSE)/HLOOKUP("Mins",A1:CV300,59,FALSE)* 90)</f>
      </c>
      <c r="BC59" s="4579">
        <f>IF(HLOOKUP("Mins",A1:CV300,59,FALSE)=0,0,HLOOKUP("SIB",A1:CV300,59,FALSE)/HLOOKUP("Mins",A1:CV300,59,FALSE)* 90)</f>
      </c>
      <c r="BD59" s="4580">
        <f>IF(HLOOKUP("Mins",A1:CV300,59,FALSE)=0,0,HLOOKUP("S6YD",A1:CV300,59,FALSE)/HLOOKUP("Mins",A1:CV300,59,FALSE)* 90)</f>
      </c>
      <c r="BE59" s="4581">
        <f>IF(HLOOKUP("Mins",A1:CV300,59,FALSE)=0,0,HLOOKUP("Headers",A1:CV300,59,FALSE)/HLOOKUP("Mins",A1:CV300,59,FALSE)* 90)</f>
      </c>
      <c r="BF59" s="4582">
        <f>IF(HLOOKUP("Mins",A1:CV300,59,FALSE)=0,0,HLOOKUP("SOT",A1:CV300,59,FALSE)/HLOOKUP("Mins",A1:CV300,59,FALSE)* 90)</f>
      </c>
      <c r="BG59" s="4583">
        <f>IF(HLOOKUP("Mins",A1:CV300,59,FALSE)=0,0,HLOOKUP("As",A1:CV300,59,FALSE)/HLOOKUP("Mins",A1:CV300,59,FALSE)* 90)</f>
      </c>
      <c r="BH59" s="4584">
        <f>IF(HLOOKUP("Mins",A1:CV300,59,FALSE)=0,0,HLOOKUP("FPL As",A1:CV300,59,FALSE)/HLOOKUP("Mins",A1:CV300,59,FALSE)* 90)</f>
      </c>
      <c r="BI59" s="4585">
        <f>IF(HLOOKUP("Mins",A1:CV300,59,FALSE)=0,0,HLOOKUP("BC Created",A1:CV300,59,FALSE)/HLOOKUP("Mins",A1:CV300,59,FALSE)* 90)</f>
      </c>
      <c r="BJ59" s="4586">
        <f>IF(HLOOKUP("Mins",A1:CV300,59,FALSE)=0,0,HLOOKUP("KP",A1:CV300,59,FALSE)/HLOOKUP("Mins",A1:CV300,59,FALSE)* 90)</f>
      </c>
      <c r="BK59" s="4587">
        <f>IF(HLOOKUP("Mins",A1:CV300,59,FALSE)=0,0,HLOOKUP("BC",A1:CV300,59,FALSE)/HLOOKUP("Mins",A1:CV300,59,FALSE)* 90)</f>
      </c>
      <c r="BL59" s="4588">
        <f>IF(HLOOKUP("Mins",A1:CV300,59,FALSE)=0,0,HLOOKUP("BC Miss",A1:CV300,59,FALSE)/HLOOKUP("Mins",A1:CV300,59,FALSE)* 90)</f>
      </c>
      <c r="BM59" s="4589">
        <f>IF(HLOOKUP("Mins",A1:CV300,59,FALSE)=0,0,HLOOKUP("Gs - BC",A1:CV300,59,FALSE)/HLOOKUP("Mins",A1:CV300,59,FALSE)* 90)</f>
      </c>
      <c r="BN59" s="4590">
        <f>IF(HLOOKUP("Mins",A1:CV300,59,FALSE)=0,0,HLOOKUP("GIB",A1:CV300,59,FALSE)/HLOOKUP("Mins",A1:CV300,59,FALSE)* 90)</f>
      </c>
      <c r="BO59" s="4591">
        <f>IF(HLOOKUP("Mins",A1:CV300,59,FALSE)=0,0,HLOOKUP("Gs - Open",A1:CV300,59,FALSE)/HLOOKUP("Mins",A1:CV300,59,FALSE)* 90)</f>
      </c>
      <c r="BP59" s="4592">
        <f>IF(HLOOKUP("Mins",A1:CV300,59,FALSE)=0,0,HLOOKUP("ICT Index",A1:CV300,59,FALSE)/HLOOKUP("Mins",A1:CV300,59,FALSE)* 90)</f>
      </c>
      <c r="BQ59" s="4593">
        <f>IF(HLOOKUP("Mins",A1:CV300,59,FALSE)=0,0,(0.043*(HLOOKUP("Shots",A1:CV300,59,FALSE)-HLOOKUP("SIB",A1:CV300,59,FALSE))+0.162*(HLOOKUP("SIB",A1:CV300,59,FALSE)-(HLOOKUP("PK Gs",A1:CV300,59,FALSE)+HLOOKUP("PK Miss",A1:CV300,59,FALSE)))+0.75*(HLOOKUP("PK Gs",A1:CV300,59,FALSE)+HLOOKUP("PK Miss",A1:CV300,59,FALSE)))/HLOOKUP("Mins",A1:CV300,59,FALSE)*90)</f>
      </c>
      <c r="BR59" s="4594">
        <f>0.103*HLOOKUP("KP/90",A1:CV300,59,FALSE)</f>
      </c>
      <c r="BS59" s="4595">
        <f>4*HLOOKUP("xG/90",A1:CV300,59,FALSE)+3*HLOOKUP("xA/90",A1:CV300,59,FALSE)</f>
      </c>
      <c r="BT59" s="4596">
        <f>HLOOKUP("xPts/90",A1:CV300,59,FALSE)-(4*0.75*(HLOOKUP("PK Gs",A1:CV300,59,FALSE)+HLOOKUP("PK Miss",A1:CV300,59,FALSE))*90/HLOOKUP("Mins",A1:CV300,59,FALSE))</f>
      </c>
      <c r="BU59" s="4597">
        <f>IF(HLOOKUP("Mins",A1:CV300,59,FALSE)=0,0,HLOOKUP("fsXG",A1:CV300,59,FALSE)/HLOOKUP("Mins",A1:CV300,59,FALSE)* 90)</f>
      </c>
      <c r="BV59" s="4598">
        <f>IF(HLOOKUP("Mins",A1:CV300,59,FALSE)=0,0,HLOOKUP("fsXA",A1:CV300,59,FALSE)/HLOOKUP("Mins",A1:CV300,59,FALSE)* 90)</f>
      </c>
      <c r="BW59" s="4599">
        <f>4*HLOOKUP("fsXG/90",A1:CV300,59,FALSE)+3*HLOOKUP("fsXA/90",A1:CV300,59,FALSE)</f>
      </c>
      <c r="BX59" t="n" s="4600">
        <v>0.4908351004123688</v>
      </c>
      <c r="BY59" t="n" s="4601">
        <v>0.030489832162857056</v>
      </c>
      <c r="BZ59" s="4602">
        <f>4*HLOOKUP("uXG/90",A1:CV300,59,FALSE)+3*HLOOKUP("uXA/90",A1:CV300,59,FALSE)</f>
      </c>
    </row>
    <row r="60">
      <c r="A60" t="s" s="4603">
        <v>157</v>
      </c>
      <c r="B60" t="s" s="4604">
        <v>116</v>
      </c>
      <c r="C60" t="n" s="4605">
        <v>4.699999809265137</v>
      </c>
      <c r="D60" t="n" s="4606">
        <v>15.0</v>
      </c>
      <c r="E60" t="n" s="4607">
        <v>1.0</v>
      </c>
      <c r="F60" t="n" s="4608">
        <v>4.0</v>
      </c>
      <c r="G60" t="n" s="4609">
        <v>0.0</v>
      </c>
      <c r="H60" t="n" s="4610">
        <v>0.0</v>
      </c>
      <c r="I60" t="n" s="4611">
        <v>8.0</v>
      </c>
      <c r="J60" s="4612">
        <f>HLOOKUP("BPS",A1:CV300,60,FALSE)-((-6*HLOOKUP("OG",A1:CV300,60,FALSE))+(-6*HLOOKUP("PK Miss",A1:CV300,60,FALSE))+(9*HLOOKUP("FPL As",A1:CV300,60,FALSE))+(0*HLOOKUP("CS",A1:CV300,60,FALSE))+(24*HLOOKUP("Gs",A1:CV300,60,FALSE)))</f>
      </c>
      <c r="K60" t="n" s="4613">
        <v>0.0</v>
      </c>
      <c r="L60" t="n" s="4614">
        <v>0.0</v>
      </c>
      <c r="M60" t="n" s="4615">
        <v>0.0</v>
      </c>
      <c r="N60" t="n" s="4616">
        <v>0.0</v>
      </c>
      <c r="O60" t="n" s="4617">
        <v>0.0</v>
      </c>
      <c r="P60" s="4618">
        <f>IF(HLOOKUP("Shots",A1:CV300,60,FALSE)=0,0,HLOOKUP("SIB",A1:CV300,60,FALSE)/HLOOKUP("Shots",A1:CV300,60,FALSE))</f>
      </c>
      <c r="Q60" t="n" s="4619">
        <v>0.0</v>
      </c>
      <c r="R60" s="4620">
        <f>IF(HLOOKUP("Shots",A1:CV300,60,FALSE)=0,0,HLOOKUP("S6YD",A1:CV300,60,FALSE)/HLOOKUP("Shots",A1:CV300,60,FALSE))</f>
      </c>
      <c r="S60" t="n" s="4621">
        <v>0.0</v>
      </c>
      <c r="T60" s="4622">
        <f>IF(HLOOKUP("Shots",A1:CV300,60,FALSE)=0,0,HLOOKUP("Headers",A1:CV300,60,FALSE)/HLOOKUP("Shots",A1:CV300,60,FALSE))</f>
      </c>
      <c r="U60" t="n" s="4623">
        <v>0.0</v>
      </c>
      <c r="V60" s="4624">
        <f>IF(HLOOKUP("Shots",A1:CV300,60,FALSE)=0,0,HLOOKUP("SOT",A1:CV300,60,FALSE)/HLOOKUP("Shots",A1:CV300,60,FALSE))</f>
      </c>
      <c r="W60" s="4625">
        <f>IF(HLOOKUP("Shots",A1:CV300,60,FALSE)=0,0,HLOOKUP("Gs",A1:CV300,60,FALSE)/HLOOKUP("Shots",A1:CV300,60,FALSE))</f>
      </c>
      <c r="X60" t="n" s="4626">
        <v>0.0</v>
      </c>
      <c r="Y60" t="n" s="4627">
        <v>0.0</v>
      </c>
      <c r="Z60" t="n" s="4628">
        <v>0.0</v>
      </c>
      <c r="AA60" s="4629">
        <f>IF(HLOOKUP("KP",A1:CV300,60,FALSE)=0,0,HLOOKUP("As",A1:CV300,60,FALSE)/HLOOKUP("KP",A1:CV300,60,FALSE))</f>
      </c>
      <c r="AB60" t="n" s="4630">
        <v>0.0</v>
      </c>
      <c r="AC60" t="n" s="4631">
        <v>0.0</v>
      </c>
      <c r="AD60" t="n" s="4632">
        <v>0.0</v>
      </c>
      <c r="AE60" t="n" s="4633">
        <v>0.0</v>
      </c>
      <c r="AF60" t="n" s="4634">
        <v>0.0</v>
      </c>
      <c r="AG60" s="4635">
        <f>IF(HLOOKUP("BC",A1:CV300,60,FALSE)=0,0,HLOOKUP("Gs - BC",A1:CV300,60,FALSE)/HLOOKUP("BC",A1:CV300,60,FALSE))</f>
      </c>
      <c r="AH60" s="4636">
        <f>HLOOKUP("BC",A1:CV300,60,FALSE) - HLOOKUP("BC Miss",A1:CV300,60,FALSE)</f>
      </c>
      <c r="AI60" s="4637">
        <f>IF(HLOOKUP("Gs",A1:CV300,60,FALSE)=0,0,HLOOKUP("Gs - BC",A1:CV300,60,FALSE)/HLOOKUP("Gs",A1:CV300,60,FALSE))</f>
      </c>
      <c r="AJ60" t="n" s="4638">
        <v>0.0</v>
      </c>
      <c r="AK60" t="n" s="4639">
        <v>0.0</v>
      </c>
      <c r="AL60" s="4640">
        <f>HLOOKUP("BC",A1:CV300,60,FALSE) - (HLOOKUP("PK Gs",A1:CV300,60,FALSE) + HLOOKUP("PK Miss",A1:CV300,60,FALSE))</f>
      </c>
      <c r="AM60" s="4641">
        <f>HLOOKUP("BC Miss",A1:CV300,60,FALSE) - HLOOKUP("PK Miss",A1:CV300,60,FALSE)</f>
      </c>
      <c r="AN60" s="4642">
        <f>IF(HLOOKUP("BC - Open",A1:CV300,60,FALSE)=0,0,HLOOKUP("BC - Open Miss",A1:CV300,60,FALSE)/HLOOKUP("BC - Open",A1:CV300,60,FALSE))</f>
      </c>
      <c r="AO60" t="n" s="4643">
        <v>0.0</v>
      </c>
      <c r="AP60" s="4644">
        <f>IF(HLOOKUP("Gs",A1:CV300,60,FALSE)=0,0,HLOOKUP("GIB",A1:CV300,60,FALSE)/HLOOKUP("Gs",A1:CV300,60,FALSE))</f>
      </c>
      <c r="AQ60" t="n" s="4645">
        <v>0.0</v>
      </c>
      <c r="AR60" s="4646">
        <f>IF(HLOOKUP("Gs",A1:CV300,60,FALSE)=0,0,HLOOKUP("Gs - Open",A1:CV300,60,FALSE)/HLOOKUP("Gs",A1:CV300,60,FALSE))</f>
      </c>
      <c r="AS60" t="n" s="4647">
        <v>0.0</v>
      </c>
      <c r="AT60" t="n" s="4648">
        <v>0.0</v>
      </c>
      <c r="AU60" s="4649">
        <f>IF(HLOOKUP("Mins",A1:CV300,60,FALSE)=0,0,HLOOKUP("Pts",A1:CV300,60,FALSE)/HLOOKUP("Mins",A1:CV300,60,FALSE)* 90)</f>
      </c>
      <c r="AV60" s="4650">
        <f>IF(HLOOKUP("Apps",A1:CV300,60,FALSE)=0,0,HLOOKUP("Pts",A1:CV300,60,FALSE)/HLOOKUP("Apps",A1:CV300,60,FALSE)* 1)</f>
      </c>
      <c r="AW60" s="4651">
        <f>IF(HLOOKUP("Mins",A1:CV300,60,FALSE)=0,0,HLOOKUP("Gs",A1:CV300,60,FALSE)/HLOOKUP("Mins",A1:CV300,60,FALSE)* 90)</f>
      </c>
      <c r="AX60" s="4652">
        <f>IF(HLOOKUP("Mins",A1:CV300,60,FALSE)=0,0,HLOOKUP("Bonus",A1:CV300,60,FALSE)/HLOOKUP("Mins",A1:CV300,60,FALSE)* 90)</f>
      </c>
      <c r="AY60" s="4653">
        <f>IF(HLOOKUP("Mins",A1:CV300,60,FALSE)=0,0,HLOOKUP("BPS",A1:CV300,60,FALSE)/HLOOKUP("Mins",A1:CV300,60,FALSE)* 90)</f>
      </c>
      <c r="AZ60" s="4654">
        <f>IF(HLOOKUP("Mins",A1:CV300,60,FALSE)=0,0,HLOOKUP("Base BPS",A1:CV300,60,FALSE)/HLOOKUP("Mins",A1:CV300,60,FALSE)* 90)</f>
      </c>
      <c r="BA60" s="4655">
        <f>IF(HLOOKUP("Mins",A1:CV300,60,FALSE)=0,0,HLOOKUP("PenTchs",A1:CV300,60,FALSE)/HLOOKUP("Mins",A1:CV300,60,FALSE)* 90)</f>
      </c>
      <c r="BB60" s="4656">
        <f>IF(HLOOKUP("Mins",A1:CV300,60,FALSE)=0,0,HLOOKUP("Shots",A1:CV300,60,FALSE)/HLOOKUP("Mins",A1:CV300,60,FALSE)* 90)</f>
      </c>
      <c r="BC60" s="4657">
        <f>IF(HLOOKUP("Mins",A1:CV300,60,FALSE)=0,0,HLOOKUP("SIB",A1:CV300,60,FALSE)/HLOOKUP("Mins",A1:CV300,60,FALSE)* 90)</f>
      </c>
      <c r="BD60" s="4658">
        <f>IF(HLOOKUP("Mins",A1:CV300,60,FALSE)=0,0,HLOOKUP("S6YD",A1:CV300,60,FALSE)/HLOOKUP("Mins",A1:CV300,60,FALSE)* 90)</f>
      </c>
      <c r="BE60" s="4659">
        <f>IF(HLOOKUP("Mins",A1:CV300,60,FALSE)=0,0,HLOOKUP("Headers",A1:CV300,60,FALSE)/HLOOKUP("Mins",A1:CV300,60,FALSE)* 90)</f>
      </c>
      <c r="BF60" s="4660">
        <f>IF(HLOOKUP("Mins",A1:CV300,60,FALSE)=0,0,HLOOKUP("SOT",A1:CV300,60,FALSE)/HLOOKUP("Mins",A1:CV300,60,FALSE)* 90)</f>
      </c>
      <c r="BG60" s="4661">
        <f>IF(HLOOKUP("Mins",A1:CV300,60,FALSE)=0,0,HLOOKUP("As",A1:CV300,60,FALSE)/HLOOKUP("Mins",A1:CV300,60,FALSE)* 90)</f>
      </c>
      <c r="BH60" s="4662">
        <f>IF(HLOOKUP("Mins",A1:CV300,60,FALSE)=0,0,HLOOKUP("FPL As",A1:CV300,60,FALSE)/HLOOKUP("Mins",A1:CV300,60,FALSE)* 90)</f>
      </c>
      <c r="BI60" s="4663">
        <f>IF(HLOOKUP("Mins",A1:CV300,60,FALSE)=0,0,HLOOKUP("BC Created",A1:CV300,60,FALSE)/HLOOKUP("Mins",A1:CV300,60,FALSE)* 90)</f>
      </c>
      <c r="BJ60" s="4664">
        <f>IF(HLOOKUP("Mins",A1:CV300,60,FALSE)=0,0,HLOOKUP("KP",A1:CV300,60,FALSE)/HLOOKUP("Mins",A1:CV300,60,FALSE)* 90)</f>
      </c>
      <c r="BK60" s="4665">
        <f>IF(HLOOKUP("Mins",A1:CV300,60,FALSE)=0,0,HLOOKUP("BC",A1:CV300,60,FALSE)/HLOOKUP("Mins",A1:CV300,60,FALSE)* 90)</f>
      </c>
      <c r="BL60" s="4666">
        <f>IF(HLOOKUP("Mins",A1:CV300,60,FALSE)=0,0,HLOOKUP("BC Miss",A1:CV300,60,FALSE)/HLOOKUP("Mins",A1:CV300,60,FALSE)* 90)</f>
      </c>
      <c r="BM60" s="4667">
        <f>IF(HLOOKUP("Mins",A1:CV300,60,FALSE)=0,0,HLOOKUP("Gs - BC",A1:CV300,60,FALSE)/HLOOKUP("Mins",A1:CV300,60,FALSE)* 90)</f>
      </c>
      <c r="BN60" s="4668">
        <f>IF(HLOOKUP("Mins",A1:CV300,60,FALSE)=0,0,HLOOKUP("GIB",A1:CV300,60,FALSE)/HLOOKUP("Mins",A1:CV300,60,FALSE)* 90)</f>
      </c>
      <c r="BO60" s="4669">
        <f>IF(HLOOKUP("Mins",A1:CV300,60,FALSE)=0,0,HLOOKUP("Gs - Open",A1:CV300,60,FALSE)/HLOOKUP("Mins",A1:CV300,60,FALSE)* 90)</f>
      </c>
      <c r="BP60" s="4670">
        <f>IF(HLOOKUP("Mins",A1:CV300,60,FALSE)=0,0,HLOOKUP("ICT Index",A1:CV300,60,FALSE)/HLOOKUP("Mins",A1:CV300,60,FALSE)* 90)</f>
      </c>
      <c r="BQ60" s="4671">
        <f>IF(HLOOKUP("Mins",A1:CV300,60,FALSE)=0,0,(0.043*(HLOOKUP("Shots",A1:CV300,60,FALSE)-HLOOKUP("SIB",A1:CV300,60,FALSE))+0.162*(HLOOKUP("SIB",A1:CV300,60,FALSE)-(HLOOKUP("PK Gs",A1:CV300,60,FALSE)+HLOOKUP("PK Miss",A1:CV300,60,FALSE)))+0.75*(HLOOKUP("PK Gs",A1:CV300,60,FALSE)+HLOOKUP("PK Miss",A1:CV300,60,FALSE)))/HLOOKUP("Mins",A1:CV300,60,FALSE)*90)</f>
      </c>
      <c r="BR60" s="4672">
        <f>0.103*HLOOKUP("KP/90",A1:CV300,60,FALSE)</f>
      </c>
      <c r="BS60" s="4673">
        <f>4*HLOOKUP("xG/90",A1:CV300,60,FALSE)+3*HLOOKUP("xA/90",A1:CV300,60,FALSE)</f>
      </c>
      <c r="BT60" s="4674">
        <f>HLOOKUP("xPts/90",A1:CV300,60,FALSE)-(4*0.75*(HLOOKUP("PK Gs",A1:CV300,60,FALSE)+HLOOKUP("PK Miss",A1:CV300,60,FALSE))*90/HLOOKUP("Mins",A1:CV300,60,FALSE))</f>
      </c>
      <c r="BU60" s="4675">
        <f>IF(HLOOKUP("Mins",A1:CV300,60,FALSE)=0,0,HLOOKUP("fsXG",A1:CV300,60,FALSE)/HLOOKUP("Mins",A1:CV300,60,FALSE)* 90)</f>
      </c>
      <c r="BV60" s="4676">
        <f>IF(HLOOKUP("Mins",A1:CV300,60,FALSE)=0,0,HLOOKUP("fsXA",A1:CV300,60,FALSE)/HLOOKUP("Mins",A1:CV300,60,FALSE)* 90)</f>
      </c>
      <c r="BW60" s="4677">
        <f>4*HLOOKUP("fsXG/90",A1:CV300,60,FALSE)+3*HLOOKUP("fsXA/90",A1:CV300,60,FALSE)</f>
      </c>
      <c r="BX60" t="n" s="4678">
        <v>0.0</v>
      </c>
      <c r="BY60" t="n" s="4679">
        <v>0.0</v>
      </c>
      <c r="BZ60" s="4680">
        <f>4*HLOOKUP("uXG/90",A1:CV300,60,FALSE)+3*HLOOKUP("uXA/90",A1:CV300,60,FALSE)</f>
      </c>
    </row>
    <row r="61">
      <c r="A61" t="s" s="4681">
        <v>158</v>
      </c>
      <c r="B61" t="s" s="4682">
        <v>92</v>
      </c>
      <c r="C61" t="n" s="4683">
        <v>5.199999809265137</v>
      </c>
      <c r="D61" t="n" s="4684">
        <v>279.0</v>
      </c>
      <c r="E61" t="n" s="4685">
        <v>5.0</v>
      </c>
      <c r="F61" t="n" s="4686">
        <v>39.0</v>
      </c>
      <c r="G61" t="n" s="4687">
        <v>0.0</v>
      </c>
      <c r="H61" t="n" s="4688">
        <v>0.0</v>
      </c>
      <c r="I61" t="n" s="4689">
        <v>72.0</v>
      </c>
      <c r="J61" s="4690">
        <f>HLOOKUP("BPS",A1:CV300,61,FALSE)-((-6*HLOOKUP("OG",A1:CV300,61,FALSE))+(-6*HLOOKUP("PK Miss",A1:CV300,61,FALSE))+(9*HLOOKUP("FPL As",A1:CV300,61,FALSE))+(0*HLOOKUP("CS",A1:CV300,61,FALSE))+(24*HLOOKUP("Gs",A1:CV300,61,FALSE)))</f>
      </c>
      <c r="K61" t="n" s="4691">
        <v>0.0</v>
      </c>
      <c r="L61" t="n" s="4692">
        <v>1.0</v>
      </c>
      <c r="M61" t="n" s="4693">
        <v>13.0</v>
      </c>
      <c r="N61" t="n" s="4694">
        <v>2.0</v>
      </c>
      <c r="O61" t="n" s="4695">
        <v>2.0</v>
      </c>
      <c r="P61" s="4696">
        <f>IF(HLOOKUP("Shots",A1:CV300,61,FALSE)=0,0,HLOOKUP("SIB",A1:CV300,61,FALSE)/HLOOKUP("Shots",A1:CV300,61,FALSE))</f>
      </c>
      <c r="Q61" t="n" s="4697">
        <v>1.0</v>
      </c>
      <c r="R61" s="4698">
        <f>IF(HLOOKUP("Shots",A1:CV300,61,FALSE)=0,0,HLOOKUP("S6YD",A1:CV300,61,FALSE)/HLOOKUP("Shots",A1:CV300,61,FALSE))</f>
      </c>
      <c r="S61" t="n" s="4699">
        <v>1.0</v>
      </c>
      <c r="T61" s="4700">
        <f>IF(HLOOKUP("Shots",A1:CV300,61,FALSE)=0,0,HLOOKUP("Headers",A1:CV300,61,FALSE)/HLOOKUP("Shots",A1:CV300,61,FALSE))</f>
      </c>
      <c r="U61" t="n" s="4701">
        <v>0.0</v>
      </c>
      <c r="V61" s="4702">
        <f>IF(HLOOKUP("Shots",A1:CV300,61,FALSE)=0,0,HLOOKUP("SOT",A1:CV300,61,FALSE)/HLOOKUP("Shots",A1:CV300,61,FALSE))</f>
      </c>
      <c r="W61" s="4703">
        <f>IF(HLOOKUP("Shots",A1:CV300,61,FALSE)=0,0,HLOOKUP("Gs",A1:CV300,61,FALSE)/HLOOKUP("Shots",A1:CV300,61,FALSE))</f>
      </c>
      <c r="X61" t="n" s="4704">
        <v>1.0</v>
      </c>
      <c r="Y61" t="n" s="4705">
        <v>2.0</v>
      </c>
      <c r="Z61" t="n" s="4706">
        <v>2.0</v>
      </c>
      <c r="AA61" s="4707">
        <f>IF(HLOOKUP("KP",A1:CV300,61,FALSE)=0,0,HLOOKUP("As",A1:CV300,61,FALSE)/HLOOKUP("KP",A1:CV300,61,FALSE))</f>
      </c>
      <c r="AB61" t="n" s="4708">
        <v>11.2</v>
      </c>
      <c r="AC61" t="n" s="4709">
        <v>67.0</v>
      </c>
      <c r="AD61" t="n" s="4710">
        <v>0.0</v>
      </c>
      <c r="AE61" t="n" s="4711">
        <v>1.0</v>
      </c>
      <c r="AF61" t="n" s="4712">
        <v>1.0</v>
      </c>
      <c r="AG61" s="4713">
        <f>IF(HLOOKUP("BC",A1:CV300,61,FALSE)=0,0,HLOOKUP("Gs - BC",A1:CV300,61,FALSE)/HLOOKUP("BC",A1:CV300,61,FALSE))</f>
      </c>
      <c r="AH61" s="4714">
        <f>HLOOKUP("BC",A1:CV300,61,FALSE) - HLOOKUP("BC Miss",A1:CV300,61,FALSE)</f>
      </c>
      <c r="AI61" s="4715">
        <f>IF(HLOOKUP("Gs",A1:CV300,61,FALSE)=0,0,HLOOKUP("Gs - BC",A1:CV300,61,FALSE)/HLOOKUP("Gs",A1:CV300,61,FALSE))</f>
      </c>
      <c r="AJ61" t="n" s="4716">
        <v>0.0</v>
      </c>
      <c r="AK61" t="n" s="4717">
        <v>0.0</v>
      </c>
      <c r="AL61" s="4718">
        <f>HLOOKUP("BC",A1:CV300,61,FALSE) - (HLOOKUP("PK Gs",A1:CV300,61,FALSE) + HLOOKUP("PK Miss",A1:CV300,61,FALSE))</f>
      </c>
      <c r="AM61" s="4719">
        <f>HLOOKUP("BC Miss",A1:CV300,61,FALSE) - HLOOKUP("PK Miss",A1:CV300,61,FALSE)</f>
      </c>
      <c r="AN61" s="4720">
        <f>IF(HLOOKUP("BC - Open",A1:CV300,61,FALSE)=0,0,HLOOKUP("BC - Open Miss",A1:CV300,61,FALSE)/HLOOKUP("BC - Open",A1:CV300,61,FALSE))</f>
      </c>
      <c r="AO61" t="n" s="4721">
        <v>0.0</v>
      </c>
      <c r="AP61" s="4722">
        <f>IF(HLOOKUP("Gs",A1:CV300,61,FALSE)=0,0,HLOOKUP("GIB",A1:CV300,61,FALSE)/HLOOKUP("Gs",A1:CV300,61,FALSE))</f>
      </c>
      <c r="AQ61" t="n" s="4723">
        <v>0.0</v>
      </c>
      <c r="AR61" s="4724">
        <f>IF(HLOOKUP("Gs",A1:CV300,61,FALSE)=0,0,HLOOKUP("Gs - Open",A1:CV300,61,FALSE)/HLOOKUP("Gs",A1:CV300,61,FALSE))</f>
      </c>
      <c r="AS61" t="n" s="4725">
        <v>0.55</v>
      </c>
      <c r="AT61" t="n" s="4726">
        <v>0.2</v>
      </c>
      <c r="AU61" s="4727">
        <f>IF(HLOOKUP("Mins",A1:CV300,61,FALSE)=0,0,HLOOKUP("Pts",A1:CV300,61,FALSE)/HLOOKUP("Mins",A1:CV300,61,FALSE)* 90)</f>
      </c>
      <c r="AV61" s="4728">
        <f>IF(HLOOKUP("Apps",A1:CV300,61,FALSE)=0,0,HLOOKUP("Pts",A1:CV300,61,FALSE)/HLOOKUP("Apps",A1:CV300,61,FALSE)* 1)</f>
      </c>
      <c r="AW61" s="4729">
        <f>IF(HLOOKUP("Mins",A1:CV300,61,FALSE)=0,0,HLOOKUP("Gs",A1:CV300,61,FALSE)/HLOOKUP("Mins",A1:CV300,61,FALSE)* 90)</f>
      </c>
      <c r="AX61" s="4730">
        <f>IF(HLOOKUP("Mins",A1:CV300,61,FALSE)=0,0,HLOOKUP("Bonus",A1:CV300,61,FALSE)/HLOOKUP("Mins",A1:CV300,61,FALSE)* 90)</f>
      </c>
      <c r="AY61" s="4731">
        <f>IF(HLOOKUP("Mins",A1:CV300,61,FALSE)=0,0,HLOOKUP("BPS",A1:CV300,61,FALSE)/HLOOKUP("Mins",A1:CV300,61,FALSE)* 90)</f>
      </c>
      <c r="AZ61" s="4732">
        <f>IF(HLOOKUP("Mins",A1:CV300,61,FALSE)=0,0,HLOOKUP("Base BPS",A1:CV300,61,FALSE)/HLOOKUP("Mins",A1:CV300,61,FALSE)* 90)</f>
      </c>
      <c r="BA61" s="4733">
        <f>IF(HLOOKUP("Mins",A1:CV300,61,FALSE)=0,0,HLOOKUP("PenTchs",A1:CV300,61,FALSE)/HLOOKUP("Mins",A1:CV300,61,FALSE)* 90)</f>
      </c>
      <c r="BB61" s="4734">
        <f>IF(HLOOKUP("Mins",A1:CV300,61,FALSE)=0,0,HLOOKUP("Shots",A1:CV300,61,FALSE)/HLOOKUP("Mins",A1:CV300,61,FALSE)* 90)</f>
      </c>
      <c r="BC61" s="4735">
        <f>IF(HLOOKUP("Mins",A1:CV300,61,FALSE)=0,0,HLOOKUP("SIB",A1:CV300,61,FALSE)/HLOOKUP("Mins",A1:CV300,61,FALSE)* 90)</f>
      </c>
      <c r="BD61" s="4736">
        <f>IF(HLOOKUP("Mins",A1:CV300,61,FALSE)=0,0,HLOOKUP("S6YD",A1:CV300,61,FALSE)/HLOOKUP("Mins",A1:CV300,61,FALSE)* 90)</f>
      </c>
      <c r="BE61" s="4737">
        <f>IF(HLOOKUP("Mins",A1:CV300,61,FALSE)=0,0,HLOOKUP("Headers",A1:CV300,61,FALSE)/HLOOKUP("Mins",A1:CV300,61,FALSE)* 90)</f>
      </c>
      <c r="BF61" s="4738">
        <f>IF(HLOOKUP("Mins",A1:CV300,61,FALSE)=0,0,HLOOKUP("SOT",A1:CV300,61,FALSE)/HLOOKUP("Mins",A1:CV300,61,FALSE)* 90)</f>
      </c>
      <c r="BG61" s="4739">
        <f>IF(HLOOKUP("Mins",A1:CV300,61,FALSE)=0,0,HLOOKUP("As",A1:CV300,61,FALSE)/HLOOKUP("Mins",A1:CV300,61,FALSE)* 90)</f>
      </c>
      <c r="BH61" s="4740">
        <f>IF(HLOOKUP("Mins",A1:CV300,61,FALSE)=0,0,HLOOKUP("FPL As",A1:CV300,61,FALSE)/HLOOKUP("Mins",A1:CV300,61,FALSE)* 90)</f>
      </c>
      <c r="BI61" s="4741">
        <f>IF(HLOOKUP("Mins",A1:CV300,61,FALSE)=0,0,HLOOKUP("BC Created",A1:CV300,61,FALSE)/HLOOKUP("Mins",A1:CV300,61,FALSE)* 90)</f>
      </c>
      <c r="BJ61" s="4742">
        <f>IF(HLOOKUP("Mins",A1:CV300,61,FALSE)=0,0,HLOOKUP("KP",A1:CV300,61,FALSE)/HLOOKUP("Mins",A1:CV300,61,FALSE)* 90)</f>
      </c>
      <c r="BK61" s="4743">
        <f>IF(HLOOKUP("Mins",A1:CV300,61,FALSE)=0,0,HLOOKUP("BC",A1:CV300,61,FALSE)/HLOOKUP("Mins",A1:CV300,61,FALSE)* 90)</f>
      </c>
      <c r="BL61" s="4744">
        <f>IF(HLOOKUP("Mins",A1:CV300,61,FALSE)=0,0,HLOOKUP("BC Miss",A1:CV300,61,FALSE)/HLOOKUP("Mins",A1:CV300,61,FALSE)* 90)</f>
      </c>
      <c r="BM61" s="4745">
        <f>IF(HLOOKUP("Mins",A1:CV300,61,FALSE)=0,0,HLOOKUP("Gs - BC",A1:CV300,61,FALSE)/HLOOKUP("Mins",A1:CV300,61,FALSE)* 90)</f>
      </c>
      <c r="BN61" s="4746">
        <f>IF(HLOOKUP("Mins",A1:CV300,61,FALSE)=0,0,HLOOKUP("GIB",A1:CV300,61,FALSE)/HLOOKUP("Mins",A1:CV300,61,FALSE)* 90)</f>
      </c>
      <c r="BO61" s="4747">
        <f>IF(HLOOKUP("Mins",A1:CV300,61,FALSE)=0,0,HLOOKUP("Gs - Open",A1:CV300,61,FALSE)/HLOOKUP("Mins",A1:CV300,61,FALSE)* 90)</f>
      </c>
      <c r="BP61" s="4748">
        <f>IF(HLOOKUP("Mins",A1:CV300,61,FALSE)=0,0,HLOOKUP("ICT Index",A1:CV300,61,FALSE)/HLOOKUP("Mins",A1:CV300,61,FALSE)* 90)</f>
      </c>
      <c r="BQ61" s="4749">
        <f>IF(HLOOKUP("Mins",A1:CV300,61,FALSE)=0,0,(0.043*(HLOOKUP("Shots",A1:CV300,61,FALSE)-HLOOKUP("SIB",A1:CV300,61,FALSE))+0.162*(HLOOKUP("SIB",A1:CV300,61,FALSE)-(HLOOKUP("PK Gs",A1:CV300,61,FALSE)+HLOOKUP("PK Miss",A1:CV300,61,FALSE)))+0.75*(HLOOKUP("PK Gs",A1:CV300,61,FALSE)+HLOOKUP("PK Miss",A1:CV300,61,FALSE)))/HLOOKUP("Mins",A1:CV300,61,FALSE)*90)</f>
      </c>
      <c r="BR61" s="4750">
        <f>0.103*HLOOKUP("KP/90",A1:CV300,61,FALSE)</f>
      </c>
      <c r="BS61" s="4751">
        <f>4*HLOOKUP("xG/90",A1:CV300,61,FALSE)+3*HLOOKUP("xA/90",A1:CV300,61,FALSE)</f>
      </c>
      <c r="BT61" s="4752">
        <f>HLOOKUP("xPts/90",A1:CV300,61,FALSE)-(4*0.75*(HLOOKUP("PK Gs",A1:CV300,61,FALSE)+HLOOKUP("PK Miss",A1:CV300,61,FALSE))*90/HLOOKUP("Mins",A1:CV300,61,FALSE))</f>
      </c>
      <c r="BU61" s="4753">
        <f>IF(HLOOKUP("Mins",A1:CV300,61,FALSE)=0,0,HLOOKUP("fsXG",A1:CV300,61,FALSE)/HLOOKUP("Mins",A1:CV300,61,FALSE)* 90)</f>
      </c>
      <c r="BV61" s="4754">
        <f>IF(HLOOKUP("Mins",A1:CV300,61,FALSE)=0,0,HLOOKUP("fsXA",A1:CV300,61,FALSE)/HLOOKUP("Mins",A1:CV300,61,FALSE)* 90)</f>
      </c>
      <c r="BW61" s="4755">
        <f>4*HLOOKUP("fsXG/90",A1:CV300,61,FALSE)+3*HLOOKUP("fsXA/90",A1:CV300,61,FALSE)</f>
      </c>
      <c r="BX61" t="n" s="4756">
        <v>0.22594618797302246</v>
      </c>
      <c r="BY61" t="n" s="4757">
        <v>0.06543124467134476</v>
      </c>
      <c r="BZ61" s="4758">
        <f>4*HLOOKUP("uXG/90",A1:CV300,61,FALSE)+3*HLOOKUP("uXA/90",A1:CV300,61,FALSE)</f>
      </c>
    </row>
    <row r="62">
      <c r="A62" t="s" s="4759">
        <v>159</v>
      </c>
      <c r="B62" t="s" s="4760">
        <v>92</v>
      </c>
      <c r="C62" t="n" s="4761">
        <v>4.300000190734863</v>
      </c>
      <c r="D62" t="n" s="4762">
        <v>15.0</v>
      </c>
      <c r="E62" t="n" s="4763">
        <v>1.0</v>
      </c>
      <c r="F62" t="n" s="4764">
        <v>1.0</v>
      </c>
      <c r="G62" t="n" s="4765">
        <v>0.0</v>
      </c>
      <c r="H62" t="n" s="4766">
        <v>0.0</v>
      </c>
      <c r="I62" t="n" s="4767">
        <v>3.0</v>
      </c>
      <c r="J62" s="4768">
        <f>HLOOKUP("BPS",A1:CV300,62,FALSE)-((-6*HLOOKUP("OG",A1:CV300,62,FALSE))+(-6*HLOOKUP("PK Miss",A1:CV300,62,FALSE))+(9*HLOOKUP("FPL As",A1:CV300,62,FALSE))+(0*HLOOKUP("CS",A1:CV300,62,FALSE))+(24*HLOOKUP("Gs",A1:CV300,62,FALSE)))</f>
      </c>
      <c r="K62" t="n" s="4769">
        <v>0.0</v>
      </c>
      <c r="L62" t="n" s="4770">
        <v>0.0</v>
      </c>
      <c r="M62" t="n" s="4771">
        <v>1.0</v>
      </c>
      <c r="N62" t="n" s="4772">
        <v>0.0</v>
      </c>
      <c r="O62" t="n" s="4773">
        <v>0.0</v>
      </c>
      <c r="P62" s="4774">
        <f>IF(HLOOKUP("Shots",A1:CV300,62,FALSE)=0,0,HLOOKUP("SIB",A1:CV300,62,FALSE)/HLOOKUP("Shots",A1:CV300,62,FALSE))</f>
      </c>
      <c r="Q62" t="n" s="4775">
        <v>0.0</v>
      </c>
      <c r="R62" s="4776">
        <f>IF(HLOOKUP("Shots",A1:CV300,62,FALSE)=0,0,HLOOKUP("S6YD",A1:CV300,62,FALSE)/HLOOKUP("Shots",A1:CV300,62,FALSE))</f>
      </c>
      <c r="S62" t="n" s="4777">
        <v>0.0</v>
      </c>
      <c r="T62" s="4778">
        <f>IF(HLOOKUP("Shots",A1:CV300,62,FALSE)=0,0,HLOOKUP("Headers",A1:CV300,62,FALSE)/HLOOKUP("Shots",A1:CV300,62,FALSE))</f>
      </c>
      <c r="U62" t="n" s="4779">
        <v>0.0</v>
      </c>
      <c r="V62" s="4780">
        <f>IF(HLOOKUP("Shots",A1:CV300,62,FALSE)=0,0,HLOOKUP("SOT",A1:CV300,62,FALSE)/HLOOKUP("Shots",A1:CV300,62,FALSE))</f>
      </c>
      <c r="W62" s="4781">
        <f>IF(HLOOKUP("Shots",A1:CV300,62,FALSE)=0,0,HLOOKUP("Gs",A1:CV300,62,FALSE)/HLOOKUP("Shots",A1:CV300,62,FALSE))</f>
      </c>
      <c r="X62" t="n" s="4782">
        <v>0.0</v>
      </c>
      <c r="Y62" t="n" s="4783">
        <v>0.0</v>
      </c>
      <c r="Z62" t="n" s="4784">
        <v>0.0</v>
      </c>
      <c r="AA62" s="4785">
        <f>IF(HLOOKUP("KP",A1:CV300,62,FALSE)=0,0,HLOOKUP("As",A1:CV300,62,FALSE)/HLOOKUP("KP",A1:CV300,62,FALSE))</f>
      </c>
      <c r="AB62" t="n" s="4786">
        <v>0.4</v>
      </c>
      <c r="AC62" t="n" s="4787">
        <v>0.0</v>
      </c>
      <c r="AD62" t="n" s="4788">
        <v>0.0</v>
      </c>
      <c r="AE62" t="n" s="4789">
        <v>0.0</v>
      </c>
      <c r="AF62" t="n" s="4790">
        <v>0.0</v>
      </c>
      <c r="AG62" s="4791">
        <f>IF(HLOOKUP("BC",A1:CV300,62,FALSE)=0,0,HLOOKUP("Gs - BC",A1:CV300,62,FALSE)/HLOOKUP("BC",A1:CV300,62,FALSE))</f>
      </c>
      <c r="AH62" s="4792">
        <f>HLOOKUP("BC",A1:CV300,62,FALSE) - HLOOKUP("BC Miss",A1:CV300,62,FALSE)</f>
      </c>
      <c r="AI62" s="4793">
        <f>IF(HLOOKUP("Gs",A1:CV300,62,FALSE)=0,0,HLOOKUP("Gs - BC",A1:CV300,62,FALSE)/HLOOKUP("Gs",A1:CV300,62,FALSE))</f>
      </c>
      <c r="AJ62" t="n" s="4794">
        <v>0.0</v>
      </c>
      <c r="AK62" t="n" s="4795">
        <v>0.0</v>
      </c>
      <c r="AL62" s="4796">
        <f>HLOOKUP("BC",A1:CV300,62,FALSE) - (HLOOKUP("PK Gs",A1:CV300,62,FALSE) + HLOOKUP("PK Miss",A1:CV300,62,FALSE))</f>
      </c>
      <c r="AM62" s="4797">
        <f>HLOOKUP("BC Miss",A1:CV300,62,FALSE) - HLOOKUP("PK Miss",A1:CV300,62,FALSE)</f>
      </c>
      <c r="AN62" s="4798">
        <f>IF(HLOOKUP("BC - Open",A1:CV300,62,FALSE)=0,0,HLOOKUP("BC - Open Miss",A1:CV300,62,FALSE)/HLOOKUP("BC - Open",A1:CV300,62,FALSE))</f>
      </c>
      <c r="AO62" t="n" s="4799">
        <v>0.0</v>
      </c>
      <c r="AP62" s="4800">
        <f>IF(HLOOKUP("Gs",A1:CV300,62,FALSE)=0,0,HLOOKUP("GIB",A1:CV300,62,FALSE)/HLOOKUP("Gs",A1:CV300,62,FALSE))</f>
      </c>
      <c r="AQ62" t="n" s="4801">
        <v>0.0</v>
      </c>
      <c r="AR62" s="4802">
        <f>IF(HLOOKUP("Gs",A1:CV300,62,FALSE)=0,0,HLOOKUP("Gs - Open",A1:CV300,62,FALSE)/HLOOKUP("Gs",A1:CV300,62,FALSE))</f>
      </c>
      <c r="AS62" t="n" s="4803">
        <v>0.0</v>
      </c>
      <c r="AT62" t="n" s="4804">
        <v>0.0</v>
      </c>
      <c r="AU62" s="4805">
        <f>IF(HLOOKUP("Mins",A1:CV300,62,FALSE)=0,0,HLOOKUP("Pts",A1:CV300,62,FALSE)/HLOOKUP("Mins",A1:CV300,62,FALSE)* 90)</f>
      </c>
      <c r="AV62" s="4806">
        <f>IF(HLOOKUP("Apps",A1:CV300,62,FALSE)=0,0,HLOOKUP("Pts",A1:CV300,62,FALSE)/HLOOKUP("Apps",A1:CV300,62,FALSE)* 1)</f>
      </c>
      <c r="AW62" s="4807">
        <f>IF(HLOOKUP("Mins",A1:CV300,62,FALSE)=0,0,HLOOKUP("Gs",A1:CV300,62,FALSE)/HLOOKUP("Mins",A1:CV300,62,FALSE)* 90)</f>
      </c>
      <c r="AX62" s="4808">
        <f>IF(HLOOKUP("Mins",A1:CV300,62,FALSE)=0,0,HLOOKUP("Bonus",A1:CV300,62,FALSE)/HLOOKUP("Mins",A1:CV300,62,FALSE)* 90)</f>
      </c>
      <c r="AY62" s="4809">
        <f>IF(HLOOKUP("Mins",A1:CV300,62,FALSE)=0,0,HLOOKUP("BPS",A1:CV300,62,FALSE)/HLOOKUP("Mins",A1:CV300,62,FALSE)* 90)</f>
      </c>
      <c r="AZ62" s="4810">
        <f>IF(HLOOKUP("Mins",A1:CV300,62,FALSE)=0,0,HLOOKUP("Base BPS",A1:CV300,62,FALSE)/HLOOKUP("Mins",A1:CV300,62,FALSE)* 90)</f>
      </c>
      <c r="BA62" s="4811">
        <f>IF(HLOOKUP("Mins",A1:CV300,62,FALSE)=0,0,HLOOKUP("PenTchs",A1:CV300,62,FALSE)/HLOOKUP("Mins",A1:CV300,62,FALSE)* 90)</f>
      </c>
      <c r="BB62" s="4812">
        <f>IF(HLOOKUP("Mins",A1:CV300,62,FALSE)=0,0,HLOOKUP("Shots",A1:CV300,62,FALSE)/HLOOKUP("Mins",A1:CV300,62,FALSE)* 90)</f>
      </c>
      <c r="BC62" s="4813">
        <f>IF(HLOOKUP("Mins",A1:CV300,62,FALSE)=0,0,HLOOKUP("SIB",A1:CV300,62,FALSE)/HLOOKUP("Mins",A1:CV300,62,FALSE)* 90)</f>
      </c>
      <c r="BD62" s="4814">
        <f>IF(HLOOKUP("Mins",A1:CV300,62,FALSE)=0,0,HLOOKUP("S6YD",A1:CV300,62,FALSE)/HLOOKUP("Mins",A1:CV300,62,FALSE)* 90)</f>
      </c>
      <c r="BE62" s="4815">
        <f>IF(HLOOKUP("Mins",A1:CV300,62,FALSE)=0,0,HLOOKUP("Headers",A1:CV300,62,FALSE)/HLOOKUP("Mins",A1:CV300,62,FALSE)* 90)</f>
      </c>
      <c r="BF62" s="4816">
        <f>IF(HLOOKUP("Mins",A1:CV300,62,FALSE)=0,0,HLOOKUP("SOT",A1:CV300,62,FALSE)/HLOOKUP("Mins",A1:CV300,62,FALSE)* 90)</f>
      </c>
      <c r="BG62" s="4817">
        <f>IF(HLOOKUP("Mins",A1:CV300,62,FALSE)=0,0,HLOOKUP("As",A1:CV300,62,FALSE)/HLOOKUP("Mins",A1:CV300,62,FALSE)* 90)</f>
      </c>
      <c r="BH62" s="4818">
        <f>IF(HLOOKUP("Mins",A1:CV300,62,FALSE)=0,0,HLOOKUP("FPL As",A1:CV300,62,FALSE)/HLOOKUP("Mins",A1:CV300,62,FALSE)* 90)</f>
      </c>
      <c r="BI62" s="4819">
        <f>IF(HLOOKUP("Mins",A1:CV300,62,FALSE)=0,0,HLOOKUP("BC Created",A1:CV300,62,FALSE)/HLOOKUP("Mins",A1:CV300,62,FALSE)* 90)</f>
      </c>
      <c r="BJ62" s="4820">
        <f>IF(HLOOKUP("Mins",A1:CV300,62,FALSE)=0,0,HLOOKUP("KP",A1:CV300,62,FALSE)/HLOOKUP("Mins",A1:CV300,62,FALSE)* 90)</f>
      </c>
      <c r="BK62" s="4821">
        <f>IF(HLOOKUP("Mins",A1:CV300,62,FALSE)=0,0,HLOOKUP("BC",A1:CV300,62,FALSE)/HLOOKUP("Mins",A1:CV300,62,FALSE)* 90)</f>
      </c>
      <c r="BL62" s="4822">
        <f>IF(HLOOKUP("Mins",A1:CV300,62,FALSE)=0,0,HLOOKUP("BC Miss",A1:CV300,62,FALSE)/HLOOKUP("Mins",A1:CV300,62,FALSE)* 90)</f>
      </c>
      <c r="BM62" s="4823">
        <f>IF(HLOOKUP("Mins",A1:CV300,62,FALSE)=0,0,HLOOKUP("Gs - BC",A1:CV300,62,FALSE)/HLOOKUP("Mins",A1:CV300,62,FALSE)* 90)</f>
      </c>
      <c r="BN62" s="4824">
        <f>IF(HLOOKUP("Mins",A1:CV300,62,FALSE)=0,0,HLOOKUP("GIB",A1:CV300,62,FALSE)/HLOOKUP("Mins",A1:CV300,62,FALSE)* 90)</f>
      </c>
      <c r="BO62" s="4825">
        <f>IF(HLOOKUP("Mins",A1:CV300,62,FALSE)=0,0,HLOOKUP("Gs - Open",A1:CV300,62,FALSE)/HLOOKUP("Mins",A1:CV300,62,FALSE)* 90)</f>
      </c>
      <c r="BP62" s="4826">
        <f>IF(HLOOKUP("Mins",A1:CV300,62,FALSE)=0,0,HLOOKUP("ICT Index",A1:CV300,62,FALSE)/HLOOKUP("Mins",A1:CV300,62,FALSE)* 90)</f>
      </c>
      <c r="BQ62" s="4827">
        <f>IF(HLOOKUP("Mins",A1:CV300,62,FALSE)=0,0,(0.043*(HLOOKUP("Shots",A1:CV300,62,FALSE)-HLOOKUP("SIB",A1:CV300,62,FALSE))+0.162*(HLOOKUP("SIB",A1:CV300,62,FALSE)-(HLOOKUP("PK Gs",A1:CV300,62,FALSE)+HLOOKUP("PK Miss",A1:CV300,62,FALSE)))+0.75*(HLOOKUP("PK Gs",A1:CV300,62,FALSE)+HLOOKUP("PK Miss",A1:CV300,62,FALSE)))/HLOOKUP("Mins",A1:CV300,62,FALSE)*90)</f>
      </c>
      <c r="BR62" s="4828">
        <f>0.103*HLOOKUP("KP/90",A1:CV300,62,FALSE)</f>
      </c>
      <c r="BS62" s="4829">
        <f>4*HLOOKUP("xG/90",A1:CV300,62,FALSE)+3*HLOOKUP("xA/90",A1:CV300,62,FALSE)</f>
      </c>
      <c r="BT62" s="4830">
        <f>HLOOKUP("xPts/90",A1:CV300,62,FALSE)-(4*0.75*(HLOOKUP("PK Gs",A1:CV300,62,FALSE)+HLOOKUP("PK Miss",A1:CV300,62,FALSE))*90/HLOOKUP("Mins",A1:CV300,62,FALSE))</f>
      </c>
      <c r="BU62" s="4831">
        <f>IF(HLOOKUP("Mins",A1:CV300,62,FALSE)=0,0,HLOOKUP("fsXG",A1:CV300,62,FALSE)/HLOOKUP("Mins",A1:CV300,62,FALSE)* 90)</f>
      </c>
      <c r="BV62" s="4832">
        <f>IF(HLOOKUP("Mins",A1:CV300,62,FALSE)=0,0,HLOOKUP("fsXA",A1:CV300,62,FALSE)/HLOOKUP("Mins",A1:CV300,62,FALSE)* 90)</f>
      </c>
      <c r="BW62" s="4833">
        <f>4*HLOOKUP("fsXG/90",A1:CV300,62,FALSE)+3*HLOOKUP("fsXA/90",A1:CV300,62,FALSE)</f>
      </c>
      <c r="BX62" t="n" s="4834">
        <v>0.0</v>
      </c>
      <c r="BY62" t="n" s="4835">
        <v>0.0</v>
      </c>
      <c r="BZ62" s="4836">
        <f>4*HLOOKUP("uXG/90",A1:CV300,62,FALSE)+3*HLOOKUP("uXA/90",A1:CV300,62,FALSE)</f>
      </c>
    </row>
    <row r="63">
      <c r="A63" t="s" s="4837">
        <v>160</v>
      </c>
      <c r="B63" t="s" s="4838">
        <v>134</v>
      </c>
      <c r="C63" t="n" s="4839">
        <v>5.199999809265137</v>
      </c>
      <c r="D63" t="n" s="4840">
        <v>102.0</v>
      </c>
      <c r="E63" t="n" s="4841">
        <v>5.0</v>
      </c>
      <c r="F63" t="n" s="4842">
        <v>50.0</v>
      </c>
      <c r="G63" t="n" s="4843">
        <v>0.0</v>
      </c>
      <c r="H63" t="n" s="4844">
        <v>6.0</v>
      </c>
      <c r="I63" t="n" s="4845">
        <v>177.0</v>
      </c>
      <c r="J63" s="4846">
        <f>HLOOKUP("BPS",A1:CV300,63,FALSE)-((-6*HLOOKUP("OG",A1:CV300,63,FALSE))+(-6*HLOOKUP("PK Miss",A1:CV300,63,FALSE))+(9*HLOOKUP("FPL As",A1:CV300,63,FALSE))+(0*HLOOKUP("CS",A1:CV300,63,FALSE))+(24*HLOOKUP("Gs",A1:CV300,63,FALSE)))</f>
      </c>
      <c r="K63" t="n" s="4847">
        <v>0.0</v>
      </c>
      <c r="L63" t="n" s="4848">
        <v>1.0</v>
      </c>
      <c r="M63" t="n" s="4849">
        <v>7.0</v>
      </c>
      <c r="N63" t="n" s="4850">
        <v>2.0</v>
      </c>
      <c r="O63" t="n" s="4851">
        <v>2.0</v>
      </c>
      <c r="P63" s="4852">
        <f>IF(HLOOKUP("Shots",A1:CV300,63,FALSE)=0,0,HLOOKUP("SIB",A1:CV300,63,FALSE)/HLOOKUP("Shots",A1:CV300,63,FALSE))</f>
      </c>
      <c r="Q63" t="n" s="4853">
        <v>0.0</v>
      </c>
      <c r="R63" s="4854">
        <f>IF(HLOOKUP("Shots",A1:CV300,63,FALSE)=0,0,HLOOKUP("S6YD",A1:CV300,63,FALSE)/HLOOKUP("Shots",A1:CV300,63,FALSE))</f>
      </c>
      <c r="S63" t="n" s="4855">
        <v>0.0</v>
      </c>
      <c r="T63" s="4856">
        <f>IF(HLOOKUP("Shots",A1:CV300,63,FALSE)=0,0,HLOOKUP("Headers",A1:CV300,63,FALSE)/HLOOKUP("Shots",A1:CV300,63,FALSE))</f>
      </c>
      <c r="U63" t="n" s="4857">
        <v>2.0</v>
      </c>
      <c r="V63" s="4858">
        <f>IF(HLOOKUP("Shots",A1:CV300,63,FALSE)=0,0,HLOOKUP("SOT",A1:CV300,63,FALSE)/HLOOKUP("Shots",A1:CV300,63,FALSE))</f>
      </c>
      <c r="W63" s="4859">
        <f>IF(HLOOKUP("Shots",A1:CV300,63,FALSE)=0,0,HLOOKUP("Gs",A1:CV300,63,FALSE)/HLOOKUP("Shots",A1:CV300,63,FALSE))</f>
      </c>
      <c r="X63" t="n" s="4860">
        <v>0.0</v>
      </c>
      <c r="Y63" t="n" s="4861">
        <v>3.0</v>
      </c>
      <c r="Z63" t="n" s="4862">
        <v>0.0</v>
      </c>
      <c r="AA63" s="4863">
        <f>IF(HLOOKUP("KP",A1:CV300,63,FALSE)=0,0,HLOOKUP("As",A1:CV300,63,FALSE)/HLOOKUP("KP",A1:CV300,63,FALSE))</f>
      </c>
      <c r="AB63" t="n" s="4864">
        <v>6.5</v>
      </c>
      <c r="AC63" t="n" s="4865">
        <v>33.0</v>
      </c>
      <c r="AD63" t="n" s="4866">
        <v>0.0</v>
      </c>
      <c r="AE63" t="n" s="4867">
        <v>0.0</v>
      </c>
      <c r="AF63" t="n" s="4868">
        <v>0.0</v>
      </c>
      <c r="AG63" s="4869">
        <f>IF(HLOOKUP("BC",A1:CV300,63,FALSE)=0,0,HLOOKUP("Gs - BC",A1:CV300,63,FALSE)/HLOOKUP("BC",A1:CV300,63,FALSE))</f>
      </c>
      <c r="AH63" s="4870">
        <f>HLOOKUP("BC",A1:CV300,63,FALSE) - HLOOKUP("BC Miss",A1:CV300,63,FALSE)</f>
      </c>
      <c r="AI63" s="4871">
        <f>IF(HLOOKUP("Gs",A1:CV300,63,FALSE)=0,0,HLOOKUP("Gs - BC",A1:CV300,63,FALSE)/HLOOKUP("Gs",A1:CV300,63,FALSE))</f>
      </c>
      <c r="AJ63" t="n" s="4872">
        <v>0.0</v>
      </c>
      <c r="AK63" t="n" s="4873">
        <v>0.0</v>
      </c>
      <c r="AL63" s="4874">
        <f>HLOOKUP("BC",A1:CV300,63,FALSE) - (HLOOKUP("PK Gs",A1:CV300,63,FALSE) + HLOOKUP("PK Miss",A1:CV300,63,FALSE))</f>
      </c>
      <c r="AM63" s="4875">
        <f>HLOOKUP("BC Miss",A1:CV300,63,FALSE) - HLOOKUP("PK Miss",A1:CV300,63,FALSE)</f>
      </c>
      <c r="AN63" s="4876">
        <f>IF(HLOOKUP("BC - Open",A1:CV300,63,FALSE)=0,0,HLOOKUP("BC - Open Miss",A1:CV300,63,FALSE)/HLOOKUP("BC - Open",A1:CV300,63,FALSE))</f>
      </c>
      <c r="AO63" t="n" s="4877">
        <v>0.0</v>
      </c>
      <c r="AP63" s="4878">
        <f>IF(HLOOKUP("Gs",A1:CV300,63,FALSE)=0,0,HLOOKUP("GIB",A1:CV300,63,FALSE)/HLOOKUP("Gs",A1:CV300,63,FALSE))</f>
      </c>
      <c r="AQ63" t="n" s="4879">
        <v>0.0</v>
      </c>
      <c r="AR63" s="4880">
        <f>IF(HLOOKUP("Gs",A1:CV300,63,FALSE)=0,0,HLOOKUP("Gs - Open",A1:CV300,63,FALSE)/HLOOKUP("Gs",A1:CV300,63,FALSE))</f>
      </c>
      <c r="AS63" t="n" s="4881">
        <v>0.14</v>
      </c>
      <c r="AT63" t="n" s="4882">
        <v>0.01</v>
      </c>
      <c r="AU63" s="4883">
        <f>IF(HLOOKUP("Mins",A1:CV300,63,FALSE)=0,0,HLOOKUP("Pts",A1:CV300,63,FALSE)/HLOOKUP("Mins",A1:CV300,63,FALSE)* 90)</f>
      </c>
      <c r="AV63" s="4884">
        <f>IF(HLOOKUP("Apps",A1:CV300,63,FALSE)=0,0,HLOOKUP("Pts",A1:CV300,63,FALSE)/HLOOKUP("Apps",A1:CV300,63,FALSE)* 1)</f>
      </c>
      <c r="AW63" s="4885">
        <f>IF(HLOOKUP("Mins",A1:CV300,63,FALSE)=0,0,HLOOKUP("Gs",A1:CV300,63,FALSE)/HLOOKUP("Mins",A1:CV300,63,FALSE)* 90)</f>
      </c>
      <c r="AX63" s="4886">
        <f>IF(HLOOKUP("Mins",A1:CV300,63,FALSE)=0,0,HLOOKUP("Bonus",A1:CV300,63,FALSE)/HLOOKUP("Mins",A1:CV300,63,FALSE)* 90)</f>
      </c>
      <c r="AY63" s="4887">
        <f>IF(HLOOKUP("Mins",A1:CV300,63,FALSE)=0,0,HLOOKUP("BPS",A1:CV300,63,FALSE)/HLOOKUP("Mins",A1:CV300,63,FALSE)* 90)</f>
      </c>
      <c r="AZ63" s="4888">
        <f>IF(HLOOKUP("Mins",A1:CV300,63,FALSE)=0,0,HLOOKUP("Base BPS",A1:CV300,63,FALSE)/HLOOKUP("Mins",A1:CV300,63,FALSE)* 90)</f>
      </c>
      <c r="BA63" s="4889">
        <f>IF(HLOOKUP("Mins",A1:CV300,63,FALSE)=0,0,HLOOKUP("PenTchs",A1:CV300,63,FALSE)/HLOOKUP("Mins",A1:CV300,63,FALSE)* 90)</f>
      </c>
      <c r="BB63" s="4890">
        <f>IF(HLOOKUP("Mins",A1:CV300,63,FALSE)=0,0,HLOOKUP("Shots",A1:CV300,63,FALSE)/HLOOKUP("Mins",A1:CV300,63,FALSE)* 90)</f>
      </c>
      <c r="BC63" s="4891">
        <f>IF(HLOOKUP("Mins",A1:CV300,63,FALSE)=0,0,HLOOKUP("SIB",A1:CV300,63,FALSE)/HLOOKUP("Mins",A1:CV300,63,FALSE)* 90)</f>
      </c>
      <c r="BD63" s="4892">
        <f>IF(HLOOKUP("Mins",A1:CV300,63,FALSE)=0,0,HLOOKUP("S6YD",A1:CV300,63,FALSE)/HLOOKUP("Mins",A1:CV300,63,FALSE)* 90)</f>
      </c>
      <c r="BE63" s="4893">
        <f>IF(HLOOKUP("Mins",A1:CV300,63,FALSE)=0,0,HLOOKUP("Headers",A1:CV300,63,FALSE)/HLOOKUP("Mins",A1:CV300,63,FALSE)* 90)</f>
      </c>
      <c r="BF63" s="4894">
        <f>IF(HLOOKUP("Mins",A1:CV300,63,FALSE)=0,0,HLOOKUP("SOT",A1:CV300,63,FALSE)/HLOOKUP("Mins",A1:CV300,63,FALSE)* 90)</f>
      </c>
      <c r="BG63" s="4895">
        <f>IF(HLOOKUP("Mins",A1:CV300,63,FALSE)=0,0,HLOOKUP("As",A1:CV300,63,FALSE)/HLOOKUP("Mins",A1:CV300,63,FALSE)* 90)</f>
      </c>
      <c r="BH63" s="4896">
        <f>IF(HLOOKUP("Mins",A1:CV300,63,FALSE)=0,0,HLOOKUP("FPL As",A1:CV300,63,FALSE)/HLOOKUP("Mins",A1:CV300,63,FALSE)* 90)</f>
      </c>
      <c r="BI63" s="4897">
        <f>IF(HLOOKUP("Mins",A1:CV300,63,FALSE)=0,0,HLOOKUP("BC Created",A1:CV300,63,FALSE)/HLOOKUP("Mins",A1:CV300,63,FALSE)* 90)</f>
      </c>
      <c r="BJ63" s="4898">
        <f>IF(HLOOKUP("Mins",A1:CV300,63,FALSE)=0,0,HLOOKUP("KP",A1:CV300,63,FALSE)/HLOOKUP("Mins",A1:CV300,63,FALSE)* 90)</f>
      </c>
      <c r="BK63" s="4899">
        <f>IF(HLOOKUP("Mins",A1:CV300,63,FALSE)=0,0,HLOOKUP("BC",A1:CV300,63,FALSE)/HLOOKUP("Mins",A1:CV300,63,FALSE)* 90)</f>
      </c>
      <c r="BL63" s="4900">
        <f>IF(HLOOKUP("Mins",A1:CV300,63,FALSE)=0,0,HLOOKUP("BC Miss",A1:CV300,63,FALSE)/HLOOKUP("Mins",A1:CV300,63,FALSE)* 90)</f>
      </c>
      <c r="BM63" s="4901">
        <f>IF(HLOOKUP("Mins",A1:CV300,63,FALSE)=0,0,HLOOKUP("Gs - BC",A1:CV300,63,FALSE)/HLOOKUP("Mins",A1:CV300,63,FALSE)* 90)</f>
      </c>
      <c r="BN63" s="4902">
        <f>IF(HLOOKUP("Mins",A1:CV300,63,FALSE)=0,0,HLOOKUP("GIB",A1:CV300,63,FALSE)/HLOOKUP("Mins",A1:CV300,63,FALSE)* 90)</f>
      </c>
      <c r="BO63" s="4903">
        <f>IF(HLOOKUP("Mins",A1:CV300,63,FALSE)=0,0,HLOOKUP("Gs - Open",A1:CV300,63,FALSE)/HLOOKUP("Mins",A1:CV300,63,FALSE)* 90)</f>
      </c>
      <c r="BP63" s="4904">
        <f>IF(HLOOKUP("Mins",A1:CV300,63,FALSE)=0,0,HLOOKUP("ICT Index",A1:CV300,63,FALSE)/HLOOKUP("Mins",A1:CV300,63,FALSE)* 90)</f>
      </c>
      <c r="BQ63" s="4905">
        <f>IF(HLOOKUP("Mins",A1:CV300,63,FALSE)=0,0,(0.043*(HLOOKUP("Shots",A1:CV300,63,FALSE)-HLOOKUP("SIB",A1:CV300,63,FALSE))+0.162*(HLOOKUP("SIB",A1:CV300,63,FALSE)-(HLOOKUP("PK Gs",A1:CV300,63,FALSE)+HLOOKUP("PK Miss",A1:CV300,63,FALSE)))+0.75*(HLOOKUP("PK Gs",A1:CV300,63,FALSE)+HLOOKUP("PK Miss",A1:CV300,63,FALSE)))/HLOOKUP("Mins",A1:CV300,63,FALSE)*90)</f>
      </c>
      <c r="BR63" s="4906">
        <f>0.103*HLOOKUP("KP/90",A1:CV300,63,FALSE)</f>
      </c>
      <c r="BS63" s="4907">
        <f>4*HLOOKUP("xG/90",A1:CV300,63,FALSE)+3*HLOOKUP("xA/90",A1:CV300,63,FALSE)</f>
      </c>
      <c r="BT63" s="4908">
        <f>HLOOKUP("xPts/90",A1:CV300,63,FALSE)-(4*0.75*(HLOOKUP("PK Gs",A1:CV300,63,FALSE)+HLOOKUP("PK Miss",A1:CV300,63,FALSE))*90/HLOOKUP("Mins",A1:CV300,63,FALSE))</f>
      </c>
      <c r="BU63" s="4909">
        <f>IF(HLOOKUP("Mins",A1:CV300,63,FALSE)=0,0,HLOOKUP("fsXG",A1:CV300,63,FALSE)/HLOOKUP("Mins",A1:CV300,63,FALSE)* 90)</f>
      </c>
      <c r="BV63" s="4910">
        <f>IF(HLOOKUP("Mins",A1:CV300,63,FALSE)=0,0,HLOOKUP("fsXA",A1:CV300,63,FALSE)/HLOOKUP("Mins",A1:CV300,63,FALSE)* 90)</f>
      </c>
      <c r="BW63" s="4911">
        <f>4*HLOOKUP("fsXG/90",A1:CV300,63,FALSE)+3*HLOOKUP("fsXA/90",A1:CV300,63,FALSE)</f>
      </c>
      <c r="BX63" t="n" s="4912">
        <v>0.21078166365623474</v>
      </c>
      <c r="BY63" t="n" s="4913">
        <v>0.0</v>
      </c>
      <c r="BZ63" s="4914">
        <f>4*HLOOKUP("uXG/90",A1:CV300,63,FALSE)+3*HLOOKUP("uXA/90",A1:CV300,63,FALSE)</f>
      </c>
    </row>
    <row r="64">
      <c r="A64" t="s" s="4915">
        <v>161</v>
      </c>
      <c r="B64" t="s" s="4916">
        <v>149</v>
      </c>
      <c r="C64" t="n" s="4917">
        <v>6.599999904632568</v>
      </c>
      <c r="D64" t="n" s="4918">
        <v>89.0</v>
      </c>
      <c r="E64" t="n" s="4919">
        <v>3.0</v>
      </c>
      <c r="F64" t="n" s="4920">
        <v>27.0</v>
      </c>
      <c r="G64" t="n" s="4921">
        <v>0.0</v>
      </c>
      <c r="H64" t="n" s="4922">
        <v>1.0</v>
      </c>
      <c r="I64" t="n" s="4923">
        <v>57.0</v>
      </c>
      <c r="J64" s="4924">
        <f>HLOOKUP("BPS",A1:CV300,64,FALSE)-((-6*HLOOKUP("OG",A1:CV300,64,FALSE))+(-6*HLOOKUP("PK Miss",A1:CV300,64,FALSE))+(9*HLOOKUP("FPL As",A1:CV300,64,FALSE))+(0*HLOOKUP("CS",A1:CV300,64,FALSE))+(24*HLOOKUP("Gs",A1:CV300,64,FALSE)))</f>
      </c>
      <c r="K64" t="n" s="4925">
        <v>0.0</v>
      </c>
      <c r="L64" t="n" s="4926">
        <v>0.0</v>
      </c>
      <c r="M64" t="n" s="4927">
        <v>9.0</v>
      </c>
      <c r="N64" t="n" s="4928">
        <v>3.0</v>
      </c>
      <c r="O64" t="n" s="4929">
        <v>3.0</v>
      </c>
      <c r="P64" s="4930">
        <f>IF(HLOOKUP("Shots",A1:CV300,64,FALSE)=0,0,HLOOKUP("SIB",A1:CV300,64,FALSE)/HLOOKUP("Shots",A1:CV300,64,FALSE))</f>
      </c>
      <c r="Q64" t="n" s="4931">
        <v>0.0</v>
      </c>
      <c r="R64" s="4932">
        <f>IF(HLOOKUP("Shots",A1:CV300,64,FALSE)=0,0,HLOOKUP("S6YD",A1:CV300,64,FALSE)/HLOOKUP("Shots",A1:CV300,64,FALSE))</f>
      </c>
      <c r="S64" t="n" s="4933">
        <v>0.0</v>
      </c>
      <c r="T64" s="4934">
        <f>IF(HLOOKUP("Shots",A1:CV300,64,FALSE)=0,0,HLOOKUP("Headers",A1:CV300,64,FALSE)/HLOOKUP("Shots",A1:CV300,64,FALSE))</f>
      </c>
      <c r="U64" t="n" s="4935">
        <v>0.0</v>
      </c>
      <c r="V64" s="4936">
        <f>IF(HLOOKUP("Shots",A1:CV300,64,FALSE)=0,0,HLOOKUP("SOT",A1:CV300,64,FALSE)/HLOOKUP("Shots",A1:CV300,64,FALSE))</f>
      </c>
      <c r="W64" s="4937">
        <f>IF(HLOOKUP("Shots",A1:CV300,64,FALSE)=0,0,HLOOKUP("Gs",A1:CV300,64,FALSE)/HLOOKUP("Shots",A1:CV300,64,FALSE))</f>
      </c>
      <c r="X64" t="n" s="4938">
        <v>0.0</v>
      </c>
      <c r="Y64" t="n" s="4939">
        <v>2.0</v>
      </c>
      <c r="Z64" t="n" s="4940">
        <v>0.0</v>
      </c>
      <c r="AA64" s="4941">
        <f>IF(HLOOKUP("KP",A1:CV300,64,FALSE)=0,0,HLOOKUP("As",A1:CV300,64,FALSE)/HLOOKUP("KP",A1:CV300,64,FALSE))</f>
      </c>
      <c r="AB64" t="n" s="4942">
        <v>2.8</v>
      </c>
      <c r="AC64" t="n" s="4943">
        <v>0.0</v>
      </c>
      <c r="AD64" t="n" s="4944">
        <v>0.0</v>
      </c>
      <c r="AE64" t="n" s="4945">
        <v>2.0</v>
      </c>
      <c r="AF64" t="n" s="4946">
        <v>2.0</v>
      </c>
      <c r="AG64" s="4947">
        <f>IF(HLOOKUP("BC",A1:CV300,64,FALSE)=0,0,HLOOKUP("Gs - BC",A1:CV300,64,FALSE)/HLOOKUP("BC",A1:CV300,64,FALSE))</f>
      </c>
      <c r="AH64" s="4948">
        <f>HLOOKUP("BC",A1:CV300,64,FALSE) - HLOOKUP("BC Miss",A1:CV300,64,FALSE)</f>
      </c>
      <c r="AI64" s="4949">
        <f>IF(HLOOKUP("Gs",A1:CV300,64,FALSE)=0,0,HLOOKUP("Gs - BC",A1:CV300,64,FALSE)/HLOOKUP("Gs",A1:CV300,64,FALSE))</f>
      </c>
      <c r="AJ64" t="n" s="4950">
        <v>0.0</v>
      </c>
      <c r="AK64" t="n" s="4951">
        <v>0.0</v>
      </c>
      <c r="AL64" s="4952">
        <f>HLOOKUP("BC",A1:CV300,64,FALSE) - (HLOOKUP("PK Gs",A1:CV300,64,FALSE) + HLOOKUP("PK Miss",A1:CV300,64,FALSE))</f>
      </c>
      <c r="AM64" s="4953">
        <f>HLOOKUP("BC Miss",A1:CV300,64,FALSE) - HLOOKUP("PK Miss",A1:CV300,64,FALSE)</f>
      </c>
      <c r="AN64" s="4954">
        <f>IF(HLOOKUP("BC - Open",A1:CV300,64,FALSE)=0,0,HLOOKUP("BC - Open Miss",A1:CV300,64,FALSE)/HLOOKUP("BC - Open",A1:CV300,64,FALSE))</f>
      </c>
      <c r="AO64" t="n" s="4955">
        <v>0.0</v>
      </c>
      <c r="AP64" s="4956">
        <f>IF(HLOOKUP("Gs",A1:CV300,64,FALSE)=0,0,HLOOKUP("GIB",A1:CV300,64,FALSE)/HLOOKUP("Gs",A1:CV300,64,FALSE))</f>
      </c>
      <c r="AQ64" t="n" s="4957">
        <v>0.0</v>
      </c>
      <c r="AR64" s="4958">
        <f>IF(HLOOKUP("Gs",A1:CV300,64,FALSE)=0,0,HLOOKUP("Gs - Open",A1:CV300,64,FALSE)/HLOOKUP("Gs",A1:CV300,64,FALSE))</f>
      </c>
      <c r="AS64" t="n" s="4959">
        <v>0.68</v>
      </c>
      <c r="AT64" t="n" s="4960">
        <v>0.02</v>
      </c>
      <c r="AU64" s="4961">
        <f>IF(HLOOKUP("Mins",A1:CV300,64,FALSE)=0,0,HLOOKUP("Pts",A1:CV300,64,FALSE)/HLOOKUP("Mins",A1:CV300,64,FALSE)* 90)</f>
      </c>
      <c r="AV64" s="4962">
        <f>IF(HLOOKUP("Apps",A1:CV300,64,FALSE)=0,0,HLOOKUP("Pts",A1:CV300,64,FALSE)/HLOOKUP("Apps",A1:CV300,64,FALSE)* 1)</f>
      </c>
      <c r="AW64" s="4963">
        <f>IF(HLOOKUP("Mins",A1:CV300,64,FALSE)=0,0,HLOOKUP("Gs",A1:CV300,64,FALSE)/HLOOKUP("Mins",A1:CV300,64,FALSE)* 90)</f>
      </c>
      <c r="AX64" s="4964">
        <f>IF(HLOOKUP("Mins",A1:CV300,64,FALSE)=0,0,HLOOKUP("Bonus",A1:CV300,64,FALSE)/HLOOKUP("Mins",A1:CV300,64,FALSE)* 90)</f>
      </c>
      <c r="AY64" s="4965">
        <f>IF(HLOOKUP("Mins",A1:CV300,64,FALSE)=0,0,HLOOKUP("BPS",A1:CV300,64,FALSE)/HLOOKUP("Mins",A1:CV300,64,FALSE)* 90)</f>
      </c>
      <c r="AZ64" s="4966">
        <f>IF(HLOOKUP("Mins",A1:CV300,64,FALSE)=0,0,HLOOKUP("Base BPS",A1:CV300,64,FALSE)/HLOOKUP("Mins",A1:CV300,64,FALSE)* 90)</f>
      </c>
      <c r="BA64" s="4967">
        <f>IF(HLOOKUP("Mins",A1:CV300,64,FALSE)=0,0,HLOOKUP("PenTchs",A1:CV300,64,FALSE)/HLOOKUP("Mins",A1:CV300,64,FALSE)* 90)</f>
      </c>
      <c r="BB64" s="4968">
        <f>IF(HLOOKUP("Mins",A1:CV300,64,FALSE)=0,0,HLOOKUP("Shots",A1:CV300,64,FALSE)/HLOOKUP("Mins",A1:CV300,64,FALSE)* 90)</f>
      </c>
      <c r="BC64" s="4969">
        <f>IF(HLOOKUP("Mins",A1:CV300,64,FALSE)=0,0,HLOOKUP("SIB",A1:CV300,64,FALSE)/HLOOKUP("Mins",A1:CV300,64,FALSE)* 90)</f>
      </c>
      <c r="BD64" s="4970">
        <f>IF(HLOOKUP("Mins",A1:CV300,64,FALSE)=0,0,HLOOKUP("S6YD",A1:CV300,64,FALSE)/HLOOKUP("Mins",A1:CV300,64,FALSE)* 90)</f>
      </c>
      <c r="BE64" s="4971">
        <f>IF(HLOOKUP("Mins",A1:CV300,64,FALSE)=0,0,HLOOKUP("Headers",A1:CV300,64,FALSE)/HLOOKUP("Mins",A1:CV300,64,FALSE)* 90)</f>
      </c>
      <c r="BF64" s="4972">
        <f>IF(HLOOKUP("Mins",A1:CV300,64,FALSE)=0,0,HLOOKUP("SOT",A1:CV300,64,FALSE)/HLOOKUP("Mins",A1:CV300,64,FALSE)* 90)</f>
      </c>
      <c r="BG64" s="4973">
        <f>IF(HLOOKUP("Mins",A1:CV300,64,FALSE)=0,0,HLOOKUP("As",A1:CV300,64,FALSE)/HLOOKUP("Mins",A1:CV300,64,FALSE)* 90)</f>
      </c>
      <c r="BH64" s="4974">
        <f>IF(HLOOKUP("Mins",A1:CV300,64,FALSE)=0,0,HLOOKUP("FPL As",A1:CV300,64,FALSE)/HLOOKUP("Mins",A1:CV300,64,FALSE)* 90)</f>
      </c>
      <c r="BI64" s="4975">
        <f>IF(HLOOKUP("Mins",A1:CV300,64,FALSE)=0,0,HLOOKUP("BC Created",A1:CV300,64,FALSE)/HLOOKUP("Mins",A1:CV300,64,FALSE)* 90)</f>
      </c>
      <c r="BJ64" s="4976">
        <f>IF(HLOOKUP("Mins",A1:CV300,64,FALSE)=0,0,HLOOKUP("KP",A1:CV300,64,FALSE)/HLOOKUP("Mins",A1:CV300,64,FALSE)* 90)</f>
      </c>
      <c r="BK64" s="4977">
        <f>IF(HLOOKUP("Mins",A1:CV300,64,FALSE)=0,0,HLOOKUP("BC",A1:CV300,64,FALSE)/HLOOKUP("Mins",A1:CV300,64,FALSE)* 90)</f>
      </c>
      <c r="BL64" s="4978">
        <f>IF(HLOOKUP("Mins",A1:CV300,64,FALSE)=0,0,HLOOKUP("BC Miss",A1:CV300,64,FALSE)/HLOOKUP("Mins",A1:CV300,64,FALSE)* 90)</f>
      </c>
      <c r="BM64" s="4979">
        <f>IF(HLOOKUP("Mins",A1:CV300,64,FALSE)=0,0,HLOOKUP("Gs - BC",A1:CV300,64,FALSE)/HLOOKUP("Mins",A1:CV300,64,FALSE)* 90)</f>
      </c>
      <c r="BN64" s="4980">
        <f>IF(HLOOKUP("Mins",A1:CV300,64,FALSE)=0,0,HLOOKUP("GIB",A1:CV300,64,FALSE)/HLOOKUP("Mins",A1:CV300,64,FALSE)* 90)</f>
      </c>
      <c r="BO64" s="4981">
        <f>IF(HLOOKUP("Mins",A1:CV300,64,FALSE)=0,0,HLOOKUP("Gs - Open",A1:CV300,64,FALSE)/HLOOKUP("Mins",A1:CV300,64,FALSE)* 90)</f>
      </c>
      <c r="BP64" s="4982">
        <f>IF(HLOOKUP("Mins",A1:CV300,64,FALSE)=0,0,HLOOKUP("ICT Index",A1:CV300,64,FALSE)/HLOOKUP("Mins",A1:CV300,64,FALSE)* 90)</f>
      </c>
      <c r="BQ64" s="4983">
        <f>IF(HLOOKUP("Mins",A1:CV300,64,FALSE)=0,0,(0.043*(HLOOKUP("Shots",A1:CV300,64,FALSE)-HLOOKUP("SIB",A1:CV300,64,FALSE))+0.162*(HLOOKUP("SIB",A1:CV300,64,FALSE)-(HLOOKUP("PK Gs",A1:CV300,64,FALSE)+HLOOKUP("PK Miss",A1:CV300,64,FALSE)))+0.75*(HLOOKUP("PK Gs",A1:CV300,64,FALSE)+HLOOKUP("PK Miss",A1:CV300,64,FALSE)))/HLOOKUP("Mins",A1:CV300,64,FALSE)*90)</f>
      </c>
      <c r="BR64" s="4984">
        <f>0.103*HLOOKUP("KP/90",A1:CV300,64,FALSE)</f>
      </c>
      <c r="BS64" s="4985">
        <f>4*HLOOKUP("xG/90",A1:CV300,64,FALSE)+3*HLOOKUP("xA/90",A1:CV300,64,FALSE)</f>
      </c>
      <c r="BT64" s="4986">
        <f>HLOOKUP("xPts/90",A1:CV300,64,FALSE)-(4*0.75*(HLOOKUP("PK Gs",A1:CV300,64,FALSE)+HLOOKUP("PK Miss",A1:CV300,64,FALSE))*90/HLOOKUP("Mins",A1:CV300,64,FALSE))</f>
      </c>
      <c r="BU64" s="4987">
        <f>IF(HLOOKUP("Mins",A1:CV300,64,FALSE)=0,0,HLOOKUP("fsXG",A1:CV300,64,FALSE)/HLOOKUP("Mins",A1:CV300,64,FALSE)* 90)</f>
      </c>
      <c r="BV64" s="4988">
        <f>IF(HLOOKUP("Mins",A1:CV300,64,FALSE)=0,0,HLOOKUP("fsXA",A1:CV300,64,FALSE)/HLOOKUP("Mins",A1:CV300,64,FALSE)* 90)</f>
      </c>
      <c r="BW64" s="4989">
        <f>4*HLOOKUP("fsXG/90",A1:CV300,64,FALSE)+3*HLOOKUP("fsXA/90",A1:CV300,64,FALSE)</f>
      </c>
      <c r="BX64" t="n" s="4990">
        <v>0.6894630193710327</v>
      </c>
      <c r="BY64" t="n" s="4991">
        <v>0.0</v>
      </c>
      <c r="BZ64" s="4992">
        <f>4*HLOOKUP("uXG/90",A1:CV300,64,FALSE)+3*HLOOKUP("uXA/90",A1:CV300,64,FALSE)</f>
      </c>
    </row>
    <row r="65">
      <c r="A65" t="s" s="4993">
        <v>162</v>
      </c>
      <c r="B65" t="s" s="4994">
        <v>107</v>
      </c>
      <c r="C65" t="n" s="4995">
        <v>4.400000095367432</v>
      </c>
      <c r="D65" t="n" s="4996">
        <v>60.0</v>
      </c>
      <c r="E65" t="n" s="4997">
        <v>3.0</v>
      </c>
      <c r="F65" t="n" s="4998">
        <v>15.0</v>
      </c>
      <c r="G65" t="n" s="4999">
        <v>1.0</v>
      </c>
      <c r="H65" t="n" s="5000">
        <v>2.0</v>
      </c>
      <c r="I65" t="n" s="5001">
        <v>48.0</v>
      </c>
      <c r="J65" s="5002">
        <f>HLOOKUP("BPS",A1:CV300,65,FALSE)-((-6*HLOOKUP("OG",A1:CV300,65,FALSE))+(-6*HLOOKUP("PK Miss",A1:CV300,65,FALSE))+(9*HLOOKUP("FPL As",A1:CV300,65,FALSE))+(0*HLOOKUP("CS",A1:CV300,65,FALSE))+(24*HLOOKUP("Gs",A1:CV300,65,FALSE)))</f>
      </c>
      <c r="K65" t="n" s="5003">
        <v>0.0</v>
      </c>
      <c r="L65" t="n" s="5004">
        <v>0.0</v>
      </c>
      <c r="M65" t="n" s="5005">
        <v>5.0</v>
      </c>
      <c r="N65" t="n" s="5006">
        <v>2.0</v>
      </c>
      <c r="O65" t="n" s="5007">
        <v>2.0</v>
      </c>
      <c r="P65" s="5008">
        <f>IF(HLOOKUP("Shots",A1:CV300,65,FALSE)=0,0,HLOOKUP("SIB",A1:CV300,65,FALSE)/HLOOKUP("Shots",A1:CV300,65,FALSE))</f>
      </c>
      <c r="Q65" t="n" s="5009">
        <v>1.0</v>
      </c>
      <c r="R65" s="5010">
        <f>IF(HLOOKUP("Shots",A1:CV300,65,FALSE)=0,0,HLOOKUP("S6YD",A1:CV300,65,FALSE)/HLOOKUP("Shots",A1:CV300,65,FALSE))</f>
      </c>
      <c r="S65" t="n" s="5011">
        <v>0.0</v>
      </c>
      <c r="T65" s="5012">
        <f>IF(HLOOKUP("Shots",A1:CV300,65,FALSE)=0,0,HLOOKUP("Headers",A1:CV300,65,FALSE)/HLOOKUP("Shots",A1:CV300,65,FALSE))</f>
      </c>
      <c r="U65" t="n" s="5013">
        <v>1.0</v>
      </c>
      <c r="V65" s="5014">
        <f>IF(HLOOKUP("Shots",A1:CV300,65,FALSE)=0,0,HLOOKUP("SOT",A1:CV300,65,FALSE)/HLOOKUP("Shots",A1:CV300,65,FALSE))</f>
      </c>
      <c r="W65" s="5015">
        <f>IF(HLOOKUP("Shots",A1:CV300,65,FALSE)=0,0,HLOOKUP("Gs",A1:CV300,65,FALSE)/HLOOKUP("Shots",A1:CV300,65,FALSE))</f>
      </c>
      <c r="X65" t="n" s="5016">
        <v>0.0</v>
      </c>
      <c r="Y65" t="n" s="5017">
        <v>1.0</v>
      </c>
      <c r="Z65" t="n" s="5018">
        <v>2.0</v>
      </c>
      <c r="AA65" s="5019">
        <f>IF(HLOOKUP("KP",A1:CV300,65,FALSE)=0,0,HLOOKUP("As",A1:CV300,65,FALSE)/HLOOKUP("KP",A1:CV300,65,FALSE))</f>
      </c>
      <c r="AB65" t="n" s="5020">
        <v>10.7</v>
      </c>
      <c r="AC65" t="n" s="5021">
        <v>50.0</v>
      </c>
      <c r="AD65" t="n" s="5022">
        <v>0.0</v>
      </c>
      <c r="AE65" t="n" s="5023">
        <v>1.0</v>
      </c>
      <c r="AF65" t="n" s="5024">
        <v>0.0</v>
      </c>
      <c r="AG65" s="5025">
        <f>IF(HLOOKUP("BC",A1:CV300,65,FALSE)=0,0,HLOOKUP("Gs - BC",A1:CV300,65,FALSE)/HLOOKUP("BC",A1:CV300,65,FALSE))</f>
      </c>
      <c r="AH65" s="5026">
        <f>HLOOKUP("BC",A1:CV300,65,FALSE) - HLOOKUP("BC Miss",A1:CV300,65,FALSE)</f>
      </c>
      <c r="AI65" s="5027">
        <f>IF(HLOOKUP("Gs",A1:CV300,65,FALSE)=0,0,HLOOKUP("Gs - BC",A1:CV300,65,FALSE)/HLOOKUP("Gs",A1:CV300,65,FALSE))</f>
      </c>
      <c r="AJ65" t="n" s="5028">
        <v>0.0</v>
      </c>
      <c r="AK65" t="n" s="5029">
        <v>0.0</v>
      </c>
      <c r="AL65" s="5030">
        <f>HLOOKUP("BC",A1:CV300,65,FALSE) - (HLOOKUP("PK Gs",A1:CV300,65,FALSE) + HLOOKUP("PK Miss",A1:CV300,65,FALSE))</f>
      </c>
      <c r="AM65" s="5031">
        <f>HLOOKUP("BC Miss",A1:CV300,65,FALSE) - HLOOKUP("PK Miss",A1:CV300,65,FALSE)</f>
      </c>
      <c r="AN65" s="5032">
        <f>IF(HLOOKUP("BC - Open",A1:CV300,65,FALSE)=0,0,HLOOKUP("BC - Open Miss",A1:CV300,65,FALSE)/HLOOKUP("BC - Open",A1:CV300,65,FALSE))</f>
      </c>
      <c r="AO65" t="n" s="5033">
        <v>1.0</v>
      </c>
      <c r="AP65" s="5034">
        <f>IF(HLOOKUP("Gs",A1:CV300,65,FALSE)=0,0,HLOOKUP("GIB",A1:CV300,65,FALSE)/HLOOKUP("Gs",A1:CV300,65,FALSE))</f>
      </c>
      <c r="AQ65" t="n" s="5035">
        <v>1.0</v>
      </c>
      <c r="AR65" s="5036">
        <f>IF(HLOOKUP("Gs",A1:CV300,65,FALSE)=0,0,HLOOKUP("Gs - Open",A1:CV300,65,FALSE)/HLOOKUP("Gs",A1:CV300,65,FALSE))</f>
      </c>
      <c r="AS65" t="n" s="5037">
        <v>0.95</v>
      </c>
      <c r="AT65" t="n" s="5038">
        <v>0.03</v>
      </c>
      <c r="AU65" s="5039">
        <f>IF(HLOOKUP("Mins",A1:CV300,65,FALSE)=0,0,HLOOKUP("Pts",A1:CV300,65,FALSE)/HLOOKUP("Mins",A1:CV300,65,FALSE)* 90)</f>
      </c>
      <c r="AV65" s="5040">
        <f>IF(HLOOKUP("Apps",A1:CV300,65,FALSE)=0,0,HLOOKUP("Pts",A1:CV300,65,FALSE)/HLOOKUP("Apps",A1:CV300,65,FALSE)* 1)</f>
      </c>
      <c r="AW65" s="5041">
        <f>IF(HLOOKUP("Mins",A1:CV300,65,FALSE)=0,0,HLOOKUP("Gs",A1:CV300,65,FALSE)/HLOOKUP("Mins",A1:CV300,65,FALSE)* 90)</f>
      </c>
      <c r="AX65" s="5042">
        <f>IF(HLOOKUP("Mins",A1:CV300,65,FALSE)=0,0,HLOOKUP("Bonus",A1:CV300,65,FALSE)/HLOOKUP("Mins",A1:CV300,65,FALSE)* 90)</f>
      </c>
      <c r="AY65" s="5043">
        <f>IF(HLOOKUP("Mins",A1:CV300,65,FALSE)=0,0,HLOOKUP("BPS",A1:CV300,65,FALSE)/HLOOKUP("Mins",A1:CV300,65,FALSE)* 90)</f>
      </c>
      <c r="AZ65" s="5044">
        <f>IF(HLOOKUP("Mins",A1:CV300,65,FALSE)=0,0,HLOOKUP("Base BPS",A1:CV300,65,FALSE)/HLOOKUP("Mins",A1:CV300,65,FALSE)* 90)</f>
      </c>
      <c r="BA65" s="5045">
        <f>IF(HLOOKUP("Mins",A1:CV300,65,FALSE)=0,0,HLOOKUP("PenTchs",A1:CV300,65,FALSE)/HLOOKUP("Mins",A1:CV300,65,FALSE)* 90)</f>
      </c>
      <c r="BB65" s="5046">
        <f>IF(HLOOKUP("Mins",A1:CV300,65,FALSE)=0,0,HLOOKUP("Shots",A1:CV300,65,FALSE)/HLOOKUP("Mins",A1:CV300,65,FALSE)* 90)</f>
      </c>
      <c r="BC65" s="5047">
        <f>IF(HLOOKUP("Mins",A1:CV300,65,FALSE)=0,0,HLOOKUP("SIB",A1:CV300,65,FALSE)/HLOOKUP("Mins",A1:CV300,65,FALSE)* 90)</f>
      </c>
      <c r="BD65" s="5048">
        <f>IF(HLOOKUP("Mins",A1:CV300,65,FALSE)=0,0,HLOOKUP("S6YD",A1:CV300,65,FALSE)/HLOOKUP("Mins",A1:CV300,65,FALSE)* 90)</f>
      </c>
      <c r="BE65" s="5049">
        <f>IF(HLOOKUP("Mins",A1:CV300,65,FALSE)=0,0,HLOOKUP("Headers",A1:CV300,65,FALSE)/HLOOKUP("Mins",A1:CV300,65,FALSE)* 90)</f>
      </c>
      <c r="BF65" s="5050">
        <f>IF(HLOOKUP("Mins",A1:CV300,65,FALSE)=0,0,HLOOKUP("SOT",A1:CV300,65,FALSE)/HLOOKUP("Mins",A1:CV300,65,FALSE)* 90)</f>
      </c>
      <c r="BG65" s="5051">
        <f>IF(HLOOKUP("Mins",A1:CV300,65,FALSE)=0,0,HLOOKUP("As",A1:CV300,65,FALSE)/HLOOKUP("Mins",A1:CV300,65,FALSE)* 90)</f>
      </c>
      <c r="BH65" s="5052">
        <f>IF(HLOOKUP("Mins",A1:CV300,65,FALSE)=0,0,HLOOKUP("FPL As",A1:CV300,65,FALSE)/HLOOKUP("Mins",A1:CV300,65,FALSE)* 90)</f>
      </c>
      <c r="BI65" s="5053">
        <f>IF(HLOOKUP("Mins",A1:CV300,65,FALSE)=0,0,HLOOKUP("BC Created",A1:CV300,65,FALSE)/HLOOKUP("Mins",A1:CV300,65,FALSE)* 90)</f>
      </c>
      <c r="BJ65" s="5054">
        <f>IF(HLOOKUP("Mins",A1:CV300,65,FALSE)=0,0,HLOOKUP("KP",A1:CV300,65,FALSE)/HLOOKUP("Mins",A1:CV300,65,FALSE)* 90)</f>
      </c>
      <c r="BK65" s="5055">
        <f>IF(HLOOKUP("Mins",A1:CV300,65,FALSE)=0,0,HLOOKUP("BC",A1:CV300,65,FALSE)/HLOOKUP("Mins",A1:CV300,65,FALSE)* 90)</f>
      </c>
      <c r="BL65" s="5056">
        <f>IF(HLOOKUP("Mins",A1:CV300,65,FALSE)=0,0,HLOOKUP("BC Miss",A1:CV300,65,FALSE)/HLOOKUP("Mins",A1:CV300,65,FALSE)* 90)</f>
      </c>
      <c r="BM65" s="5057">
        <f>IF(HLOOKUP("Mins",A1:CV300,65,FALSE)=0,0,HLOOKUP("Gs - BC",A1:CV300,65,FALSE)/HLOOKUP("Mins",A1:CV300,65,FALSE)* 90)</f>
      </c>
      <c r="BN65" s="5058">
        <f>IF(HLOOKUP("Mins",A1:CV300,65,FALSE)=0,0,HLOOKUP("GIB",A1:CV300,65,FALSE)/HLOOKUP("Mins",A1:CV300,65,FALSE)* 90)</f>
      </c>
      <c r="BO65" s="5059">
        <f>IF(HLOOKUP("Mins",A1:CV300,65,FALSE)=0,0,HLOOKUP("Gs - Open",A1:CV300,65,FALSE)/HLOOKUP("Mins",A1:CV300,65,FALSE)* 90)</f>
      </c>
      <c r="BP65" s="5060">
        <f>IF(HLOOKUP("Mins",A1:CV300,65,FALSE)=0,0,HLOOKUP("ICT Index",A1:CV300,65,FALSE)/HLOOKUP("Mins",A1:CV300,65,FALSE)* 90)</f>
      </c>
      <c r="BQ65" s="5061">
        <f>IF(HLOOKUP("Mins",A1:CV300,65,FALSE)=0,0,(0.043*(HLOOKUP("Shots",A1:CV300,65,FALSE)-HLOOKUP("SIB",A1:CV300,65,FALSE))+0.162*(HLOOKUP("SIB",A1:CV300,65,FALSE)-(HLOOKUP("PK Gs",A1:CV300,65,FALSE)+HLOOKUP("PK Miss",A1:CV300,65,FALSE)))+0.75*(HLOOKUP("PK Gs",A1:CV300,65,FALSE)+HLOOKUP("PK Miss",A1:CV300,65,FALSE)))/HLOOKUP("Mins",A1:CV300,65,FALSE)*90)</f>
      </c>
      <c r="BR65" s="5062">
        <f>0.103*HLOOKUP("KP/90",A1:CV300,65,FALSE)</f>
      </c>
      <c r="BS65" s="5063">
        <f>4*HLOOKUP("xG/90",A1:CV300,65,FALSE)+3*HLOOKUP("xA/90",A1:CV300,65,FALSE)</f>
      </c>
      <c r="BT65" s="5064">
        <f>HLOOKUP("xPts/90",A1:CV300,65,FALSE)-(4*0.75*(HLOOKUP("PK Gs",A1:CV300,65,FALSE)+HLOOKUP("PK Miss",A1:CV300,65,FALSE))*90/HLOOKUP("Mins",A1:CV300,65,FALSE))</f>
      </c>
      <c r="BU65" s="5065">
        <f>IF(HLOOKUP("Mins",A1:CV300,65,FALSE)=0,0,HLOOKUP("fsXG",A1:CV300,65,FALSE)/HLOOKUP("Mins",A1:CV300,65,FALSE)* 90)</f>
      </c>
      <c r="BV65" s="5066">
        <f>IF(HLOOKUP("Mins",A1:CV300,65,FALSE)=0,0,HLOOKUP("fsXA",A1:CV300,65,FALSE)/HLOOKUP("Mins",A1:CV300,65,FALSE)* 90)</f>
      </c>
      <c r="BW65" s="5067">
        <f>4*HLOOKUP("fsXG/90",A1:CV300,65,FALSE)+3*HLOOKUP("fsXA/90",A1:CV300,65,FALSE)</f>
      </c>
      <c r="BX65" t="n" s="5068">
        <v>1.145853877067566</v>
      </c>
      <c r="BY65" t="n" s="5069">
        <v>0.14101961255073547</v>
      </c>
      <c r="BZ65" s="5070">
        <f>4*HLOOKUP("uXG/90",A1:CV300,65,FALSE)+3*HLOOKUP("uXA/90",A1:CV300,65,FALSE)</f>
      </c>
    </row>
    <row r="66">
      <c r="A66" t="s" s="5071">
        <v>163</v>
      </c>
      <c r="B66" t="s" s="5072">
        <v>122</v>
      </c>
      <c r="C66" t="n" s="5073">
        <v>8.899999618530273</v>
      </c>
      <c r="D66" t="n" s="5074">
        <v>149.0</v>
      </c>
      <c r="E66" t="n" s="5075">
        <v>2.0</v>
      </c>
      <c r="F66" t="n" s="5076">
        <v>134.0</v>
      </c>
      <c r="G66" t="n" s="5077">
        <v>2.0</v>
      </c>
      <c r="H66" t="n" s="5078">
        <v>26.0</v>
      </c>
      <c r="I66" t="n" s="5079">
        <v>494.0</v>
      </c>
      <c r="J66" s="5080">
        <f>HLOOKUP("BPS",A1:CV300,66,FALSE)-((-6*HLOOKUP("OG",A1:CV300,66,FALSE))+(-6*HLOOKUP("PK Miss",A1:CV300,66,FALSE))+(9*HLOOKUP("FPL As",A1:CV300,66,FALSE))+(0*HLOOKUP("CS",A1:CV300,66,FALSE))+(24*HLOOKUP("Gs",A1:CV300,66,FALSE)))</f>
      </c>
      <c r="K66" t="n" s="5081">
        <v>0.0</v>
      </c>
      <c r="L66" t="n" s="5082">
        <v>4.0</v>
      </c>
      <c r="M66" t="n" s="5083">
        <v>11.0</v>
      </c>
      <c r="N66" t="n" s="5084">
        <v>6.0</v>
      </c>
      <c r="O66" t="n" s="5085">
        <v>5.0</v>
      </c>
      <c r="P66" s="5086">
        <f>IF(HLOOKUP("Shots",A1:CV300,66,FALSE)=0,0,HLOOKUP("SIB",A1:CV300,66,FALSE)/HLOOKUP("Shots",A1:CV300,66,FALSE))</f>
      </c>
      <c r="Q66" t="n" s="5087">
        <v>1.0</v>
      </c>
      <c r="R66" s="5088">
        <f>IF(HLOOKUP("Shots",A1:CV300,66,FALSE)=0,0,HLOOKUP("S6YD",A1:CV300,66,FALSE)/HLOOKUP("Shots",A1:CV300,66,FALSE))</f>
      </c>
      <c r="S66" t="n" s="5089">
        <v>0.0</v>
      </c>
      <c r="T66" s="5090">
        <f>IF(HLOOKUP("Shots",A1:CV300,66,FALSE)=0,0,HLOOKUP("Headers",A1:CV300,66,FALSE)/HLOOKUP("Shots",A1:CV300,66,FALSE))</f>
      </c>
      <c r="U66" t="n" s="5091">
        <v>5.0</v>
      </c>
      <c r="V66" s="5092">
        <f>IF(HLOOKUP("Shots",A1:CV300,66,FALSE)=0,0,HLOOKUP("SOT",A1:CV300,66,FALSE)/HLOOKUP("Shots",A1:CV300,66,FALSE))</f>
      </c>
      <c r="W66" s="5093">
        <f>IF(HLOOKUP("Shots",A1:CV300,66,FALSE)=0,0,HLOOKUP("Gs",A1:CV300,66,FALSE)/HLOOKUP("Shots",A1:CV300,66,FALSE))</f>
      </c>
      <c r="X66" t="n" s="5094">
        <v>0.0</v>
      </c>
      <c r="Y66" t="n" s="5095">
        <v>5.0</v>
      </c>
      <c r="Z66" t="n" s="5096">
        <v>0.0</v>
      </c>
      <c r="AA66" s="5097">
        <f>IF(HLOOKUP("KP",A1:CV300,66,FALSE)=0,0,HLOOKUP("As",A1:CV300,66,FALSE)/HLOOKUP("KP",A1:CV300,66,FALSE))</f>
      </c>
      <c r="AB66" t="n" s="5098">
        <v>19.7</v>
      </c>
      <c r="AC66" t="n" s="5099">
        <v>67.0</v>
      </c>
      <c r="AD66" t="n" s="5100">
        <v>0.0</v>
      </c>
      <c r="AE66" t="n" s="5101">
        <v>2.0</v>
      </c>
      <c r="AF66" t="n" s="5102">
        <v>0.0</v>
      </c>
      <c r="AG66" s="5103">
        <f>IF(HLOOKUP("BC",A1:CV300,66,FALSE)=0,0,HLOOKUP("Gs - BC",A1:CV300,66,FALSE)/HLOOKUP("BC",A1:CV300,66,FALSE))</f>
      </c>
      <c r="AH66" s="5104">
        <f>HLOOKUP("BC",A1:CV300,66,FALSE) - HLOOKUP("BC Miss",A1:CV300,66,FALSE)</f>
      </c>
      <c r="AI66" s="5105">
        <f>IF(HLOOKUP("Gs",A1:CV300,66,FALSE)=0,0,HLOOKUP("Gs - BC",A1:CV300,66,FALSE)/HLOOKUP("Gs",A1:CV300,66,FALSE))</f>
      </c>
      <c r="AJ66" t="n" s="5106">
        <v>1.0</v>
      </c>
      <c r="AK66" t="n" s="5107">
        <v>0.0</v>
      </c>
      <c r="AL66" s="5108">
        <f>HLOOKUP("BC",A1:CV300,66,FALSE) - (HLOOKUP("PK Gs",A1:CV300,66,FALSE) + HLOOKUP("PK Miss",A1:CV300,66,FALSE))</f>
      </c>
      <c r="AM66" s="5109">
        <f>HLOOKUP("BC Miss",A1:CV300,66,FALSE) - HLOOKUP("PK Miss",A1:CV300,66,FALSE)</f>
      </c>
      <c r="AN66" s="5110">
        <f>IF(HLOOKUP("BC - Open",A1:CV300,66,FALSE)=0,0,HLOOKUP("BC - Open Miss",A1:CV300,66,FALSE)/HLOOKUP("BC - Open",A1:CV300,66,FALSE))</f>
      </c>
      <c r="AO66" t="n" s="5111">
        <v>2.0</v>
      </c>
      <c r="AP66" s="5112">
        <f>IF(HLOOKUP("Gs",A1:CV300,66,FALSE)=0,0,HLOOKUP("GIB",A1:CV300,66,FALSE)/HLOOKUP("Gs",A1:CV300,66,FALSE))</f>
      </c>
      <c r="AQ66" t="n" s="5113">
        <v>1.0</v>
      </c>
      <c r="AR66" s="5114">
        <f>IF(HLOOKUP("Gs",A1:CV300,66,FALSE)=0,0,HLOOKUP("Gs - Open",A1:CV300,66,FALSE)/HLOOKUP("Gs",A1:CV300,66,FALSE))</f>
      </c>
      <c r="AS66" t="n" s="5115">
        <v>1.83</v>
      </c>
      <c r="AT66" t="n" s="5116">
        <v>0.07</v>
      </c>
      <c r="AU66" s="5117">
        <f>IF(HLOOKUP("Mins",A1:CV300,66,FALSE)=0,0,HLOOKUP("Pts",A1:CV300,66,FALSE)/HLOOKUP("Mins",A1:CV300,66,FALSE)* 90)</f>
      </c>
      <c r="AV66" s="5118">
        <f>IF(HLOOKUP("Apps",A1:CV300,66,FALSE)=0,0,HLOOKUP("Pts",A1:CV300,66,FALSE)/HLOOKUP("Apps",A1:CV300,66,FALSE)* 1)</f>
      </c>
      <c r="AW66" s="5119">
        <f>IF(HLOOKUP("Mins",A1:CV300,66,FALSE)=0,0,HLOOKUP("Gs",A1:CV300,66,FALSE)/HLOOKUP("Mins",A1:CV300,66,FALSE)* 90)</f>
      </c>
      <c r="AX66" s="5120">
        <f>IF(HLOOKUP("Mins",A1:CV300,66,FALSE)=0,0,HLOOKUP("Bonus",A1:CV300,66,FALSE)/HLOOKUP("Mins",A1:CV300,66,FALSE)* 90)</f>
      </c>
      <c r="AY66" s="5121">
        <f>IF(HLOOKUP("Mins",A1:CV300,66,FALSE)=0,0,HLOOKUP("BPS",A1:CV300,66,FALSE)/HLOOKUP("Mins",A1:CV300,66,FALSE)* 90)</f>
      </c>
      <c r="AZ66" s="5122">
        <f>IF(HLOOKUP("Mins",A1:CV300,66,FALSE)=0,0,HLOOKUP("Base BPS",A1:CV300,66,FALSE)/HLOOKUP("Mins",A1:CV300,66,FALSE)* 90)</f>
      </c>
      <c r="BA66" s="5123">
        <f>IF(HLOOKUP("Mins",A1:CV300,66,FALSE)=0,0,HLOOKUP("PenTchs",A1:CV300,66,FALSE)/HLOOKUP("Mins",A1:CV300,66,FALSE)* 90)</f>
      </c>
      <c r="BB66" s="5124">
        <f>IF(HLOOKUP("Mins",A1:CV300,66,FALSE)=0,0,HLOOKUP("Shots",A1:CV300,66,FALSE)/HLOOKUP("Mins",A1:CV300,66,FALSE)* 90)</f>
      </c>
      <c r="BC66" s="5125">
        <f>IF(HLOOKUP("Mins",A1:CV300,66,FALSE)=0,0,HLOOKUP("SIB",A1:CV300,66,FALSE)/HLOOKUP("Mins",A1:CV300,66,FALSE)* 90)</f>
      </c>
      <c r="BD66" s="5126">
        <f>IF(HLOOKUP("Mins",A1:CV300,66,FALSE)=0,0,HLOOKUP("S6YD",A1:CV300,66,FALSE)/HLOOKUP("Mins",A1:CV300,66,FALSE)* 90)</f>
      </c>
      <c r="BE66" s="5127">
        <f>IF(HLOOKUP("Mins",A1:CV300,66,FALSE)=0,0,HLOOKUP("Headers",A1:CV300,66,FALSE)/HLOOKUP("Mins",A1:CV300,66,FALSE)* 90)</f>
      </c>
      <c r="BF66" s="5128">
        <f>IF(HLOOKUP("Mins",A1:CV300,66,FALSE)=0,0,HLOOKUP("SOT",A1:CV300,66,FALSE)/HLOOKUP("Mins",A1:CV300,66,FALSE)* 90)</f>
      </c>
      <c r="BG66" s="5129">
        <f>IF(HLOOKUP("Mins",A1:CV300,66,FALSE)=0,0,HLOOKUP("As",A1:CV300,66,FALSE)/HLOOKUP("Mins",A1:CV300,66,FALSE)* 90)</f>
      </c>
      <c r="BH66" s="5130">
        <f>IF(HLOOKUP("Mins",A1:CV300,66,FALSE)=0,0,HLOOKUP("FPL As",A1:CV300,66,FALSE)/HLOOKUP("Mins",A1:CV300,66,FALSE)* 90)</f>
      </c>
      <c r="BI66" s="5131">
        <f>IF(HLOOKUP("Mins",A1:CV300,66,FALSE)=0,0,HLOOKUP("BC Created",A1:CV300,66,FALSE)/HLOOKUP("Mins",A1:CV300,66,FALSE)* 90)</f>
      </c>
      <c r="BJ66" s="5132">
        <f>IF(HLOOKUP("Mins",A1:CV300,66,FALSE)=0,0,HLOOKUP("KP",A1:CV300,66,FALSE)/HLOOKUP("Mins",A1:CV300,66,FALSE)* 90)</f>
      </c>
      <c r="BK66" s="5133">
        <f>IF(HLOOKUP("Mins",A1:CV300,66,FALSE)=0,0,HLOOKUP("BC",A1:CV300,66,FALSE)/HLOOKUP("Mins",A1:CV300,66,FALSE)* 90)</f>
      </c>
      <c r="BL66" s="5134">
        <f>IF(HLOOKUP("Mins",A1:CV300,66,FALSE)=0,0,HLOOKUP("BC Miss",A1:CV300,66,FALSE)/HLOOKUP("Mins",A1:CV300,66,FALSE)* 90)</f>
      </c>
      <c r="BM66" s="5135">
        <f>IF(HLOOKUP("Mins",A1:CV300,66,FALSE)=0,0,HLOOKUP("Gs - BC",A1:CV300,66,FALSE)/HLOOKUP("Mins",A1:CV300,66,FALSE)* 90)</f>
      </c>
      <c r="BN66" s="5136">
        <f>IF(HLOOKUP("Mins",A1:CV300,66,FALSE)=0,0,HLOOKUP("GIB",A1:CV300,66,FALSE)/HLOOKUP("Mins",A1:CV300,66,FALSE)* 90)</f>
      </c>
      <c r="BO66" s="5137">
        <f>IF(HLOOKUP("Mins",A1:CV300,66,FALSE)=0,0,HLOOKUP("Gs - Open",A1:CV300,66,FALSE)/HLOOKUP("Mins",A1:CV300,66,FALSE)* 90)</f>
      </c>
      <c r="BP66" s="5138">
        <f>IF(HLOOKUP("Mins",A1:CV300,66,FALSE)=0,0,HLOOKUP("ICT Index",A1:CV300,66,FALSE)/HLOOKUP("Mins",A1:CV300,66,FALSE)* 90)</f>
      </c>
      <c r="BQ66" s="5139">
        <f>IF(HLOOKUP("Mins",A1:CV300,66,FALSE)=0,0,(0.043*(HLOOKUP("Shots",A1:CV300,66,FALSE)-HLOOKUP("SIB",A1:CV300,66,FALSE))+0.162*(HLOOKUP("SIB",A1:CV300,66,FALSE)-(HLOOKUP("PK Gs",A1:CV300,66,FALSE)+HLOOKUP("PK Miss",A1:CV300,66,FALSE)))+0.75*(HLOOKUP("PK Gs",A1:CV300,66,FALSE)+HLOOKUP("PK Miss",A1:CV300,66,FALSE)))/HLOOKUP("Mins",A1:CV300,66,FALSE)*90)</f>
      </c>
      <c r="BR66" s="5140">
        <f>0.103*HLOOKUP("KP/90",A1:CV300,66,FALSE)</f>
      </c>
      <c r="BS66" s="5141">
        <f>4*HLOOKUP("xG/90",A1:CV300,66,FALSE)+3*HLOOKUP("xA/90",A1:CV300,66,FALSE)</f>
      </c>
      <c r="BT66" s="5142">
        <f>HLOOKUP("xPts/90",A1:CV300,66,FALSE)-(4*0.75*(HLOOKUP("PK Gs",A1:CV300,66,FALSE)+HLOOKUP("PK Miss",A1:CV300,66,FALSE))*90/HLOOKUP("Mins",A1:CV300,66,FALSE))</f>
      </c>
      <c r="BU66" s="5143">
        <f>IF(HLOOKUP("Mins",A1:CV300,66,FALSE)=0,0,HLOOKUP("fsXG",A1:CV300,66,FALSE)/HLOOKUP("Mins",A1:CV300,66,FALSE)* 90)</f>
      </c>
      <c r="BV66" s="5144">
        <f>IF(HLOOKUP("Mins",A1:CV300,66,FALSE)=0,0,HLOOKUP("fsXA",A1:CV300,66,FALSE)/HLOOKUP("Mins",A1:CV300,66,FALSE)* 90)</f>
      </c>
      <c r="BW66" s="5145">
        <f>4*HLOOKUP("fsXG/90",A1:CV300,66,FALSE)+3*HLOOKUP("fsXA/90",A1:CV300,66,FALSE)</f>
      </c>
      <c r="BX66" t="n" s="5146">
        <v>1.0095100402832031</v>
      </c>
      <c r="BY66" t="n" s="5147">
        <v>0.0</v>
      </c>
      <c r="BZ66" s="5148">
        <f>4*HLOOKUP("uXG/90",A1:CV300,66,FALSE)+3*HLOOKUP("uXA/90",A1:CV300,66,FALSE)</f>
      </c>
    </row>
    <row r="67">
      <c r="A67" t="s" s="5149">
        <v>164</v>
      </c>
      <c r="B67" t="s" s="5150">
        <v>87</v>
      </c>
      <c r="C67" t="n" s="5151">
        <v>6.0</v>
      </c>
      <c r="D67" t="n" s="5152">
        <v>173.0</v>
      </c>
      <c r="E67" t="n" s="5153">
        <v>2.0</v>
      </c>
      <c r="F67" t="n" s="5154">
        <v>10.0</v>
      </c>
      <c r="G67" t="n" s="5155">
        <v>1.0</v>
      </c>
      <c r="H67" t="n" s="5156">
        <v>2.0</v>
      </c>
      <c r="I67" t="n" s="5157">
        <v>34.0</v>
      </c>
      <c r="J67" s="5158">
        <f>HLOOKUP("BPS",A1:CV300,67,FALSE)-((-6*HLOOKUP("OG",A1:CV300,67,FALSE))+(-6*HLOOKUP("PK Miss",A1:CV300,67,FALSE))+(9*HLOOKUP("FPL As",A1:CV300,67,FALSE))+(0*HLOOKUP("CS",A1:CV300,67,FALSE))+(24*HLOOKUP("Gs",A1:CV300,67,FALSE)))</f>
      </c>
      <c r="K67" t="n" s="5159">
        <v>0.0</v>
      </c>
      <c r="L67" t="n" s="5160">
        <v>0.0</v>
      </c>
      <c r="M67" t="n" s="5161">
        <v>12.0</v>
      </c>
      <c r="N67" t="n" s="5162">
        <v>6.0</v>
      </c>
      <c r="O67" t="n" s="5163">
        <v>6.0</v>
      </c>
      <c r="P67" s="5164">
        <f>IF(HLOOKUP("Shots",A1:CV300,67,FALSE)=0,0,HLOOKUP("SIB",A1:CV300,67,FALSE)/HLOOKUP("Shots",A1:CV300,67,FALSE))</f>
      </c>
      <c r="Q67" t="n" s="5165">
        <v>2.0</v>
      </c>
      <c r="R67" s="5166">
        <f>IF(HLOOKUP("Shots",A1:CV300,67,FALSE)=0,0,HLOOKUP("S6YD",A1:CV300,67,FALSE)/HLOOKUP("Shots",A1:CV300,67,FALSE))</f>
      </c>
      <c r="S67" t="n" s="5167">
        <v>4.0</v>
      </c>
      <c r="T67" s="5168">
        <f>IF(HLOOKUP("Shots",A1:CV300,67,FALSE)=0,0,HLOOKUP("Headers",A1:CV300,67,FALSE)/HLOOKUP("Shots",A1:CV300,67,FALSE))</f>
      </c>
      <c r="U67" t="n" s="5169">
        <v>2.0</v>
      </c>
      <c r="V67" s="5170">
        <f>IF(HLOOKUP("Shots",A1:CV300,67,FALSE)=0,0,HLOOKUP("SOT",A1:CV300,67,FALSE)/HLOOKUP("Shots",A1:CV300,67,FALSE))</f>
      </c>
      <c r="W67" s="5171">
        <f>IF(HLOOKUP("Shots",A1:CV300,67,FALSE)=0,0,HLOOKUP("Gs",A1:CV300,67,FALSE)/HLOOKUP("Shots",A1:CV300,67,FALSE))</f>
      </c>
      <c r="X67" t="n" s="5172">
        <v>0.0</v>
      </c>
      <c r="Y67" t="n" s="5173">
        <v>0.0</v>
      </c>
      <c r="Z67" t="n" s="5174">
        <v>4.0</v>
      </c>
      <c r="AA67" s="5175">
        <f>IF(HLOOKUP("KP",A1:CV300,67,FALSE)=0,0,HLOOKUP("As",A1:CV300,67,FALSE)/HLOOKUP("KP",A1:CV300,67,FALSE))</f>
      </c>
      <c r="AB67" t="n" s="5176">
        <v>22.8</v>
      </c>
      <c r="AC67" t="n" s="5177">
        <v>33.0</v>
      </c>
      <c r="AD67" t="n" s="5178">
        <v>0.0</v>
      </c>
      <c r="AE67" t="n" s="5179">
        <v>1.0</v>
      </c>
      <c r="AF67" t="n" s="5180">
        <v>0.0</v>
      </c>
      <c r="AG67" s="5181">
        <f>IF(HLOOKUP("BC",A1:CV300,67,FALSE)=0,0,HLOOKUP("Gs - BC",A1:CV300,67,FALSE)/HLOOKUP("BC",A1:CV300,67,FALSE))</f>
      </c>
      <c r="AH67" s="5182">
        <f>HLOOKUP("BC",A1:CV300,67,FALSE) - HLOOKUP("BC Miss",A1:CV300,67,FALSE)</f>
      </c>
      <c r="AI67" s="5183">
        <f>IF(HLOOKUP("Gs",A1:CV300,67,FALSE)=0,0,HLOOKUP("Gs - BC",A1:CV300,67,FALSE)/HLOOKUP("Gs",A1:CV300,67,FALSE))</f>
      </c>
      <c r="AJ67" t="n" s="5184">
        <v>0.0</v>
      </c>
      <c r="AK67" t="n" s="5185">
        <v>0.0</v>
      </c>
      <c r="AL67" s="5186">
        <f>HLOOKUP("BC",A1:CV300,67,FALSE) - (HLOOKUP("PK Gs",A1:CV300,67,FALSE) + HLOOKUP("PK Miss",A1:CV300,67,FALSE))</f>
      </c>
      <c r="AM67" s="5187">
        <f>HLOOKUP("BC Miss",A1:CV300,67,FALSE) - HLOOKUP("PK Miss",A1:CV300,67,FALSE)</f>
      </c>
      <c r="AN67" s="5188">
        <f>IF(HLOOKUP("BC - Open",A1:CV300,67,FALSE)=0,0,HLOOKUP("BC - Open Miss",A1:CV300,67,FALSE)/HLOOKUP("BC - Open",A1:CV300,67,FALSE))</f>
      </c>
      <c r="AO67" t="n" s="5189">
        <v>1.0</v>
      </c>
      <c r="AP67" s="5190">
        <f>IF(HLOOKUP("Gs",A1:CV300,67,FALSE)=0,0,HLOOKUP("GIB",A1:CV300,67,FALSE)/HLOOKUP("Gs",A1:CV300,67,FALSE))</f>
      </c>
      <c r="AQ67" t="n" s="5191">
        <v>1.0</v>
      </c>
      <c r="AR67" s="5192">
        <f>IF(HLOOKUP("Gs",A1:CV300,67,FALSE)=0,0,HLOOKUP("Gs - Open",A1:CV300,67,FALSE)/HLOOKUP("Gs",A1:CV300,67,FALSE))</f>
      </c>
      <c r="AS67" t="n" s="5193">
        <v>0.89</v>
      </c>
      <c r="AT67" t="n" s="5194">
        <v>0.08</v>
      </c>
      <c r="AU67" s="5195">
        <f>IF(HLOOKUP("Mins",A1:CV300,67,FALSE)=0,0,HLOOKUP("Pts",A1:CV300,67,FALSE)/HLOOKUP("Mins",A1:CV300,67,FALSE)* 90)</f>
      </c>
      <c r="AV67" s="5196">
        <f>IF(HLOOKUP("Apps",A1:CV300,67,FALSE)=0,0,HLOOKUP("Pts",A1:CV300,67,FALSE)/HLOOKUP("Apps",A1:CV300,67,FALSE)* 1)</f>
      </c>
      <c r="AW67" s="5197">
        <f>IF(HLOOKUP("Mins",A1:CV300,67,FALSE)=0,0,HLOOKUP("Gs",A1:CV300,67,FALSE)/HLOOKUP("Mins",A1:CV300,67,FALSE)* 90)</f>
      </c>
      <c r="AX67" s="5198">
        <f>IF(HLOOKUP("Mins",A1:CV300,67,FALSE)=0,0,HLOOKUP("Bonus",A1:CV300,67,FALSE)/HLOOKUP("Mins",A1:CV300,67,FALSE)* 90)</f>
      </c>
      <c r="AY67" s="5199">
        <f>IF(HLOOKUP("Mins",A1:CV300,67,FALSE)=0,0,HLOOKUP("BPS",A1:CV300,67,FALSE)/HLOOKUP("Mins",A1:CV300,67,FALSE)* 90)</f>
      </c>
      <c r="AZ67" s="5200">
        <f>IF(HLOOKUP("Mins",A1:CV300,67,FALSE)=0,0,HLOOKUP("Base BPS",A1:CV300,67,FALSE)/HLOOKUP("Mins",A1:CV300,67,FALSE)* 90)</f>
      </c>
      <c r="BA67" s="5201">
        <f>IF(HLOOKUP("Mins",A1:CV300,67,FALSE)=0,0,HLOOKUP("PenTchs",A1:CV300,67,FALSE)/HLOOKUP("Mins",A1:CV300,67,FALSE)* 90)</f>
      </c>
      <c r="BB67" s="5202">
        <f>IF(HLOOKUP("Mins",A1:CV300,67,FALSE)=0,0,HLOOKUP("Shots",A1:CV300,67,FALSE)/HLOOKUP("Mins",A1:CV300,67,FALSE)* 90)</f>
      </c>
      <c r="BC67" s="5203">
        <f>IF(HLOOKUP("Mins",A1:CV300,67,FALSE)=0,0,HLOOKUP("SIB",A1:CV300,67,FALSE)/HLOOKUP("Mins",A1:CV300,67,FALSE)* 90)</f>
      </c>
      <c r="BD67" s="5204">
        <f>IF(HLOOKUP("Mins",A1:CV300,67,FALSE)=0,0,HLOOKUP("S6YD",A1:CV300,67,FALSE)/HLOOKUP("Mins",A1:CV300,67,FALSE)* 90)</f>
      </c>
      <c r="BE67" s="5205">
        <f>IF(HLOOKUP("Mins",A1:CV300,67,FALSE)=0,0,HLOOKUP("Headers",A1:CV300,67,FALSE)/HLOOKUP("Mins",A1:CV300,67,FALSE)* 90)</f>
      </c>
      <c r="BF67" s="5206">
        <f>IF(HLOOKUP("Mins",A1:CV300,67,FALSE)=0,0,HLOOKUP("SOT",A1:CV300,67,FALSE)/HLOOKUP("Mins",A1:CV300,67,FALSE)* 90)</f>
      </c>
      <c r="BG67" s="5207">
        <f>IF(HLOOKUP("Mins",A1:CV300,67,FALSE)=0,0,HLOOKUP("As",A1:CV300,67,FALSE)/HLOOKUP("Mins",A1:CV300,67,FALSE)* 90)</f>
      </c>
      <c r="BH67" s="5208">
        <f>IF(HLOOKUP("Mins",A1:CV300,67,FALSE)=0,0,HLOOKUP("FPL As",A1:CV300,67,FALSE)/HLOOKUP("Mins",A1:CV300,67,FALSE)* 90)</f>
      </c>
      <c r="BI67" s="5209">
        <f>IF(HLOOKUP("Mins",A1:CV300,67,FALSE)=0,0,HLOOKUP("BC Created",A1:CV300,67,FALSE)/HLOOKUP("Mins",A1:CV300,67,FALSE)* 90)</f>
      </c>
      <c r="BJ67" s="5210">
        <f>IF(HLOOKUP("Mins",A1:CV300,67,FALSE)=0,0,HLOOKUP("KP",A1:CV300,67,FALSE)/HLOOKUP("Mins",A1:CV300,67,FALSE)* 90)</f>
      </c>
      <c r="BK67" s="5211">
        <f>IF(HLOOKUP("Mins",A1:CV300,67,FALSE)=0,0,HLOOKUP("BC",A1:CV300,67,FALSE)/HLOOKUP("Mins",A1:CV300,67,FALSE)* 90)</f>
      </c>
      <c r="BL67" s="5212">
        <f>IF(HLOOKUP("Mins",A1:CV300,67,FALSE)=0,0,HLOOKUP("BC Miss",A1:CV300,67,FALSE)/HLOOKUP("Mins",A1:CV300,67,FALSE)* 90)</f>
      </c>
      <c r="BM67" s="5213">
        <f>IF(HLOOKUP("Mins",A1:CV300,67,FALSE)=0,0,HLOOKUP("Gs - BC",A1:CV300,67,FALSE)/HLOOKUP("Mins",A1:CV300,67,FALSE)* 90)</f>
      </c>
      <c r="BN67" s="5214">
        <f>IF(HLOOKUP("Mins",A1:CV300,67,FALSE)=0,0,HLOOKUP("GIB",A1:CV300,67,FALSE)/HLOOKUP("Mins",A1:CV300,67,FALSE)* 90)</f>
      </c>
      <c r="BO67" s="5215">
        <f>IF(HLOOKUP("Mins",A1:CV300,67,FALSE)=0,0,HLOOKUP("Gs - Open",A1:CV300,67,FALSE)/HLOOKUP("Mins",A1:CV300,67,FALSE)* 90)</f>
      </c>
      <c r="BP67" s="5216">
        <f>IF(HLOOKUP("Mins",A1:CV300,67,FALSE)=0,0,HLOOKUP("ICT Index",A1:CV300,67,FALSE)/HLOOKUP("Mins",A1:CV300,67,FALSE)* 90)</f>
      </c>
      <c r="BQ67" s="5217">
        <f>IF(HLOOKUP("Mins",A1:CV300,67,FALSE)=0,0,(0.043*(HLOOKUP("Shots",A1:CV300,67,FALSE)-HLOOKUP("SIB",A1:CV300,67,FALSE))+0.162*(HLOOKUP("SIB",A1:CV300,67,FALSE)-(HLOOKUP("PK Gs",A1:CV300,67,FALSE)+HLOOKUP("PK Miss",A1:CV300,67,FALSE)))+0.75*(HLOOKUP("PK Gs",A1:CV300,67,FALSE)+HLOOKUP("PK Miss",A1:CV300,67,FALSE)))/HLOOKUP("Mins",A1:CV300,67,FALSE)*90)</f>
      </c>
      <c r="BR67" s="5218">
        <f>0.103*HLOOKUP("KP/90",A1:CV300,67,FALSE)</f>
      </c>
      <c r="BS67" s="5219">
        <f>4*HLOOKUP("xG/90",A1:CV300,67,FALSE)+3*HLOOKUP("xA/90",A1:CV300,67,FALSE)</f>
      </c>
      <c r="BT67" s="5220">
        <f>HLOOKUP("xPts/90",A1:CV300,67,FALSE)-(4*0.75*(HLOOKUP("PK Gs",A1:CV300,67,FALSE)+HLOOKUP("PK Miss",A1:CV300,67,FALSE))*90/HLOOKUP("Mins",A1:CV300,67,FALSE))</f>
      </c>
      <c r="BU67" s="5221">
        <f>IF(HLOOKUP("Mins",A1:CV300,67,FALSE)=0,0,HLOOKUP("fsXG",A1:CV300,67,FALSE)/HLOOKUP("Mins",A1:CV300,67,FALSE)* 90)</f>
      </c>
      <c r="BV67" s="5222">
        <f>IF(HLOOKUP("Mins",A1:CV300,67,FALSE)=0,0,HLOOKUP("fsXA",A1:CV300,67,FALSE)/HLOOKUP("Mins",A1:CV300,67,FALSE)* 90)</f>
      </c>
      <c r="BW67" s="5223">
        <f>4*HLOOKUP("fsXG/90",A1:CV300,67,FALSE)+3*HLOOKUP("fsXA/90",A1:CV300,67,FALSE)</f>
      </c>
      <c r="BX67" t="n" s="5224">
        <v>0.39204293489456177</v>
      </c>
      <c r="BY67" t="n" s="5225">
        <v>0.08214710652828217</v>
      </c>
      <c r="BZ67" s="5226">
        <f>4*HLOOKUP("uXG/90",A1:CV300,67,FALSE)+3*HLOOKUP("uXA/90",A1:CV300,67,FALSE)</f>
      </c>
    </row>
    <row r="68">
      <c r="A68" t="s" s="5227">
        <v>165</v>
      </c>
      <c r="B68" t="s" s="5228">
        <v>85</v>
      </c>
      <c r="C68" t="n" s="5229">
        <v>5.599999904632568</v>
      </c>
      <c r="D68" t="n" s="5230">
        <v>261.0</v>
      </c>
      <c r="E68" t="n" s="5231">
        <v>6.0</v>
      </c>
      <c r="F68" t="n" s="5232">
        <v>29.0</v>
      </c>
      <c r="G68" t="n" s="5233">
        <v>1.0</v>
      </c>
      <c r="H68" t="n" s="5234">
        <v>6.0</v>
      </c>
      <c r="I68" t="n" s="5235">
        <v>85.0</v>
      </c>
      <c r="J68" s="5236">
        <f>HLOOKUP("BPS",A1:CV300,68,FALSE)-((-6*HLOOKUP("OG",A1:CV300,68,FALSE))+(-6*HLOOKUP("PK Miss",A1:CV300,68,FALSE))+(9*HLOOKUP("FPL As",A1:CV300,68,FALSE))+(0*HLOOKUP("CS",A1:CV300,68,FALSE))+(24*HLOOKUP("Gs",A1:CV300,68,FALSE)))</f>
      </c>
      <c r="K68" t="n" s="5237">
        <v>0.0</v>
      </c>
      <c r="L68" t="n" s="5238">
        <v>1.0</v>
      </c>
      <c r="M68" t="n" s="5239">
        <v>13.0</v>
      </c>
      <c r="N68" t="n" s="5240">
        <v>4.0</v>
      </c>
      <c r="O68" t="n" s="5241">
        <v>4.0</v>
      </c>
      <c r="P68" s="5242">
        <f>IF(HLOOKUP("Shots",A1:CV300,68,FALSE)=0,0,HLOOKUP("SIB",A1:CV300,68,FALSE)/HLOOKUP("Shots",A1:CV300,68,FALSE))</f>
      </c>
      <c r="Q68" t="n" s="5243">
        <v>2.0</v>
      </c>
      <c r="R68" s="5244">
        <f>IF(HLOOKUP("Shots",A1:CV300,68,FALSE)=0,0,HLOOKUP("S6YD",A1:CV300,68,FALSE)/HLOOKUP("Shots",A1:CV300,68,FALSE))</f>
      </c>
      <c r="S68" t="n" s="5245">
        <v>0.0</v>
      </c>
      <c r="T68" s="5246">
        <f>IF(HLOOKUP("Shots",A1:CV300,68,FALSE)=0,0,HLOOKUP("Headers",A1:CV300,68,FALSE)/HLOOKUP("Shots",A1:CV300,68,FALSE))</f>
      </c>
      <c r="U68" t="n" s="5247">
        <v>2.0</v>
      </c>
      <c r="V68" s="5248">
        <f>IF(HLOOKUP("Shots",A1:CV300,68,FALSE)=0,0,HLOOKUP("SOT",A1:CV300,68,FALSE)/HLOOKUP("Shots",A1:CV300,68,FALSE))</f>
      </c>
      <c r="W68" s="5249">
        <f>IF(HLOOKUP("Shots",A1:CV300,68,FALSE)=0,0,HLOOKUP("Gs",A1:CV300,68,FALSE)/HLOOKUP("Shots",A1:CV300,68,FALSE))</f>
      </c>
      <c r="X68" t="n" s="5250">
        <v>0.0</v>
      </c>
      <c r="Y68" t="n" s="5251">
        <v>0.0</v>
      </c>
      <c r="Z68" t="n" s="5252">
        <v>0.0</v>
      </c>
      <c r="AA68" s="5253">
        <f>IF(HLOOKUP("KP",A1:CV300,68,FALSE)=0,0,HLOOKUP("As",A1:CV300,68,FALSE)/HLOOKUP("KP",A1:CV300,68,FALSE))</f>
      </c>
      <c r="AB68" t="n" s="5254">
        <v>14.0</v>
      </c>
      <c r="AC68" t="n" s="5255">
        <v>33.0</v>
      </c>
      <c r="AD68" t="n" s="5256">
        <v>0.0</v>
      </c>
      <c r="AE68" t="n" s="5257">
        <v>1.0</v>
      </c>
      <c r="AF68" t="n" s="5258">
        <v>0.0</v>
      </c>
      <c r="AG68" s="5259">
        <f>IF(HLOOKUP("BC",A1:CV300,68,FALSE)=0,0,HLOOKUP("Gs - BC",A1:CV300,68,FALSE)/HLOOKUP("BC",A1:CV300,68,FALSE))</f>
      </c>
      <c r="AH68" s="5260">
        <f>HLOOKUP("BC",A1:CV300,68,FALSE) - HLOOKUP("BC Miss",A1:CV300,68,FALSE)</f>
      </c>
      <c r="AI68" s="5261">
        <f>IF(HLOOKUP("Gs",A1:CV300,68,FALSE)=0,0,HLOOKUP("Gs - BC",A1:CV300,68,FALSE)/HLOOKUP("Gs",A1:CV300,68,FALSE))</f>
      </c>
      <c r="AJ68" t="n" s="5262">
        <v>0.0</v>
      </c>
      <c r="AK68" t="n" s="5263">
        <v>0.0</v>
      </c>
      <c r="AL68" s="5264">
        <f>HLOOKUP("BC",A1:CV300,68,FALSE) - (HLOOKUP("PK Gs",A1:CV300,68,FALSE) + HLOOKUP("PK Miss",A1:CV300,68,FALSE))</f>
      </c>
      <c r="AM68" s="5265">
        <f>HLOOKUP("BC Miss",A1:CV300,68,FALSE) - HLOOKUP("PK Miss",A1:CV300,68,FALSE)</f>
      </c>
      <c r="AN68" s="5266">
        <f>IF(HLOOKUP("BC - Open",A1:CV300,68,FALSE)=0,0,HLOOKUP("BC - Open Miss",A1:CV300,68,FALSE)/HLOOKUP("BC - Open",A1:CV300,68,FALSE))</f>
      </c>
      <c r="AO68" t="n" s="5267">
        <v>1.0</v>
      </c>
      <c r="AP68" s="5268">
        <f>IF(HLOOKUP("Gs",A1:CV300,68,FALSE)=0,0,HLOOKUP("GIB",A1:CV300,68,FALSE)/HLOOKUP("Gs",A1:CV300,68,FALSE))</f>
      </c>
      <c r="AQ68" t="n" s="5269">
        <v>0.0</v>
      </c>
      <c r="AR68" s="5270">
        <f>IF(HLOOKUP("Gs",A1:CV300,68,FALSE)=0,0,HLOOKUP("Gs - Open",A1:CV300,68,FALSE)/HLOOKUP("Gs",A1:CV300,68,FALSE))</f>
      </c>
      <c r="AS68" t="n" s="5271">
        <v>0.66</v>
      </c>
      <c r="AT68" t="n" s="5272">
        <v>0.06</v>
      </c>
      <c r="AU68" s="5273">
        <f>IF(HLOOKUP("Mins",A1:CV300,68,FALSE)=0,0,HLOOKUP("Pts",A1:CV300,68,FALSE)/HLOOKUP("Mins",A1:CV300,68,FALSE)* 90)</f>
      </c>
      <c r="AV68" s="5274">
        <f>IF(HLOOKUP("Apps",A1:CV300,68,FALSE)=0,0,HLOOKUP("Pts",A1:CV300,68,FALSE)/HLOOKUP("Apps",A1:CV300,68,FALSE)* 1)</f>
      </c>
      <c r="AW68" s="5275">
        <f>IF(HLOOKUP("Mins",A1:CV300,68,FALSE)=0,0,HLOOKUP("Gs",A1:CV300,68,FALSE)/HLOOKUP("Mins",A1:CV300,68,FALSE)* 90)</f>
      </c>
      <c r="AX68" s="5276">
        <f>IF(HLOOKUP("Mins",A1:CV300,68,FALSE)=0,0,HLOOKUP("Bonus",A1:CV300,68,FALSE)/HLOOKUP("Mins",A1:CV300,68,FALSE)* 90)</f>
      </c>
      <c r="AY68" s="5277">
        <f>IF(HLOOKUP("Mins",A1:CV300,68,FALSE)=0,0,HLOOKUP("BPS",A1:CV300,68,FALSE)/HLOOKUP("Mins",A1:CV300,68,FALSE)* 90)</f>
      </c>
      <c r="AZ68" s="5278">
        <f>IF(HLOOKUP("Mins",A1:CV300,68,FALSE)=0,0,HLOOKUP("Base BPS",A1:CV300,68,FALSE)/HLOOKUP("Mins",A1:CV300,68,FALSE)* 90)</f>
      </c>
      <c r="BA68" s="5279">
        <f>IF(HLOOKUP("Mins",A1:CV300,68,FALSE)=0,0,HLOOKUP("PenTchs",A1:CV300,68,FALSE)/HLOOKUP("Mins",A1:CV300,68,FALSE)* 90)</f>
      </c>
      <c r="BB68" s="5280">
        <f>IF(HLOOKUP("Mins",A1:CV300,68,FALSE)=0,0,HLOOKUP("Shots",A1:CV300,68,FALSE)/HLOOKUP("Mins",A1:CV300,68,FALSE)* 90)</f>
      </c>
      <c r="BC68" s="5281">
        <f>IF(HLOOKUP("Mins",A1:CV300,68,FALSE)=0,0,HLOOKUP("SIB",A1:CV300,68,FALSE)/HLOOKUP("Mins",A1:CV300,68,FALSE)* 90)</f>
      </c>
      <c r="BD68" s="5282">
        <f>IF(HLOOKUP("Mins",A1:CV300,68,FALSE)=0,0,HLOOKUP("S6YD",A1:CV300,68,FALSE)/HLOOKUP("Mins",A1:CV300,68,FALSE)* 90)</f>
      </c>
      <c r="BE68" s="5283">
        <f>IF(HLOOKUP("Mins",A1:CV300,68,FALSE)=0,0,HLOOKUP("Headers",A1:CV300,68,FALSE)/HLOOKUP("Mins",A1:CV300,68,FALSE)* 90)</f>
      </c>
      <c r="BF68" s="5284">
        <f>IF(HLOOKUP("Mins",A1:CV300,68,FALSE)=0,0,HLOOKUP("SOT",A1:CV300,68,FALSE)/HLOOKUP("Mins",A1:CV300,68,FALSE)* 90)</f>
      </c>
      <c r="BG68" s="5285">
        <f>IF(HLOOKUP("Mins",A1:CV300,68,FALSE)=0,0,HLOOKUP("As",A1:CV300,68,FALSE)/HLOOKUP("Mins",A1:CV300,68,FALSE)* 90)</f>
      </c>
      <c r="BH68" s="5286">
        <f>IF(HLOOKUP("Mins",A1:CV300,68,FALSE)=0,0,HLOOKUP("FPL As",A1:CV300,68,FALSE)/HLOOKUP("Mins",A1:CV300,68,FALSE)* 90)</f>
      </c>
      <c r="BI68" s="5287">
        <f>IF(HLOOKUP("Mins",A1:CV300,68,FALSE)=0,0,HLOOKUP("BC Created",A1:CV300,68,FALSE)/HLOOKUP("Mins",A1:CV300,68,FALSE)* 90)</f>
      </c>
      <c r="BJ68" s="5288">
        <f>IF(HLOOKUP("Mins",A1:CV300,68,FALSE)=0,0,HLOOKUP("KP",A1:CV300,68,FALSE)/HLOOKUP("Mins",A1:CV300,68,FALSE)* 90)</f>
      </c>
      <c r="BK68" s="5289">
        <f>IF(HLOOKUP("Mins",A1:CV300,68,FALSE)=0,0,HLOOKUP("BC",A1:CV300,68,FALSE)/HLOOKUP("Mins",A1:CV300,68,FALSE)* 90)</f>
      </c>
      <c r="BL68" s="5290">
        <f>IF(HLOOKUP("Mins",A1:CV300,68,FALSE)=0,0,HLOOKUP("BC Miss",A1:CV300,68,FALSE)/HLOOKUP("Mins",A1:CV300,68,FALSE)* 90)</f>
      </c>
      <c r="BM68" s="5291">
        <f>IF(HLOOKUP("Mins",A1:CV300,68,FALSE)=0,0,HLOOKUP("Gs - BC",A1:CV300,68,FALSE)/HLOOKUP("Mins",A1:CV300,68,FALSE)* 90)</f>
      </c>
      <c r="BN68" s="5292">
        <f>IF(HLOOKUP("Mins",A1:CV300,68,FALSE)=0,0,HLOOKUP("GIB",A1:CV300,68,FALSE)/HLOOKUP("Mins",A1:CV300,68,FALSE)* 90)</f>
      </c>
      <c r="BO68" s="5293">
        <f>IF(HLOOKUP("Mins",A1:CV300,68,FALSE)=0,0,HLOOKUP("Gs - Open",A1:CV300,68,FALSE)/HLOOKUP("Mins",A1:CV300,68,FALSE)* 90)</f>
      </c>
      <c r="BP68" s="5294">
        <f>IF(HLOOKUP("Mins",A1:CV300,68,FALSE)=0,0,HLOOKUP("ICT Index",A1:CV300,68,FALSE)/HLOOKUP("Mins",A1:CV300,68,FALSE)* 90)</f>
      </c>
      <c r="BQ68" s="5295">
        <f>IF(HLOOKUP("Mins",A1:CV300,68,FALSE)=0,0,(0.043*(HLOOKUP("Shots",A1:CV300,68,FALSE)-HLOOKUP("SIB",A1:CV300,68,FALSE))+0.162*(HLOOKUP("SIB",A1:CV300,68,FALSE)-(HLOOKUP("PK Gs",A1:CV300,68,FALSE)+HLOOKUP("PK Miss",A1:CV300,68,FALSE)))+0.75*(HLOOKUP("PK Gs",A1:CV300,68,FALSE)+HLOOKUP("PK Miss",A1:CV300,68,FALSE)))/HLOOKUP("Mins",A1:CV300,68,FALSE)*90)</f>
      </c>
      <c r="BR68" s="5296">
        <f>0.103*HLOOKUP("KP/90",A1:CV300,68,FALSE)</f>
      </c>
      <c r="BS68" s="5297">
        <f>4*HLOOKUP("xG/90",A1:CV300,68,FALSE)+3*HLOOKUP("xA/90",A1:CV300,68,FALSE)</f>
      </c>
      <c r="BT68" s="5298">
        <f>HLOOKUP("xPts/90",A1:CV300,68,FALSE)-(4*0.75*(HLOOKUP("PK Gs",A1:CV300,68,FALSE)+HLOOKUP("PK Miss",A1:CV300,68,FALSE))*90/HLOOKUP("Mins",A1:CV300,68,FALSE))</f>
      </c>
      <c r="BU68" s="5299">
        <f>IF(HLOOKUP("Mins",A1:CV300,68,FALSE)=0,0,HLOOKUP("fsXG",A1:CV300,68,FALSE)/HLOOKUP("Mins",A1:CV300,68,FALSE)* 90)</f>
      </c>
      <c r="BV68" s="5300">
        <f>IF(HLOOKUP("Mins",A1:CV300,68,FALSE)=0,0,HLOOKUP("fsXA",A1:CV300,68,FALSE)/HLOOKUP("Mins",A1:CV300,68,FALSE)* 90)</f>
      </c>
      <c r="BW68" s="5301">
        <f>4*HLOOKUP("fsXG/90",A1:CV300,68,FALSE)+3*HLOOKUP("fsXA/90",A1:CV300,68,FALSE)</f>
      </c>
      <c r="BX68" t="n" s="5302">
        <v>0.3028692901134491</v>
      </c>
      <c r="BY68" t="n" s="5303">
        <v>0.0</v>
      </c>
      <c r="BZ68" s="5304">
        <f>4*HLOOKUP("uXG/90",A1:CV300,68,FALSE)+3*HLOOKUP("uXA/90",A1:CV300,68,FALSE)</f>
      </c>
    </row>
    <row r="69">
      <c r="A69" t="s" s="5305">
        <v>166</v>
      </c>
      <c r="B69" t="s" s="5306">
        <v>116</v>
      </c>
      <c r="C69" t="n" s="5307">
        <v>5.5</v>
      </c>
      <c r="D69" t="n" s="5308">
        <v>10.0</v>
      </c>
      <c r="E69" t="n" s="5309">
        <v>2.0</v>
      </c>
      <c r="F69" t="n" s="5310">
        <v>35.0</v>
      </c>
      <c r="G69" t="n" s="5311">
        <v>0.0</v>
      </c>
      <c r="H69" t="n" s="5312">
        <v>2.0</v>
      </c>
      <c r="I69" t="n" s="5313">
        <v>108.0</v>
      </c>
      <c r="J69" s="5314">
        <f>HLOOKUP("BPS",A1:CV300,69,FALSE)-((-6*HLOOKUP("OG",A1:CV300,69,FALSE))+(-6*HLOOKUP("PK Miss",A1:CV300,69,FALSE))+(9*HLOOKUP("FPL As",A1:CV300,69,FALSE))+(0*HLOOKUP("CS",A1:CV300,69,FALSE))+(24*HLOOKUP("Gs",A1:CV300,69,FALSE)))</f>
      </c>
      <c r="K69" t="n" s="5315">
        <v>0.0</v>
      </c>
      <c r="L69" t="n" s="5316">
        <v>0.0</v>
      </c>
      <c r="M69" t="n" s="5317">
        <v>2.0</v>
      </c>
      <c r="N69" t="n" s="5318">
        <v>1.0</v>
      </c>
      <c r="O69" t="n" s="5319">
        <v>1.0</v>
      </c>
      <c r="P69" s="5320">
        <f>IF(HLOOKUP("Shots",A1:CV300,69,FALSE)=0,0,HLOOKUP("SIB",A1:CV300,69,FALSE)/HLOOKUP("Shots",A1:CV300,69,FALSE))</f>
      </c>
      <c r="Q69" t="n" s="5321">
        <v>0.0</v>
      </c>
      <c r="R69" s="5322">
        <f>IF(HLOOKUP("Shots",A1:CV300,69,FALSE)=0,0,HLOOKUP("S6YD",A1:CV300,69,FALSE)/HLOOKUP("Shots",A1:CV300,69,FALSE))</f>
      </c>
      <c r="S69" t="n" s="5323">
        <v>0.0</v>
      </c>
      <c r="T69" s="5324">
        <f>IF(HLOOKUP("Shots",A1:CV300,69,FALSE)=0,0,HLOOKUP("Headers",A1:CV300,69,FALSE)/HLOOKUP("Shots",A1:CV300,69,FALSE))</f>
      </c>
      <c r="U69" t="n" s="5325">
        <v>0.0</v>
      </c>
      <c r="V69" s="5326">
        <f>IF(HLOOKUP("Shots",A1:CV300,69,FALSE)=0,0,HLOOKUP("SOT",A1:CV300,69,FALSE)/HLOOKUP("Shots",A1:CV300,69,FALSE))</f>
      </c>
      <c r="W69" s="5327">
        <f>IF(HLOOKUP("Shots",A1:CV300,69,FALSE)=0,0,HLOOKUP("Gs",A1:CV300,69,FALSE)/HLOOKUP("Shots",A1:CV300,69,FALSE))</f>
      </c>
      <c r="X69" t="n" s="5328">
        <v>0.0</v>
      </c>
      <c r="Y69" t="n" s="5329">
        <v>1.0</v>
      </c>
      <c r="Z69" t="n" s="5330">
        <v>0.0</v>
      </c>
      <c r="AA69" s="5331">
        <f>IF(HLOOKUP("KP",A1:CV300,69,FALSE)=0,0,HLOOKUP("As",A1:CV300,69,FALSE)/HLOOKUP("KP",A1:CV300,69,FALSE))</f>
      </c>
      <c r="AB69" t="n" s="5332">
        <v>1.9</v>
      </c>
      <c r="AC69" t="n" s="5333">
        <v>100.0</v>
      </c>
      <c r="AD69" t="n" s="5334">
        <v>0.0</v>
      </c>
      <c r="AE69" t="n" s="5335">
        <v>0.0</v>
      </c>
      <c r="AF69" t="n" s="5336">
        <v>0.0</v>
      </c>
      <c r="AG69" s="5337">
        <f>IF(HLOOKUP("BC",A1:CV300,69,FALSE)=0,0,HLOOKUP("Gs - BC",A1:CV300,69,FALSE)/HLOOKUP("BC",A1:CV300,69,FALSE))</f>
      </c>
      <c r="AH69" s="5338">
        <f>HLOOKUP("BC",A1:CV300,69,FALSE) - HLOOKUP("BC Miss",A1:CV300,69,FALSE)</f>
      </c>
      <c r="AI69" s="5339">
        <f>IF(HLOOKUP("Gs",A1:CV300,69,FALSE)=0,0,HLOOKUP("Gs - BC",A1:CV300,69,FALSE)/HLOOKUP("Gs",A1:CV300,69,FALSE))</f>
      </c>
      <c r="AJ69" t="n" s="5340">
        <v>0.0</v>
      </c>
      <c r="AK69" t="n" s="5341">
        <v>0.0</v>
      </c>
      <c r="AL69" s="5342">
        <f>HLOOKUP("BC",A1:CV300,69,FALSE) - (HLOOKUP("PK Gs",A1:CV300,69,FALSE) + HLOOKUP("PK Miss",A1:CV300,69,FALSE))</f>
      </c>
      <c r="AM69" s="5343">
        <f>HLOOKUP("BC Miss",A1:CV300,69,FALSE) - HLOOKUP("PK Miss",A1:CV300,69,FALSE)</f>
      </c>
      <c r="AN69" s="5344">
        <f>IF(HLOOKUP("BC - Open",A1:CV300,69,FALSE)=0,0,HLOOKUP("BC - Open Miss",A1:CV300,69,FALSE)/HLOOKUP("BC - Open",A1:CV300,69,FALSE))</f>
      </c>
      <c r="AO69" t="n" s="5345">
        <v>0.0</v>
      </c>
      <c r="AP69" s="5346">
        <f>IF(HLOOKUP("Gs",A1:CV300,69,FALSE)=0,0,HLOOKUP("GIB",A1:CV300,69,FALSE)/HLOOKUP("Gs",A1:CV300,69,FALSE))</f>
      </c>
      <c r="AQ69" t="n" s="5347">
        <v>0.0</v>
      </c>
      <c r="AR69" s="5348">
        <f>IF(HLOOKUP("Gs",A1:CV300,69,FALSE)=0,0,HLOOKUP("Gs - Open",A1:CV300,69,FALSE)/HLOOKUP("Gs",A1:CV300,69,FALSE))</f>
      </c>
      <c r="AS69" t="n" s="5349">
        <v>0.09</v>
      </c>
      <c r="AT69" t="n" s="5350">
        <v>0.0</v>
      </c>
      <c r="AU69" s="5351">
        <f>IF(HLOOKUP("Mins",A1:CV300,69,FALSE)=0,0,HLOOKUP("Pts",A1:CV300,69,FALSE)/HLOOKUP("Mins",A1:CV300,69,FALSE)* 90)</f>
      </c>
      <c r="AV69" s="5352">
        <f>IF(HLOOKUP("Apps",A1:CV300,69,FALSE)=0,0,HLOOKUP("Pts",A1:CV300,69,FALSE)/HLOOKUP("Apps",A1:CV300,69,FALSE)* 1)</f>
      </c>
      <c r="AW69" s="5353">
        <f>IF(HLOOKUP("Mins",A1:CV300,69,FALSE)=0,0,HLOOKUP("Gs",A1:CV300,69,FALSE)/HLOOKUP("Mins",A1:CV300,69,FALSE)* 90)</f>
      </c>
      <c r="AX69" s="5354">
        <f>IF(HLOOKUP("Mins",A1:CV300,69,FALSE)=0,0,HLOOKUP("Bonus",A1:CV300,69,FALSE)/HLOOKUP("Mins",A1:CV300,69,FALSE)* 90)</f>
      </c>
      <c r="AY69" s="5355">
        <f>IF(HLOOKUP("Mins",A1:CV300,69,FALSE)=0,0,HLOOKUP("BPS",A1:CV300,69,FALSE)/HLOOKUP("Mins",A1:CV300,69,FALSE)* 90)</f>
      </c>
      <c r="AZ69" s="5356">
        <f>IF(HLOOKUP("Mins",A1:CV300,69,FALSE)=0,0,HLOOKUP("Base BPS",A1:CV300,69,FALSE)/HLOOKUP("Mins",A1:CV300,69,FALSE)* 90)</f>
      </c>
      <c r="BA69" s="5357">
        <f>IF(HLOOKUP("Mins",A1:CV300,69,FALSE)=0,0,HLOOKUP("PenTchs",A1:CV300,69,FALSE)/HLOOKUP("Mins",A1:CV300,69,FALSE)* 90)</f>
      </c>
      <c r="BB69" s="5358">
        <f>IF(HLOOKUP("Mins",A1:CV300,69,FALSE)=0,0,HLOOKUP("Shots",A1:CV300,69,FALSE)/HLOOKUP("Mins",A1:CV300,69,FALSE)* 90)</f>
      </c>
      <c r="BC69" s="5359">
        <f>IF(HLOOKUP("Mins",A1:CV300,69,FALSE)=0,0,HLOOKUP("SIB",A1:CV300,69,FALSE)/HLOOKUP("Mins",A1:CV300,69,FALSE)* 90)</f>
      </c>
      <c r="BD69" s="5360">
        <f>IF(HLOOKUP("Mins",A1:CV300,69,FALSE)=0,0,HLOOKUP("S6YD",A1:CV300,69,FALSE)/HLOOKUP("Mins",A1:CV300,69,FALSE)* 90)</f>
      </c>
      <c r="BE69" s="5361">
        <f>IF(HLOOKUP("Mins",A1:CV300,69,FALSE)=0,0,HLOOKUP("Headers",A1:CV300,69,FALSE)/HLOOKUP("Mins",A1:CV300,69,FALSE)* 90)</f>
      </c>
      <c r="BF69" s="5362">
        <f>IF(HLOOKUP("Mins",A1:CV300,69,FALSE)=0,0,HLOOKUP("SOT",A1:CV300,69,FALSE)/HLOOKUP("Mins",A1:CV300,69,FALSE)* 90)</f>
      </c>
      <c r="BG69" s="5363">
        <f>IF(HLOOKUP("Mins",A1:CV300,69,FALSE)=0,0,HLOOKUP("As",A1:CV300,69,FALSE)/HLOOKUP("Mins",A1:CV300,69,FALSE)* 90)</f>
      </c>
      <c r="BH69" s="5364">
        <f>IF(HLOOKUP("Mins",A1:CV300,69,FALSE)=0,0,HLOOKUP("FPL As",A1:CV300,69,FALSE)/HLOOKUP("Mins",A1:CV300,69,FALSE)* 90)</f>
      </c>
      <c r="BI69" s="5365">
        <f>IF(HLOOKUP("Mins",A1:CV300,69,FALSE)=0,0,HLOOKUP("BC Created",A1:CV300,69,FALSE)/HLOOKUP("Mins",A1:CV300,69,FALSE)* 90)</f>
      </c>
      <c r="BJ69" s="5366">
        <f>IF(HLOOKUP("Mins",A1:CV300,69,FALSE)=0,0,HLOOKUP("KP",A1:CV300,69,FALSE)/HLOOKUP("Mins",A1:CV300,69,FALSE)* 90)</f>
      </c>
      <c r="BK69" s="5367">
        <f>IF(HLOOKUP("Mins",A1:CV300,69,FALSE)=0,0,HLOOKUP("BC",A1:CV300,69,FALSE)/HLOOKUP("Mins",A1:CV300,69,FALSE)* 90)</f>
      </c>
      <c r="BL69" s="5368">
        <f>IF(HLOOKUP("Mins",A1:CV300,69,FALSE)=0,0,HLOOKUP("BC Miss",A1:CV300,69,FALSE)/HLOOKUP("Mins",A1:CV300,69,FALSE)* 90)</f>
      </c>
      <c r="BM69" s="5369">
        <f>IF(HLOOKUP("Mins",A1:CV300,69,FALSE)=0,0,HLOOKUP("Gs - BC",A1:CV300,69,FALSE)/HLOOKUP("Mins",A1:CV300,69,FALSE)* 90)</f>
      </c>
      <c r="BN69" s="5370">
        <f>IF(HLOOKUP("Mins",A1:CV300,69,FALSE)=0,0,HLOOKUP("GIB",A1:CV300,69,FALSE)/HLOOKUP("Mins",A1:CV300,69,FALSE)* 90)</f>
      </c>
      <c r="BO69" s="5371">
        <f>IF(HLOOKUP("Mins",A1:CV300,69,FALSE)=0,0,HLOOKUP("Gs - Open",A1:CV300,69,FALSE)/HLOOKUP("Mins",A1:CV300,69,FALSE)* 90)</f>
      </c>
      <c r="BP69" s="5372">
        <f>IF(HLOOKUP("Mins",A1:CV300,69,FALSE)=0,0,HLOOKUP("ICT Index",A1:CV300,69,FALSE)/HLOOKUP("Mins",A1:CV300,69,FALSE)* 90)</f>
      </c>
      <c r="BQ69" s="5373">
        <f>IF(HLOOKUP("Mins",A1:CV300,69,FALSE)=0,0,(0.043*(HLOOKUP("Shots",A1:CV300,69,FALSE)-HLOOKUP("SIB",A1:CV300,69,FALSE))+0.162*(HLOOKUP("SIB",A1:CV300,69,FALSE)-(HLOOKUP("PK Gs",A1:CV300,69,FALSE)+HLOOKUP("PK Miss",A1:CV300,69,FALSE)))+0.75*(HLOOKUP("PK Gs",A1:CV300,69,FALSE)+HLOOKUP("PK Miss",A1:CV300,69,FALSE)))/HLOOKUP("Mins",A1:CV300,69,FALSE)*90)</f>
      </c>
      <c r="BR69" s="5374">
        <f>0.103*HLOOKUP("KP/90",A1:CV300,69,FALSE)</f>
      </c>
      <c r="BS69" s="5375">
        <f>4*HLOOKUP("xG/90",A1:CV300,69,FALSE)+3*HLOOKUP("xA/90",A1:CV300,69,FALSE)</f>
      </c>
      <c r="BT69" s="5376">
        <f>HLOOKUP("xPts/90",A1:CV300,69,FALSE)-(4*0.75*(HLOOKUP("PK Gs",A1:CV300,69,FALSE)+HLOOKUP("PK Miss",A1:CV300,69,FALSE))*90/HLOOKUP("Mins",A1:CV300,69,FALSE))</f>
      </c>
      <c r="BU69" s="5377">
        <f>IF(HLOOKUP("Mins",A1:CV300,69,FALSE)=0,0,HLOOKUP("fsXG",A1:CV300,69,FALSE)/HLOOKUP("Mins",A1:CV300,69,FALSE)* 90)</f>
      </c>
      <c r="BV69" s="5378">
        <f>IF(HLOOKUP("Mins",A1:CV300,69,FALSE)=0,0,HLOOKUP("fsXA",A1:CV300,69,FALSE)/HLOOKUP("Mins",A1:CV300,69,FALSE)* 90)</f>
      </c>
      <c r="BW69" s="5379">
        <f>4*HLOOKUP("fsXG/90",A1:CV300,69,FALSE)+3*HLOOKUP("fsXA/90",A1:CV300,69,FALSE)</f>
      </c>
      <c r="BX69" t="n" s="5380">
        <v>1.2331784963607788</v>
      </c>
      <c r="BY69" t="n" s="5381">
        <v>0.0</v>
      </c>
      <c r="BZ69" s="5382">
        <f>4*HLOOKUP("uXG/90",A1:CV300,69,FALSE)+3*HLOOKUP("uXA/90",A1:CV300,69,FALSE)</f>
      </c>
    </row>
  </sheetData>
  <autoFilter ref="A1:BZ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5383">
        <v>1</v>
      </c>
      <c r="B1" t="s" s="5384">
        <v>2</v>
      </c>
      <c r="C1" t="s" s="5385">
        <v>3</v>
      </c>
      <c r="D1" t="s" s="5386">
        <v>4</v>
      </c>
      <c r="E1" t="s" s="5387">
        <v>5</v>
      </c>
      <c r="F1" t="s" s="5388">
        <v>6</v>
      </c>
      <c r="G1" t="s" s="5389">
        <v>7</v>
      </c>
      <c r="H1" t="s" s="5390">
        <v>8</v>
      </c>
      <c r="I1" t="s" s="5391">
        <v>9</v>
      </c>
      <c r="J1" t="s" s="5392">
        <v>10</v>
      </c>
      <c r="K1" t="s" s="5393">
        <v>11</v>
      </c>
      <c r="L1" t="s" s="5394">
        <v>12</v>
      </c>
      <c r="M1" t="s" s="5395">
        <v>13</v>
      </c>
      <c r="N1" t="s" s="5396">
        <v>14</v>
      </c>
      <c r="O1" t="s" s="5397">
        <v>15</v>
      </c>
      <c r="P1" t="s" s="5398">
        <v>16</v>
      </c>
      <c r="Q1" t="s" s="5399">
        <v>17</v>
      </c>
      <c r="R1" t="s" s="5400">
        <v>18</v>
      </c>
      <c r="S1" t="s" s="5401">
        <v>19</v>
      </c>
      <c r="T1" t="s" s="5402">
        <v>20</v>
      </c>
      <c r="U1" t="s" s="5403">
        <v>21</v>
      </c>
      <c r="V1" t="s" s="5404">
        <v>22</v>
      </c>
      <c r="W1" t="s" s="5405">
        <v>23</v>
      </c>
      <c r="X1" t="s" s="5406">
        <v>24</v>
      </c>
      <c r="Y1" t="s" s="5407">
        <v>25</v>
      </c>
      <c r="Z1" t="s" s="5408">
        <v>26</v>
      </c>
      <c r="AA1" t="s" s="5409">
        <v>27</v>
      </c>
      <c r="AB1" t="s" s="5410">
        <v>28</v>
      </c>
      <c r="AC1" t="s" s="5411">
        <v>29</v>
      </c>
      <c r="AD1" t="s" s="5412">
        <v>30</v>
      </c>
      <c r="AE1" t="s" s="5413">
        <v>31</v>
      </c>
      <c r="AF1" t="s" s="5414">
        <v>32</v>
      </c>
      <c r="AG1" t="s" s="5415">
        <v>33</v>
      </c>
      <c r="AH1" t="s" s="5416">
        <v>34</v>
      </c>
      <c r="AI1" t="s" s="5417">
        <v>35</v>
      </c>
      <c r="AJ1" t="s" s="5418">
        <v>36</v>
      </c>
      <c r="AK1" t="s" s="5419">
        <v>37</v>
      </c>
      <c r="AL1" t="s" s="5420">
        <v>38</v>
      </c>
      <c r="AM1" t="s" s="5421">
        <v>39</v>
      </c>
      <c r="AN1" t="s" s="5422">
        <v>40</v>
      </c>
      <c r="AO1" t="s" s="5423">
        <v>41</v>
      </c>
      <c r="AP1" t="s" s="5424">
        <v>42</v>
      </c>
      <c r="AQ1" t="s" s="5425">
        <v>43</v>
      </c>
      <c r="AR1" t="s" s="5426">
        <v>44</v>
      </c>
      <c r="AS1" t="s" s="5427">
        <v>45</v>
      </c>
      <c r="AT1" t="s" s="5428">
        <v>46</v>
      </c>
      <c r="AU1" t="s" s="5429">
        <v>47</v>
      </c>
      <c r="AV1" t="s" s="5430">
        <v>48</v>
      </c>
      <c r="AW1" t="s" s="5431">
        <v>49</v>
      </c>
      <c r="AX1" t="s" s="5432">
        <v>50</v>
      </c>
      <c r="AY1" t="s" s="5433">
        <v>51</v>
      </c>
      <c r="AZ1" t="s" s="5434">
        <v>52</v>
      </c>
      <c r="BA1" t="s" s="5435">
        <v>53</v>
      </c>
      <c r="BB1" t="s" s="5436">
        <v>54</v>
      </c>
      <c r="BC1" t="s" s="5437">
        <v>55</v>
      </c>
      <c r="BD1" t="s" s="5438">
        <v>56</v>
      </c>
      <c r="BE1" t="s" s="5439">
        <v>57</v>
      </c>
      <c r="BF1" t="s" s="5440">
        <v>58</v>
      </c>
      <c r="BG1" t="s" s="5441">
        <v>59</v>
      </c>
      <c r="BH1" t="s" s="5442">
        <v>60</v>
      </c>
      <c r="BI1" t="s" s="5443">
        <v>61</v>
      </c>
      <c r="BJ1" t="s" s="5444">
        <v>62</v>
      </c>
      <c r="BK1" t="s" s="5445">
        <v>63</v>
      </c>
      <c r="BL1" t="s" s="5446">
        <v>64</v>
      </c>
      <c r="BM1" t="s" s="5447">
        <v>65</v>
      </c>
      <c r="BN1" t="s" s="5448">
        <v>66</v>
      </c>
      <c r="BO1" t="s" s="5449">
        <v>67</v>
      </c>
      <c r="BP1" t="s" s="5450">
        <v>68</v>
      </c>
      <c r="BQ1" t="s" s="5451">
        <v>69</v>
      </c>
      <c r="BR1" t="s" s="5452">
        <v>70</v>
      </c>
      <c r="BS1" t="s" s="5453">
        <v>71</v>
      </c>
      <c r="BT1" t="s" s="5454">
        <v>72</v>
      </c>
      <c r="BU1" t="s" s="5455">
        <v>73</v>
      </c>
      <c r="BV1" t="s" s="5456">
        <v>74</v>
      </c>
      <c r="BW1" t="s" s="5457">
        <v>75</v>
      </c>
      <c r="BX1" t="s" s="5458">
        <v>76</v>
      </c>
      <c r="BY1" t="s" s="5459">
        <v>77</v>
      </c>
      <c r="BZ1" t="s" s="5460">
        <v>78</v>
      </c>
    </row>
    <row r="2">
      <c r="A2" t="s" s="5461">
        <v>167</v>
      </c>
      <c r="B2" t="s" s="5462">
        <v>122</v>
      </c>
      <c r="C2" t="n" s="5463">
        <v>5.199999809265137</v>
      </c>
      <c r="D2" t="n" s="5464">
        <v>540.0</v>
      </c>
      <c r="E2" t="n" s="5465">
        <v>6.0</v>
      </c>
      <c r="F2" t="n" s="5466">
        <v>77.0</v>
      </c>
      <c r="G2" t="n" s="5467">
        <v>1.0</v>
      </c>
      <c r="H2" t="n" s="5468">
        <v>5.0</v>
      </c>
      <c r="I2" t="n" s="5469">
        <v>442.0</v>
      </c>
      <c r="J2" s="5470">
        <f>HLOOKUP("BPS",A1:CV300,2,FALSE)-((-6*HLOOKUP("OG",A1:CV300,2,FALSE))+(-6*HLOOKUP("PK Miss",A1:CV300,2,FALSE))+(9*HLOOKUP("FPL As",A1:CV300,2,FALSE))+(12*HLOOKUP("CS",A1:CV300,2,FALSE))+(12*HLOOKUP("Gs",A1:CV300,2,FALSE)))</f>
      </c>
      <c r="K2" t="n" s="5471">
        <v>0.0</v>
      </c>
      <c r="L2" t="n" s="5472">
        <v>6.0</v>
      </c>
      <c r="M2" t="n" s="5473">
        <v>8.0</v>
      </c>
      <c r="N2" t="n" s="5474">
        <v>4.0</v>
      </c>
      <c r="O2" t="n" s="5475">
        <v>3.0</v>
      </c>
      <c r="P2" s="5476">
        <f>IF(HLOOKUP("Shots",A1:CV300,2,FALSE)=0,0,HLOOKUP("SIB",A1:CV300,2,FALSE)/HLOOKUP("Shots",A1:CV300,2,FALSE))</f>
      </c>
      <c r="Q2" t="n" s="5477">
        <v>2.0</v>
      </c>
      <c r="R2" s="5478">
        <f>IF(HLOOKUP("Shots",A1:CV300,2,FALSE)=0,0,HLOOKUP("S6YD",A1:CV300,2,FALSE)/HLOOKUP("Shots",A1:CV300,2,FALSE))</f>
      </c>
      <c r="S2" t="n" s="5479">
        <v>2.0</v>
      </c>
      <c r="T2" s="5480">
        <f>IF(HLOOKUP("Shots",A1:CV300,2,FALSE)=0,0,HLOOKUP("Headers",A1:CV300,2,FALSE)/HLOOKUP("Shots",A1:CV300,2,FALSE))</f>
      </c>
      <c r="U2" t="n" s="5481">
        <v>2.0</v>
      </c>
      <c r="V2" s="5482">
        <f>IF(HLOOKUP("Shots",A1:CV300,2,FALSE)=0,0,HLOOKUP("SOT",A1:CV300,2,FALSE)/HLOOKUP("Shots",A1:CV300,2,FALSE))</f>
      </c>
      <c r="W2" s="5483">
        <f>IF(HLOOKUP("Shots",A1:CV300,2,FALSE)=0,0,HLOOKUP("Gs",A1:CV300,2,FALSE)/HLOOKUP("Shots",A1:CV300,2,FALSE))</f>
      </c>
      <c r="X2" t="n" s="5484">
        <v>0.0</v>
      </c>
      <c r="Y2" t="n" s="5485">
        <v>0.0</v>
      </c>
      <c r="Z2" t="n" s="5486">
        <v>1.0</v>
      </c>
      <c r="AA2" s="5487">
        <f>IF(HLOOKUP("KP",A1:CV300,2,FALSE)=0,0,HLOOKUP("As",A1:CV300,2,FALSE)/HLOOKUP("KP",A1:CV300,2,FALSE))</f>
      </c>
      <c r="AB2" t="n" s="5488">
        <v>26.0</v>
      </c>
      <c r="AC2" t="n" s="5489">
        <v>17.0</v>
      </c>
      <c r="AD2" t="n" s="5490">
        <v>0.0</v>
      </c>
      <c r="AE2" t="n" s="5491">
        <v>2.0</v>
      </c>
      <c r="AF2" t="n" s="5492">
        <v>2.0</v>
      </c>
      <c r="AG2" s="5493">
        <f>IF(HLOOKUP("BC",A1:CV300,2,FALSE)=0,0,HLOOKUP("Gs - BC",A1:CV300,2,FALSE)/HLOOKUP("BC",A1:CV300,2,FALSE))</f>
      </c>
      <c r="AH2" s="5494">
        <f>HLOOKUP("BC",A1:CV300,2,FALSE) - HLOOKUP("BC Miss",A1:CV300,2,FALSE)</f>
      </c>
      <c r="AI2" s="5495">
        <f>IF(HLOOKUP("Gs",A1:CV300,2,FALSE)=0,0,HLOOKUP("Gs - BC",A1:CV300,2,FALSE)/HLOOKUP("Gs",A1:CV300,2,FALSE))</f>
      </c>
      <c r="AJ2" t="n" s="5496">
        <v>0.0</v>
      </c>
      <c r="AK2" t="n" s="5497">
        <v>0.0</v>
      </c>
      <c r="AL2" s="5498">
        <f>HLOOKUP("BC",A1:CV300,2,FALSE) - (HLOOKUP("PK Gs",A1:CV300,2,FALSE) + HLOOKUP("PK Miss",A1:CV300,2,FALSE))</f>
      </c>
      <c r="AM2" s="5499">
        <f>HLOOKUP("BC Miss",A1:CV300,2,FALSE) - HLOOKUP("PK Miss",A1:CV300,2,FALSE)</f>
      </c>
      <c r="AN2" s="5500">
        <f>IF(HLOOKUP("BC - Open",A1:CV300,2,FALSE)=0,0,HLOOKUP("BC - Open Miss",A1:CV300,2,FALSE)/HLOOKUP("BC - Open",A1:CV300,2,FALSE))</f>
      </c>
      <c r="AO2" t="n" s="5501">
        <v>1.0</v>
      </c>
      <c r="AP2" s="5502">
        <f>IF(HLOOKUP("Gs",A1:CV300,2,FALSE)=0,0,HLOOKUP("GIB",A1:CV300,2,FALSE)/HLOOKUP("Gs",A1:CV300,2,FALSE))</f>
      </c>
      <c r="AQ2" t="n" s="5503">
        <v>0.0</v>
      </c>
      <c r="AR2" s="5504">
        <f>IF(HLOOKUP("Gs",A1:CV300,2,FALSE)=0,0,HLOOKUP("Gs - Open",A1:CV300,2,FALSE)/HLOOKUP("Gs",A1:CV300,2,FALSE))</f>
      </c>
      <c r="AS2" t="n" s="5505">
        <v>0.41</v>
      </c>
      <c r="AT2" t="n" s="5506">
        <v>0.05</v>
      </c>
      <c r="AU2" s="5507">
        <f>IF(HLOOKUP("Mins",A1:CV300,2,FALSE)=0,0,HLOOKUP("Pts",A1:CV300,2,FALSE)/HLOOKUP("Mins",A1:CV300,2,FALSE)* 90)</f>
      </c>
      <c r="AV2" s="5508">
        <f>IF(HLOOKUP("Apps",A1:CV300,2,FALSE)=0,0,HLOOKUP("Pts",A1:CV300,2,FALSE)/HLOOKUP("Apps",A1:CV300,2,FALSE)* 1)</f>
      </c>
      <c r="AW2" s="5509">
        <f>IF(HLOOKUP("Mins",A1:CV300,2,FALSE)=0,0,HLOOKUP("Gs",A1:CV300,2,FALSE)/HLOOKUP("Mins",A1:CV300,2,FALSE)* 90)</f>
      </c>
      <c r="AX2" s="5510">
        <f>IF(HLOOKUP("Mins",A1:CV300,2,FALSE)=0,0,HLOOKUP("Bonus",A1:CV300,2,FALSE)/HLOOKUP("Mins",A1:CV300,2,FALSE)* 90)</f>
      </c>
      <c r="AY2" s="5511">
        <f>IF(HLOOKUP("Mins",A1:CV300,2,FALSE)=0,0,HLOOKUP("BPS",A1:CV300,2,FALSE)/HLOOKUP("Mins",A1:CV300,2,FALSE)* 90)</f>
      </c>
      <c r="AZ2" s="5512">
        <f>IF(HLOOKUP("Mins",A1:CV300,2,FALSE)=0,0,HLOOKUP("Base BPS",A1:CV300,2,FALSE)/HLOOKUP("Mins",A1:CV300,2,FALSE)* 90)</f>
      </c>
      <c r="BA2" s="5513">
        <f>IF(HLOOKUP("Mins",A1:CV300,2,FALSE)=0,0,HLOOKUP("PenTchs",A1:CV300,2,FALSE)/HLOOKUP("Mins",A1:CV300,2,FALSE)* 90)</f>
      </c>
      <c r="BB2" s="5514">
        <f>IF(HLOOKUP("Mins",A1:CV300,2,FALSE)=0,0,HLOOKUP("Shots",A1:CV300,2,FALSE)/HLOOKUP("Mins",A1:CV300,2,FALSE)* 90)</f>
      </c>
      <c r="BC2" s="5515">
        <f>IF(HLOOKUP("Mins",A1:CV300,2,FALSE)=0,0,HLOOKUP("SIB",A1:CV300,2,FALSE)/HLOOKUP("Mins",A1:CV300,2,FALSE)* 90)</f>
      </c>
      <c r="BD2" s="5516">
        <f>IF(HLOOKUP("Mins",A1:CV300,2,FALSE)=0,0,HLOOKUP("S6YD",A1:CV300,2,FALSE)/HLOOKUP("Mins",A1:CV300,2,FALSE)* 90)</f>
      </c>
      <c r="BE2" s="5517">
        <f>IF(HLOOKUP("Mins",A1:CV300,2,FALSE)=0,0,HLOOKUP("Headers",A1:CV300,2,FALSE)/HLOOKUP("Mins",A1:CV300,2,FALSE)* 90)</f>
      </c>
      <c r="BF2" s="5518">
        <f>IF(HLOOKUP("Mins",A1:CV300,2,FALSE)=0,0,HLOOKUP("SOT",A1:CV300,2,FALSE)/HLOOKUP("Mins",A1:CV300,2,FALSE)* 90)</f>
      </c>
      <c r="BG2" s="5519">
        <f>IF(HLOOKUP("Mins",A1:CV300,2,FALSE)=0,0,HLOOKUP("As",A1:CV300,2,FALSE)/HLOOKUP("Mins",A1:CV300,2,FALSE)* 90)</f>
      </c>
      <c r="BH2" s="5520">
        <f>IF(HLOOKUP("Mins",A1:CV300,2,FALSE)=0,0,HLOOKUP("FPL As",A1:CV300,2,FALSE)/HLOOKUP("Mins",A1:CV300,2,FALSE)* 90)</f>
      </c>
      <c r="BI2" s="5521">
        <f>IF(HLOOKUP("Mins",A1:CV300,2,FALSE)=0,0,HLOOKUP("BC Created",A1:CV300,2,FALSE)/HLOOKUP("Mins",A1:CV300,2,FALSE)* 90)</f>
      </c>
      <c r="BJ2" s="5522">
        <f>IF(HLOOKUP("Mins",A1:CV300,2,FALSE)=0,0,HLOOKUP("KP",A1:CV300,2,FALSE)/HLOOKUP("Mins",A1:CV300,2,FALSE)* 90)</f>
      </c>
      <c r="BK2" s="5523">
        <f>IF(HLOOKUP("Mins",A1:CV300,2,FALSE)=0,0,HLOOKUP("BC",A1:CV300,2,FALSE)/HLOOKUP("Mins",A1:CV300,2,FALSE)* 90)</f>
      </c>
      <c r="BL2" s="5524">
        <f>IF(HLOOKUP("Mins",A1:CV300,2,FALSE)=0,0,HLOOKUP("BC Miss",A1:CV300,2,FALSE)/HLOOKUP("Mins",A1:CV300,2,FALSE)* 90)</f>
      </c>
      <c r="BM2" s="5525">
        <f>IF(HLOOKUP("Mins",A1:CV300,2,FALSE)=0,0,HLOOKUP("Gs - BC",A1:CV300,2,FALSE)/HLOOKUP("Mins",A1:CV300,2,FALSE)* 90)</f>
      </c>
      <c r="BN2" s="5526">
        <f>IF(HLOOKUP("Mins",A1:CV300,2,FALSE)=0,0,HLOOKUP("GIB",A1:CV300,2,FALSE)/HLOOKUP("Mins",A1:CV300,2,FALSE)* 90)</f>
      </c>
      <c r="BO2" s="5527">
        <f>IF(HLOOKUP("Mins",A1:CV300,2,FALSE)=0,0,HLOOKUP("Gs - Open",A1:CV300,2,FALSE)/HLOOKUP("Mins",A1:CV300,2,FALSE)* 90)</f>
      </c>
      <c r="BP2" s="5528">
        <f>IF(HLOOKUP("Mins",A1:CV300,2,FALSE)=0,0,HLOOKUP("ICT Index",A1:CV300,2,FALSE)/HLOOKUP("Mins",A1:CV300,2,FALSE)* 90)</f>
      </c>
      <c r="BQ2" s="5529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</c>
      <c r="BR2" s="5530">
        <f>0.0825*HLOOKUP("KP/90",A1:CV300,2,FALSE)</f>
      </c>
      <c r="BS2" s="5531">
        <f>6*HLOOKUP("xG/90",A1:CV300,2,FALSE)+3*HLOOKUP("xA/90",A1:CV300,2,FALSE)</f>
      </c>
      <c r="BT2" s="5532">
        <f>HLOOKUP("xPts/90",A1:CV300,2,FALSE)-(6*0.75*(HLOOKUP("PK Gs",A1:CV300,2,FALSE)+HLOOKUP("PK Miss",A1:CV300,2,FALSE))*90/HLOOKUP("Mins",A1:CV300,2,FALSE))</f>
      </c>
      <c r="BU2" s="5533">
        <f>IF(HLOOKUP("Mins",A1:CV300,2,FALSE)=0,0,HLOOKUP("fsXG",A1:CV300,2,FALSE)/HLOOKUP("Mins",A1:CV300,2,FALSE)* 90)</f>
      </c>
      <c r="BV2" s="5534">
        <f>IF(HLOOKUP("Mins",A1:CV300,2,FALSE)=0,0,HLOOKUP("fsXA",A1:CV300,2,FALSE)/HLOOKUP("Mins",A1:CV300,2,FALSE)* 90)</f>
      </c>
      <c r="BW2" s="5535">
        <f>6*HLOOKUP("fsXG/90",A1:CV300,2,FALSE)+3*HLOOKUP("fsXA/90",A1:CV300,2,FALSE)</f>
      </c>
      <c r="BX2" t="n" s="5536">
        <v>0.0657733678817749</v>
      </c>
      <c r="BY2" t="n" s="5537">
        <v>0.0032711352687329054</v>
      </c>
      <c r="BZ2" s="5538">
        <f>6*HLOOKUP("uXG/90",A1:CV300,2,FALSE)+3*HLOOKUP("uXA/90",A1:CV300,2,FALSE)</f>
      </c>
    </row>
    <row r="3">
      <c r="A3" t="s" s="5539">
        <v>168</v>
      </c>
      <c r="B3" t="s" s="5540">
        <v>82</v>
      </c>
      <c r="C3" t="n" s="5541">
        <v>5.199999809265137</v>
      </c>
      <c r="D3" t="n" s="5542">
        <v>534.0</v>
      </c>
      <c r="E3" t="n" s="5543">
        <v>6.0</v>
      </c>
      <c r="F3" t="n" s="5544">
        <v>99.0</v>
      </c>
      <c r="G3" t="n" s="5545">
        <v>0.0</v>
      </c>
      <c r="H3" t="n" s="5546">
        <v>10.0</v>
      </c>
      <c r="I3" t="n" s="5547">
        <v>523.0</v>
      </c>
      <c r="J3" s="5548">
        <f>HLOOKUP("BPS",A1:CV300,3,FALSE)-((-6*HLOOKUP("OG",A1:CV300,3,FALSE))+(-6*HLOOKUP("PK Miss",A1:CV300,3,FALSE))+(9*HLOOKUP("FPL As",A1:CV300,3,FALSE))+(12*HLOOKUP("CS",A1:CV300,3,FALSE))+(12*HLOOKUP("Gs",A1:CV300,3,FALSE)))</f>
      </c>
      <c r="K3" t="n" s="5549">
        <v>0.0</v>
      </c>
      <c r="L3" t="n" s="5550">
        <v>9.0</v>
      </c>
      <c r="M3" t="n" s="5551">
        <v>11.0</v>
      </c>
      <c r="N3" t="n" s="5552">
        <v>7.0</v>
      </c>
      <c r="O3" t="n" s="5553">
        <v>7.0</v>
      </c>
      <c r="P3" s="5554">
        <f>IF(HLOOKUP("Shots",A1:CV300,3,FALSE)=0,0,HLOOKUP("SIB",A1:CV300,3,FALSE)/HLOOKUP("Shots",A1:CV300,3,FALSE))</f>
      </c>
      <c r="Q3" t="n" s="5555">
        <v>2.0</v>
      </c>
      <c r="R3" s="5556">
        <f>IF(HLOOKUP("Shots",A1:CV300,3,FALSE)=0,0,HLOOKUP("S6YD",A1:CV300,3,FALSE)/HLOOKUP("Shots",A1:CV300,3,FALSE))</f>
      </c>
      <c r="S3" t="n" s="5557">
        <v>6.0</v>
      </c>
      <c r="T3" s="5558">
        <f>IF(HLOOKUP("Shots",A1:CV300,3,FALSE)=0,0,HLOOKUP("Headers",A1:CV300,3,FALSE)/HLOOKUP("Shots",A1:CV300,3,FALSE))</f>
      </c>
      <c r="U3" t="n" s="5559">
        <v>2.0</v>
      </c>
      <c r="V3" s="5560">
        <f>IF(HLOOKUP("Shots",A1:CV300,3,FALSE)=0,0,HLOOKUP("SOT",A1:CV300,3,FALSE)/HLOOKUP("Shots",A1:CV300,3,FALSE))</f>
      </c>
      <c r="W3" s="5561">
        <f>IF(HLOOKUP("Shots",A1:CV300,3,FALSE)=0,0,HLOOKUP("Gs",A1:CV300,3,FALSE)/HLOOKUP("Shots",A1:CV300,3,FALSE))</f>
      </c>
      <c r="X3" t="n" s="5562">
        <v>0.0</v>
      </c>
      <c r="Y3" t="n" s="5563">
        <v>2.0</v>
      </c>
      <c r="Z3" t="n" s="5564">
        <v>1.0</v>
      </c>
      <c r="AA3" s="5565">
        <f>IF(HLOOKUP("KP",A1:CV300,3,FALSE)=0,0,HLOOKUP("As",A1:CV300,3,FALSE)/HLOOKUP("KP",A1:CV300,3,FALSE))</f>
      </c>
      <c r="AB3" t="n" s="5566">
        <v>22.3</v>
      </c>
      <c r="AC3" t="n" s="5567">
        <v>0.0</v>
      </c>
      <c r="AD3" t="n" s="5568">
        <v>0.0</v>
      </c>
      <c r="AE3" t="n" s="5569">
        <v>1.0</v>
      </c>
      <c r="AF3" t="n" s="5570">
        <v>1.0</v>
      </c>
      <c r="AG3" s="5571">
        <f>IF(HLOOKUP("BC",A1:CV300,3,FALSE)=0,0,HLOOKUP("Gs - BC",A1:CV300,3,FALSE)/HLOOKUP("BC",A1:CV300,3,FALSE))</f>
      </c>
      <c r="AH3" s="5572">
        <f>HLOOKUP("BC",A1:CV300,3,FALSE) - HLOOKUP("BC Miss",A1:CV300,3,FALSE)</f>
      </c>
      <c r="AI3" s="5573">
        <f>IF(HLOOKUP("Gs",A1:CV300,3,FALSE)=0,0,HLOOKUP("Gs - BC",A1:CV300,3,FALSE)/HLOOKUP("Gs",A1:CV300,3,FALSE))</f>
      </c>
      <c r="AJ3" t="n" s="5574">
        <v>0.0</v>
      </c>
      <c r="AK3" t="n" s="5575">
        <v>0.0</v>
      </c>
      <c r="AL3" s="5576">
        <f>HLOOKUP("BC",A1:CV300,3,FALSE) - (HLOOKUP("PK Gs",A1:CV300,3,FALSE) + HLOOKUP("PK Miss",A1:CV300,3,FALSE))</f>
      </c>
      <c r="AM3" s="5577">
        <f>HLOOKUP("BC Miss",A1:CV300,3,FALSE) - HLOOKUP("PK Miss",A1:CV300,3,FALSE)</f>
      </c>
      <c r="AN3" s="5578">
        <f>IF(HLOOKUP("BC - Open",A1:CV300,3,FALSE)=0,0,HLOOKUP("BC - Open Miss",A1:CV300,3,FALSE)/HLOOKUP("BC - Open",A1:CV300,3,FALSE))</f>
      </c>
      <c r="AO3" t="n" s="5579">
        <v>0.0</v>
      </c>
      <c r="AP3" s="5580">
        <f>IF(HLOOKUP("Gs",A1:CV300,3,FALSE)=0,0,HLOOKUP("GIB",A1:CV300,3,FALSE)/HLOOKUP("Gs",A1:CV300,3,FALSE))</f>
      </c>
      <c r="AQ3" t="n" s="5581">
        <v>0.0</v>
      </c>
      <c r="AR3" s="5582">
        <f>IF(HLOOKUP("Gs",A1:CV300,3,FALSE)=0,0,HLOOKUP("Gs - Open",A1:CV300,3,FALSE)/HLOOKUP("Gs",A1:CV300,3,FALSE))</f>
      </c>
      <c r="AS3" t="n" s="5583">
        <v>0.93</v>
      </c>
      <c r="AT3" t="n" s="5584">
        <v>0.06</v>
      </c>
      <c r="AU3" s="5585">
        <f>IF(HLOOKUP("Mins",A1:CV300,3,FALSE)=0,0,HLOOKUP("Pts",A1:CV300,3,FALSE)/HLOOKUP("Mins",A1:CV300,3,FALSE)* 90)</f>
      </c>
      <c r="AV3" s="5586">
        <f>IF(HLOOKUP("Apps",A1:CV300,3,FALSE)=0,0,HLOOKUP("Pts",A1:CV300,3,FALSE)/HLOOKUP("Apps",A1:CV300,3,FALSE)* 1)</f>
      </c>
      <c r="AW3" s="5587">
        <f>IF(HLOOKUP("Mins",A1:CV300,3,FALSE)=0,0,HLOOKUP("Gs",A1:CV300,3,FALSE)/HLOOKUP("Mins",A1:CV300,3,FALSE)* 90)</f>
      </c>
      <c r="AX3" s="5588">
        <f>IF(HLOOKUP("Mins",A1:CV300,3,FALSE)=0,0,HLOOKUP("Bonus",A1:CV300,3,FALSE)/HLOOKUP("Mins",A1:CV300,3,FALSE)* 90)</f>
      </c>
      <c r="AY3" s="5589">
        <f>IF(HLOOKUP("Mins",A1:CV300,3,FALSE)=0,0,HLOOKUP("BPS",A1:CV300,3,FALSE)/HLOOKUP("Mins",A1:CV300,3,FALSE)* 90)</f>
      </c>
      <c r="AZ3" s="5590">
        <f>IF(HLOOKUP("Mins",A1:CV300,3,FALSE)=0,0,HLOOKUP("Base BPS",A1:CV300,3,FALSE)/HLOOKUP("Mins",A1:CV300,3,FALSE)* 90)</f>
      </c>
      <c r="BA3" s="5591">
        <f>IF(HLOOKUP("Mins",A1:CV300,3,FALSE)=0,0,HLOOKUP("PenTchs",A1:CV300,3,FALSE)/HLOOKUP("Mins",A1:CV300,3,FALSE)* 90)</f>
      </c>
      <c r="BB3" s="5592">
        <f>IF(HLOOKUP("Mins",A1:CV300,3,FALSE)=0,0,HLOOKUP("Shots",A1:CV300,3,FALSE)/HLOOKUP("Mins",A1:CV300,3,FALSE)* 90)</f>
      </c>
      <c r="BC3" s="5593">
        <f>IF(HLOOKUP("Mins",A1:CV300,3,FALSE)=0,0,HLOOKUP("SIB",A1:CV300,3,FALSE)/HLOOKUP("Mins",A1:CV300,3,FALSE)* 90)</f>
      </c>
      <c r="BD3" s="5594">
        <f>IF(HLOOKUP("Mins",A1:CV300,3,FALSE)=0,0,HLOOKUP("S6YD",A1:CV300,3,FALSE)/HLOOKUP("Mins",A1:CV300,3,FALSE)* 90)</f>
      </c>
      <c r="BE3" s="5595">
        <f>IF(HLOOKUP("Mins",A1:CV300,3,FALSE)=0,0,HLOOKUP("Headers",A1:CV300,3,FALSE)/HLOOKUP("Mins",A1:CV300,3,FALSE)* 90)</f>
      </c>
      <c r="BF3" s="5596">
        <f>IF(HLOOKUP("Mins",A1:CV300,3,FALSE)=0,0,HLOOKUP("SOT",A1:CV300,3,FALSE)/HLOOKUP("Mins",A1:CV300,3,FALSE)* 90)</f>
      </c>
      <c r="BG3" s="5597">
        <f>IF(HLOOKUP("Mins",A1:CV300,3,FALSE)=0,0,HLOOKUP("As",A1:CV300,3,FALSE)/HLOOKUP("Mins",A1:CV300,3,FALSE)* 90)</f>
      </c>
      <c r="BH3" s="5598">
        <f>IF(HLOOKUP("Mins",A1:CV300,3,FALSE)=0,0,HLOOKUP("FPL As",A1:CV300,3,FALSE)/HLOOKUP("Mins",A1:CV300,3,FALSE)* 90)</f>
      </c>
      <c r="BI3" s="5599">
        <f>IF(HLOOKUP("Mins",A1:CV300,3,FALSE)=0,0,HLOOKUP("BC Created",A1:CV300,3,FALSE)/HLOOKUP("Mins",A1:CV300,3,FALSE)* 90)</f>
      </c>
      <c r="BJ3" s="5600">
        <f>IF(HLOOKUP("Mins",A1:CV300,3,FALSE)=0,0,HLOOKUP("KP",A1:CV300,3,FALSE)/HLOOKUP("Mins",A1:CV300,3,FALSE)* 90)</f>
      </c>
      <c r="BK3" s="5601">
        <f>IF(HLOOKUP("Mins",A1:CV300,3,FALSE)=0,0,HLOOKUP("BC",A1:CV300,3,FALSE)/HLOOKUP("Mins",A1:CV300,3,FALSE)* 90)</f>
      </c>
      <c r="BL3" s="5602">
        <f>IF(HLOOKUP("Mins",A1:CV300,3,FALSE)=0,0,HLOOKUP("BC Miss",A1:CV300,3,FALSE)/HLOOKUP("Mins",A1:CV300,3,FALSE)* 90)</f>
      </c>
      <c r="BM3" s="5603">
        <f>IF(HLOOKUP("Mins",A1:CV300,3,FALSE)=0,0,HLOOKUP("Gs - BC",A1:CV300,3,FALSE)/HLOOKUP("Mins",A1:CV300,3,FALSE)* 90)</f>
      </c>
      <c r="BN3" s="5604">
        <f>IF(HLOOKUP("Mins",A1:CV300,3,FALSE)=0,0,HLOOKUP("GIB",A1:CV300,3,FALSE)/HLOOKUP("Mins",A1:CV300,3,FALSE)* 90)</f>
      </c>
      <c r="BO3" s="5605">
        <f>IF(HLOOKUP("Mins",A1:CV300,3,FALSE)=0,0,HLOOKUP("Gs - Open",A1:CV300,3,FALSE)/HLOOKUP("Mins",A1:CV300,3,FALSE)* 90)</f>
      </c>
      <c r="BP3" s="5606">
        <f>IF(HLOOKUP("Mins",A1:CV300,3,FALSE)=0,0,HLOOKUP("ICT Index",A1:CV300,3,FALSE)/HLOOKUP("Mins",A1:CV300,3,FALSE)* 90)</f>
      </c>
      <c r="BQ3" s="5607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</c>
      <c r="BR3" s="5608">
        <f>0.0825*HLOOKUP("KP/90",A1:CV300,3,FALSE)</f>
      </c>
      <c r="BS3" s="5609">
        <f>6*HLOOKUP("xG/90",A1:CV300,3,FALSE)+3*HLOOKUP("xA/90",A1:CV300,3,FALSE)</f>
      </c>
      <c r="BT3" s="5610">
        <f>HLOOKUP("xPts/90",A1:CV300,3,FALSE)-(6*0.75*(HLOOKUP("PK Gs",A1:CV300,3,FALSE)+HLOOKUP("PK Miss",A1:CV300,3,FALSE))*90/HLOOKUP("Mins",A1:CV300,3,FALSE))</f>
      </c>
      <c r="BU3" s="5611">
        <f>IF(HLOOKUP("Mins",A1:CV300,3,FALSE)=0,0,HLOOKUP("fsXG",A1:CV300,3,FALSE)/HLOOKUP("Mins",A1:CV300,3,FALSE)* 90)</f>
      </c>
      <c r="BV3" s="5612">
        <f>IF(HLOOKUP("Mins",A1:CV300,3,FALSE)=0,0,HLOOKUP("fsXA",A1:CV300,3,FALSE)/HLOOKUP("Mins",A1:CV300,3,FALSE)* 90)</f>
      </c>
      <c r="BW3" s="5613">
        <f>6*HLOOKUP("fsXG/90",A1:CV300,3,FALSE)+3*HLOOKUP("fsXA/90",A1:CV300,3,FALSE)</f>
      </c>
      <c r="BX3" t="n" s="5614">
        <v>0.11277409642934799</v>
      </c>
      <c r="BY3" t="n" s="5615">
        <v>0.0025654255878180265</v>
      </c>
      <c r="BZ3" s="5616">
        <f>6*HLOOKUP("uXG/90",A1:CV300,3,FALSE)+3*HLOOKUP("uXA/90",A1:CV300,3,FALSE)</f>
      </c>
    </row>
    <row r="4">
      <c r="A4" t="s" s="5617">
        <v>169</v>
      </c>
      <c r="B4" t="s" s="5618">
        <v>102</v>
      </c>
      <c r="C4" t="n" s="5619">
        <v>4.300000190734863</v>
      </c>
      <c r="D4" t="n" s="5620">
        <v>141.0</v>
      </c>
      <c r="E4" t="n" s="5621">
        <v>3.0</v>
      </c>
      <c r="F4" t="n" s="5622">
        <v>21.0</v>
      </c>
      <c r="G4" t="n" s="5623">
        <v>0.0</v>
      </c>
      <c r="H4" t="n" s="5624">
        <v>0.0</v>
      </c>
      <c r="I4" t="n" s="5625">
        <v>107.0</v>
      </c>
      <c r="J4" s="5626">
        <f>HLOOKUP("BPS",A1:CV300,4,FALSE)-((-6*HLOOKUP("OG",A1:CV300,4,FALSE))+(-6*HLOOKUP("PK Miss",A1:CV300,4,FALSE))+(9*HLOOKUP("FPL As",A1:CV300,4,FALSE))+(12*HLOOKUP("CS",A1:CV300,4,FALSE))+(12*HLOOKUP("Gs",A1:CV300,4,FALSE)))</f>
      </c>
      <c r="K4" t="n" s="5627">
        <v>0.0</v>
      </c>
      <c r="L4" t="n" s="5628">
        <v>2.0</v>
      </c>
      <c r="M4" t="n" s="5629">
        <v>1.0</v>
      </c>
      <c r="N4" t="n" s="5630">
        <v>0.0</v>
      </c>
      <c r="O4" t="n" s="5631">
        <v>0.0</v>
      </c>
      <c r="P4" s="5632">
        <f>IF(HLOOKUP("Shots",A1:CV300,4,FALSE)=0,0,HLOOKUP("SIB",A1:CV300,4,FALSE)/HLOOKUP("Shots",A1:CV300,4,FALSE))</f>
      </c>
      <c r="Q4" t="n" s="5633">
        <v>0.0</v>
      </c>
      <c r="R4" s="5634">
        <f>IF(HLOOKUP("Shots",A1:CV300,4,FALSE)=0,0,HLOOKUP("S6YD",A1:CV300,4,FALSE)/HLOOKUP("Shots",A1:CV300,4,FALSE))</f>
      </c>
      <c r="S4" t="n" s="5635">
        <v>0.0</v>
      </c>
      <c r="T4" s="5636">
        <f>IF(HLOOKUP("Shots",A1:CV300,4,FALSE)=0,0,HLOOKUP("Headers",A1:CV300,4,FALSE)/HLOOKUP("Shots",A1:CV300,4,FALSE))</f>
      </c>
      <c r="U4" t="n" s="5637">
        <v>0.0</v>
      </c>
      <c r="V4" s="5638">
        <f>IF(HLOOKUP("Shots",A1:CV300,4,FALSE)=0,0,HLOOKUP("SOT",A1:CV300,4,FALSE)/HLOOKUP("Shots",A1:CV300,4,FALSE))</f>
      </c>
      <c r="W4" s="5639">
        <f>IF(HLOOKUP("Shots",A1:CV300,4,FALSE)=0,0,HLOOKUP("Gs",A1:CV300,4,FALSE)/HLOOKUP("Shots",A1:CV300,4,FALSE))</f>
      </c>
      <c r="X4" t="n" s="5640">
        <v>0.0</v>
      </c>
      <c r="Y4" t="n" s="5641">
        <v>0.0</v>
      </c>
      <c r="Z4" t="n" s="5642">
        <v>0.0</v>
      </c>
      <c r="AA4" s="5643">
        <f>IF(HLOOKUP("KP",A1:CV300,4,FALSE)=0,0,HLOOKUP("As",A1:CV300,4,FALSE)/HLOOKUP("KP",A1:CV300,4,FALSE))</f>
      </c>
      <c r="AB4" t="n" s="5644">
        <v>1.7</v>
      </c>
      <c r="AC4" t="n" s="5645">
        <v>0.0</v>
      </c>
      <c r="AD4" t="n" s="5646">
        <v>0.0</v>
      </c>
      <c r="AE4" t="n" s="5647">
        <v>0.0</v>
      </c>
      <c r="AF4" t="n" s="5648">
        <v>0.0</v>
      </c>
      <c r="AG4" s="5649">
        <f>IF(HLOOKUP("BC",A1:CV300,4,FALSE)=0,0,HLOOKUP("Gs - BC",A1:CV300,4,FALSE)/HLOOKUP("BC",A1:CV300,4,FALSE))</f>
      </c>
      <c r="AH4" s="5650">
        <f>HLOOKUP("BC",A1:CV300,4,FALSE) - HLOOKUP("BC Miss",A1:CV300,4,FALSE)</f>
      </c>
      <c r="AI4" s="5651">
        <f>IF(HLOOKUP("Gs",A1:CV300,4,FALSE)=0,0,HLOOKUP("Gs - BC",A1:CV300,4,FALSE)/HLOOKUP("Gs",A1:CV300,4,FALSE))</f>
      </c>
      <c r="AJ4" t="n" s="5652">
        <v>0.0</v>
      </c>
      <c r="AK4" t="n" s="5653">
        <v>0.0</v>
      </c>
      <c r="AL4" s="5654">
        <f>HLOOKUP("BC",A1:CV300,4,FALSE) - (HLOOKUP("PK Gs",A1:CV300,4,FALSE) + HLOOKUP("PK Miss",A1:CV300,4,FALSE))</f>
      </c>
      <c r="AM4" s="5655">
        <f>HLOOKUP("BC Miss",A1:CV300,4,FALSE) - HLOOKUP("PK Miss",A1:CV300,4,FALSE)</f>
      </c>
      <c r="AN4" s="5656">
        <f>IF(HLOOKUP("BC - Open",A1:CV300,4,FALSE)=0,0,HLOOKUP("BC - Open Miss",A1:CV300,4,FALSE)/HLOOKUP("BC - Open",A1:CV300,4,FALSE))</f>
      </c>
      <c r="AO4" t="n" s="5657">
        <v>0.0</v>
      </c>
      <c r="AP4" s="5658">
        <f>IF(HLOOKUP("Gs",A1:CV300,4,FALSE)=0,0,HLOOKUP("GIB",A1:CV300,4,FALSE)/HLOOKUP("Gs",A1:CV300,4,FALSE))</f>
      </c>
      <c r="AQ4" t="n" s="5659">
        <v>0.0</v>
      </c>
      <c r="AR4" s="5660">
        <f>IF(HLOOKUP("Gs",A1:CV300,4,FALSE)=0,0,HLOOKUP("Gs - Open",A1:CV300,4,FALSE)/HLOOKUP("Gs",A1:CV300,4,FALSE))</f>
      </c>
      <c r="AS4" t="n" s="5661">
        <v>0.0</v>
      </c>
      <c r="AT4" t="n" s="5662">
        <v>0.01</v>
      </c>
      <c r="AU4" s="5663">
        <f>IF(HLOOKUP("Mins",A1:CV300,4,FALSE)=0,0,HLOOKUP("Pts",A1:CV300,4,FALSE)/HLOOKUP("Mins",A1:CV300,4,FALSE)* 90)</f>
      </c>
      <c r="AV4" s="5664">
        <f>IF(HLOOKUP("Apps",A1:CV300,4,FALSE)=0,0,HLOOKUP("Pts",A1:CV300,4,FALSE)/HLOOKUP("Apps",A1:CV300,4,FALSE)* 1)</f>
      </c>
      <c r="AW4" s="5665">
        <f>IF(HLOOKUP("Mins",A1:CV300,4,FALSE)=0,0,HLOOKUP("Gs",A1:CV300,4,FALSE)/HLOOKUP("Mins",A1:CV300,4,FALSE)* 90)</f>
      </c>
      <c r="AX4" s="5666">
        <f>IF(HLOOKUP("Mins",A1:CV300,4,FALSE)=0,0,HLOOKUP("Bonus",A1:CV300,4,FALSE)/HLOOKUP("Mins",A1:CV300,4,FALSE)* 90)</f>
      </c>
      <c r="AY4" s="5667">
        <f>IF(HLOOKUP("Mins",A1:CV300,4,FALSE)=0,0,HLOOKUP("BPS",A1:CV300,4,FALSE)/HLOOKUP("Mins",A1:CV300,4,FALSE)* 90)</f>
      </c>
      <c r="AZ4" s="5668">
        <f>IF(HLOOKUP("Mins",A1:CV300,4,FALSE)=0,0,HLOOKUP("Base BPS",A1:CV300,4,FALSE)/HLOOKUP("Mins",A1:CV300,4,FALSE)* 90)</f>
      </c>
      <c r="BA4" s="5669">
        <f>IF(HLOOKUP("Mins",A1:CV300,4,FALSE)=0,0,HLOOKUP("PenTchs",A1:CV300,4,FALSE)/HLOOKUP("Mins",A1:CV300,4,FALSE)* 90)</f>
      </c>
      <c r="BB4" s="5670">
        <f>IF(HLOOKUP("Mins",A1:CV300,4,FALSE)=0,0,HLOOKUP("Shots",A1:CV300,4,FALSE)/HLOOKUP("Mins",A1:CV300,4,FALSE)* 90)</f>
      </c>
      <c r="BC4" s="5671">
        <f>IF(HLOOKUP("Mins",A1:CV300,4,FALSE)=0,0,HLOOKUP("SIB",A1:CV300,4,FALSE)/HLOOKUP("Mins",A1:CV300,4,FALSE)* 90)</f>
      </c>
      <c r="BD4" s="5672">
        <f>IF(HLOOKUP("Mins",A1:CV300,4,FALSE)=0,0,HLOOKUP("S6YD",A1:CV300,4,FALSE)/HLOOKUP("Mins",A1:CV300,4,FALSE)* 90)</f>
      </c>
      <c r="BE4" s="5673">
        <f>IF(HLOOKUP("Mins",A1:CV300,4,FALSE)=0,0,HLOOKUP("Headers",A1:CV300,4,FALSE)/HLOOKUP("Mins",A1:CV300,4,FALSE)* 90)</f>
      </c>
      <c r="BF4" s="5674">
        <f>IF(HLOOKUP("Mins",A1:CV300,4,FALSE)=0,0,HLOOKUP("SOT",A1:CV300,4,FALSE)/HLOOKUP("Mins",A1:CV300,4,FALSE)* 90)</f>
      </c>
      <c r="BG4" s="5675">
        <f>IF(HLOOKUP("Mins",A1:CV300,4,FALSE)=0,0,HLOOKUP("As",A1:CV300,4,FALSE)/HLOOKUP("Mins",A1:CV300,4,FALSE)* 90)</f>
      </c>
      <c r="BH4" s="5676">
        <f>IF(HLOOKUP("Mins",A1:CV300,4,FALSE)=0,0,HLOOKUP("FPL As",A1:CV300,4,FALSE)/HLOOKUP("Mins",A1:CV300,4,FALSE)* 90)</f>
      </c>
      <c r="BI4" s="5677">
        <f>IF(HLOOKUP("Mins",A1:CV300,4,FALSE)=0,0,HLOOKUP("BC Created",A1:CV300,4,FALSE)/HLOOKUP("Mins",A1:CV300,4,FALSE)* 90)</f>
      </c>
      <c r="BJ4" s="5678">
        <f>IF(HLOOKUP("Mins",A1:CV300,4,FALSE)=0,0,HLOOKUP("KP",A1:CV300,4,FALSE)/HLOOKUP("Mins",A1:CV300,4,FALSE)* 90)</f>
      </c>
      <c r="BK4" s="5679">
        <f>IF(HLOOKUP("Mins",A1:CV300,4,FALSE)=0,0,HLOOKUP("BC",A1:CV300,4,FALSE)/HLOOKUP("Mins",A1:CV300,4,FALSE)* 90)</f>
      </c>
      <c r="BL4" s="5680">
        <f>IF(HLOOKUP("Mins",A1:CV300,4,FALSE)=0,0,HLOOKUP("BC Miss",A1:CV300,4,FALSE)/HLOOKUP("Mins",A1:CV300,4,FALSE)* 90)</f>
      </c>
      <c r="BM4" s="5681">
        <f>IF(HLOOKUP("Mins",A1:CV300,4,FALSE)=0,0,HLOOKUP("Gs - BC",A1:CV300,4,FALSE)/HLOOKUP("Mins",A1:CV300,4,FALSE)* 90)</f>
      </c>
      <c r="BN4" s="5682">
        <f>IF(HLOOKUP("Mins",A1:CV300,4,FALSE)=0,0,HLOOKUP("GIB",A1:CV300,4,FALSE)/HLOOKUP("Mins",A1:CV300,4,FALSE)* 90)</f>
      </c>
      <c r="BO4" s="5683">
        <f>IF(HLOOKUP("Mins",A1:CV300,4,FALSE)=0,0,HLOOKUP("Gs - Open",A1:CV300,4,FALSE)/HLOOKUP("Mins",A1:CV300,4,FALSE)* 90)</f>
      </c>
      <c r="BP4" s="5684">
        <f>IF(HLOOKUP("Mins",A1:CV300,4,FALSE)=0,0,HLOOKUP("ICT Index",A1:CV300,4,FALSE)/HLOOKUP("Mins",A1:CV300,4,FALSE)* 90)</f>
      </c>
      <c r="BQ4" s="5685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</c>
      <c r="BR4" s="5686">
        <f>0.0825*HLOOKUP("KP/90",A1:CV300,4,FALSE)</f>
      </c>
      <c r="BS4" s="5687">
        <f>6*HLOOKUP("xG/90",A1:CV300,4,FALSE)+3*HLOOKUP("xA/90",A1:CV300,4,FALSE)</f>
      </c>
      <c r="BT4" s="5688">
        <f>HLOOKUP("xPts/90",A1:CV300,4,FALSE)-(6*0.75*(HLOOKUP("PK Gs",A1:CV300,4,FALSE)+HLOOKUP("PK Miss",A1:CV300,4,FALSE))*90/HLOOKUP("Mins",A1:CV300,4,FALSE))</f>
      </c>
      <c r="BU4" s="5689">
        <f>IF(HLOOKUP("Mins",A1:CV300,4,FALSE)=0,0,HLOOKUP("fsXG",A1:CV300,4,FALSE)/HLOOKUP("Mins",A1:CV300,4,FALSE)* 90)</f>
      </c>
      <c r="BV4" s="5690">
        <f>IF(HLOOKUP("Mins",A1:CV300,4,FALSE)=0,0,HLOOKUP("fsXA",A1:CV300,4,FALSE)/HLOOKUP("Mins",A1:CV300,4,FALSE)* 90)</f>
      </c>
      <c r="BW4" s="5691">
        <f>6*HLOOKUP("fsXG/90",A1:CV300,4,FALSE)+3*HLOOKUP("fsXA/90",A1:CV300,4,FALSE)</f>
      </c>
      <c r="BX4" t="n" s="5692">
        <v>0.0</v>
      </c>
      <c r="BY4" t="n" s="5693">
        <v>0.0</v>
      </c>
      <c r="BZ4" s="5694">
        <f>6*HLOOKUP("uXG/90",A1:CV300,4,FALSE)+3*HLOOKUP("uXA/90",A1:CV300,4,FALSE)</f>
      </c>
    </row>
    <row r="5">
      <c r="A5" t="s" s="5695">
        <v>170</v>
      </c>
      <c r="B5" t="s" s="5696">
        <v>122</v>
      </c>
      <c r="C5" t="n" s="5697">
        <v>4.900000095367432</v>
      </c>
      <c r="D5" t="n" s="5698">
        <v>90.0</v>
      </c>
      <c r="E5" t="n" s="5699">
        <v>1.0</v>
      </c>
      <c r="F5" t="n" s="5700">
        <v>6.0</v>
      </c>
      <c r="G5" t="n" s="5701">
        <v>0.0</v>
      </c>
      <c r="H5" t="n" s="5702">
        <v>0.0</v>
      </c>
      <c r="I5" t="n" s="5703">
        <v>26.0</v>
      </c>
      <c r="J5" s="5704">
        <f>HLOOKUP("BPS",A1:CV300,5,FALSE)-((-6*HLOOKUP("OG",A1:CV300,5,FALSE))+(-6*HLOOKUP("PK Miss",A1:CV300,5,FALSE))+(9*HLOOKUP("FPL As",A1:CV300,5,FALSE))+(12*HLOOKUP("CS",A1:CV300,5,FALSE))+(12*HLOOKUP("Gs",A1:CV300,5,FALSE)))</f>
      </c>
      <c r="K5" t="n" s="5705">
        <v>0.0</v>
      </c>
      <c r="L5" t="n" s="5706">
        <v>1.0</v>
      </c>
      <c r="M5" t="n" s="5707">
        <v>0.0</v>
      </c>
      <c r="N5" t="n" s="5708">
        <v>0.0</v>
      </c>
      <c r="O5" t="n" s="5709">
        <v>0.0</v>
      </c>
      <c r="P5" s="5710">
        <f>IF(HLOOKUP("Shots",A1:CV300,5,FALSE)=0,0,HLOOKUP("SIB",A1:CV300,5,FALSE)/HLOOKUP("Shots",A1:CV300,5,FALSE))</f>
      </c>
      <c r="Q5" t="n" s="5711">
        <v>0.0</v>
      </c>
      <c r="R5" s="5712">
        <f>IF(HLOOKUP("Shots",A1:CV300,5,FALSE)=0,0,HLOOKUP("S6YD",A1:CV300,5,FALSE)/HLOOKUP("Shots",A1:CV300,5,FALSE))</f>
      </c>
      <c r="S5" t="n" s="5713">
        <v>0.0</v>
      </c>
      <c r="T5" s="5714">
        <f>IF(HLOOKUP("Shots",A1:CV300,5,FALSE)=0,0,HLOOKUP("Headers",A1:CV300,5,FALSE)/HLOOKUP("Shots",A1:CV300,5,FALSE))</f>
      </c>
      <c r="U5" t="n" s="5715">
        <v>0.0</v>
      </c>
      <c r="V5" s="5716">
        <f>IF(HLOOKUP("Shots",A1:CV300,5,FALSE)=0,0,HLOOKUP("SOT",A1:CV300,5,FALSE)/HLOOKUP("Shots",A1:CV300,5,FALSE))</f>
      </c>
      <c r="W5" s="5717">
        <f>IF(HLOOKUP("Shots",A1:CV300,5,FALSE)=0,0,HLOOKUP("Gs",A1:CV300,5,FALSE)/HLOOKUP("Shots",A1:CV300,5,FALSE))</f>
      </c>
      <c r="X5" t="n" s="5718">
        <v>0.0</v>
      </c>
      <c r="Y5" t="n" s="5719">
        <v>0.0</v>
      </c>
      <c r="Z5" t="n" s="5720">
        <v>0.0</v>
      </c>
      <c r="AA5" s="5721">
        <f>IF(HLOOKUP("KP",A1:CV300,5,FALSE)=0,0,HLOOKUP("As",A1:CV300,5,FALSE)/HLOOKUP("KP",A1:CV300,5,FALSE))</f>
      </c>
      <c r="AB5" t="n" s="5722">
        <v>2.6</v>
      </c>
      <c r="AC5" t="n" s="5723">
        <v>0.0</v>
      </c>
      <c r="AD5" t="n" s="5724">
        <v>0.0</v>
      </c>
      <c r="AE5" t="n" s="5725">
        <v>0.0</v>
      </c>
      <c r="AF5" t="n" s="5726">
        <v>0.0</v>
      </c>
      <c r="AG5" s="5727">
        <f>IF(HLOOKUP("BC",A1:CV300,5,FALSE)=0,0,HLOOKUP("Gs - BC",A1:CV300,5,FALSE)/HLOOKUP("BC",A1:CV300,5,FALSE))</f>
      </c>
      <c r="AH5" s="5728">
        <f>HLOOKUP("BC",A1:CV300,5,FALSE) - HLOOKUP("BC Miss",A1:CV300,5,FALSE)</f>
      </c>
      <c r="AI5" s="5729">
        <f>IF(HLOOKUP("Gs",A1:CV300,5,FALSE)=0,0,HLOOKUP("Gs - BC",A1:CV300,5,FALSE)/HLOOKUP("Gs",A1:CV300,5,FALSE))</f>
      </c>
      <c r="AJ5" t="n" s="5730">
        <v>0.0</v>
      </c>
      <c r="AK5" t="n" s="5731">
        <v>0.0</v>
      </c>
      <c r="AL5" s="5732">
        <f>HLOOKUP("BC",A1:CV300,5,FALSE) - (HLOOKUP("PK Gs",A1:CV300,5,FALSE) + HLOOKUP("PK Miss",A1:CV300,5,FALSE))</f>
      </c>
      <c r="AM5" s="5733">
        <f>HLOOKUP("BC Miss",A1:CV300,5,FALSE) - HLOOKUP("PK Miss",A1:CV300,5,FALSE)</f>
      </c>
      <c r="AN5" s="5734">
        <f>IF(HLOOKUP("BC - Open",A1:CV300,5,FALSE)=0,0,HLOOKUP("BC - Open Miss",A1:CV300,5,FALSE)/HLOOKUP("BC - Open",A1:CV300,5,FALSE))</f>
      </c>
      <c r="AO5" t="n" s="5735">
        <v>0.0</v>
      </c>
      <c r="AP5" s="5736">
        <f>IF(HLOOKUP("Gs",A1:CV300,5,FALSE)=0,0,HLOOKUP("GIB",A1:CV300,5,FALSE)/HLOOKUP("Gs",A1:CV300,5,FALSE))</f>
      </c>
      <c r="AQ5" t="n" s="5737">
        <v>0.0</v>
      </c>
      <c r="AR5" s="5738">
        <f>IF(HLOOKUP("Gs",A1:CV300,5,FALSE)=0,0,HLOOKUP("Gs - Open",A1:CV300,5,FALSE)/HLOOKUP("Gs",A1:CV300,5,FALSE))</f>
      </c>
      <c r="AS5" t="n" s="5739">
        <v>0.0</v>
      </c>
      <c r="AT5" t="n" s="5740">
        <v>0.01</v>
      </c>
      <c r="AU5" s="5741">
        <f>IF(HLOOKUP("Mins",A1:CV300,5,FALSE)=0,0,HLOOKUP("Pts",A1:CV300,5,FALSE)/HLOOKUP("Mins",A1:CV300,5,FALSE)* 90)</f>
      </c>
      <c r="AV5" s="5742">
        <f>IF(HLOOKUP("Apps",A1:CV300,5,FALSE)=0,0,HLOOKUP("Pts",A1:CV300,5,FALSE)/HLOOKUP("Apps",A1:CV300,5,FALSE)* 1)</f>
      </c>
      <c r="AW5" s="5743">
        <f>IF(HLOOKUP("Mins",A1:CV300,5,FALSE)=0,0,HLOOKUP("Gs",A1:CV300,5,FALSE)/HLOOKUP("Mins",A1:CV300,5,FALSE)* 90)</f>
      </c>
      <c r="AX5" s="5744">
        <f>IF(HLOOKUP("Mins",A1:CV300,5,FALSE)=0,0,HLOOKUP("Bonus",A1:CV300,5,FALSE)/HLOOKUP("Mins",A1:CV300,5,FALSE)* 90)</f>
      </c>
      <c r="AY5" s="5745">
        <f>IF(HLOOKUP("Mins",A1:CV300,5,FALSE)=0,0,HLOOKUP("BPS",A1:CV300,5,FALSE)/HLOOKUP("Mins",A1:CV300,5,FALSE)* 90)</f>
      </c>
      <c r="AZ5" s="5746">
        <f>IF(HLOOKUP("Mins",A1:CV300,5,FALSE)=0,0,HLOOKUP("Base BPS",A1:CV300,5,FALSE)/HLOOKUP("Mins",A1:CV300,5,FALSE)* 90)</f>
      </c>
      <c r="BA5" s="5747">
        <f>IF(HLOOKUP("Mins",A1:CV300,5,FALSE)=0,0,HLOOKUP("PenTchs",A1:CV300,5,FALSE)/HLOOKUP("Mins",A1:CV300,5,FALSE)* 90)</f>
      </c>
      <c r="BB5" s="5748">
        <f>IF(HLOOKUP("Mins",A1:CV300,5,FALSE)=0,0,HLOOKUP("Shots",A1:CV300,5,FALSE)/HLOOKUP("Mins",A1:CV300,5,FALSE)* 90)</f>
      </c>
      <c r="BC5" s="5749">
        <f>IF(HLOOKUP("Mins",A1:CV300,5,FALSE)=0,0,HLOOKUP("SIB",A1:CV300,5,FALSE)/HLOOKUP("Mins",A1:CV300,5,FALSE)* 90)</f>
      </c>
      <c r="BD5" s="5750">
        <f>IF(HLOOKUP("Mins",A1:CV300,5,FALSE)=0,0,HLOOKUP("S6YD",A1:CV300,5,FALSE)/HLOOKUP("Mins",A1:CV300,5,FALSE)* 90)</f>
      </c>
      <c r="BE5" s="5751">
        <f>IF(HLOOKUP("Mins",A1:CV300,5,FALSE)=0,0,HLOOKUP("Headers",A1:CV300,5,FALSE)/HLOOKUP("Mins",A1:CV300,5,FALSE)* 90)</f>
      </c>
      <c r="BF5" s="5752">
        <f>IF(HLOOKUP("Mins",A1:CV300,5,FALSE)=0,0,HLOOKUP("SOT",A1:CV300,5,FALSE)/HLOOKUP("Mins",A1:CV300,5,FALSE)* 90)</f>
      </c>
      <c r="BG5" s="5753">
        <f>IF(HLOOKUP("Mins",A1:CV300,5,FALSE)=0,0,HLOOKUP("As",A1:CV300,5,FALSE)/HLOOKUP("Mins",A1:CV300,5,FALSE)* 90)</f>
      </c>
      <c r="BH5" s="5754">
        <f>IF(HLOOKUP("Mins",A1:CV300,5,FALSE)=0,0,HLOOKUP("FPL As",A1:CV300,5,FALSE)/HLOOKUP("Mins",A1:CV300,5,FALSE)* 90)</f>
      </c>
      <c r="BI5" s="5755">
        <f>IF(HLOOKUP("Mins",A1:CV300,5,FALSE)=0,0,HLOOKUP("BC Created",A1:CV300,5,FALSE)/HLOOKUP("Mins",A1:CV300,5,FALSE)* 90)</f>
      </c>
      <c r="BJ5" s="5756">
        <f>IF(HLOOKUP("Mins",A1:CV300,5,FALSE)=0,0,HLOOKUP("KP",A1:CV300,5,FALSE)/HLOOKUP("Mins",A1:CV300,5,FALSE)* 90)</f>
      </c>
      <c r="BK5" s="5757">
        <f>IF(HLOOKUP("Mins",A1:CV300,5,FALSE)=0,0,HLOOKUP("BC",A1:CV300,5,FALSE)/HLOOKUP("Mins",A1:CV300,5,FALSE)* 90)</f>
      </c>
      <c r="BL5" s="5758">
        <f>IF(HLOOKUP("Mins",A1:CV300,5,FALSE)=0,0,HLOOKUP("BC Miss",A1:CV300,5,FALSE)/HLOOKUP("Mins",A1:CV300,5,FALSE)* 90)</f>
      </c>
      <c r="BM5" s="5759">
        <f>IF(HLOOKUP("Mins",A1:CV300,5,FALSE)=0,0,HLOOKUP("Gs - BC",A1:CV300,5,FALSE)/HLOOKUP("Mins",A1:CV300,5,FALSE)* 90)</f>
      </c>
      <c r="BN5" s="5760">
        <f>IF(HLOOKUP("Mins",A1:CV300,5,FALSE)=0,0,HLOOKUP("GIB",A1:CV300,5,FALSE)/HLOOKUP("Mins",A1:CV300,5,FALSE)* 90)</f>
      </c>
      <c r="BO5" s="5761">
        <f>IF(HLOOKUP("Mins",A1:CV300,5,FALSE)=0,0,HLOOKUP("Gs - Open",A1:CV300,5,FALSE)/HLOOKUP("Mins",A1:CV300,5,FALSE)* 90)</f>
      </c>
      <c r="BP5" s="5762">
        <f>IF(HLOOKUP("Mins",A1:CV300,5,FALSE)=0,0,HLOOKUP("ICT Index",A1:CV300,5,FALSE)/HLOOKUP("Mins",A1:CV300,5,FALSE)* 90)</f>
      </c>
      <c r="BQ5" s="5763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</c>
      <c r="BR5" s="5764">
        <f>0.0825*HLOOKUP("KP/90",A1:CV300,5,FALSE)</f>
      </c>
      <c r="BS5" s="5765">
        <f>6*HLOOKUP("xG/90",A1:CV300,5,FALSE)+3*HLOOKUP("xA/90",A1:CV300,5,FALSE)</f>
      </c>
      <c r="BT5" s="5766">
        <f>HLOOKUP("xPts/90",A1:CV300,5,FALSE)-(6*0.75*(HLOOKUP("PK Gs",A1:CV300,5,FALSE)+HLOOKUP("PK Miss",A1:CV300,5,FALSE))*90/HLOOKUP("Mins",A1:CV300,5,FALSE))</f>
      </c>
      <c r="BU5" s="5767">
        <f>IF(HLOOKUP("Mins",A1:CV300,5,FALSE)=0,0,HLOOKUP("fsXG",A1:CV300,5,FALSE)/HLOOKUP("Mins",A1:CV300,5,FALSE)* 90)</f>
      </c>
      <c r="BV5" s="5768">
        <f>IF(HLOOKUP("Mins",A1:CV300,5,FALSE)=0,0,HLOOKUP("fsXA",A1:CV300,5,FALSE)/HLOOKUP("Mins",A1:CV300,5,FALSE)* 90)</f>
      </c>
      <c r="BW5" s="5769">
        <f>6*HLOOKUP("fsXG/90",A1:CV300,5,FALSE)+3*HLOOKUP("fsXA/90",A1:CV300,5,FALSE)</f>
      </c>
      <c r="BX5" t="n" s="5770">
        <v>0.0</v>
      </c>
      <c r="BY5" t="n" s="5771">
        <v>0.0</v>
      </c>
      <c r="BZ5" s="5772">
        <f>6*HLOOKUP("uXG/90",A1:CV300,5,FALSE)+3*HLOOKUP("uXA/90",A1:CV300,5,FALSE)</f>
      </c>
    </row>
    <row r="6">
      <c r="A6" t="s" s="5773">
        <v>171</v>
      </c>
      <c r="B6" t="s" s="5774">
        <v>107</v>
      </c>
      <c r="C6" t="n" s="5775">
        <v>4.300000190734863</v>
      </c>
      <c r="D6" t="n" s="5776">
        <v>199.0</v>
      </c>
      <c r="E6" t="n" s="5777">
        <v>4.0</v>
      </c>
      <c r="F6" t="n" s="5778">
        <v>42.0</v>
      </c>
      <c r="G6" t="n" s="5779">
        <v>0.0</v>
      </c>
      <c r="H6" t="n" s="5780">
        <v>5.0</v>
      </c>
      <c r="I6" t="n" s="5781">
        <v>215.0</v>
      </c>
      <c r="J6" s="5782">
        <f>HLOOKUP("BPS",A1:CV300,6,FALSE)-((-6*HLOOKUP("OG",A1:CV300,6,FALSE))+(-6*HLOOKUP("PK Miss",A1:CV300,6,FALSE))+(9*HLOOKUP("FPL As",A1:CV300,6,FALSE))+(12*HLOOKUP("CS",A1:CV300,6,FALSE))+(12*HLOOKUP("Gs",A1:CV300,6,FALSE)))</f>
      </c>
      <c r="K6" t="n" s="5783">
        <v>0.0</v>
      </c>
      <c r="L6" t="n" s="5784">
        <v>3.0</v>
      </c>
      <c r="M6" t="n" s="5785">
        <v>0.0</v>
      </c>
      <c r="N6" t="n" s="5786">
        <v>0.0</v>
      </c>
      <c r="O6" t="n" s="5787">
        <v>0.0</v>
      </c>
      <c r="P6" s="5788">
        <f>IF(HLOOKUP("Shots",A1:CV300,6,FALSE)=0,0,HLOOKUP("SIB",A1:CV300,6,FALSE)/HLOOKUP("Shots",A1:CV300,6,FALSE))</f>
      </c>
      <c r="Q6" t="n" s="5789">
        <v>0.0</v>
      </c>
      <c r="R6" s="5790">
        <f>IF(HLOOKUP("Shots",A1:CV300,6,FALSE)=0,0,HLOOKUP("S6YD",A1:CV300,6,FALSE)/HLOOKUP("Shots",A1:CV300,6,FALSE))</f>
      </c>
      <c r="S6" t="n" s="5791">
        <v>0.0</v>
      </c>
      <c r="T6" s="5792">
        <f>IF(HLOOKUP("Shots",A1:CV300,6,FALSE)=0,0,HLOOKUP("Headers",A1:CV300,6,FALSE)/HLOOKUP("Shots",A1:CV300,6,FALSE))</f>
      </c>
      <c r="U6" t="n" s="5793">
        <v>0.0</v>
      </c>
      <c r="V6" s="5794">
        <f>IF(HLOOKUP("Shots",A1:CV300,6,FALSE)=0,0,HLOOKUP("SOT",A1:CV300,6,FALSE)/HLOOKUP("Shots",A1:CV300,6,FALSE))</f>
      </c>
      <c r="W6" s="5795">
        <f>IF(HLOOKUP("Shots",A1:CV300,6,FALSE)=0,0,HLOOKUP("Gs",A1:CV300,6,FALSE)/HLOOKUP("Shots",A1:CV300,6,FALSE))</f>
      </c>
      <c r="X6" t="n" s="5796">
        <v>0.0</v>
      </c>
      <c r="Y6" t="n" s="5797">
        <v>1.0</v>
      </c>
      <c r="Z6" t="n" s="5798">
        <v>0.0</v>
      </c>
      <c r="AA6" s="5799">
        <f>IF(HLOOKUP("KP",A1:CV300,6,FALSE)=0,0,HLOOKUP("As",A1:CV300,6,FALSE)/HLOOKUP("KP",A1:CV300,6,FALSE))</f>
      </c>
      <c r="AB6" t="n" s="5800">
        <v>2.7</v>
      </c>
      <c r="AC6" t="n" s="5801">
        <v>0.0</v>
      </c>
      <c r="AD6" t="n" s="5802">
        <v>0.0</v>
      </c>
      <c r="AE6" t="n" s="5803">
        <v>0.0</v>
      </c>
      <c r="AF6" t="n" s="5804">
        <v>0.0</v>
      </c>
      <c r="AG6" s="5805">
        <f>IF(HLOOKUP("BC",A1:CV300,6,FALSE)=0,0,HLOOKUP("Gs - BC",A1:CV300,6,FALSE)/HLOOKUP("BC",A1:CV300,6,FALSE))</f>
      </c>
      <c r="AH6" s="5806">
        <f>HLOOKUP("BC",A1:CV300,6,FALSE) - HLOOKUP("BC Miss",A1:CV300,6,FALSE)</f>
      </c>
      <c r="AI6" s="5807">
        <f>IF(HLOOKUP("Gs",A1:CV300,6,FALSE)=0,0,HLOOKUP("Gs - BC",A1:CV300,6,FALSE)/HLOOKUP("Gs",A1:CV300,6,FALSE))</f>
      </c>
      <c r="AJ6" t="n" s="5808">
        <v>0.0</v>
      </c>
      <c r="AK6" t="n" s="5809">
        <v>0.0</v>
      </c>
      <c r="AL6" s="5810">
        <f>HLOOKUP("BC",A1:CV300,6,FALSE) - (HLOOKUP("PK Gs",A1:CV300,6,FALSE) + HLOOKUP("PK Miss",A1:CV300,6,FALSE))</f>
      </c>
      <c r="AM6" s="5811">
        <f>HLOOKUP("BC Miss",A1:CV300,6,FALSE) - HLOOKUP("PK Miss",A1:CV300,6,FALSE)</f>
      </c>
      <c r="AN6" s="5812">
        <f>IF(HLOOKUP("BC - Open",A1:CV300,6,FALSE)=0,0,HLOOKUP("BC - Open Miss",A1:CV300,6,FALSE)/HLOOKUP("BC - Open",A1:CV300,6,FALSE))</f>
      </c>
      <c r="AO6" t="n" s="5813">
        <v>0.0</v>
      </c>
      <c r="AP6" s="5814">
        <f>IF(HLOOKUP("Gs",A1:CV300,6,FALSE)=0,0,HLOOKUP("GIB",A1:CV300,6,FALSE)/HLOOKUP("Gs",A1:CV300,6,FALSE))</f>
      </c>
      <c r="AQ6" t="n" s="5815">
        <v>0.0</v>
      </c>
      <c r="AR6" s="5816">
        <f>IF(HLOOKUP("Gs",A1:CV300,6,FALSE)=0,0,HLOOKUP("Gs - Open",A1:CV300,6,FALSE)/HLOOKUP("Gs",A1:CV300,6,FALSE))</f>
      </c>
      <c r="AS6" t="n" s="5817">
        <v>0.0</v>
      </c>
      <c r="AT6" t="n" s="5818">
        <v>0.02</v>
      </c>
      <c r="AU6" s="5819">
        <f>IF(HLOOKUP("Mins",A1:CV300,6,FALSE)=0,0,HLOOKUP("Pts",A1:CV300,6,FALSE)/HLOOKUP("Mins",A1:CV300,6,FALSE)* 90)</f>
      </c>
      <c r="AV6" s="5820">
        <f>IF(HLOOKUP("Apps",A1:CV300,6,FALSE)=0,0,HLOOKUP("Pts",A1:CV300,6,FALSE)/HLOOKUP("Apps",A1:CV300,6,FALSE)* 1)</f>
      </c>
      <c r="AW6" s="5821">
        <f>IF(HLOOKUP("Mins",A1:CV300,6,FALSE)=0,0,HLOOKUP("Gs",A1:CV300,6,FALSE)/HLOOKUP("Mins",A1:CV300,6,FALSE)* 90)</f>
      </c>
      <c r="AX6" s="5822">
        <f>IF(HLOOKUP("Mins",A1:CV300,6,FALSE)=0,0,HLOOKUP("Bonus",A1:CV300,6,FALSE)/HLOOKUP("Mins",A1:CV300,6,FALSE)* 90)</f>
      </c>
      <c r="AY6" s="5823">
        <f>IF(HLOOKUP("Mins",A1:CV300,6,FALSE)=0,0,HLOOKUP("BPS",A1:CV300,6,FALSE)/HLOOKUP("Mins",A1:CV300,6,FALSE)* 90)</f>
      </c>
      <c r="AZ6" s="5824">
        <f>IF(HLOOKUP("Mins",A1:CV300,6,FALSE)=0,0,HLOOKUP("Base BPS",A1:CV300,6,FALSE)/HLOOKUP("Mins",A1:CV300,6,FALSE)* 90)</f>
      </c>
      <c r="BA6" s="5825">
        <f>IF(HLOOKUP("Mins",A1:CV300,6,FALSE)=0,0,HLOOKUP("PenTchs",A1:CV300,6,FALSE)/HLOOKUP("Mins",A1:CV300,6,FALSE)* 90)</f>
      </c>
      <c r="BB6" s="5826">
        <f>IF(HLOOKUP("Mins",A1:CV300,6,FALSE)=0,0,HLOOKUP("Shots",A1:CV300,6,FALSE)/HLOOKUP("Mins",A1:CV300,6,FALSE)* 90)</f>
      </c>
      <c r="BC6" s="5827">
        <f>IF(HLOOKUP("Mins",A1:CV300,6,FALSE)=0,0,HLOOKUP("SIB",A1:CV300,6,FALSE)/HLOOKUP("Mins",A1:CV300,6,FALSE)* 90)</f>
      </c>
      <c r="BD6" s="5828">
        <f>IF(HLOOKUP("Mins",A1:CV300,6,FALSE)=0,0,HLOOKUP("S6YD",A1:CV300,6,FALSE)/HLOOKUP("Mins",A1:CV300,6,FALSE)* 90)</f>
      </c>
      <c r="BE6" s="5829">
        <f>IF(HLOOKUP("Mins",A1:CV300,6,FALSE)=0,0,HLOOKUP("Headers",A1:CV300,6,FALSE)/HLOOKUP("Mins",A1:CV300,6,FALSE)* 90)</f>
      </c>
      <c r="BF6" s="5830">
        <f>IF(HLOOKUP("Mins",A1:CV300,6,FALSE)=0,0,HLOOKUP("SOT",A1:CV300,6,FALSE)/HLOOKUP("Mins",A1:CV300,6,FALSE)* 90)</f>
      </c>
      <c r="BG6" s="5831">
        <f>IF(HLOOKUP("Mins",A1:CV300,6,FALSE)=0,0,HLOOKUP("As",A1:CV300,6,FALSE)/HLOOKUP("Mins",A1:CV300,6,FALSE)* 90)</f>
      </c>
      <c r="BH6" s="5832">
        <f>IF(HLOOKUP("Mins",A1:CV300,6,FALSE)=0,0,HLOOKUP("FPL As",A1:CV300,6,FALSE)/HLOOKUP("Mins",A1:CV300,6,FALSE)* 90)</f>
      </c>
      <c r="BI6" s="5833">
        <f>IF(HLOOKUP("Mins",A1:CV300,6,FALSE)=0,0,HLOOKUP("BC Created",A1:CV300,6,FALSE)/HLOOKUP("Mins",A1:CV300,6,FALSE)* 90)</f>
      </c>
      <c r="BJ6" s="5834">
        <f>IF(HLOOKUP("Mins",A1:CV300,6,FALSE)=0,0,HLOOKUP("KP",A1:CV300,6,FALSE)/HLOOKUP("Mins",A1:CV300,6,FALSE)* 90)</f>
      </c>
      <c r="BK6" s="5835">
        <f>IF(HLOOKUP("Mins",A1:CV300,6,FALSE)=0,0,HLOOKUP("BC",A1:CV300,6,FALSE)/HLOOKUP("Mins",A1:CV300,6,FALSE)* 90)</f>
      </c>
      <c r="BL6" s="5836">
        <f>IF(HLOOKUP("Mins",A1:CV300,6,FALSE)=0,0,HLOOKUP("BC Miss",A1:CV300,6,FALSE)/HLOOKUP("Mins",A1:CV300,6,FALSE)* 90)</f>
      </c>
      <c r="BM6" s="5837">
        <f>IF(HLOOKUP("Mins",A1:CV300,6,FALSE)=0,0,HLOOKUP("Gs - BC",A1:CV300,6,FALSE)/HLOOKUP("Mins",A1:CV300,6,FALSE)* 90)</f>
      </c>
      <c r="BN6" s="5838">
        <f>IF(HLOOKUP("Mins",A1:CV300,6,FALSE)=0,0,HLOOKUP("GIB",A1:CV300,6,FALSE)/HLOOKUP("Mins",A1:CV300,6,FALSE)* 90)</f>
      </c>
      <c r="BO6" s="5839">
        <f>IF(HLOOKUP("Mins",A1:CV300,6,FALSE)=0,0,HLOOKUP("Gs - Open",A1:CV300,6,FALSE)/HLOOKUP("Mins",A1:CV300,6,FALSE)* 90)</f>
      </c>
      <c r="BP6" s="5840">
        <f>IF(HLOOKUP("Mins",A1:CV300,6,FALSE)=0,0,HLOOKUP("ICT Index",A1:CV300,6,FALSE)/HLOOKUP("Mins",A1:CV300,6,FALSE)* 90)</f>
      </c>
      <c r="BQ6" s="5841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</c>
      <c r="BR6" s="5842">
        <f>0.0825*HLOOKUP("KP/90",A1:CV300,6,FALSE)</f>
      </c>
      <c r="BS6" s="5843">
        <f>6*HLOOKUP("xG/90",A1:CV300,6,FALSE)+3*HLOOKUP("xA/90",A1:CV300,6,FALSE)</f>
      </c>
      <c r="BT6" s="5844">
        <f>HLOOKUP("xPts/90",A1:CV300,6,FALSE)-(6*0.75*(HLOOKUP("PK Gs",A1:CV300,6,FALSE)+HLOOKUP("PK Miss",A1:CV300,6,FALSE))*90/HLOOKUP("Mins",A1:CV300,6,FALSE))</f>
      </c>
      <c r="BU6" s="5845">
        <f>IF(HLOOKUP("Mins",A1:CV300,6,FALSE)=0,0,HLOOKUP("fsXG",A1:CV300,6,FALSE)/HLOOKUP("Mins",A1:CV300,6,FALSE)* 90)</f>
      </c>
      <c r="BV6" s="5846">
        <f>IF(HLOOKUP("Mins",A1:CV300,6,FALSE)=0,0,HLOOKUP("fsXA",A1:CV300,6,FALSE)/HLOOKUP("Mins",A1:CV300,6,FALSE)* 90)</f>
      </c>
      <c r="BW6" s="5847">
        <f>6*HLOOKUP("fsXG/90",A1:CV300,6,FALSE)+3*HLOOKUP("fsXA/90",A1:CV300,6,FALSE)</f>
      </c>
      <c r="BX6" t="n" s="5848">
        <v>0.0</v>
      </c>
      <c r="BY6" t="n" s="5849">
        <v>0.0</v>
      </c>
      <c r="BZ6" s="5850">
        <f>6*HLOOKUP("uXG/90",A1:CV300,6,FALSE)+3*HLOOKUP("uXA/90",A1:CV300,6,FALSE)</f>
      </c>
    </row>
    <row r="7">
      <c r="A7" t="s" s="5851">
        <v>172</v>
      </c>
      <c r="B7" t="s" s="5852">
        <v>131</v>
      </c>
      <c r="C7" t="n" s="5853">
        <v>4.0</v>
      </c>
      <c r="D7" t="n" s="5854">
        <v>4.0</v>
      </c>
      <c r="E7" t="n" s="5855">
        <v>1.0</v>
      </c>
      <c r="F7" t="n" s="5856">
        <v>5.0</v>
      </c>
      <c r="G7" t="n" s="5857">
        <v>0.0</v>
      </c>
      <c r="H7" t="n" s="5858">
        <v>0.0</v>
      </c>
      <c r="I7" t="n" s="5859">
        <v>24.0</v>
      </c>
      <c r="J7" s="5860">
        <f>HLOOKUP("BPS",A1:CV300,7,FALSE)-((-6*HLOOKUP("OG",A1:CV300,7,FALSE))+(-6*HLOOKUP("PK Miss",A1:CV300,7,FALSE))+(9*HLOOKUP("FPL As",A1:CV300,7,FALSE))+(12*HLOOKUP("CS",A1:CV300,7,FALSE))+(12*HLOOKUP("Gs",A1:CV300,7,FALSE)))</f>
      </c>
      <c r="K7" t="n" s="5861">
        <v>0.0</v>
      </c>
      <c r="L7" t="n" s="5862">
        <v>0.0</v>
      </c>
      <c r="M7" t="n" s="5863">
        <v>0.0</v>
      </c>
      <c r="N7" t="n" s="5864">
        <v>0.0</v>
      </c>
      <c r="O7" t="n" s="5865">
        <v>0.0</v>
      </c>
      <c r="P7" s="5866">
        <f>IF(HLOOKUP("Shots",A1:CV300,7,FALSE)=0,0,HLOOKUP("SIB",A1:CV300,7,FALSE)/HLOOKUP("Shots",A1:CV300,7,FALSE))</f>
      </c>
      <c r="Q7" t="n" s="5867">
        <v>0.0</v>
      </c>
      <c r="R7" s="5868">
        <f>IF(HLOOKUP("Shots",A1:CV300,7,FALSE)=0,0,HLOOKUP("S6YD",A1:CV300,7,FALSE)/HLOOKUP("Shots",A1:CV300,7,FALSE))</f>
      </c>
      <c r="S7" t="n" s="5869">
        <v>0.0</v>
      </c>
      <c r="T7" s="5870">
        <f>IF(HLOOKUP("Shots",A1:CV300,7,FALSE)=0,0,HLOOKUP("Headers",A1:CV300,7,FALSE)/HLOOKUP("Shots",A1:CV300,7,FALSE))</f>
      </c>
      <c r="U7" t="n" s="5871">
        <v>0.0</v>
      </c>
      <c r="V7" s="5872">
        <f>IF(HLOOKUP("Shots",A1:CV300,7,FALSE)=0,0,HLOOKUP("SOT",A1:CV300,7,FALSE)/HLOOKUP("Shots",A1:CV300,7,FALSE))</f>
      </c>
      <c r="W7" s="5873">
        <f>IF(HLOOKUP("Shots",A1:CV300,7,FALSE)=0,0,HLOOKUP("Gs",A1:CV300,7,FALSE)/HLOOKUP("Shots",A1:CV300,7,FALSE))</f>
      </c>
      <c r="X7" t="n" s="5874">
        <v>0.0</v>
      </c>
      <c r="Y7" t="n" s="5875">
        <v>0.0</v>
      </c>
      <c r="Z7" t="n" s="5876">
        <v>0.0</v>
      </c>
      <c r="AA7" s="5877">
        <f>IF(HLOOKUP("KP",A1:CV300,7,FALSE)=0,0,HLOOKUP("As",A1:CV300,7,FALSE)/HLOOKUP("KP",A1:CV300,7,FALSE))</f>
      </c>
      <c r="AB7" t="n" s="5878">
        <v>0.2</v>
      </c>
      <c r="AC7" t="n" s="5879">
        <v>0.0</v>
      </c>
      <c r="AD7" t="n" s="5880">
        <v>0.0</v>
      </c>
      <c r="AE7" t="n" s="5881">
        <v>0.0</v>
      </c>
      <c r="AF7" t="n" s="5882">
        <v>0.0</v>
      </c>
      <c r="AG7" s="5883">
        <f>IF(HLOOKUP("BC",A1:CV300,7,FALSE)=0,0,HLOOKUP("Gs - BC",A1:CV300,7,FALSE)/HLOOKUP("BC",A1:CV300,7,FALSE))</f>
      </c>
      <c r="AH7" s="5884">
        <f>HLOOKUP("BC",A1:CV300,7,FALSE) - HLOOKUP("BC Miss",A1:CV300,7,FALSE)</f>
      </c>
      <c r="AI7" s="5885">
        <f>IF(HLOOKUP("Gs",A1:CV300,7,FALSE)=0,0,HLOOKUP("Gs - BC",A1:CV300,7,FALSE)/HLOOKUP("Gs",A1:CV300,7,FALSE))</f>
      </c>
      <c r="AJ7" t="n" s="5886">
        <v>0.0</v>
      </c>
      <c r="AK7" t="n" s="5887">
        <v>0.0</v>
      </c>
      <c r="AL7" s="5888">
        <f>HLOOKUP("BC",A1:CV300,7,FALSE) - (HLOOKUP("PK Gs",A1:CV300,7,FALSE) + HLOOKUP("PK Miss",A1:CV300,7,FALSE))</f>
      </c>
      <c r="AM7" s="5889">
        <f>HLOOKUP("BC Miss",A1:CV300,7,FALSE) - HLOOKUP("PK Miss",A1:CV300,7,FALSE)</f>
      </c>
      <c r="AN7" s="5890">
        <f>IF(HLOOKUP("BC - Open",A1:CV300,7,FALSE)=0,0,HLOOKUP("BC - Open Miss",A1:CV300,7,FALSE)/HLOOKUP("BC - Open",A1:CV300,7,FALSE))</f>
      </c>
      <c r="AO7" t="n" s="5891">
        <v>0.0</v>
      </c>
      <c r="AP7" s="5892">
        <f>IF(HLOOKUP("Gs",A1:CV300,7,FALSE)=0,0,HLOOKUP("GIB",A1:CV300,7,FALSE)/HLOOKUP("Gs",A1:CV300,7,FALSE))</f>
      </c>
      <c r="AQ7" t="n" s="5893">
        <v>0.0</v>
      </c>
      <c r="AR7" s="5894">
        <f>IF(HLOOKUP("Gs",A1:CV300,7,FALSE)=0,0,HLOOKUP("Gs - Open",A1:CV300,7,FALSE)/HLOOKUP("Gs",A1:CV300,7,FALSE))</f>
      </c>
      <c r="AS7" t="n" s="5895">
        <v>0.0</v>
      </c>
      <c r="AT7" t="n" s="5896">
        <v>0.0</v>
      </c>
      <c r="AU7" s="5897">
        <f>IF(HLOOKUP("Mins",A1:CV300,7,FALSE)=0,0,HLOOKUP("Pts",A1:CV300,7,FALSE)/HLOOKUP("Mins",A1:CV300,7,FALSE)* 90)</f>
      </c>
      <c r="AV7" s="5898">
        <f>IF(HLOOKUP("Apps",A1:CV300,7,FALSE)=0,0,HLOOKUP("Pts",A1:CV300,7,FALSE)/HLOOKUP("Apps",A1:CV300,7,FALSE)* 1)</f>
      </c>
      <c r="AW7" s="5899">
        <f>IF(HLOOKUP("Mins",A1:CV300,7,FALSE)=0,0,HLOOKUP("Gs",A1:CV300,7,FALSE)/HLOOKUP("Mins",A1:CV300,7,FALSE)* 90)</f>
      </c>
      <c r="AX7" s="5900">
        <f>IF(HLOOKUP("Mins",A1:CV300,7,FALSE)=0,0,HLOOKUP("Bonus",A1:CV300,7,FALSE)/HLOOKUP("Mins",A1:CV300,7,FALSE)* 90)</f>
      </c>
      <c r="AY7" s="5901">
        <f>IF(HLOOKUP("Mins",A1:CV300,7,FALSE)=0,0,HLOOKUP("BPS",A1:CV300,7,FALSE)/HLOOKUP("Mins",A1:CV300,7,FALSE)* 90)</f>
      </c>
      <c r="AZ7" s="5902">
        <f>IF(HLOOKUP("Mins",A1:CV300,7,FALSE)=0,0,HLOOKUP("Base BPS",A1:CV300,7,FALSE)/HLOOKUP("Mins",A1:CV300,7,FALSE)* 90)</f>
      </c>
      <c r="BA7" s="5903">
        <f>IF(HLOOKUP("Mins",A1:CV300,7,FALSE)=0,0,HLOOKUP("PenTchs",A1:CV300,7,FALSE)/HLOOKUP("Mins",A1:CV300,7,FALSE)* 90)</f>
      </c>
      <c r="BB7" s="5904">
        <f>IF(HLOOKUP("Mins",A1:CV300,7,FALSE)=0,0,HLOOKUP("Shots",A1:CV300,7,FALSE)/HLOOKUP("Mins",A1:CV300,7,FALSE)* 90)</f>
      </c>
      <c r="BC7" s="5905">
        <f>IF(HLOOKUP("Mins",A1:CV300,7,FALSE)=0,0,HLOOKUP("SIB",A1:CV300,7,FALSE)/HLOOKUP("Mins",A1:CV300,7,FALSE)* 90)</f>
      </c>
      <c r="BD7" s="5906">
        <f>IF(HLOOKUP("Mins",A1:CV300,7,FALSE)=0,0,HLOOKUP("S6YD",A1:CV300,7,FALSE)/HLOOKUP("Mins",A1:CV300,7,FALSE)* 90)</f>
      </c>
      <c r="BE7" s="5907">
        <f>IF(HLOOKUP("Mins",A1:CV300,7,FALSE)=0,0,HLOOKUP("Headers",A1:CV300,7,FALSE)/HLOOKUP("Mins",A1:CV300,7,FALSE)* 90)</f>
      </c>
      <c r="BF7" s="5908">
        <f>IF(HLOOKUP("Mins",A1:CV300,7,FALSE)=0,0,HLOOKUP("SOT",A1:CV300,7,FALSE)/HLOOKUP("Mins",A1:CV300,7,FALSE)* 90)</f>
      </c>
      <c r="BG7" s="5909">
        <f>IF(HLOOKUP("Mins",A1:CV300,7,FALSE)=0,0,HLOOKUP("As",A1:CV300,7,FALSE)/HLOOKUP("Mins",A1:CV300,7,FALSE)* 90)</f>
      </c>
      <c r="BH7" s="5910">
        <f>IF(HLOOKUP("Mins",A1:CV300,7,FALSE)=0,0,HLOOKUP("FPL As",A1:CV300,7,FALSE)/HLOOKUP("Mins",A1:CV300,7,FALSE)* 90)</f>
      </c>
      <c r="BI7" s="5911">
        <f>IF(HLOOKUP("Mins",A1:CV300,7,FALSE)=0,0,HLOOKUP("BC Created",A1:CV300,7,FALSE)/HLOOKUP("Mins",A1:CV300,7,FALSE)* 90)</f>
      </c>
      <c r="BJ7" s="5912">
        <f>IF(HLOOKUP("Mins",A1:CV300,7,FALSE)=0,0,HLOOKUP("KP",A1:CV300,7,FALSE)/HLOOKUP("Mins",A1:CV300,7,FALSE)* 90)</f>
      </c>
      <c r="BK7" s="5913">
        <f>IF(HLOOKUP("Mins",A1:CV300,7,FALSE)=0,0,HLOOKUP("BC",A1:CV300,7,FALSE)/HLOOKUP("Mins",A1:CV300,7,FALSE)* 90)</f>
      </c>
      <c r="BL7" s="5914">
        <f>IF(HLOOKUP("Mins",A1:CV300,7,FALSE)=0,0,HLOOKUP("BC Miss",A1:CV300,7,FALSE)/HLOOKUP("Mins",A1:CV300,7,FALSE)* 90)</f>
      </c>
      <c r="BM7" s="5915">
        <f>IF(HLOOKUP("Mins",A1:CV300,7,FALSE)=0,0,HLOOKUP("Gs - BC",A1:CV300,7,FALSE)/HLOOKUP("Mins",A1:CV300,7,FALSE)* 90)</f>
      </c>
      <c r="BN7" s="5916">
        <f>IF(HLOOKUP("Mins",A1:CV300,7,FALSE)=0,0,HLOOKUP("GIB",A1:CV300,7,FALSE)/HLOOKUP("Mins",A1:CV300,7,FALSE)* 90)</f>
      </c>
      <c r="BO7" s="5917">
        <f>IF(HLOOKUP("Mins",A1:CV300,7,FALSE)=0,0,HLOOKUP("Gs - Open",A1:CV300,7,FALSE)/HLOOKUP("Mins",A1:CV300,7,FALSE)* 90)</f>
      </c>
      <c r="BP7" s="5918">
        <f>IF(HLOOKUP("Mins",A1:CV300,7,FALSE)=0,0,HLOOKUP("ICT Index",A1:CV300,7,FALSE)/HLOOKUP("Mins",A1:CV300,7,FALSE)* 90)</f>
      </c>
      <c r="BQ7" s="5919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</c>
      <c r="BR7" s="5920">
        <f>0.0825*HLOOKUP("KP/90",A1:CV300,7,FALSE)</f>
      </c>
      <c r="BS7" s="5921">
        <f>6*HLOOKUP("xG/90",A1:CV300,7,FALSE)+3*HLOOKUP("xA/90",A1:CV300,7,FALSE)</f>
      </c>
      <c r="BT7" s="5922">
        <f>HLOOKUP("xPts/90",A1:CV300,7,FALSE)-(6*0.75*(HLOOKUP("PK Gs",A1:CV300,7,FALSE)+HLOOKUP("PK Miss",A1:CV300,7,FALSE))*90/HLOOKUP("Mins",A1:CV300,7,FALSE))</f>
      </c>
      <c r="BU7" s="5923">
        <f>IF(HLOOKUP("Mins",A1:CV300,7,FALSE)=0,0,HLOOKUP("fsXG",A1:CV300,7,FALSE)/HLOOKUP("Mins",A1:CV300,7,FALSE)* 90)</f>
      </c>
      <c r="BV7" s="5924">
        <f>IF(HLOOKUP("Mins",A1:CV300,7,FALSE)=0,0,HLOOKUP("fsXA",A1:CV300,7,FALSE)/HLOOKUP("Mins",A1:CV300,7,FALSE)* 90)</f>
      </c>
      <c r="BW7" s="5925">
        <f>6*HLOOKUP("fsXG/90",A1:CV300,7,FALSE)+3*HLOOKUP("fsXA/90",A1:CV300,7,FALSE)</f>
      </c>
      <c r="BX7" t="n" s="5926">
        <v>0.0</v>
      </c>
      <c r="BY7" t="n" s="5927">
        <v>0.0</v>
      </c>
      <c r="BZ7" s="5928">
        <f>6*HLOOKUP("uXG/90",A1:CV300,7,FALSE)+3*HLOOKUP("uXA/90",A1:CV300,7,FALSE)</f>
      </c>
    </row>
    <row r="8">
      <c r="A8" t="s" s="5929">
        <v>173</v>
      </c>
      <c r="B8" t="s" s="5930">
        <v>97</v>
      </c>
      <c r="C8" t="n" s="5931">
        <v>5.099999904632568</v>
      </c>
      <c r="D8" t="n" s="5932">
        <v>540.0</v>
      </c>
      <c r="E8" t="n" s="5933">
        <v>6.0</v>
      </c>
      <c r="F8" t="n" s="5934">
        <v>88.0</v>
      </c>
      <c r="G8" t="n" s="5935">
        <v>0.0</v>
      </c>
      <c r="H8" t="n" s="5936">
        <v>9.0</v>
      </c>
      <c r="I8" t="n" s="5937">
        <v>446.0</v>
      </c>
      <c r="J8" s="5938">
        <f>HLOOKUP("BPS",A1:CV300,8,FALSE)-((-6*HLOOKUP("OG",A1:CV300,8,FALSE))+(-6*HLOOKUP("PK Miss",A1:CV300,8,FALSE))+(9*HLOOKUP("FPL As",A1:CV300,8,FALSE))+(12*HLOOKUP("CS",A1:CV300,8,FALSE))+(12*HLOOKUP("Gs",A1:CV300,8,FALSE)))</f>
      </c>
      <c r="K8" t="n" s="5939">
        <v>0.0</v>
      </c>
      <c r="L8" t="n" s="5940">
        <v>9.0</v>
      </c>
      <c r="M8" t="n" s="5941">
        <v>12.0</v>
      </c>
      <c r="N8" t="n" s="5942">
        <v>3.0</v>
      </c>
      <c r="O8" t="n" s="5943">
        <v>3.0</v>
      </c>
      <c r="P8" s="5944">
        <f>IF(HLOOKUP("Shots",A1:CV300,8,FALSE)=0,0,HLOOKUP("SIB",A1:CV300,8,FALSE)/HLOOKUP("Shots",A1:CV300,8,FALSE))</f>
      </c>
      <c r="Q8" t="n" s="5945">
        <v>0.0</v>
      </c>
      <c r="R8" s="5946">
        <f>IF(HLOOKUP("Shots",A1:CV300,8,FALSE)=0,0,HLOOKUP("S6YD",A1:CV300,8,FALSE)/HLOOKUP("Shots",A1:CV300,8,FALSE))</f>
      </c>
      <c r="S8" t="n" s="5947">
        <v>1.0</v>
      </c>
      <c r="T8" s="5948">
        <f>IF(HLOOKUP("Shots",A1:CV300,8,FALSE)=0,0,HLOOKUP("Headers",A1:CV300,8,FALSE)/HLOOKUP("Shots",A1:CV300,8,FALSE))</f>
      </c>
      <c r="U8" t="n" s="5949">
        <v>0.0</v>
      </c>
      <c r="V8" s="5950">
        <f>IF(HLOOKUP("Shots",A1:CV300,8,FALSE)=0,0,HLOOKUP("SOT",A1:CV300,8,FALSE)/HLOOKUP("Shots",A1:CV300,8,FALSE))</f>
      </c>
      <c r="W8" s="5951">
        <f>IF(HLOOKUP("Shots",A1:CV300,8,FALSE)=0,0,HLOOKUP("Gs",A1:CV300,8,FALSE)/HLOOKUP("Shots",A1:CV300,8,FALSE))</f>
      </c>
      <c r="X8" t="n" s="5952">
        <v>0.0</v>
      </c>
      <c r="Y8" t="n" s="5953">
        <v>2.0</v>
      </c>
      <c r="Z8" t="n" s="5954">
        <v>2.0</v>
      </c>
      <c r="AA8" s="5955">
        <f>IF(HLOOKUP("KP",A1:CV300,8,FALSE)=0,0,HLOOKUP("As",A1:CV300,8,FALSE)/HLOOKUP("KP",A1:CV300,8,FALSE))</f>
      </c>
      <c r="AB8" t="n" s="5956">
        <v>19.2</v>
      </c>
      <c r="AC8" t="n" s="5957">
        <v>0.0</v>
      </c>
      <c r="AD8" t="n" s="5958">
        <v>1.0</v>
      </c>
      <c r="AE8" t="n" s="5959">
        <v>1.0</v>
      </c>
      <c r="AF8" t="n" s="5960">
        <v>1.0</v>
      </c>
      <c r="AG8" s="5961">
        <f>IF(HLOOKUP("BC",A1:CV300,8,FALSE)=0,0,HLOOKUP("Gs - BC",A1:CV300,8,FALSE)/HLOOKUP("BC",A1:CV300,8,FALSE))</f>
      </c>
      <c r="AH8" s="5962">
        <f>HLOOKUP("BC",A1:CV300,8,FALSE) - HLOOKUP("BC Miss",A1:CV300,8,FALSE)</f>
      </c>
      <c r="AI8" s="5963">
        <f>IF(HLOOKUP("Gs",A1:CV300,8,FALSE)=0,0,HLOOKUP("Gs - BC",A1:CV300,8,FALSE)/HLOOKUP("Gs",A1:CV300,8,FALSE))</f>
      </c>
      <c r="AJ8" t="n" s="5964">
        <v>0.0</v>
      </c>
      <c r="AK8" t="n" s="5965">
        <v>0.0</v>
      </c>
      <c r="AL8" s="5966">
        <f>HLOOKUP("BC",A1:CV300,8,FALSE) - (HLOOKUP("PK Gs",A1:CV300,8,FALSE) + HLOOKUP("PK Miss",A1:CV300,8,FALSE))</f>
      </c>
      <c r="AM8" s="5967">
        <f>HLOOKUP("BC Miss",A1:CV300,8,FALSE) - HLOOKUP("PK Miss",A1:CV300,8,FALSE)</f>
      </c>
      <c r="AN8" s="5968">
        <f>IF(HLOOKUP("BC - Open",A1:CV300,8,FALSE)=0,0,HLOOKUP("BC - Open Miss",A1:CV300,8,FALSE)/HLOOKUP("BC - Open",A1:CV300,8,FALSE))</f>
      </c>
      <c r="AO8" t="n" s="5969">
        <v>0.0</v>
      </c>
      <c r="AP8" s="5970">
        <f>IF(HLOOKUP("Gs",A1:CV300,8,FALSE)=0,0,HLOOKUP("GIB",A1:CV300,8,FALSE)/HLOOKUP("Gs",A1:CV300,8,FALSE))</f>
      </c>
      <c r="AQ8" t="n" s="5971">
        <v>0.0</v>
      </c>
      <c r="AR8" s="5972">
        <f>IF(HLOOKUP("Gs",A1:CV300,8,FALSE)=0,0,HLOOKUP("Gs - Open",A1:CV300,8,FALSE)/HLOOKUP("Gs",A1:CV300,8,FALSE))</f>
      </c>
      <c r="AS8" t="n" s="5973">
        <v>0.2</v>
      </c>
      <c r="AT8" t="n" s="5974">
        <v>0.15</v>
      </c>
      <c r="AU8" s="5975">
        <f>IF(HLOOKUP("Mins",A1:CV300,8,FALSE)=0,0,HLOOKUP("Pts",A1:CV300,8,FALSE)/HLOOKUP("Mins",A1:CV300,8,FALSE)* 90)</f>
      </c>
      <c r="AV8" s="5976">
        <f>IF(HLOOKUP("Apps",A1:CV300,8,FALSE)=0,0,HLOOKUP("Pts",A1:CV300,8,FALSE)/HLOOKUP("Apps",A1:CV300,8,FALSE)* 1)</f>
      </c>
      <c r="AW8" s="5977">
        <f>IF(HLOOKUP("Mins",A1:CV300,8,FALSE)=0,0,HLOOKUP("Gs",A1:CV300,8,FALSE)/HLOOKUP("Mins",A1:CV300,8,FALSE)* 90)</f>
      </c>
      <c r="AX8" s="5978">
        <f>IF(HLOOKUP("Mins",A1:CV300,8,FALSE)=0,0,HLOOKUP("Bonus",A1:CV300,8,FALSE)/HLOOKUP("Mins",A1:CV300,8,FALSE)* 90)</f>
      </c>
      <c r="AY8" s="5979">
        <f>IF(HLOOKUP("Mins",A1:CV300,8,FALSE)=0,0,HLOOKUP("BPS",A1:CV300,8,FALSE)/HLOOKUP("Mins",A1:CV300,8,FALSE)* 90)</f>
      </c>
      <c r="AZ8" s="5980">
        <f>IF(HLOOKUP("Mins",A1:CV300,8,FALSE)=0,0,HLOOKUP("Base BPS",A1:CV300,8,FALSE)/HLOOKUP("Mins",A1:CV300,8,FALSE)* 90)</f>
      </c>
      <c r="BA8" s="5981">
        <f>IF(HLOOKUP("Mins",A1:CV300,8,FALSE)=0,0,HLOOKUP("PenTchs",A1:CV300,8,FALSE)/HLOOKUP("Mins",A1:CV300,8,FALSE)* 90)</f>
      </c>
      <c r="BB8" s="5982">
        <f>IF(HLOOKUP("Mins",A1:CV300,8,FALSE)=0,0,HLOOKUP("Shots",A1:CV300,8,FALSE)/HLOOKUP("Mins",A1:CV300,8,FALSE)* 90)</f>
      </c>
      <c r="BC8" s="5983">
        <f>IF(HLOOKUP("Mins",A1:CV300,8,FALSE)=0,0,HLOOKUP("SIB",A1:CV300,8,FALSE)/HLOOKUP("Mins",A1:CV300,8,FALSE)* 90)</f>
      </c>
      <c r="BD8" s="5984">
        <f>IF(HLOOKUP("Mins",A1:CV300,8,FALSE)=0,0,HLOOKUP("S6YD",A1:CV300,8,FALSE)/HLOOKUP("Mins",A1:CV300,8,FALSE)* 90)</f>
      </c>
      <c r="BE8" s="5985">
        <f>IF(HLOOKUP("Mins",A1:CV300,8,FALSE)=0,0,HLOOKUP("Headers",A1:CV300,8,FALSE)/HLOOKUP("Mins",A1:CV300,8,FALSE)* 90)</f>
      </c>
      <c r="BF8" s="5986">
        <f>IF(HLOOKUP("Mins",A1:CV300,8,FALSE)=0,0,HLOOKUP("SOT",A1:CV300,8,FALSE)/HLOOKUP("Mins",A1:CV300,8,FALSE)* 90)</f>
      </c>
      <c r="BG8" s="5987">
        <f>IF(HLOOKUP("Mins",A1:CV300,8,FALSE)=0,0,HLOOKUP("As",A1:CV300,8,FALSE)/HLOOKUP("Mins",A1:CV300,8,FALSE)* 90)</f>
      </c>
      <c r="BH8" s="5988">
        <f>IF(HLOOKUP("Mins",A1:CV300,8,FALSE)=0,0,HLOOKUP("FPL As",A1:CV300,8,FALSE)/HLOOKUP("Mins",A1:CV300,8,FALSE)* 90)</f>
      </c>
      <c r="BI8" s="5989">
        <f>IF(HLOOKUP("Mins",A1:CV300,8,FALSE)=0,0,HLOOKUP("BC Created",A1:CV300,8,FALSE)/HLOOKUP("Mins",A1:CV300,8,FALSE)* 90)</f>
      </c>
      <c r="BJ8" s="5990">
        <f>IF(HLOOKUP("Mins",A1:CV300,8,FALSE)=0,0,HLOOKUP("KP",A1:CV300,8,FALSE)/HLOOKUP("Mins",A1:CV300,8,FALSE)* 90)</f>
      </c>
      <c r="BK8" s="5991">
        <f>IF(HLOOKUP("Mins",A1:CV300,8,FALSE)=0,0,HLOOKUP("BC",A1:CV300,8,FALSE)/HLOOKUP("Mins",A1:CV300,8,FALSE)* 90)</f>
      </c>
      <c r="BL8" s="5992">
        <f>IF(HLOOKUP("Mins",A1:CV300,8,FALSE)=0,0,HLOOKUP("BC Miss",A1:CV300,8,FALSE)/HLOOKUP("Mins",A1:CV300,8,FALSE)* 90)</f>
      </c>
      <c r="BM8" s="5993">
        <f>IF(HLOOKUP("Mins",A1:CV300,8,FALSE)=0,0,HLOOKUP("Gs - BC",A1:CV300,8,FALSE)/HLOOKUP("Mins",A1:CV300,8,FALSE)* 90)</f>
      </c>
      <c r="BN8" s="5994">
        <f>IF(HLOOKUP("Mins",A1:CV300,8,FALSE)=0,0,HLOOKUP("GIB",A1:CV300,8,FALSE)/HLOOKUP("Mins",A1:CV300,8,FALSE)* 90)</f>
      </c>
      <c r="BO8" s="5995">
        <f>IF(HLOOKUP("Mins",A1:CV300,8,FALSE)=0,0,HLOOKUP("Gs - Open",A1:CV300,8,FALSE)/HLOOKUP("Mins",A1:CV300,8,FALSE)* 90)</f>
      </c>
      <c r="BP8" s="5996">
        <f>IF(HLOOKUP("Mins",A1:CV300,8,FALSE)=0,0,HLOOKUP("ICT Index",A1:CV300,8,FALSE)/HLOOKUP("Mins",A1:CV300,8,FALSE)* 90)</f>
      </c>
      <c r="BQ8" s="5997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</c>
      <c r="BR8" s="5998">
        <f>0.0825*HLOOKUP("KP/90",A1:CV300,8,FALSE)</f>
      </c>
      <c r="BS8" s="5999">
        <f>6*HLOOKUP("xG/90",A1:CV300,8,FALSE)+3*HLOOKUP("xA/90",A1:CV300,8,FALSE)</f>
      </c>
      <c r="BT8" s="6000">
        <f>HLOOKUP("xPts/90",A1:CV300,8,FALSE)-(6*0.75*(HLOOKUP("PK Gs",A1:CV300,8,FALSE)+HLOOKUP("PK Miss",A1:CV300,8,FALSE))*90/HLOOKUP("Mins",A1:CV300,8,FALSE))</f>
      </c>
      <c r="BU8" s="6001">
        <f>IF(HLOOKUP("Mins",A1:CV300,8,FALSE)=0,0,HLOOKUP("fsXG",A1:CV300,8,FALSE)/HLOOKUP("Mins",A1:CV300,8,FALSE)* 90)</f>
      </c>
      <c r="BV8" s="6002">
        <f>IF(HLOOKUP("Mins",A1:CV300,8,FALSE)=0,0,HLOOKUP("fsXA",A1:CV300,8,FALSE)/HLOOKUP("Mins",A1:CV300,8,FALSE)* 90)</f>
      </c>
      <c r="BW8" s="6003">
        <f>6*HLOOKUP("fsXG/90",A1:CV300,8,FALSE)+3*HLOOKUP("fsXA/90",A1:CV300,8,FALSE)</f>
      </c>
      <c r="BX8" t="n" s="6004">
        <v>0.05617760121822357</v>
      </c>
      <c r="BY8" t="n" s="6005">
        <v>0.14956872165203094</v>
      </c>
      <c r="BZ8" s="6006">
        <f>6*HLOOKUP("uXG/90",A1:CV300,8,FALSE)+3*HLOOKUP("uXA/90",A1:CV300,8,FALSE)</f>
      </c>
    </row>
    <row r="9">
      <c r="A9" t="s" s="6007">
        <v>174</v>
      </c>
      <c r="B9" t="s" s="6008">
        <v>122</v>
      </c>
      <c r="C9" t="n" s="6009">
        <v>5.400000095367432</v>
      </c>
      <c r="D9" t="n" s="6010">
        <v>378.0</v>
      </c>
      <c r="E9" t="n" s="6011">
        <v>5.0</v>
      </c>
      <c r="F9" t="n" s="6012">
        <v>32.0</v>
      </c>
      <c r="G9" t="n" s="6013">
        <v>0.0</v>
      </c>
      <c r="H9" t="n" s="6014">
        <v>1.0</v>
      </c>
      <c r="I9" t="n" s="6015">
        <v>190.0</v>
      </c>
      <c r="J9" s="6016">
        <f>HLOOKUP("BPS",A1:CV300,9,FALSE)-((-6*HLOOKUP("OG",A1:CV300,9,FALSE))+(-6*HLOOKUP("PK Miss",A1:CV300,9,FALSE))+(9*HLOOKUP("FPL As",A1:CV300,9,FALSE))+(12*HLOOKUP("CS",A1:CV300,9,FALSE))+(12*HLOOKUP("Gs",A1:CV300,9,FALSE)))</f>
      </c>
      <c r="K9" t="n" s="6017">
        <v>0.0</v>
      </c>
      <c r="L9" t="n" s="6018">
        <v>3.0</v>
      </c>
      <c r="M9" t="n" s="6019">
        <v>8.0</v>
      </c>
      <c r="N9" t="n" s="6020">
        <v>1.0</v>
      </c>
      <c r="O9" t="n" s="6021">
        <v>1.0</v>
      </c>
      <c r="P9" s="6022">
        <f>IF(HLOOKUP("Shots",A1:CV300,9,FALSE)=0,0,HLOOKUP("SIB",A1:CV300,9,FALSE)/HLOOKUP("Shots",A1:CV300,9,FALSE))</f>
      </c>
      <c r="Q9" t="n" s="6023">
        <v>0.0</v>
      </c>
      <c r="R9" s="6024">
        <f>IF(HLOOKUP("Shots",A1:CV300,9,FALSE)=0,0,HLOOKUP("S6YD",A1:CV300,9,FALSE)/HLOOKUP("Shots",A1:CV300,9,FALSE))</f>
      </c>
      <c r="S9" t="n" s="6025">
        <v>0.0</v>
      </c>
      <c r="T9" s="6026">
        <f>IF(HLOOKUP("Shots",A1:CV300,9,FALSE)=0,0,HLOOKUP("Headers",A1:CV300,9,FALSE)/HLOOKUP("Shots",A1:CV300,9,FALSE))</f>
      </c>
      <c r="U9" t="n" s="6027">
        <v>0.0</v>
      </c>
      <c r="V9" s="6028">
        <f>IF(HLOOKUP("Shots",A1:CV300,9,FALSE)=0,0,HLOOKUP("SOT",A1:CV300,9,FALSE)/HLOOKUP("Shots",A1:CV300,9,FALSE))</f>
      </c>
      <c r="W9" s="6029">
        <f>IF(HLOOKUP("Shots",A1:CV300,9,FALSE)=0,0,HLOOKUP("Gs",A1:CV300,9,FALSE)/HLOOKUP("Shots",A1:CV300,9,FALSE))</f>
      </c>
      <c r="X9" t="n" s="6030">
        <v>0.0</v>
      </c>
      <c r="Y9" t="n" s="6031">
        <v>0.0</v>
      </c>
      <c r="Z9" t="n" s="6032">
        <v>5.0</v>
      </c>
      <c r="AA9" s="6033">
        <f>IF(HLOOKUP("KP",A1:CV300,9,FALSE)=0,0,HLOOKUP("As",A1:CV300,9,FALSE)/HLOOKUP("KP",A1:CV300,9,FALSE))</f>
      </c>
      <c r="AB9" t="n" s="6034">
        <v>19.0</v>
      </c>
      <c r="AC9" t="n" s="6035">
        <v>0.0</v>
      </c>
      <c r="AD9" t="n" s="6036">
        <v>0.0</v>
      </c>
      <c r="AE9" t="n" s="6037">
        <v>0.0</v>
      </c>
      <c r="AF9" t="n" s="6038">
        <v>0.0</v>
      </c>
      <c r="AG9" s="6039">
        <f>IF(HLOOKUP("BC",A1:CV300,9,FALSE)=0,0,HLOOKUP("Gs - BC",A1:CV300,9,FALSE)/HLOOKUP("BC",A1:CV300,9,FALSE))</f>
      </c>
      <c r="AH9" s="6040">
        <f>HLOOKUP("BC",A1:CV300,9,FALSE) - HLOOKUP("BC Miss",A1:CV300,9,FALSE)</f>
      </c>
      <c r="AI9" s="6041">
        <f>IF(HLOOKUP("Gs",A1:CV300,9,FALSE)=0,0,HLOOKUP("Gs - BC",A1:CV300,9,FALSE)/HLOOKUP("Gs",A1:CV300,9,FALSE))</f>
      </c>
      <c r="AJ9" t="n" s="6042">
        <v>0.0</v>
      </c>
      <c r="AK9" t="n" s="6043">
        <v>0.0</v>
      </c>
      <c r="AL9" s="6044">
        <f>HLOOKUP("BC",A1:CV300,9,FALSE) - (HLOOKUP("PK Gs",A1:CV300,9,FALSE) + HLOOKUP("PK Miss",A1:CV300,9,FALSE))</f>
      </c>
      <c r="AM9" s="6045">
        <f>HLOOKUP("BC Miss",A1:CV300,9,FALSE) - HLOOKUP("PK Miss",A1:CV300,9,FALSE)</f>
      </c>
      <c r="AN9" s="6046">
        <f>IF(HLOOKUP("BC - Open",A1:CV300,9,FALSE)=0,0,HLOOKUP("BC - Open Miss",A1:CV300,9,FALSE)/HLOOKUP("BC - Open",A1:CV300,9,FALSE))</f>
      </c>
      <c r="AO9" t="n" s="6047">
        <v>0.0</v>
      </c>
      <c r="AP9" s="6048">
        <f>IF(HLOOKUP("Gs",A1:CV300,9,FALSE)=0,0,HLOOKUP("GIB",A1:CV300,9,FALSE)/HLOOKUP("Gs",A1:CV300,9,FALSE))</f>
      </c>
      <c r="AQ9" t="n" s="6049">
        <v>0.0</v>
      </c>
      <c r="AR9" s="6050">
        <f>IF(HLOOKUP("Gs",A1:CV300,9,FALSE)=0,0,HLOOKUP("Gs - Open",A1:CV300,9,FALSE)/HLOOKUP("Gs",A1:CV300,9,FALSE))</f>
      </c>
      <c r="AS9" t="n" s="6051">
        <v>0.03</v>
      </c>
      <c r="AT9" t="n" s="6052">
        <v>0.32</v>
      </c>
      <c r="AU9" s="6053">
        <f>IF(HLOOKUP("Mins",A1:CV300,9,FALSE)=0,0,HLOOKUP("Pts",A1:CV300,9,FALSE)/HLOOKUP("Mins",A1:CV300,9,FALSE)* 90)</f>
      </c>
      <c r="AV9" s="6054">
        <f>IF(HLOOKUP("Apps",A1:CV300,9,FALSE)=0,0,HLOOKUP("Pts",A1:CV300,9,FALSE)/HLOOKUP("Apps",A1:CV300,9,FALSE)* 1)</f>
      </c>
      <c r="AW9" s="6055">
        <f>IF(HLOOKUP("Mins",A1:CV300,9,FALSE)=0,0,HLOOKUP("Gs",A1:CV300,9,FALSE)/HLOOKUP("Mins",A1:CV300,9,FALSE)* 90)</f>
      </c>
      <c r="AX9" s="6056">
        <f>IF(HLOOKUP("Mins",A1:CV300,9,FALSE)=0,0,HLOOKUP("Bonus",A1:CV300,9,FALSE)/HLOOKUP("Mins",A1:CV300,9,FALSE)* 90)</f>
      </c>
      <c r="AY9" s="6057">
        <f>IF(HLOOKUP("Mins",A1:CV300,9,FALSE)=0,0,HLOOKUP("BPS",A1:CV300,9,FALSE)/HLOOKUP("Mins",A1:CV300,9,FALSE)* 90)</f>
      </c>
      <c r="AZ9" s="6058">
        <f>IF(HLOOKUP("Mins",A1:CV300,9,FALSE)=0,0,HLOOKUP("Base BPS",A1:CV300,9,FALSE)/HLOOKUP("Mins",A1:CV300,9,FALSE)* 90)</f>
      </c>
      <c r="BA9" s="6059">
        <f>IF(HLOOKUP("Mins",A1:CV300,9,FALSE)=0,0,HLOOKUP("PenTchs",A1:CV300,9,FALSE)/HLOOKUP("Mins",A1:CV300,9,FALSE)* 90)</f>
      </c>
      <c r="BB9" s="6060">
        <f>IF(HLOOKUP("Mins",A1:CV300,9,FALSE)=0,0,HLOOKUP("Shots",A1:CV300,9,FALSE)/HLOOKUP("Mins",A1:CV300,9,FALSE)* 90)</f>
      </c>
      <c r="BC9" s="6061">
        <f>IF(HLOOKUP("Mins",A1:CV300,9,FALSE)=0,0,HLOOKUP("SIB",A1:CV300,9,FALSE)/HLOOKUP("Mins",A1:CV300,9,FALSE)* 90)</f>
      </c>
      <c r="BD9" s="6062">
        <f>IF(HLOOKUP("Mins",A1:CV300,9,FALSE)=0,0,HLOOKUP("S6YD",A1:CV300,9,FALSE)/HLOOKUP("Mins",A1:CV300,9,FALSE)* 90)</f>
      </c>
      <c r="BE9" s="6063">
        <f>IF(HLOOKUP("Mins",A1:CV300,9,FALSE)=0,0,HLOOKUP("Headers",A1:CV300,9,FALSE)/HLOOKUP("Mins",A1:CV300,9,FALSE)* 90)</f>
      </c>
      <c r="BF9" s="6064">
        <f>IF(HLOOKUP("Mins",A1:CV300,9,FALSE)=0,0,HLOOKUP("SOT",A1:CV300,9,FALSE)/HLOOKUP("Mins",A1:CV300,9,FALSE)* 90)</f>
      </c>
      <c r="BG9" s="6065">
        <f>IF(HLOOKUP("Mins",A1:CV300,9,FALSE)=0,0,HLOOKUP("As",A1:CV300,9,FALSE)/HLOOKUP("Mins",A1:CV300,9,FALSE)* 90)</f>
      </c>
      <c r="BH9" s="6066">
        <f>IF(HLOOKUP("Mins",A1:CV300,9,FALSE)=0,0,HLOOKUP("FPL As",A1:CV300,9,FALSE)/HLOOKUP("Mins",A1:CV300,9,FALSE)* 90)</f>
      </c>
      <c r="BI9" s="6067">
        <f>IF(HLOOKUP("Mins",A1:CV300,9,FALSE)=0,0,HLOOKUP("BC Created",A1:CV300,9,FALSE)/HLOOKUP("Mins",A1:CV300,9,FALSE)* 90)</f>
      </c>
      <c r="BJ9" s="6068">
        <f>IF(HLOOKUP("Mins",A1:CV300,9,FALSE)=0,0,HLOOKUP("KP",A1:CV300,9,FALSE)/HLOOKUP("Mins",A1:CV300,9,FALSE)* 90)</f>
      </c>
      <c r="BK9" s="6069">
        <f>IF(HLOOKUP("Mins",A1:CV300,9,FALSE)=0,0,HLOOKUP("BC",A1:CV300,9,FALSE)/HLOOKUP("Mins",A1:CV300,9,FALSE)* 90)</f>
      </c>
      <c r="BL9" s="6070">
        <f>IF(HLOOKUP("Mins",A1:CV300,9,FALSE)=0,0,HLOOKUP("BC Miss",A1:CV300,9,FALSE)/HLOOKUP("Mins",A1:CV300,9,FALSE)* 90)</f>
      </c>
      <c r="BM9" s="6071">
        <f>IF(HLOOKUP("Mins",A1:CV300,9,FALSE)=0,0,HLOOKUP("Gs - BC",A1:CV300,9,FALSE)/HLOOKUP("Mins",A1:CV300,9,FALSE)* 90)</f>
      </c>
      <c r="BN9" s="6072">
        <f>IF(HLOOKUP("Mins",A1:CV300,9,FALSE)=0,0,HLOOKUP("GIB",A1:CV300,9,FALSE)/HLOOKUP("Mins",A1:CV300,9,FALSE)* 90)</f>
      </c>
      <c r="BO9" s="6073">
        <f>IF(HLOOKUP("Mins",A1:CV300,9,FALSE)=0,0,HLOOKUP("Gs - Open",A1:CV300,9,FALSE)/HLOOKUP("Mins",A1:CV300,9,FALSE)* 90)</f>
      </c>
      <c r="BP9" s="6074">
        <f>IF(HLOOKUP("Mins",A1:CV300,9,FALSE)=0,0,HLOOKUP("ICT Index",A1:CV300,9,FALSE)/HLOOKUP("Mins",A1:CV300,9,FALSE)* 90)</f>
      </c>
      <c r="BQ9" s="6075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</c>
      <c r="BR9" s="6076">
        <f>0.0825*HLOOKUP("KP/90",A1:CV300,9,FALSE)</f>
      </c>
      <c r="BS9" s="6077">
        <f>6*HLOOKUP("xG/90",A1:CV300,9,FALSE)+3*HLOOKUP("xA/90",A1:CV300,9,FALSE)</f>
      </c>
      <c r="BT9" s="6078">
        <f>HLOOKUP("xPts/90",A1:CV300,9,FALSE)-(6*0.75*(HLOOKUP("PK Gs",A1:CV300,9,FALSE)+HLOOKUP("PK Miss",A1:CV300,9,FALSE))*90/HLOOKUP("Mins",A1:CV300,9,FALSE))</f>
      </c>
      <c r="BU9" s="6079">
        <f>IF(HLOOKUP("Mins",A1:CV300,9,FALSE)=0,0,HLOOKUP("fsXG",A1:CV300,9,FALSE)/HLOOKUP("Mins",A1:CV300,9,FALSE)* 90)</f>
      </c>
      <c r="BV9" s="6080">
        <f>IF(HLOOKUP("Mins",A1:CV300,9,FALSE)=0,0,HLOOKUP("fsXA",A1:CV300,9,FALSE)/HLOOKUP("Mins",A1:CV300,9,FALSE)* 90)</f>
      </c>
      <c r="BW9" s="6081">
        <f>6*HLOOKUP("fsXG/90",A1:CV300,9,FALSE)+3*HLOOKUP("fsXA/90",A1:CV300,9,FALSE)</f>
      </c>
      <c r="BX9" t="n" s="6082">
        <v>0.006997048854827881</v>
      </c>
      <c r="BY9" t="n" s="6083">
        <v>0.032387085258960724</v>
      </c>
      <c r="BZ9" s="6084">
        <f>6*HLOOKUP("uXG/90",A1:CV300,9,FALSE)+3*HLOOKUP("uXA/90",A1:CV300,9,FALSE)</f>
      </c>
    </row>
    <row r="10">
      <c r="A10" t="s" s="6085">
        <v>175</v>
      </c>
      <c r="B10" t="s" s="6086">
        <v>114</v>
      </c>
      <c r="C10" t="n" s="6087">
        <v>4.0</v>
      </c>
      <c r="D10" t="n" s="6088">
        <v>90.0</v>
      </c>
      <c r="E10" t="n" s="6089">
        <v>1.0</v>
      </c>
      <c r="F10" t="n" s="6090">
        <v>1.0</v>
      </c>
      <c r="G10" t="n" s="6091">
        <v>0.0</v>
      </c>
      <c r="H10" t="n" s="6092">
        <v>0.0</v>
      </c>
      <c r="I10" t="n" s="6093">
        <v>11.0</v>
      </c>
      <c r="J10" s="6094">
        <f>HLOOKUP("BPS",A1:CV300,10,FALSE)-((-6*HLOOKUP("OG",A1:CV300,10,FALSE))+(-6*HLOOKUP("PK Miss",A1:CV300,10,FALSE))+(9*HLOOKUP("FPL As",A1:CV300,10,FALSE))+(12*HLOOKUP("CS",A1:CV300,10,FALSE))+(12*HLOOKUP("Gs",A1:CV300,10,FALSE)))</f>
      </c>
      <c r="K10" t="n" s="6095">
        <v>0.0</v>
      </c>
      <c r="L10" t="n" s="6096">
        <v>0.0</v>
      </c>
      <c r="M10" t="n" s="6097">
        <v>0.0</v>
      </c>
      <c r="N10" t="n" s="6098">
        <v>0.0</v>
      </c>
      <c r="O10" t="n" s="6099">
        <v>0.0</v>
      </c>
      <c r="P10" s="6100">
        <f>IF(HLOOKUP("Shots",A1:CV300,10,FALSE)=0,0,HLOOKUP("SIB",A1:CV300,10,FALSE)/HLOOKUP("Shots",A1:CV300,10,FALSE))</f>
      </c>
      <c r="Q10" t="n" s="6101">
        <v>0.0</v>
      </c>
      <c r="R10" s="6102">
        <f>IF(HLOOKUP("Shots",A1:CV300,10,FALSE)=0,0,HLOOKUP("S6YD",A1:CV300,10,FALSE)/HLOOKUP("Shots",A1:CV300,10,FALSE))</f>
      </c>
      <c r="S10" t="n" s="6103">
        <v>0.0</v>
      </c>
      <c r="T10" s="6104">
        <f>IF(HLOOKUP("Shots",A1:CV300,10,FALSE)=0,0,HLOOKUP("Headers",A1:CV300,10,FALSE)/HLOOKUP("Shots",A1:CV300,10,FALSE))</f>
      </c>
      <c r="U10" t="n" s="6105">
        <v>0.0</v>
      </c>
      <c r="V10" s="6106">
        <f>IF(HLOOKUP("Shots",A1:CV300,10,FALSE)=0,0,HLOOKUP("SOT",A1:CV300,10,FALSE)/HLOOKUP("Shots",A1:CV300,10,FALSE))</f>
      </c>
      <c r="W10" s="6107">
        <f>IF(HLOOKUP("Shots",A1:CV300,10,FALSE)=0,0,HLOOKUP("Gs",A1:CV300,10,FALSE)/HLOOKUP("Shots",A1:CV300,10,FALSE))</f>
      </c>
      <c r="X10" t="n" s="6108">
        <v>0.0</v>
      </c>
      <c r="Y10" t="n" s="6109">
        <v>0.0</v>
      </c>
      <c r="Z10" t="n" s="6110">
        <v>0.0</v>
      </c>
      <c r="AA10" s="6111">
        <f>IF(HLOOKUP("KP",A1:CV300,10,FALSE)=0,0,HLOOKUP("As",A1:CV300,10,FALSE)/HLOOKUP("KP",A1:CV300,10,FALSE))</f>
      </c>
      <c r="AB10" t="n" s="6112">
        <v>1.2</v>
      </c>
      <c r="AC10" t="n" s="6113">
        <v>0.0</v>
      </c>
      <c r="AD10" t="n" s="6114">
        <v>0.0</v>
      </c>
      <c r="AE10" t="n" s="6115">
        <v>0.0</v>
      </c>
      <c r="AF10" t="n" s="6116">
        <v>0.0</v>
      </c>
      <c r="AG10" s="6117">
        <f>IF(HLOOKUP("BC",A1:CV300,10,FALSE)=0,0,HLOOKUP("Gs - BC",A1:CV300,10,FALSE)/HLOOKUP("BC",A1:CV300,10,FALSE))</f>
      </c>
      <c r="AH10" s="6118">
        <f>HLOOKUP("BC",A1:CV300,10,FALSE) - HLOOKUP("BC Miss",A1:CV300,10,FALSE)</f>
      </c>
      <c r="AI10" s="6119">
        <f>IF(HLOOKUP("Gs",A1:CV300,10,FALSE)=0,0,HLOOKUP("Gs - BC",A1:CV300,10,FALSE)/HLOOKUP("Gs",A1:CV300,10,FALSE))</f>
      </c>
      <c r="AJ10" t="n" s="6120">
        <v>0.0</v>
      </c>
      <c r="AK10" t="n" s="6121">
        <v>0.0</v>
      </c>
      <c r="AL10" s="6122">
        <f>HLOOKUP("BC",A1:CV300,10,FALSE) - (HLOOKUP("PK Gs",A1:CV300,10,FALSE) + HLOOKUP("PK Miss",A1:CV300,10,FALSE))</f>
      </c>
      <c r="AM10" s="6123">
        <f>HLOOKUP("BC Miss",A1:CV300,10,FALSE) - HLOOKUP("PK Miss",A1:CV300,10,FALSE)</f>
      </c>
      <c r="AN10" s="6124">
        <f>IF(HLOOKUP("BC - Open",A1:CV300,10,FALSE)=0,0,HLOOKUP("BC - Open Miss",A1:CV300,10,FALSE)/HLOOKUP("BC - Open",A1:CV300,10,FALSE))</f>
      </c>
      <c r="AO10" t="n" s="6125">
        <v>0.0</v>
      </c>
      <c r="AP10" s="6126">
        <f>IF(HLOOKUP("Gs",A1:CV300,10,FALSE)=0,0,HLOOKUP("GIB",A1:CV300,10,FALSE)/HLOOKUP("Gs",A1:CV300,10,FALSE))</f>
      </c>
      <c r="AQ10" t="n" s="6127">
        <v>0.0</v>
      </c>
      <c r="AR10" s="6128">
        <f>IF(HLOOKUP("Gs",A1:CV300,10,FALSE)=0,0,HLOOKUP("Gs - Open",A1:CV300,10,FALSE)/HLOOKUP("Gs",A1:CV300,10,FALSE))</f>
      </c>
      <c r="AS10" t="n" s="6129">
        <v>0.0</v>
      </c>
      <c r="AT10" t="n" s="6130">
        <v>0.0</v>
      </c>
      <c r="AU10" s="6131">
        <f>IF(HLOOKUP("Mins",A1:CV300,10,FALSE)=0,0,HLOOKUP("Pts",A1:CV300,10,FALSE)/HLOOKUP("Mins",A1:CV300,10,FALSE)* 90)</f>
      </c>
      <c r="AV10" s="6132">
        <f>IF(HLOOKUP("Apps",A1:CV300,10,FALSE)=0,0,HLOOKUP("Pts",A1:CV300,10,FALSE)/HLOOKUP("Apps",A1:CV300,10,FALSE)* 1)</f>
      </c>
      <c r="AW10" s="6133">
        <f>IF(HLOOKUP("Mins",A1:CV300,10,FALSE)=0,0,HLOOKUP("Gs",A1:CV300,10,FALSE)/HLOOKUP("Mins",A1:CV300,10,FALSE)* 90)</f>
      </c>
      <c r="AX10" s="6134">
        <f>IF(HLOOKUP("Mins",A1:CV300,10,FALSE)=0,0,HLOOKUP("Bonus",A1:CV300,10,FALSE)/HLOOKUP("Mins",A1:CV300,10,FALSE)* 90)</f>
      </c>
      <c r="AY10" s="6135">
        <f>IF(HLOOKUP("Mins",A1:CV300,10,FALSE)=0,0,HLOOKUP("BPS",A1:CV300,10,FALSE)/HLOOKUP("Mins",A1:CV300,10,FALSE)* 90)</f>
      </c>
      <c r="AZ10" s="6136">
        <f>IF(HLOOKUP("Mins",A1:CV300,10,FALSE)=0,0,HLOOKUP("Base BPS",A1:CV300,10,FALSE)/HLOOKUP("Mins",A1:CV300,10,FALSE)* 90)</f>
      </c>
      <c r="BA10" s="6137">
        <f>IF(HLOOKUP("Mins",A1:CV300,10,FALSE)=0,0,HLOOKUP("PenTchs",A1:CV300,10,FALSE)/HLOOKUP("Mins",A1:CV300,10,FALSE)* 90)</f>
      </c>
      <c r="BB10" s="6138">
        <f>IF(HLOOKUP("Mins",A1:CV300,10,FALSE)=0,0,HLOOKUP("Shots",A1:CV300,10,FALSE)/HLOOKUP("Mins",A1:CV300,10,FALSE)* 90)</f>
      </c>
      <c r="BC10" s="6139">
        <f>IF(HLOOKUP("Mins",A1:CV300,10,FALSE)=0,0,HLOOKUP("SIB",A1:CV300,10,FALSE)/HLOOKUP("Mins",A1:CV300,10,FALSE)* 90)</f>
      </c>
      <c r="BD10" s="6140">
        <f>IF(HLOOKUP("Mins",A1:CV300,10,FALSE)=0,0,HLOOKUP("S6YD",A1:CV300,10,FALSE)/HLOOKUP("Mins",A1:CV300,10,FALSE)* 90)</f>
      </c>
      <c r="BE10" s="6141">
        <f>IF(HLOOKUP("Mins",A1:CV300,10,FALSE)=0,0,HLOOKUP("Headers",A1:CV300,10,FALSE)/HLOOKUP("Mins",A1:CV300,10,FALSE)* 90)</f>
      </c>
      <c r="BF10" s="6142">
        <f>IF(HLOOKUP("Mins",A1:CV300,10,FALSE)=0,0,HLOOKUP("SOT",A1:CV300,10,FALSE)/HLOOKUP("Mins",A1:CV300,10,FALSE)* 90)</f>
      </c>
      <c r="BG10" s="6143">
        <f>IF(HLOOKUP("Mins",A1:CV300,10,FALSE)=0,0,HLOOKUP("As",A1:CV300,10,FALSE)/HLOOKUP("Mins",A1:CV300,10,FALSE)* 90)</f>
      </c>
      <c r="BH10" s="6144">
        <f>IF(HLOOKUP("Mins",A1:CV300,10,FALSE)=0,0,HLOOKUP("FPL As",A1:CV300,10,FALSE)/HLOOKUP("Mins",A1:CV300,10,FALSE)* 90)</f>
      </c>
      <c r="BI10" s="6145">
        <f>IF(HLOOKUP("Mins",A1:CV300,10,FALSE)=0,0,HLOOKUP("BC Created",A1:CV300,10,FALSE)/HLOOKUP("Mins",A1:CV300,10,FALSE)* 90)</f>
      </c>
      <c r="BJ10" s="6146">
        <f>IF(HLOOKUP("Mins",A1:CV300,10,FALSE)=0,0,HLOOKUP("KP",A1:CV300,10,FALSE)/HLOOKUP("Mins",A1:CV300,10,FALSE)* 90)</f>
      </c>
      <c r="BK10" s="6147">
        <f>IF(HLOOKUP("Mins",A1:CV300,10,FALSE)=0,0,HLOOKUP("BC",A1:CV300,10,FALSE)/HLOOKUP("Mins",A1:CV300,10,FALSE)* 90)</f>
      </c>
      <c r="BL10" s="6148">
        <f>IF(HLOOKUP("Mins",A1:CV300,10,FALSE)=0,0,HLOOKUP("BC Miss",A1:CV300,10,FALSE)/HLOOKUP("Mins",A1:CV300,10,FALSE)* 90)</f>
      </c>
      <c r="BM10" s="6149">
        <f>IF(HLOOKUP("Mins",A1:CV300,10,FALSE)=0,0,HLOOKUP("Gs - BC",A1:CV300,10,FALSE)/HLOOKUP("Mins",A1:CV300,10,FALSE)* 90)</f>
      </c>
      <c r="BN10" s="6150">
        <f>IF(HLOOKUP("Mins",A1:CV300,10,FALSE)=0,0,HLOOKUP("GIB",A1:CV300,10,FALSE)/HLOOKUP("Mins",A1:CV300,10,FALSE)* 90)</f>
      </c>
      <c r="BO10" s="6151">
        <f>IF(HLOOKUP("Mins",A1:CV300,10,FALSE)=0,0,HLOOKUP("Gs - Open",A1:CV300,10,FALSE)/HLOOKUP("Mins",A1:CV300,10,FALSE)* 90)</f>
      </c>
      <c r="BP10" s="6152">
        <f>IF(HLOOKUP("Mins",A1:CV300,10,FALSE)=0,0,HLOOKUP("ICT Index",A1:CV300,10,FALSE)/HLOOKUP("Mins",A1:CV300,10,FALSE)* 90)</f>
      </c>
      <c r="BQ10" s="6153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</c>
      <c r="BR10" s="6154">
        <f>0.0825*HLOOKUP("KP/90",A1:CV300,10,FALSE)</f>
      </c>
      <c r="BS10" s="6155">
        <f>6*HLOOKUP("xG/90",A1:CV300,10,FALSE)+3*HLOOKUP("xA/90",A1:CV300,10,FALSE)</f>
      </c>
      <c r="BT10" s="6156">
        <f>HLOOKUP("xPts/90",A1:CV300,10,FALSE)-(6*0.75*(HLOOKUP("PK Gs",A1:CV300,10,FALSE)+HLOOKUP("PK Miss",A1:CV300,10,FALSE))*90/HLOOKUP("Mins",A1:CV300,10,FALSE))</f>
      </c>
      <c r="BU10" s="6157">
        <f>IF(HLOOKUP("Mins",A1:CV300,10,FALSE)=0,0,HLOOKUP("fsXG",A1:CV300,10,FALSE)/HLOOKUP("Mins",A1:CV300,10,FALSE)* 90)</f>
      </c>
      <c r="BV10" s="6158">
        <f>IF(HLOOKUP("Mins",A1:CV300,10,FALSE)=0,0,HLOOKUP("fsXA",A1:CV300,10,FALSE)/HLOOKUP("Mins",A1:CV300,10,FALSE)* 90)</f>
      </c>
      <c r="BW10" s="6159">
        <f>6*HLOOKUP("fsXG/90",A1:CV300,10,FALSE)+3*HLOOKUP("fsXA/90",A1:CV300,10,FALSE)</f>
      </c>
      <c r="BX10" t="n" s="6160">
        <v>0.0</v>
      </c>
      <c r="BY10" t="n" s="6161">
        <v>0.0</v>
      </c>
      <c r="BZ10" s="6162">
        <f>6*HLOOKUP("uXG/90",A1:CV300,10,FALSE)+3*HLOOKUP("uXA/90",A1:CV300,10,FALSE)</f>
      </c>
    </row>
    <row r="11">
      <c r="A11" t="s" s="6163">
        <v>176</v>
      </c>
      <c r="B11" t="s" s="6164">
        <v>131</v>
      </c>
      <c r="C11" t="n" s="6165">
        <v>5.400000095367432</v>
      </c>
      <c r="D11" t="n" s="6166">
        <v>504.0</v>
      </c>
      <c r="E11" t="n" s="6167">
        <v>6.0</v>
      </c>
      <c r="F11" t="n" s="6168">
        <v>68.0</v>
      </c>
      <c r="G11" t="n" s="6169">
        <v>0.0</v>
      </c>
      <c r="H11" t="n" s="6170">
        <v>0.0</v>
      </c>
      <c r="I11" t="n" s="6171">
        <v>345.0</v>
      </c>
      <c r="J11" s="6172">
        <f>HLOOKUP("BPS",A1:CV300,11,FALSE)-((-6*HLOOKUP("OG",A1:CV300,11,FALSE))+(-6*HLOOKUP("PK Miss",A1:CV300,11,FALSE))+(9*HLOOKUP("FPL As",A1:CV300,11,FALSE))+(12*HLOOKUP("CS",A1:CV300,11,FALSE))+(12*HLOOKUP("Gs",A1:CV300,11,FALSE)))</f>
      </c>
      <c r="K11" t="n" s="6173">
        <v>0.0</v>
      </c>
      <c r="L11" t="n" s="6174">
        <v>5.0</v>
      </c>
      <c r="M11" t="n" s="6175">
        <v>11.0</v>
      </c>
      <c r="N11" t="n" s="6176">
        <v>2.0</v>
      </c>
      <c r="O11" t="n" s="6177">
        <v>1.0</v>
      </c>
      <c r="P11" s="6178">
        <f>IF(HLOOKUP("Shots",A1:CV300,11,FALSE)=0,0,HLOOKUP("SIB",A1:CV300,11,FALSE)/HLOOKUP("Shots",A1:CV300,11,FALSE))</f>
      </c>
      <c r="Q11" t="n" s="6179">
        <v>0.0</v>
      </c>
      <c r="R11" s="6180">
        <f>IF(HLOOKUP("Shots",A1:CV300,11,FALSE)=0,0,HLOOKUP("S6YD",A1:CV300,11,FALSE)/HLOOKUP("Shots",A1:CV300,11,FALSE))</f>
      </c>
      <c r="S11" t="n" s="6181">
        <v>1.0</v>
      </c>
      <c r="T11" s="6182">
        <f>IF(HLOOKUP("Shots",A1:CV300,11,FALSE)=0,0,HLOOKUP("Headers",A1:CV300,11,FALSE)/HLOOKUP("Shots",A1:CV300,11,FALSE))</f>
      </c>
      <c r="U11" t="n" s="6183">
        <v>0.0</v>
      </c>
      <c r="V11" s="6184">
        <f>IF(HLOOKUP("Shots",A1:CV300,11,FALSE)=0,0,HLOOKUP("SOT",A1:CV300,11,FALSE)/HLOOKUP("Shots",A1:CV300,11,FALSE))</f>
      </c>
      <c r="W11" s="6185">
        <f>IF(HLOOKUP("Shots",A1:CV300,11,FALSE)=0,0,HLOOKUP("Gs",A1:CV300,11,FALSE)/HLOOKUP("Shots",A1:CV300,11,FALSE))</f>
      </c>
      <c r="X11" t="n" s="6186">
        <v>0.0</v>
      </c>
      <c r="Y11" t="n" s="6187">
        <v>2.0</v>
      </c>
      <c r="Z11" t="n" s="6188">
        <v>2.0</v>
      </c>
      <c r="AA11" s="6189">
        <f>IF(HLOOKUP("KP",A1:CV300,11,FALSE)=0,0,HLOOKUP("As",A1:CV300,11,FALSE)/HLOOKUP("KP",A1:CV300,11,FALSE))</f>
      </c>
      <c r="AB11" t="n" s="6190">
        <v>16.8</v>
      </c>
      <c r="AC11" t="n" s="6191">
        <v>20.0</v>
      </c>
      <c r="AD11" t="n" s="6192">
        <v>1.0</v>
      </c>
      <c r="AE11" t="n" s="6193">
        <v>0.0</v>
      </c>
      <c r="AF11" t="n" s="6194">
        <v>0.0</v>
      </c>
      <c r="AG11" s="6195">
        <f>IF(HLOOKUP("BC",A1:CV300,11,FALSE)=0,0,HLOOKUP("Gs - BC",A1:CV300,11,FALSE)/HLOOKUP("BC",A1:CV300,11,FALSE))</f>
      </c>
      <c r="AH11" s="6196">
        <f>HLOOKUP("BC",A1:CV300,11,FALSE) - HLOOKUP("BC Miss",A1:CV300,11,FALSE)</f>
      </c>
      <c r="AI11" s="6197">
        <f>IF(HLOOKUP("Gs",A1:CV300,11,FALSE)=0,0,HLOOKUP("Gs - BC",A1:CV300,11,FALSE)/HLOOKUP("Gs",A1:CV300,11,FALSE))</f>
      </c>
      <c r="AJ11" t="n" s="6198">
        <v>0.0</v>
      </c>
      <c r="AK11" t="n" s="6199">
        <v>0.0</v>
      </c>
      <c r="AL11" s="6200">
        <f>HLOOKUP("BC",A1:CV300,11,FALSE) - (HLOOKUP("PK Gs",A1:CV300,11,FALSE) + HLOOKUP("PK Miss",A1:CV300,11,FALSE))</f>
      </c>
      <c r="AM11" s="6201">
        <f>HLOOKUP("BC Miss",A1:CV300,11,FALSE) - HLOOKUP("PK Miss",A1:CV300,11,FALSE)</f>
      </c>
      <c r="AN11" s="6202">
        <f>IF(HLOOKUP("BC - Open",A1:CV300,11,FALSE)=0,0,HLOOKUP("BC - Open Miss",A1:CV300,11,FALSE)/HLOOKUP("BC - Open",A1:CV300,11,FALSE))</f>
      </c>
      <c r="AO11" t="n" s="6203">
        <v>0.0</v>
      </c>
      <c r="AP11" s="6204">
        <f>IF(HLOOKUP("Gs",A1:CV300,11,FALSE)=0,0,HLOOKUP("GIB",A1:CV300,11,FALSE)/HLOOKUP("Gs",A1:CV300,11,FALSE))</f>
      </c>
      <c r="AQ11" t="n" s="6205">
        <v>0.0</v>
      </c>
      <c r="AR11" s="6206">
        <f>IF(HLOOKUP("Gs",A1:CV300,11,FALSE)=0,0,HLOOKUP("Gs - Open",A1:CV300,11,FALSE)/HLOOKUP("Gs",A1:CV300,11,FALSE))</f>
      </c>
      <c r="AS11" t="n" s="6207">
        <v>0.06</v>
      </c>
      <c r="AT11" t="n" s="6208">
        <v>0.21</v>
      </c>
      <c r="AU11" s="6209">
        <f>IF(HLOOKUP("Mins",A1:CV300,11,FALSE)=0,0,HLOOKUP("Pts",A1:CV300,11,FALSE)/HLOOKUP("Mins",A1:CV300,11,FALSE)* 90)</f>
      </c>
      <c r="AV11" s="6210">
        <f>IF(HLOOKUP("Apps",A1:CV300,11,FALSE)=0,0,HLOOKUP("Pts",A1:CV300,11,FALSE)/HLOOKUP("Apps",A1:CV300,11,FALSE)* 1)</f>
      </c>
      <c r="AW11" s="6211">
        <f>IF(HLOOKUP("Mins",A1:CV300,11,FALSE)=0,0,HLOOKUP("Gs",A1:CV300,11,FALSE)/HLOOKUP("Mins",A1:CV300,11,FALSE)* 90)</f>
      </c>
      <c r="AX11" s="6212">
        <f>IF(HLOOKUP("Mins",A1:CV300,11,FALSE)=0,0,HLOOKUP("Bonus",A1:CV300,11,FALSE)/HLOOKUP("Mins",A1:CV300,11,FALSE)* 90)</f>
      </c>
      <c r="AY11" s="6213">
        <f>IF(HLOOKUP("Mins",A1:CV300,11,FALSE)=0,0,HLOOKUP("BPS",A1:CV300,11,FALSE)/HLOOKUP("Mins",A1:CV300,11,FALSE)* 90)</f>
      </c>
      <c r="AZ11" s="6214">
        <f>IF(HLOOKUP("Mins",A1:CV300,11,FALSE)=0,0,HLOOKUP("Base BPS",A1:CV300,11,FALSE)/HLOOKUP("Mins",A1:CV300,11,FALSE)* 90)</f>
      </c>
      <c r="BA11" s="6215">
        <f>IF(HLOOKUP("Mins",A1:CV300,11,FALSE)=0,0,HLOOKUP("PenTchs",A1:CV300,11,FALSE)/HLOOKUP("Mins",A1:CV300,11,FALSE)* 90)</f>
      </c>
      <c r="BB11" s="6216">
        <f>IF(HLOOKUP("Mins",A1:CV300,11,FALSE)=0,0,HLOOKUP("Shots",A1:CV300,11,FALSE)/HLOOKUP("Mins",A1:CV300,11,FALSE)* 90)</f>
      </c>
      <c r="BC11" s="6217">
        <f>IF(HLOOKUP("Mins",A1:CV300,11,FALSE)=0,0,HLOOKUP("SIB",A1:CV300,11,FALSE)/HLOOKUP("Mins",A1:CV300,11,FALSE)* 90)</f>
      </c>
      <c r="BD11" s="6218">
        <f>IF(HLOOKUP("Mins",A1:CV300,11,FALSE)=0,0,HLOOKUP("S6YD",A1:CV300,11,FALSE)/HLOOKUP("Mins",A1:CV300,11,FALSE)* 90)</f>
      </c>
      <c r="BE11" s="6219">
        <f>IF(HLOOKUP("Mins",A1:CV300,11,FALSE)=0,0,HLOOKUP("Headers",A1:CV300,11,FALSE)/HLOOKUP("Mins",A1:CV300,11,FALSE)* 90)</f>
      </c>
      <c r="BF11" s="6220">
        <f>IF(HLOOKUP("Mins",A1:CV300,11,FALSE)=0,0,HLOOKUP("SOT",A1:CV300,11,FALSE)/HLOOKUP("Mins",A1:CV300,11,FALSE)* 90)</f>
      </c>
      <c r="BG11" s="6221">
        <f>IF(HLOOKUP("Mins",A1:CV300,11,FALSE)=0,0,HLOOKUP("As",A1:CV300,11,FALSE)/HLOOKUP("Mins",A1:CV300,11,FALSE)* 90)</f>
      </c>
      <c r="BH11" s="6222">
        <f>IF(HLOOKUP("Mins",A1:CV300,11,FALSE)=0,0,HLOOKUP("FPL As",A1:CV300,11,FALSE)/HLOOKUP("Mins",A1:CV300,11,FALSE)* 90)</f>
      </c>
      <c r="BI11" s="6223">
        <f>IF(HLOOKUP("Mins",A1:CV300,11,FALSE)=0,0,HLOOKUP("BC Created",A1:CV300,11,FALSE)/HLOOKUP("Mins",A1:CV300,11,FALSE)* 90)</f>
      </c>
      <c r="BJ11" s="6224">
        <f>IF(HLOOKUP("Mins",A1:CV300,11,FALSE)=0,0,HLOOKUP("KP",A1:CV300,11,FALSE)/HLOOKUP("Mins",A1:CV300,11,FALSE)* 90)</f>
      </c>
      <c r="BK11" s="6225">
        <f>IF(HLOOKUP("Mins",A1:CV300,11,FALSE)=0,0,HLOOKUP("BC",A1:CV300,11,FALSE)/HLOOKUP("Mins",A1:CV300,11,FALSE)* 90)</f>
      </c>
      <c r="BL11" s="6226">
        <f>IF(HLOOKUP("Mins",A1:CV300,11,FALSE)=0,0,HLOOKUP("BC Miss",A1:CV300,11,FALSE)/HLOOKUP("Mins",A1:CV300,11,FALSE)* 90)</f>
      </c>
      <c r="BM11" s="6227">
        <f>IF(HLOOKUP("Mins",A1:CV300,11,FALSE)=0,0,HLOOKUP("Gs - BC",A1:CV300,11,FALSE)/HLOOKUP("Mins",A1:CV300,11,FALSE)* 90)</f>
      </c>
      <c r="BN11" s="6228">
        <f>IF(HLOOKUP("Mins",A1:CV300,11,FALSE)=0,0,HLOOKUP("GIB",A1:CV300,11,FALSE)/HLOOKUP("Mins",A1:CV300,11,FALSE)* 90)</f>
      </c>
      <c r="BO11" s="6229">
        <f>IF(HLOOKUP("Mins",A1:CV300,11,FALSE)=0,0,HLOOKUP("Gs - Open",A1:CV300,11,FALSE)/HLOOKUP("Mins",A1:CV300,11,FALSE)* 90)</f>
      </c>
      <c r="BP11" s="6230">
        <f>IF(HLOOKUP("Mins",A1:CV300,11,FALSE)=0,0,HLOOKUP("ICT Index",A1:CV300,11,FALSE)/HLOOKUP("Mins",A1:CV300,11,FALSE)* 90)</f>
      </c>
      <c r="BQ11" s="6231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</c>
      <c r="BR11" s="6232">
        <f>0.0825*HLOOKUP("KP/90",A1:CV300,11,FALSE)</f>
      </c>
      <c r="BS11" s="6233">
        <f>6*HLOOKUP("xG/90",A1:CV300,11,FALSE)+3*HLOOKUP("xA/90",A1:CV300,11,FALSE)</f>
      </c>
      <c r="BT11" s="6234">
        <f>HLOOKUP("xPts/90",A1:CV300,11,FALSE)-(6*0.75*(HLOOKUP("PK Gs",A1:CV300,11,FALSE)+HLOOKUP("PK Miss",A1:CV300,11,FALSE))*90/HLOOKUP("Mins",A1:CV300,11,FALSE))</f>
      </c>
      <c r="BU11" s="6235">
        <f>IF(HLOOKUP("Mins",A1:CV300,11,FALSE)=0,0,HLOOKUP("fsXG",A1:CV300,11,FALSE)/HLOOKUP("Mins",A1:CV300,11,FALSE)* 90)</f>
      </c>
      <c r="BV11" s="6236">
        <f>IF(HLOOKUP("Mins",A1:CV300,11,FALSE)=0,0,HLOOKUP("fsXA",A1:CV300,11,FALSE)/HLOOKUP("Mins",A1:CV300,11,FALSE)* 90)</f>
      </c>
      <c r="BW11" s="6237">
        <f>6*HLOOKUP("fsXG/90",A1:CV300,11,FALSE)+3*HLOOKUP("fsXA/90",A1:CV300,11,FALSE)</f>
      </c>
      <c r="BX11" t="n" s="6238">
        <v>0.008673618547618389</v>
      </c>
      <c r="BY11" t="n" s="6239">
        <v>0.05758175253868103</v>
      </c>
      <c r="BZ11" s="6240">
        <f>6*HLOOKUP("uXG/90",A1:CV300,11,FALSE)+3*HLOOKUP("uXA/90",A1:CV300,11,FALSE)</f>
      </c>
    </row>
    <row r="12">
      <c r="A12" t="s" s="6241">
        <v>177</v>
      </c>
      <c r="B12" t="s" s="6242">
        <v>114</v>
      </c>
      <c r="C12" t="n" s="6243">
        <v>4.300000190734863</v>
      </c>
      <c r="D12" t="n" s="6244">
        <v>180.0</v>
      </c>
      <c r="E12" t="n" s="6245">
        <v>2.0</v>
      </c>
      <c r="F12" t="n" s="6246">
        <v>36.0</v>
      </c>
      <c r="G12" t="n" s="6247">
        <v>0.0</v>
      </c>
      <c r="H12" t="n" s="6248">
        <v>3.0</v>
      </c>
      <c r="I12" t="n" s="6249">
        <v>189.0</v>
      </c>
      <c r="J12" s="6250">
        <f>HLOOKUP("BPS",A1:CV300,12,FALSE)-((-6*HLOOKUP("OG",A1:CV300,12,FALSE))+(-6*HLOOKUP("PK Miss",A1:CV300,12,FALSE))+(9*HLOOKUP("FPL As",A1:CV300,12,FALSE))+(12*HLOOKUP("CS",A1:CV300,12,FALSE))+(12*HLOOKUP("Gs",A1:CV300,12,FALSE)))</f>
      </c>
      <c r="K12" t="n" s="6251">
        <v>0.0</v>
      </c>
      <c r="L12" t="n" s="6252">
        <v>3.0</v>
      </c>
      <c r="M12" t="n" s="6253">
        <v>0.0</v>
      </c>
      <c r="N12" t="n" s="6254">
        <v>0.0</v>
      </c>
      <c r="O12" t="n" s="6255">
        <v>0.0</v>
      </c>
      <c r="P12" s="6256">
        <f>IF(HLOOKUP("Shots",A1:CV300,12,FALSE)=0,0,HLOOKUP("SIB",A1:CV300,12,FALSE)/HLOOKUP("Shots",A1:CV300,12,FALSE))</f>
      </c>
      <c r="Q12" t="n" s="6257">
        <v>0.0</v>
      </c>
      <c r="R12" s="6258">
        <f>IF(HLOOKUP("Shots",A1:CV300,12,FALSE)=0,0,HLOOKUP("S6YD",A1:CV300,12,FALSE)/HLOOKUP("Shots",A1:CV300,12,FALSE))</f>
      </c>
      <c r="S12" t="n" s="6259">
        <v>0.0</v>
      </c>
      <c r="T12" s="6260">
        <f>IF(HLOOKUP("Shots",A1:CV300,12,FALSE)=0,0,HLOOKUP("Headers",A1:CV300,12,FALSE)/HLOOKUP("Shots",A1:CV300,12,FALSE))</f>
      </c>
      <c r="U12" t="n" s="6261">
        <v>0.0</v>
      </c>
      <c r="V12" s="6262">
        <f>IF(HLOOKUP("Shots",A1:CV300,12,FALSE)=0,0,HLOOKUP("SOT",A1:CV300,12,FALSE)/HLOOKUP("Shots",A1:CV300,12,FALSE))</f>
      </c>
      <c r="W12" s="6263">
        <f>IF(HLOOKUP("Shots",A1:CV300,12,FALSE)=0,0,HLOOKUP("Gs",A1:CV300,12,FALSE)/HLOOKUP("Shots",A1:CV300,12,FALSE))</f>
      </c>
      <c r="X12" t="n" s="6264">
        <v>0.0</v>
      </c>
      <c r="Y12" t="n" s="6265">
        <v>0.0</v>
      </c>
      <c r="Z12" t="n" s="6266">
        <v>0.0</v>
      </c>
      <c r="AA12" s="6267">
        <f>IF(HLOOKUP("KP",A1:CV300,12,FALSE)=0,0,HLOOKUP("As",A1:CV300,12,FALSE)/HLOOKUP("KP",A1:CV300,12,FALSE))</f>
      </c>
      <c r="AB12" t="n" s="6268">
        <v>4.1</v>
      </c>
      <c r="AC12" t="n" s="6269">
        <v>0.0</v>
      </c>
      <c r="AD12" t="n" s="6270">
        <v>0.0</v>
      </c>
      <c r="AE12" t="n" s="6271">
        <v>0.0</v>
      </c>
      <c r="AF12" t="n" s="6272">
        <v>0.0</v>
      </c>
      <c r="AG12" s="6273">
        <f>IF(HLOOKUP("BC",A1:CV300,12,FALSE)=0,0,HLOOKUP("Gs - BC",A1:CV300,12,FALSE)/HLOOKUP("BC",A1:CV300,12,FALSE))</f>
      </c>
      <c r="AH12" s="6274">
        <f>HLOOKUP("BC",A1:CV300,12,FALSE) - HLOOKUP("BC Miss",A1:CV300,12,FALSE)</f>
      </c>
      <c r="AI12" s="6275">
        <f>IF(HLOOKUP("Gs",A1:CV300,12,FALSE)=0,0,HLOOKUP("Gs - BC",A1:CV300,12,FALSE)/HLOOKUP("Gs",A1:CV300,12,FALSE))</f>
      </c>
      <c r="AJ12" t="n" s="6276">
        <v>0.0</v>
      </c>
      <c r="AK12" t="n" s="6277">
        <v>0.0</v>
      </c>
      <c r="AL12" s="6278">
        <f>HLOOKUP("BC",A1:CV300,12,FALSE) - (HLOOKUP("PK Gs",A1:CV300,12,FALSE) + HLOOKUP("PK Miss",A1:CV300,12,FALSE))</f>
      </c>
      <c r="AM12" s="6279">
        <f>HLOOKUP("BC Miss",A1:CV300,12,FALSE) - HLOOKUP("PK Miss",A1:CV300,12,FALSE)</f>
      </c>
      <c r="AN12" s="6280">
        <f>IF(HLOOKUP("BC - Open",A1:CV300,12,FALSE)=0,0,HLOOKUP("BC - Open Miss",A1:CV300,12,FALSE)/HLOOKUP("BC - Open",A1:CV300,12,FALSE))</f>
      </c>
      <c r="AO12" t="n" s="6281">
        <v>0.0</v>
      </c>
      <c r="AP12" s="6282">
        <f>IF(HLOOKUP("Gs",A1:CV300,12,FALSE)=0,0,HLOOKUP("GIB",A1:CV300,12,FALSE)/HLOOKUP("Gs",A1:CV300,12,FALSE))</f>
      </c>
      <c r="AQ12" t="n" s="6283">
        <v>0.0</v>
      </c>
      <c r="AR12" s="6284">
        <f>IF(HLOOKUP("Gs",A1:CV300,12,FALSE)=0,0,HLOOKUP("Gs - Open",A1:CV300,12,FALSE)/HLOOKUP("Gs",A1:CV300,12,FALSE))</f>
      </c>
      <c r="AS12" t="n" s="6285">
        <v>0.0</v>
      </c>
      <c r="AT12" t="n" s="6286">
        <v>0.0</v>
      </c>
      <c r="AU12" s="6287">
        <f>IF(HLOOKUP("Mins",A1:CV300,12,FALSE)=0,0,HLOOKUP("Pts",A1:CV300,12,FALSE)/HLOOKUP("Mins",A1:CV300,12,FALSE)* 90)</f>
      </c>
      <c r="AV12" s="6288">
        <f>IF(HLOOKUP("Apps",A1:CV300,12,FALSE)=0,0,HLOOKUP("Pts",A1:CV300,12,FALSE)/HLOOKUP("Apps",A1:CV300,12,FALSE)* 1)</f>
      </c>
      <c r="AW12" s="6289">
        <f>IF(HLOOKUP("Mins",A1:CV300,12,FALSE)=0,0,HLOOKUP("Gs",A1:CV300,12,FALSE)/HLOOKUP("Mins",A1:CV300,12,FALSE)* 90)</f>
      </c>
      <c r="AX12" s="6290">
        <f>IF(HLOOKUP("Mins",A1:CV300,12,FALSE)=0,0,HLOOKUP("Bonus",A1:CV300,12,FALSE)/HLOOKUP("Mins",A1:CV300,12,FALSE)* 90)</f>
      </c>
      <c r="AY12" s="6291">
        <f>IF(HLOOKUP("Mins",A1:CV300,12,FALSE)=0,0,HLOOKUP("BPS",A1:CV300,12,FALSE)/HLOOKUP("Mins",A1:CV300,12,FALSE)* 90)</f>
      </c>
      <c r="AZ12" s="6292">
        <f>IF(HLOOKUP("Mins",A1:CV300,12,FALSE)=0,0,HLOOKUP("Base BPS",A1:CV300,12,FALSE)/HLOOKUP("Mins",A1:CV300,12,FALSE)* 90)</f>
      </c>
      <c r="BA12" s="6293">
        <f>IF(HLOOKUP("Mins",A1:CV300,12,FALSE)=0,0,HLOOKUP("PenTchs",A1:CV300,12,FALSE)/HLOOKUP("Mins",A1:CV300,12,FALSE)* 90)</f>
      </c>
      <c r="BB12" s="6294">
        <f>IF(HLOOKUP("Mins",A1:CV300,12,FALSE)=0,0,HLOOKUP("Shots",A1:CV300,12,FALSE)/HLOOKUP("Mins",A1:CV300,12,FALSE)* 90)</f>
      </c>
      <c r="BC12" s="6295">
        <f>IF(HLOOKUP("Mins",A1:CV300,12,FALSE)=0,0,HLOOKUP("SIB",A1:CV300,12,FALSE)/HLOOKUP("Mins",A1:CV300,12,FALSE)* 90)</f>
      </c>
      <c r="BD12" s="6296">
        <f>IF(HLOOKUP("Mins",A1:CV300,12,FALSE)=0,0,HLOOKUP("S6YD",A1:CV300,12,FALSE)/HLOOKUP("Mins",A1:CV300,12,FALSE)* 90)</f>
      </c>
      <c r="BE12" s="6297">
        <f>IF(HLOOKUP("Mins",A1:CV300,12,FALSE)=0,0,HLOOKUP("Headers",A1:CV300,12,FALSE)/HLOOKUP("Mins",A1:CV300,12,FALSE)* 90)</f>
      </c>
      <c r="BF12" s="6298">
        <f>IF(HLOOKUP("Mins",A1:CV300,12,FALSE)=0,0,HLOOKUP("SOT",A1:CV300,12,FALSE)/HLOOKUP("Mins",A1:CV300,12,FALSE)* 90)</f>
      </c>
      <c r="BG12" s="6299">
        <f>IF(HLOOKUP("Mins",A1:CV300,12,FALSE)=0,0,HLOOKUP("As",A1:CV300,12,FALSE)/HLOOKUP("Mins",A1:CV300,12,FALSE)* 90)</f>
      </c>
      <c r="BH12" s="6300">
        <f>IF(HLOOKUP("Mins",A1:CV300,12,FALSE)=0,0,HLOOKUP("FPL As",A1:CV300,12,FALSE)/HLOOKUP("Mins",A1:CV300,12,FALSE)* 90)</f>
      </c>
      <c r="BI12" s="6301">
        <f>IF(HLOOKUP("Mins",A1:CV300,12,FALSE)=0,0,HLOOKUP("BC Created",A1:CV300,12,FALSE)/HLOOKUP("Mins",A1:CV300,12,FALSE)* 90)</f>
      </c>
      <c r="BJ12" s="6302">
        <f>IF(HLOOKUP("Mins",A1:CV300,12,FALSE)=0,0,HLOOKUP("KP",A1:CV300,12,FALSE)/HLOOKUP("Mins",A1:CV300,12,FALSE)* 90)</f>
      </c>
      <c r="BK12" s="6303">
        <f>IF(HLOOKUP("Mins",A1:CV300,12,FALSE)=0,0,HLOOKUP("BC",A1:CV300,12,FALSE)/HLOOKUP("Mins",A1:CV300,12,FALSE)* 90)</f>
      </c>
      <c r="BL12" s="6304">
        <f>IF(HLOOKUP("Mins",A1:CV300,12,FALSE)=0,0,HLOOKUP("BC Miss",A1:CV300,12,FALSE)/HLOOKUP("Mins",A1:CV300,12,FALSE)* 90)</f>
      </c>
      <c r="BM12" s="6305">
        <f>IF(HLOOKUP("Mins",A1:CV300,12,FALSE)=0,0,HLOOKUP("Gs - BC",A1:CV300,12,FALSE)/HLOOKUP("Mins",A1:CV300,12,FALSE)* 90)</f>
      </c>
      <c r="BN12" s="6306">
        <f>IF(HLOOKUP("Mins",A1:CV300,12,FALSE)=0,0,HLOOKUP("GIB",A1:CV300,12,FALSE)/HLOOKUP("Mins",A1:CV300,12,FALSE)* 90)</f>
      </c>
      <c r="BO12" s="6307">
        <f>IF(HLOOKUP("Mins",A1:CV300,12,FALSE)=0,0,HLOOKUP("Gs - Open",A1:CV300,12,FALSE)/HLOOKUP("Mins",A1:CV300,12,FALSE)* 90)</f>
      </c>
      <c r="BP12" s="6308">
        <f>IF(HLOOKUP("Mins",A1:CV300,12,FALSE)=0,0,HLOOKUP("ICT Index",A1:CV300,12,FALSE)/HLOOKUP("Mins",A1:CV300,12,FALSE)* 90)</f>
      </c>
      <c r="BQ12" s="6309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</c>
      <c r="BR12" s="6310">
        <f>0.0825*HLOOKUP("KP/90",A1:CV300,12,FALSE)</f>
      </c>
      <c r="BS12" s="6311">
        <f>6*HLOOKUP("xG/90",A1:CV300,12,FALSE)+3*HLOOKUP("xA/90",A1:CV300,12,FALSE)</f>
      </c>
      <c r="BT12" s="6312">
        <f>HLOOKUP("xPts/90",A1:CV300,12,FALSE)-(6*0.75*(HLOOKUP("PK Gs",A1:CV300,12,FALSE)+HLOOKUP("PK Miss",A1:CV300,12,FALSE))*90/HLOOKUP("Mins",A1:CV300,12,FALSE))</f>
      </c>
      <c r="BU12" s="6313">
        <f>IF(HLOOKUP("Mins",A1:CV300,12,FALSE)=0,0,HLOOKUP("fsXG",A1:CV300,12,FALSE)/HLOOKUP("Mins",A1:CV300,12,FALSE)* 90)</f>
      </c>
      <c r="BV12" s="6314">
        <f>IF(HLOOKUP("Mins",A1:CV300,12,FALSE)=0,0,HLOOKUP("fsXA",A1:CV300,12,FALSE)/HLOOKUP("Mins",A1:CV300,12,FALSE)* 90)</f>
      </c>
      <c r="BW12" s="6315">
        <f>6*HLOOKUP("fsXG/90",A1:CV300,12,FALSE)+3*HLOOKUP("fsXA/90",A1:CV300,12,FALSE)</f>
      </c>
      <c r="BX12" t="n" s="6316">
        <v>0.0</v>
      </c>
      <c r="BY12" t="n" s="6317">
        <v>0.0</v>
      </c>
      <c r="BZ12" s="6318">
        <f>6*HLOOKUP("uXG/90",A1:CV300,12,FALSE)+3*HLOOKUP("uXA/90",A1:CV300,12,FALSE)</f>
      </c>
    </row>
    <row r="13">
      <c r="A13" t="s" s="6319">
        <v>178</v>
      </c>
      <c r="B13" t="s" s="6320">
        <v>90</v>
      </c>
      <c r="C13" t="n" s="6321">
        <v>4.400000095367432</v>
      </c>
      <c r="D13" t="n" s="6322">
        <v>73.0</v>
      </c>
      <c r="E13" t="n" s="6323">
        <v>2.0</v>
      </c>
      <c r="F13" t="n" s="6324">
        <v>23.0</v>
      </c>
      <c r="G13" t="n" s="6325">
        <v>0.0</v>
      </c>
      <c r="H13" t="n" s="6326">
        <v>0.0</v>
      </c>
      <c r="I13" t="n" s="6327">
        <v>206.0</v>
      </c>
      <c r="J13" s="6328">
        <f>HLOOKUP("BPS",A1:CV300,13,FALSE)-((-6*HLOOKUP("OG",A1:CV300,13,FALSE))+(-6*HLOOKUP("PK Miss",A1:CV300,13,FALSE))+(9*HLOOKUP("FPL As",A1:CV300,13,FALSE))+(12*HLOOKUP("CS",A1:CV300,13,FALSE))+(12*HLOOKUP("Gs",A1:CV300,13,FALSE)))</f>
      </c>
      <c r="K13" t="n" s="6329">
        <v>0.0</v>
      </c>
      <c r="L13" t="n" s="6330">
        <v>2.0</v>
      </c>
      <c r="M13" t="n" s="6331">
        <v>1.0</v>
      </c>
      <c r="N13" t="n" s="6332">
        <v>1.0</v>
      </c>
      <c r="O13" t="n" s="6333">
        <v>1.0</v>
      </c>
      <c r="P13" s="6334">
        <f>IF(HLOOKUP("Shots",A1:CV300,13,FALSE)=0,0,HLOOKUP("SIB",A1:CV300,13,FALSE)/HLOOKUP("Shots",A1:CV300,13,FALSE))</f>
      </c>
      <c r="Q13" t="n" s="6335">
        <v>0.0</v>
      </c>
      <c r="R13" s="6336">
        <f>IF(HLOOKUP("Shots",A1:CV300,13,FALSE)=0,0,HLOOKUP("S6YD",A1:CV300,13,FALSE)/HLOOKUP("Shots",A1:CV300,13,FALSE))</f>
      </c>
      <c r="S13" t="n" s="6337">
        <v>0.0</v>
      </c>
      <c r="T13" s="6338">
        <f>IF(HLOOKUP("Shots",A1:CV300,13,FALSE)=0,0,HLOOKUP("Headers",A1:CV300,13,FALSE)/HLOOKUP("Shots",A1:CV300,13,FALSE))</f>
      </c>
      <c r="U13" t="n" s="6339">
        <v>0.0</v>
      </c>
      <c r="V13" s="6340">
        <f>IF(HLOOKUP("Shots",A1:CV300,13,FALSE)=0,0,HLOOKUP("SOT",A1:CV300,13,FALSE)/HLOOKUP("Shots",A1:CV300,13,FALSE))</f>
      </c>
      <c r="W13" s="6341">
        <f>IF(HLOOKUP("Shots",A1:CV300,13,FALSE)=0,0,HLOOKUP("Gs",A1:CV300,13,FALSE)/HLOOKUP("Shots",A1:CV300,13,FALSE))</f>
      </c>
      <c r="X13" t="n" s="6342">
        <v>0.0</v>
      </c>
      <c r="Y13" t="n" s="6343">
        <v>0.0</v>
      </c>
      <c r="Z13" t="n" s="6344">
        <v>0.0</v>
      </c>
      <c r="AA13" s="6345">
        <f>IF(HLOOKUP("KP",A1:CV300,13,FALSE)=0,0,HLOOKUP("As",A1:CV300,13,FALSE)/HLOOKUP("KP",A1:CV300,13,FALSE))</f>
      </c>
      <c r="AB13" t="n" s="6346">
        <v>4.1</v>
      </c>
      <c r="AC13" t="n" s="6347">
        <v>0.0</v>
      </c>
      <c r="AD13" t="n" s="6348">
        <v>0.0</v>
      </c>
      <c r="AE13" t="n" s="6349">
        <v>0.0</v>
      </c>
      <c r="AF13" t="n" s="6350">
        <v>0.0</v>
      </c>
      <c r="AG13" s="6351">
        <f>IF(HLOOKUP("BC",A1:CV300,13,FALSE)=0,0,HLOOKUP("Gs - BC",A1:CV300,13,FALSE)/HLOOKUP("BC",A1:CV300,13,FALSE))</f>
      </c>
      <c r="AH13" s="6352">
        <f>HLOOKUP("BC",A1:CV300,13,FALSE) - HLOOKUP("BC Miss",A1:CV300,13,FALSE)</f>
      </c>
      <c r="AI13" s="6353">
        <f>IF(HLOOKUP("Gs",A1:CV300,13,FALSE)=0,0,HLOOKUP("Gs - BC",A1:CV300,13,FALSE)/HLOOKUP("Gs",A1:CV300,13,FALSE))</f>
      </c>
      <c r="AJ13" t="n" s="6354">
        <v>0.0</v>
      </c>
      <c r="AK13" t="n" s="6355">
        <v>0.0</v>
      </c>
      <c r="AL13" s="6356">
        <f>HLOOKUP("BC",A1:CV300,13,FALSE) - (HLOOKUP("PK Gs",A1:CV300,13,FALSE) + HLOOKUP("PK Miss",A1:CV300,13,FALSE))</f>
      </c>
      <c r="AM13" s="6357">
        <f>HLOOKUP("BC Miss",A1:CV300,13,FALSE) - HLOOKUP("PK Miss",A1:CV300,13,FALSE)</f>
      </c>
      <c r="AN13" s="6358">
        <f>IF(HLOOKUP("BC - Open",A1:CV300,13,FALSE)=0,0,HLOOKUP("BC - Open Miss",A1:CV300,13,FALSE)/HLOOKUP("BC - Open",A1:CV300,13,FALSE))</f>
      </c>
      <c r="AO13" t="n" s="6359">
        <v>0.0</v>
      </c>
      <c r="AP13" s="6360">
        <f>IF(HLOOKUP("Gs",A1:CV300,13,FALSE)=0,0,HLOOKUP("GIB",A1:CV300,13,FALSE)/HLOOKUP("Gs",A1:CV300,13,FALSE))</f>
      </c>
      <c r="AQ13" t="n" s="6361">
        <v>0.0</v>
      </c>
      <c r="AR13" s="6362">
        <f>IF(HLOOKUP("Gs",A1:CV300,13,FALSE)=0,0,HLOOKUP("Gs - Open",A1:CV300,13,FALSE)/HLOOKUP("Gs",A1:CV300,13,FALSE))</f>
      </c>
      <c r="AS13" t="n" s="6363">
        <v>0.11</v>
      </c>
      <c r="AT13" t="n" s="6364">
        <v>0.0</v>
      </c>
      <c r="AU13" s="6365">
        <f>IF(HLOOKUP("Mins",A1:CV300,13,FALSE)=0,0,HLOOKUP("Pts",A1:CV300,13,FALSE)/HLOOKUP("Mins",A1:CV300,13,FALSE)* 90)</f>
      </c>
      <c r="AV13" s="6366">
        <f>IF(HLOOKUP("Apps",A1:CV300,13,FALSE)=0,0,HLOOKUP("Pts",A1:CV300,13,FALSE)/HLOOKUP("Apps",A1:CV300,13,FALSE)* 1)</f>
      </c>
      <c r="AW13" s="6367">
        <f>IF(HLOOKUP("Mins",A1:CV300,13,FALSE)=0,0,HLOOKUP("Gs",A1:CV300,13,FALSE)/HLOOKUP("Mins",A1:CV300,13,FALSE)* 90)</f>
      </c>
      <c r="AX13" s="6368">
        <f>IF(HLOOKUP("Mins",A1:CV300,13,FALSE)=0,0,HLOOKUP("Bonus",A1:CV300,13,FALSE)/HLOOKUP("Mins",A1:CV300,13,FALSE)* 90)</f>
      </c>
      <c r="AY13" s="6369">
        <f>IF(HLOOKUP("Mins",A1:CV300,13,FALSE)=0,0,HLOOKUP("BPS",A1:CV300,13,FALSE)/HLOOKUP("Mins",A1:CV300,13,FALSE)* 90)</f>
      </c>
      <c r="AZ13" s="6370">
        <f>IF(HLOOKUP("Mins",A1:CV300,13,FALSE)=0,0,HLOOKUP("Base BPS",A1:CV300,13,FALSE)/HLOOKUP("Mins",A1:CV300,13,FALSE)* 90)</f>
      </c>
      <c r="BA13" s="6371">
        <f>IF(HLOOKUP("Mins",A1:CV300,13,FALSE)=0,0,HLOOKUP("PenTchs",A1:CV300,13,FALSE)/HLOOKUP("Mins",A1:CV300,13,FALSE)* 90)</f>
      </c>
      <c r="BB13" s="6372">
        <f>IF(HLOOKUP("Mins",A1:CV300,13,FALSE)=0,0,HLOOKUP("Shots",A1:CV300,13,FALSE)/HLOOKUP("Mins",A1:CV300,13,FALSE)* 90)</f>
      </c>
      <c r="BC13" s="6373">
        <f>IF(HLOOKUP("Mins",A1:CV300,13,FALSE)=0,0,HLOOKUP("SIB",A1:CV300,13,FALSE)/HLOOKUP("Mins",A1:CV300,13,FALSE)* 90)</f>
      </c>
      <c r="BD13" s="6374">
        <f>IF(HLOOKUP("Mins",A1:CV300,13,FALSE)=0,0,HLOOKUP("S6YD",A1:CV300,13,FALSE)/HLOOKUP("Mins",A1:CV300,13,FALSE)* 90)</f>
      </c>
      <c r="BE13" s="6375">
        <f>IF(HLOOKUP("Mins",A1:CV300,13,FALSE)=0,0,HLOOKUP("Headers",A1:CV300,13,FALSE)/HLOOKUP("Mins",A1:CV300,13,FALSE)* 90)</f>
      </c>
      <c r="BF13" s="6376">
        <f>IF(HLOOKUP("Mins",A1:CV300,13,FALSE)=0,0,HLOOKUP("SOT",A1:CV300,13,FALSE)/HLOOKUP("Mins",A1:CV300,13,FALSE)* 90)</f>
      </c>
      <c r="BG13" s="6377">
        <f>IF(HLOOKUP("Mins",A1:CV300,13,FALSE)=0,0,HLOOKUP("As",A1:CV300,13,FALSE)/HLOOKUP("Mins",A1:CV300,13,FALSE)* 90)</f>
      </c>
      <c r="BH13" s="6378">
        <f>IF(HLOOKUP("Mins",A1:CV300,13,FALSE)=0,0,HLOOKUP("FPL As",A1:CV300,13,FALSE)/HLOOKUP("Mins",A1:CV300,13,FALSE)* 90)</f>
      </c>
      <c r="BI13" s="6379">
        <f>IF(HLOOKUP("Mins",A1:CV300,13,FALSE)=0,0,HLOOKUP("BC Created",A1:CV300,13,FALSE)/HLOOKUP("Mins",A1:CV300,13,FALSE)* 90)</f>
      </c>
      <c r="BJ13" s="6380">
        <f>IF(HLOOKUP("Mins",A1:CV300,13,FALSE)=0,0,HLOOKUP("KP",A1:CV300,13,FALSE)/HLOOKUP("Mins",A1:CV300,13,FALSE)* 90)</f>
      </c>
      <c r="BK13" s="6381">
        <f>IF(HLOOKUP("Mins",A1:CV300,13,FALSE)=0,0,HLOOKUP("BC",A1:CV300,13,FALSE)/HLOOKUP("Mins",A1:CV300,13,FALSE)* 90)</f>
      </c>
      <c r="BL13" s="6382">
        <f>IF(HLOOKUP("Mins",A1:CV300,13,FALSE)=0,0,HLOOKUP("BC Miss",A1:CV300,13,FALSE)/HLOOKUP("Mins",A1:CV300,13,FALSE)* 90)</f>
      </c>
      <c r="BM13" s="6383">
        <f>IF(HLOOKUP("Mins",A1:CV300,13,FALSE)=0,0,HLOOKUP("Gs - BC",A1:CV300,13,FALSE)/HLOOKUP("Mins",A1:CV300,13,FALSE)* 90)</f>
      </c>
      <c r="BN13" s="6384">
        <f>IF(HLOOKUP("Mins",A1:CV300,13,FALSE)=0,0,HLOOKUP("GIB",A1:CV300,13,FALSE)/HLOOKUP("Mins",A1:CV300,13,FALSE)* 90)</f>
      </c>
      <c r="BO13" s="6385">
        <f>IF(HLOOKUP("Mins",A1:CV300,13,FALSE)=0,0,HLOOKUP("Gs - Open",A1:CV300,13,FALSE)/HLOOKUP("Mins",A1:CV300,13,FALSE)* 90)</f>
      </c>
      <c r="BP13" s="6386">
        <f>IF(HLOOKUP("Mins",A1:CV300,13,FALSE)=0,0,HLOOKUP("ICT Index",A1:CV300,13,FALSE)/HLOOKUP("Mins",A1:CV300,13,FALSE)* 90)</f>
      </c>
      <c r="BQ13" s="6387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</c>
      <c r="BR13" s="6388">
        <f>0.0825*HLOOKUP("KP/90",A1:CV300,13,FALSE)</f>
      </c>
      <c r="BS13" s="6389">
        <f>6*HLOOKUP("xG/90",A1:CV300,13,FALSE)+3*HLOOKUP("xA/90",A1:CV300,13,FALSE)</f>
      </c>
      <c r="BT13" s="6390">
        <f>HLOOKUP("xPts/90",A1:CV300,13,FALSE)-(6*0.75*(HLOOKUP("PK Gs",A1:CV300,13,FALSE)+HLOOKUP("PK Miss",A1:CV300,13,FALSE))*90/HLOOKUP("Mins",A1:CV300,13,FALSE))</f>
      </c>
      <c r="BU13" s="6391">
        <f>IF(HLOOKUP("Mins",A1:CV300,13,FALSE)=0,0,HLOOKUP("fsXG",A1:CV300,13,FALSE)/HLOOKUP("Mins",A1:CV300,13,FALSE)* 90)</f>
      </c>
      <c r="BV13" s="6392">
        <f>IF(HLOOKUP("Mins",A1:CV300,13,FALSE)=0,0,HLOOKUP("fsXA",A1:CV300,13,FALSE)/HLOOKUP("Mins",A1:CV300,13,FALSE)* 90)</f>
      </c>
      <c r="BW13" s="6393">
        <f>6*HLOOKUP("fsXG/90",A1:CV300,13,FALSE)+3*HLOOKUP("fsXA/90",A1:CV300,13,FALSE)</f>
      </c>
      <c r="BX13" t="n" s="6394">
        <v>0.18136583268642426</v>
      </c>
      <c r="BY13" t="n" s="6395">
        <v>0.0</v>
      </c>
      <c r="BZ13" s="6396">
        <f>6*HLOOKUP("uXG/90",A1:CV300,13,FALSE)+3*HLOOKUP("uXA/90",A1:CV300,13,FALSE)</f>
      </c>
    </row>
    <row r="14">
      <c r="A14" t="s" s="6397">
        <v>179</v>
      </c>
      <c r="B14" t="s" s="6398">
        <v>92</v>
      </c>
      <c r="C14" t="n" s="6399">
        <v>4.0</v>
      </c>
      <c r="D14" t="n" s="6400">
        <v>22.0</v>
      </c>
      <c r="E14" t="n" s="6401">
        <v>1.0</v>
      </c>
      <c r="F14" t="n" s="6402">
        <v>3.0</v>
      </c>
      <c r="G14" t="n" s="6403">
        <v>0.0</v>
      </c>
      <c r="H14" t="n" s="6404">
        <v>0.0</v>
      </c>
      <c r="I14" t="n" s="6405">
        <v>25.0</v>
      </c>
      <c r="J14" s="6406">
        <f>HLOOKUP("BPS",A1:CV300,14,FALSE)-((-6*HLOOKUP("OG",A1:CV300,14,FALSE))+(-6*HLOOKUP("PK Miss",A1:CV300,14,FALSE))+(9*HLOOKUP("FPL As",A1:CV300,14,FALSE))+(12*HLOOKUP("CS",A1:CV300,14,FALSE))+(12*HLOOKUP("Gs",A1:CV300,14,FALSE)))</f>
      </c>
      <c r="K14" t="n" s="6407">
        <v>0.0</v>
      </c>
      <c r="L14" t="n" s="6408">
        <v>0.0</v>
      </c>
      <c r="M14" t="n" s="6409">
        <v>0.0</v>
      </c>
      <c r="N14" t="n" s="6410">
        <v>0.0</v>
      </c>
      <c r="O14" t="n" s="6411">
        <v>0.0</v>
      </c>
      <c r="P14" s="6412">
        <f>IF(HLOOKUP("Shots",A1:CV300,14,FALSE)=0,0,HLOOKUP("SIB",A1:CV300,14,FALSE)/HLOOKUP("Shots",A1:CV300,14,FALSE))</f>
      </c>
      <c r="Q14" t="n" s="6413">
        <v>0.0</v>
      </c>
      <c r="R14" s="6414">
        <f>IF(HLOOKUP("Shots",A1:CV300,14,FALSE)=0,0,HLOOKUP("S6YD",A1:CV300,14,FALSE)/HLOOKUP("Shots",A1:CV300,14,FALSE))</f>
      </c>
      <c r="S14" t="n" s="6415">
        <v>0.0</v>
      </c>
      <c r="T14" s="6416">
        <f>IF(HLOOKUP("Shots",A1:CV300,14,FALSE)=0,0,HLOOKUP("Headers",A1:CV300,14,FALSE)/HLOOKUP("Shots",A1:CV300,14,FALSE))</f>
      </c>
      <c r="U14" t="n" s="6417">
        <v>0.0</v>
      </c>
      <c r="V14" s="6418">
        <f>IF(HLOOKUP("Shots",A1:CV300,14,FALSE)=0,0,HLOOKUP("SOT",A1:CV300,14,FALSE)/HLOOKUP("Shots",A1:CV300,14,FALSE))</f>
      </c>
      <c r="W14" s="6419">
        <f>IF(HLOOKUP("Shots",A1:CV300,14,FALSE)=0,0,HLOOKUP("Gs",A1:CV300,14,FALSE)/HLOOKUP("Shots",A1:CV300,14,FALSE))</f>
      </c>
      <c r="X14" t="n" s="6420">
        <v>0.0</v>
      </c>
      <c r="Y14" t="n" s="6421">
        <v>0.0</v>
      </c>
      <c r="Z14" t="n" s="6422">
        <v>0.0</v>
      </c>
      <c r="AA14" s="6423">
        <f>IF(HLOOKUP("KP",A1:CV300,14,FALSE)=0,0,HLOOKUP("As",A1:CV300,14,FALSE)/HLOOKUP("KP",A1:CV300,14,FALSE))</f>
      </c>
      <c r="AB14" t="n" s="6424">
        <v>0.0</v>
      </c>
      <c r="AC14" t="n" s="6425">
        <v>0.0</v>
      </c>
      <c r="AD14" t="n" s="6426">
        <v>0.0</v>
      </c>
      <c r="AE14" t="n" s="6427">
        <v>0.0</v>
      </c>
      <c r="AF14" t="n" s="6428">
        <v>0.0</v>
      </c>
      <c r="AG14" s="6429">
        <f>IF(HLOOKUP("BC",A1:CV300,14,FALSE)=0,0,HLOOKUP("Gs - BC",A1:CV300,14,FALSE)/HLOOKUP("BC",A1:CV300,14,FALSE))</f>
      </c>
      <c r="AH14" s="6430">
        <f>HLOOKUP("BC",A1:CV300,14,FALSE) - HLOOKUP("BC Miss",A1:CV300,14,FALSE)</f>
      </c>
      <c r="AI14" s="6431">
        <f>IF(HLOOKUP("Gs",A1:CV300,14,FALSE)=0,0,HLOOKUP("Gs - BC",A1:CV300,14,FALSE)/HLOOKUP("Gs",A1:CV300,14,FALSE))</f>
      </c>
      <c r="AJ14" t="n" s="6432">
        <v>0.0</v>
      </c>
      <c r="AK14" t="n" s="6433">
        <v>0.0</v>
      </c>
      <c r="AL14" s="6434">
        <f>HLOOKUP("BC",A1:CV300,14,FALSE) - (HLOOKUP("PK Gs",A1:CV300,14,FALSE) + HLOOKUP("PK Miss",A1:CV300,14,FALSE))</f>
      </c>
      <c r="AM14" s="6435">
        <f>HLOOKUP("BC Miss",A1:CV300,14,FALSE) - HLOOKUP("PK Miss",A1:CV300,14,FALSE)</f>
      </c>
      <c r="AN14" s="6436">
        <f>IF(HLOOKUP("BC - Open",A1:CV300,14,FALSE)=0,0,HLOOKUP("BC - Open Miss",A1:CV300,14,FALSE)/HLOOKUP("BC - Open",A1:CV300,14,FALSE))</f>
      </c>
      <c r="AO14" t="n" s="6437">
        <v>0.0</v>
      </c>
      <c r="AP14" s="6438">
        <f>IF(HLOOKUP("Gs",A1:CV300,14,FALSE)=0,0,HLOOKUP("GIB",A1:CV300,14,FALSE)/HLOOKUP("Gs",A1:CV300,14,FALSE))</f>
      </c>
      <c r="AQ14" t="n" s="6439">
        <v>0.0</v>
      </c>
      <c r="AR14" s="6440">
        <f>IF(HLOOKUP("Gs",A1:CV300,14,FALSE)=0,0,HLOOKUP("Gs - Open",A1:CV300,14,FALSE)/HLOOKUP("Gs",A1:CV300,14,FALSE))</f>
      </c>
      <c r="AS14" t="n" s="6441">
        <v>0.0</v>
      </c>
      <c r="AT14" t="n" s="6442">
        <v>0.0</v>
      </c>
      <c r="AU14" s="6443">
        <f>IF(HLOOKUP("Mins",A1:CV300,14,FALSE)=0,0,HLOOKUP("Pts",A1:CV300,14,FALSE)/HLOOKUP("Mins",A1:CV300,14,FALSE)* 90)</f>
      </c>
      <c r="AV14" s="6444">
        <f>IF(HLOOKUP("Apps",A1:CV300,14,FALSE)=0,0,HLOOKUP("Pts",A1:CV300,14,FALSE)/HLOOKUP("Apps",A1:CV300,14,FALSE)* 1)</f>
      </c>
      <c r="AW14" s="6445">
        <f>IF(HLOOKUP("Mins",A1:CV300,14,FALSE)=0,0,HLOOKUP("Gs",A1:CV300,14,FALSE)/HLOOKUP("Mins",A1:CV300,14,FALSE)* 90)</f>
      </c>
      <c r="AX14" s="6446">
        <f>IF(HLOOKUP("Mins",A1:CV300,14,FALSE)=0,0,HLOOKUP("Bonus",A1:CV300,14,FALSE)/HLOOKUP("Mins",A1:CV300,14,FALSE)* 90)</f>
      </c>
      <c r="AY14" s="6447">
        <f>IF(HLOOKUP("Mins",A1:CV300,14,FALSE)=0,0,HLOOKUP("BPS",A1:CV300,14,FALSE)/HLOOKUP("Mins",A1:CV300,14,FALSE)* 90)</f>
      </c>
      <c r="AZ14" s="6448">
        <f>IF(HLOOKUP("Mins",A1:CV300,14,FALSE)=0,0,HLOOKUP("Base BPS",A1:CV300,14,FALSE)/HLOOKUP("Mins",A1:CV300,14,FALSE)* 90)</f>
      </c>
      <c r="BA14" s="6449">
        <f>IF(HLOOKUP("Mins",A1:CV300,14,FALSE)=0,0,HLOOKUP("PenTchs",A1:CV300,14,FALSE)/HLOOKUP("Mins",A1:CV300,14,FALSE)* 90)</f>
      </c>
      <c r="BB14" s="6450">
        <f>IF(HLOOKUP("Mins",A1:CV300,14,FALSE)=0,0,HLOOKUP("Shots",A1:CV300,14,FALSE)/HLOOKUP("Mins",A1:CV300,14,FALSE)* 90)</f>
      </c>
      <c r="BC14" s="6451">
        <f>IF(HLOOKUP("Mins",A1:CV300,14,FALSE)=0,0,HLOOKUP("SIB",A1:CV300,14,FALSE)/HLOOKUP("Mins",A1:CV300,14,FALSE)* 90)</f>
      </c>
      <c r="BD14" s="6452">
        <f>IF(HLOOKUP("Mins",A1:CV300,14,FALSE)=0,0,HLOOKUP("S6YD",A1:CV300,14,FALSE)/HLOOKUP("Mins",A1:CV300,14,FALSE)* 90)</f>
      </c>
      <c r="BE14" s="6453">
        <f>IF(HLOOKUP("Mins",A1:CV300,14,FALSE)=0,0,HLOOKUP("Headers",A1:CV300,14,FALSE)/HLOOKUP("Mins",A1:CV300,14,FALSE)* 90)</f>
      </c>
      <c r="BF14" s="6454">
        <f>IF(HLOOKUP("Mins",A1:CV300,14,FALSE)=0,0,HLOOKUP("SOT",A1:CV300,14,FALSE)/HLOOKUP("Mins",A1:CV300,14,FALSE)* 90)</f>
      </c>
      <c r="BG14" s="6455">
        <f>IF(HLOOKUP("Mins",A1:CV300,14,FALSE)=0,0,HLOOKUP("As",A1:CV300,14,FALSE)/HLOOKUP("Mins",A1:CV300,14,FALSE)* 90)</f>
      </c>
      <c r="BH14" s="6456">
        <f>IF(HLOOKUP("Mins",A1:CV300,14,FALSE)=0,0,HLOOKUP("FPL As",A1:CV300,14,FALSE)/HLOOKUP("Mins",A1:CV300,14,FALSE)* 90)</f>
      </c>
      <c r="BI14" s="6457">
        <f>IF(HLOOKUP("Mins",A1:CV300,14,FALSE)=0,0,HLOOKUP("BC Created",A1:CV300,14,FALSE)/HLOOKUP("Mins",A1:CV300,14,FALSE)* 90)</f>
      </c>
      <c r="BJ14" s="6458">
        <f>IF(HLOOKUP("Mins",A1:CV300,14,FALSE)=0,0,HLOOKUP("KP",A1:CV300,14,FALSE)/HLOOKUP("Mins",A1:CV300,14,FALSE)* 90)</f>
      </c>
      <c r="BK14" s="6459">
        <f>IF(HLOOKUP("Mins",A1:CV300,14,FALSE)=0,0,HLOOKUP("BC",A1:CV300,14,FALSE)/HLOOKUP("Mins",A1:CV300,14,FALSE)* 90)</f>
      </c>
      <c r="BL14" s="6460">
        <f>IF(HLOOKUP("Mins",A1:CV300,14,FALSE)=0,0,HLOOKUP("BC Miss",A1:CV300,14,FALSE)/HLOOKUP("Mins",A1:CV300,14,FALSE)* 90)</f>
      </c>
      <c r="BM14" s="6461">
        <f>IF(HLOOKUP("Mins",A1:CV300,14,FALSE)=0,0,HLOOKUP("Gs - BC",A1:CV300,14,FALSE)/HLOOKUP("Mins",A1:CV300,14,FALSE)* 90)</f>
      </c>
      <c r="BN14" s="6462">
        <f>IF(HLOOKUP("Mins",A1:CV300,14,FALSE)=0,0,HLOOKUP("GIB",A1:CV300,14,FALSE)/HLOOKUP("Mins",A1:CV300,14,FALSE)* 90)</f>
      </c>
      <c r="BO14" s="6463">
        <f>IF(HLOOKUP("Mins",A1:CV300,14,FALSE)=0,0,HLOOKUP("Gs - Open",A1:CV300,14,FALSE)/HLOOKUP("Mins",A1:CV300,14,FALSE)* 90)</f>
      </c>
      <c r="BP14" s="6464">
        <f>IF(HLOOKUP("Mins",A1:CV300,14,FALSE)=0,0,HLOOKUP("ICT Index",A1:CV300,14,FALSE)/HLOOKUP("Mins",A1:CV300,14,FALSE)* 90)</f>
      </c>
      <c r="BQ14" s="6465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</c>
      <c r="BR14" s="6466">
        <f>0.0825*HLOOKUP("KP/90",A1:CV300,14,FALSE)</f>
      </c>
      <c r="BS14" s="6467">
        <f>6*HLOOKUP("xG/90",A1:CV300,14,FALSE)+3*HLOOKUP("xA/90",A1:CV300,14,FALSE)</f>
      </c>
      <c r="BT14" s="6468">
        <f>HLOOKUP("xPts/90",A1:CV300,14,FALSE)-(6*0.75*(HLOOKUP("PK Gs",A1:CV300,14,FALSE)+HLOOKUP("PK Miss",A1:CV300,14,FALSE))*90/HLOOKUP("Mins",A1:CV300,14,FALSE))</f>
      </c>
      <c r="BU14" s="6469">
        <f>IF(HLOOKUP("Mins",A1:CV300,14,FALSE)=0,0,HLOOKUP("fsXG",A1:CV300,14,FALSE)/HLOOKUP("Mins",A1:CV300,14,FALSE)* 90)</f>
      </c>
      <c r="BV14" s="6470">
        <f>IF(HLOOKUP("Mins",A1:CV300,14,FALSE)=0,0,HLOOKUP("fsXA",A1:CV300,14,FALSE)/HLOOKUP("Mins",A1:CV300,14,FALSE)* 90)</f>
      </c>
      <c r="BW14" s="6471">
        <f>6*HLOOKUP("fsXG/90",A1:CV300,14,FALSE)+3*HLOOKUP("fsXA/90",A1:CV300,14,FALSE)</f>
      </c>
      <c r="BX14" t="n" s="6472">
        <v>0.0</v>
      </c>
      <c r="BY14" t="n" s="6473">
        <v>0.0</v>
      </c>
      <c r="BZ14" s="6474">
        <f>6*HLOOKUP("uXG/90",A1:CV300,14,FALSE)+3*HLOOKUP("uXA/90",A1:CV300,14,FALSE)</f>
      </c>
    </row>
    <row r="15">
      <c r="A15" t="s" s="6475">
        <v>180</v>
      </c>
      <c r="B15" t="s" s="6476">
        <v>95</v>
      </c>
      <c r="C15" t="n" s="6477">
        <v>5.300000190734863</v>
      </c>
      <c r="D15" t="n" s="6478">
        <v>90.0</v>
      </c>
      <c r="E15" t="n" s="6479">
        <v>1.0</v>
      </c>
      <c r="F15" t="n" s="6480">
        <v>9.0</v>
      </c>
      <c r="G15" t="n" s="6481">
        <v>0.0</v>
      </c>
      <c r="H15" t="n" s="6482">
        <v>0.0</v>
      </c>
      <c r="I15" t="n" s="6483">
        <v>65.0</v>
      </c>
      <c r="J15" s="6484">
        <f>HLOOKUP("BPS",A1:CV300,15,FALSE)-((-6*HLOOKUP("OG",A1:CV300,15,FALSE))+(-6*HLOOKUP("PK Miss",A1:CV300,15,FALSE))+(9*HLOOKUP("FPL As",A1:CV300,15,FALSE))+(12*HLOOKUP("CS",A1:CV300,15,FALSE))+(12*HLOOKUP("Gs",A1:CV300,15,FALSE)))</f>
      </c>
      <c r="K15" t="n" s="6485">
        <v>0.0</v>
      </c>
      <c r="L15" t="n" s="6486">
        <v>0.0</v>
      </c>
      <c r="M15" t="n" s="6487">
        <v>1.0</v>
      </c>
      <c r="N15" t="n" s="6488">
        <v>0.0</v>
      </c>
      <c r="O15" t="n" s="6489">
        <v>0.0</v>
      </c>
      <c r="P15" s="6490">
        <f>IF(HLOOKUP("Shots",A1:CV300,15,FALSE)=0,0,HLOOKUP("SIB",A1:CV300,15,FALSE)/HLOOKUP("Shots",A1:CV300,15,FALSE))</f>
      </c>
      <c r="Q15" t="n" s="6491">
        <v>0.0</v>
      </c>
      <c r="R15" s="6492">
        <f>IF(HLOOKUP("Shots",A1:CV300,15,FALSE)=0,0,HLOOKUP("S6YD",A1:CV300,15,FALSE)/HLOOKUP("Shots",A1:CV300,15,FALSE))</f>
      </c>
      <c r="S15" t="n" s="6493">
        <v>0.0</v>
      </c>
      <c r="T15" s="6494">
        <f>IF(HLOOKUP("Shots",A1:CV300,15,FALSE)=0,0,HLOOKUP("Headers",A1:CV300,15,FALSE)/HLOOKUP("Shots",A1:CV300,15,FALSE))</f>
      </c>
      <c r="U15" t="n" s="6495">
        <v>0.0</v>
      </c>
      <c r="V15" s="6496">
        <f>IF(HLOOKUP("Shots",A1:CV300,15,FALSE)=0,0,HLOOKUP("SOT",A1:CV300,15,FALSE)/HLOOKUP("Shots",A1:CV300,15,FALSE))</f>
      </c>
      <c r="W15" s="6497">
        <f>IF(HLOOKUP("Shots",A1:CV300,15,FALSE)=0,0,HLOOKUP("Gs",A1:CV300,15,FALSE)/HLOOKUP("Shots",A1:CV300,15,FALSE))</f>
      </c>
      <c r="X15" t="n" s="6498">
        <v>0.0</v>
      </c>
      <c r="Y15" t="n" s="6499">
        <v>0.0</v>
      </c>
      <c r="Z15" t="n" s="6500">
        <v>1.0</v>
      </c>
      <c r="AA15" s="6501">
        <f>IF(HLOOKUP("KP",A1:CV300,15,FALSE)=0,0,HLOOKUP("As",A1:CV300,15,FALSE)/HLOOKUP("KP",A1:CV300,15,FALSE))</f>
      </c>
      <c r="AB15" t="n" s="6502">
        <v>5.6</v>
      </c>
      <c r="AC15" t="n" s="6503">
        <v>0.0</v>
      </c>
      <c r="AD15" t="n" s="6504">
        <v>1.0</v>
      </c>
      <c r="AE15" t="n" s="6505">
        <v>0.0</v>
      </c>
      <c r="AF15" t="n" s="6506">
        <v>0.0</v>
      </c>
      <c r="AG15" s="6507">
        <f>IF(HLOOKUP("BC",A1:CV300,15,FALSE)=0,0,HLOOKUP("Gs - BC",A1:CV300,15,FALSE)/HLOOKUP("BC",A1:CV300,15,FALSE))</f>
      </c>
      <c r="AH15" s="6508">
        <f>HLOOKUP("BC",A1:CV300,15,FALSE) - HLOOKUP("BC Miss",A1:CV300,15,FALSE)</f>
      </c>
      <c r="AI15" s="6509">
        <f>IF(HLOOKUP("Gs",A1:CV300,15,FALSE)=0,0,HLOOKUP("Gs - BC",A1:CV300,15,FALSE)/HLOOKUP("Gs",A1:CV300,15,FALSE))</f>
      </c>
      <c r="AJ15" t="n" s="6510">
        <v>0.0</v>
      </c>
      <c r="AK15" t="n" s="6511">
        <v>0.0</v>
      </c>
      <c r="AL15" s="6512">
        <f>HLOOKUP("BC",A1:CV300,15,FALSE) - (HLOOKUP("PK Gs",A1:CV300,15,FALSE) + HLOOKUP("PK Miss",A1:CV300,15,FALSE))</f>
      </c>
      <c r="AM15" s="6513">
        <f>HLOOKUP("BC Miss",A1:CV300,15,FALSE) - HLOOKUP("PK Miss",A1:CV300,15,FALSE)</f>
      </c>
      <c r="AN15" s="6514">
        <f>IF(HLOOKUP("BC - Open",A1:CV300,15,FALSE)=0,0,HLOOKUP("BC - Open Miss",A1:CV300,15,FALSE)/HLOOKUP("BC - Open",A1:CV300,15,FALSE))</f>
      </c>
      <c r="AO15" t="n" s="6515">
        <v>0.0</v>
      </c>
      <c r="AP15" s="6516">
        <f>IF(HLOOKUP("Gs",A1:CV300,15,FALSE)=0,0,HLOOKUP("GIB",A1:CV300,15,FALSE)/HLOOKUP("Gs",A1:CV300,15,FALSE))</f>
      </c>
      <c r="AQ15" t="n" s="6517">
        <v>0.0</v>
      </c>
      <c r="AR15" s="6518">
        <f>IF(HLOOKUP("Gs",A1:CV300,15,FALSE)=0,0,HLOOKUP("Gs - Open",A1:CV300,15,FALSE)/HLOOKUP("Gs",A1:CV300,15,FALSE))</f>
      </c>
      <c r="AS15" t="n" s="6519">
        <v>0.0</v>
      </c>
      <c r="AT15" t="n" s="6520">
        <v>0.06</v>
      </c>
      <c r="AU15" s="6521">
        <f>IF(HLOOKUP("Mins",A1:CV300,15,FALSE)=0,0,HLOOKUP("Pts",A1:CV300,15,FALSE)/HLOOKUP("Mins",A1:CV300,15,FALSE)* 90)</f>
      </c>
      <c r="AV15" s="6522">
        <f>IF(HLOOKUP("Apps",A1:CV300,15,FALSE)=0,0,HLOOKUP("Pts",A1:CV300,15,FALSE)/HLOOKUP("Apps",A1:CV300,15,FALSE)* 1)</f>
      </c>
      <c r="AW15" s="6523">
        <f>IF(HLOOKUP("Mins",A1:CV300,15,FALSE)=0,0,HLOOKUP("Gs",A1:CV300,15,FALSE)/HLOOKUP("Mins",A1:CV300,15,FALSE)* 90)</f>
      </c>
      <c r="AX15" s="6524">
        <f>IF(HLOOKUP("Mins",A1:CV300,15,FALSE)=0,0,HLOOKUP("Bonus",A1:CV300,15,FALSE)/HLOOKUP("Mins",A1:CV300,15,FALSE)* 90)</f>
      </c>
      <c r="AY15" s="6525">
        <f>IF(HLOOKUP("Mins",A1:CV300,15,FALSE)=0,0,HLOOKUP("BPS",A1:CV300,15,FALSE)/HLOOKUP("Mins",A1:CV300,15,FALSE)* 90)</f>
      </c>
      <c r="AZ15" s="6526">
        <f>IF(HLOOKUP("Mins",A1:CV300,15,FALSE)=0,0,HLOOKUP("Base BPS",A1:CV300,15,FALSE)/HLOOKUP("Mins",A1:CV300,15,FALSE)* 90)</f>
      </c>
      <c r="BA15" s="6527">
        <f>IF(HLOOKUP("Mins",A1:CV300,15,FALSE)=0,0,HLOOKUP("PenTchs",A1:CV300,15,FALSE)/HLOOKUP("Mins",A1:CV300,15,FALSE)* 90)</f>
      </c>
      <c r="BB15" s="6528">
        <f>IF(HLOOKUP("Mins",A1:CV300,15,FALSE)=0,0,HLOOKUP("Shots",A1:CV300,15,FALSE)/HLOOKUP("Mins",A1:CV300,15,FALSE)* 90)</f>
      </c>
      <c r="BC15" s="6529">
        <f>IF(HLOOKUP("Mins",A1:CV300,15,FALSE)=0,0,HLOOKUP("SIB",A1:CV300,15,FALSE)/HLOOKUP("Mins",A1:CV300,15,FALSE)* 90)</f>
      </c>
      <c r="BD15" s="6530">
        <f>IF(HLOOKUP("Mins",A1:CV300,15,FALSE)=0,0,HLOOKUP("S6YD",A1:CV300,15,FALSE)/HLOOKUP("Mins",A1:CV300,15,FALSE)* 90)</f>
      </c>
      <c r="BE15" s="6531">
        <f>IF(HLOOKUP("Mins",A1:CV300,15,FALSE)=0,0,HLOOKUP("Headers",A1:CV300,15,FALSE)/HLOOKUP("Mins",A1:CV300,15,FALSE)* 90)</f>
      </c>
      <c r="BF15" s="6532">
        <f>IF(HLOOKUP("Mins",A1:CV300,15,FALSE)=0,0,HLOOKUP("SOT",A1:CV300,15,FALSE)/HLOOKUP("Mins",A1:CV300,15,FALSE)* 90)</f>
      </c>
      <c r="BG15" s="6533">
        <f>IF(HLOOKUP("Mins",A1:CV300,15,FALSE)=0,0,HLOOKUP("As",A1:CV300,15,FALSE)/HLOOKUP("Mins",A1:CV300,15,FALSE)* 90)</f>
      </c>
      <c r="BH15" s="6534">
        <f>IF(HLOOKUP("Mins",A1:CV300,15,FALSE)=0,0,HLOOKUP("FPL As",A1:CV300,15,FALSE)/HLOOKUP("Mins",A1:CV300,15,FALSE)* 90)</f>
      </c>
      <c r="BI15" s="6535">
        <f>IF(HLOOKUP("Mins",A1:CV300,15,FALSE)=0,0,HLOOKUP("BC Created",A1:CV300,15,FALSE)/HLOOKUP("Mins",A1:CV300,15,FALSE)* 90)</f>
      </c>
      <c r="BJ15" s="6536">
        <f>IF(HLOOKUP("Mins",A1:CV300,15,FALSE)=0,0,HLOOKUP("KP",A1:CV300,15,FALSE)/HLOOKUP("Mins",A1:CV300,15,FALSE)* 90)</f>
      </c>
      <c r="BK15" s="6537">
        <f>IF(HLOOKUP("Mins",A1:CV300,15,FALSE)=0,0,HLOOKUP("BC",A1:CV300,15,FALSE)/HLOOKUP("Mins",A1:CV300,15,FALSE)* 90)</f>
      </c>
      <c r="BL15" s="6538">
        <f>IF(HLOOKUP("Mins",A1:CV300,15,FALSE)=0,0,HLOOKUP("BC Miss",A1:CV300,15,FALSE)/HLOOKUP("Mins",A1:CV300,15,FALSE)* 90)</f>
      </c>
      <c r="BM15" s="6539">
        <f>IF(HLOOKUP("Mins",A1:CV300,15,FALSE)=0,0,HLOOKUP("Gs - BC",A1:CV300,15,FALSE)/HLOOKUP("Mins",A1:CV300,15,FALSE)* 90)</f>
      </c>
      <c r="BN15" s="6540">
        <f>IF(HLOOKUP("Mins",A1:CV300,15,FALSE)=0,0,HLOOKUP("GIB",A1:CV300,15,FALSE)/HLOOKUP("Mins",A1:CV300,15,FALSE)* 90)</f>
      </c>
      <c r="BO15" s="6541">
        <f>IF(HLOOKUP("Mins",A1:CV300,15,FALSE)=0,0,HLOOKUP("Gs - Open",A1:CV300,15,FALSE)/HLOOKUP("Mins",A1:CV300,15,FALSE)* 90)</f>
      </c>
      <c r="BP15" s="6542">
        <f>IF(HLOOKUP("Mins",A1:CV300,15,FALSE)=0,0,HLOOKUP("ICT Index",A1:CV300,15,FALSE)/HLOOKUP("Mins",A1:CV300,15,FALSE)* 90)</f>
      </c>
      <c r="BQ15" s="6543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</c>
      <c r="BR15" s="6544">
        <f>0.0825*HLOOKUP("KP/90",A1:CV300,15,FALSE)</f>
      </c>
      <c r="BS15" s="6545">
        <f>6*HLOOKUP("xG/90",A1:CV300,15,FALSE)+3*HLOOKUP("xA/90",A1:CV300,15,FALSE)</f>
      </c>
      <c r="BT15" s="6546">
        <f>HLOOKUP("xPts/90",A1:CV300,15,FALSE)-(6*0.75*(HLOOKUP("PK Gs",A1:CV300,15,FALSE)+HLOOKUP("PK Miss",A1:CV300,15,FALSE))*90/HLOOKUP("Mins",A1:CV300,15,FALSE))</f>
      </c>
      <c r="BU15" s="6547">
        <f>IF(HLOOKUP("Mins",A1:CV300,15,FALSE)=0,0,HLOOKUP("fsXG",A1:CV300,15,FALSE)/HLOOKUP("Mins",A1:CV300,15,FALSE)* 90)</f>
      </c>
      <c r="BV15" s="6548">
        <f>IF(HLOOKUP("Mins",A1:CV300,15,FALSE)=0,0,HLOOKUP("fsXA",A1:CV300,15,FALSE)/HLOOKUP("Mins",A1:CV300,15,FALSE)* 90)</f>
      </c>
      <c r="BW15" s="6549">
        <f>6*HLOOKUP("fsXG/90",A1:CV300,15,FALSE)+3*HLOOKUP("fsXA/90",A1:CV300,15,FALSE)</f>
      </c>
      <c r="BX15" t="n" s="6550">
        <v>0.0</v>
      </c>
      <c r="BY15" t="n" s="6551">
        <v>0.3536457419395447</v>
      </c>
      <c r="BZ15" s="6552">
        <f>6*HLOOKUP("uXG/90",A1:CV300,15,FALSE)+3*HLOOKUP("uXA/90",A1:CV300,15,FALSE)</f>
      </c>
    </row>
    <row r="16">
      <c r="A16" t="s" s="6553">
        <v>181</v>
      </c>
      <c r="B16" t="s" s="6554">
        <v>80</v>
      </c>
      <c r="C16" t="n" s="6555">
        <v>5.199999809265137</v>
      </c>
      <c r="D16" t="n" s="6556">
        <v>159.0</v>
      </c>
      <c r="E16" t="n" s="6557">
        <v>2.0</v>
      </c>
      <c r="F16" t="n" s="6558">
        <v>34.0</v>
      </c>
      <c r="G16" t="n" s="6559">
        <v>0.0</v>
      </c>
      <c r="H16" t="n" s="6560">
        <v>1.0</v>
      </c>
      <c r="I16" t="n" s="6561">
        <v>219.0</v>
      </c>
      <c r="J16" s="6562">
        <f>HLOOKUP("BPS",A1:CV300,16,FALSE)-((-6*HLOOKUP("OG",A1:CV300,16,FALSE))+(-6*HLOOKUP("PK Miss",A1:CV300,16,FALSE))+(9*HLOOKUP("FPL As",A1:CV300,16,FALSE))+(12*HLOOKUP("CS",A1:CV300,16,FALSE))+(12*HLOOKUP("Gs",A1:CV300,16,FALSE)))</f>
      </c>
      <c r="K16" t="n" s="6563">
        <v>0.0</v>
      </c>
      <c r="L16" t="n" s="6564">
        <v>2.0</v>
      </c>
      <c r="M16" t="n" s="6565">
        <v>6.0</v>
      </c>
      <c r="N16" t="n" s="6566">
        <v>0.0</v>
      </c>
      <c r="O16" t="n" s="6567">
        <v>0.0</v>
      </c>
      <c r="P16" s="6568">
        <f>IF(HLOOKUP("Shots",A1:CV300,16,FALSE)=0,0,HLOOKUP("SIB",A1:CV300,16,FALSE)/HLOOKUP("Shots",A1:CV300,16,FALSE))</f>
      </c>
      <c r="Q16" t="n" s="6569">
        <v>0.0</v>
      </c>
      <c r="R16" s="6570">
        <f>IF(HLOOKUP("Shots",A1:CV300,16,FALSE)=0,0,HLOOKUP("S6YD",A1:CV300,16,FALSE)/HLOOKUP("Shots",A1:CV300,16,FALSE))</f>
      </c>
      <c r="S16" t="n" s="6571">
        <v>0.0</v>
      </c>
      <c r="T16" s="6572">
        <f>IF(HLOOKUP("Shots",A1:CV300,16,FALSE)=0,0,HLOOKUP("Headers",A1:CV300,16,FALSE)/HLOOKUP("Shots",A1:CV300,16,FALSE))</f>
      </c>
      <c r="U16" t="n" s="6573">
        <v>0.0</v>
      </c>
      <c r="V16" s="6574">
        <f>IF(HLOOKUP("Shots",A1:CV300,16,FALSE)=0,0,HLOOKUP("SOT",A1:CV300,16,FALSE)/HLOOKUP("Shots",A1:CV300,16,FALSE))</f>
      </c>
      <c r="W16" s="6575">
        <f>IF(HLOOKUP("Shots",A1:CV300,16,FALSE)=0,0,HLOOKUP("Gs",A1:CV300,16,FALSE)/HLOOKUP("Shots",A1:CV300,16,FALSE))</f>
      </c>
      <c r="X16" t="n" s="6576">
        <v>0.0</v>
      </c>
      <c r="Y16" t="n" s="6577">
        <v>2.0</v>
      </c>
      <c r="Z16" t="n" s="6578">
        <v>0.0</v>
      </c>
      <c r="AA16" s="6579">
        <f>IF(HLOOKUP("KP",A1:CV300,16,FALSE)=0,0,HLOOKUP("As",A1:CV300,16,FALSE)/HLOOKUP("KP",A1:CV300,16,FALSE))</f>
      </c>
      <c r="AB16" t="n" s="6580">
        <v>3.4</v>
      </c>
      <c r="AC16" t="n" s="6581">
        <v>0.0</v>
      </c>
      <c r="AD16" t="n" s="6582">
        <v>0.0</v>
      </c>
      <c r="AE16" t="n" s="6583">
        <v>0.0</v>
      </c>
      <c r="AF16" t="n" s="6584">
        <v>0.0</v>
      </c>
      <c r="AG16" s="6585">
        <f>IF(HLOOKUP("BC",A1:CV300,16,FALSE)=0,0,HLOOKUP("Gs - BC",A1:CV300,16,FALSE)/HLOOKUP("BC",A1:CV300,16,FALSE))</f>
      </c>
      <c r="AH16" s="6586">
        <f>HLOOKUP("BC",A1:CV300,16,FALSE) - HLOOKUP("BC Miss",A1:CV300,16,FALSE)</f>
      </c>
      <c r="AI16" s="6587">
        <f>IF(HLOOKUP("Gs",A1:CV300,16,FALSE)=0,0,HLOOKUP("Gs - BC",A1:CV300,16,FALSE)/HLOOKUP("Gs",A1:CV300,16,FALSE))</f>
      </c>
      <c r="AJ16" t="n" s="6588">
        <v>0.0</v>
      </c>
      <c r="AK16" t="n" s="6589">
        <v>0.0</v>
      </c>
      <c r="AL16" s="6590">
        <f>HLOOKUP("BC",A1:CV300,16,FALSE) - (HLOOKUP("PK Gs",A1:CV300,16,FALSE) + HLOOKUP("PK Miss",A1:CV300,16,FALSE))</f>
      </c>
      <c r="AM16" s="6591">
        <f>HLOOKUP("BC Miss",A1:CV300,16,FALSE) - HLOOKUP("PK Miss",A1:CV300,16,FALSE)</f>
      </c>
      <c r="AN16" s="6592">
        <f>IF(HLOOKUP("BC - Open",A1:CV300,16,FALSE)=0,0,HLOOKUP("BC - Open Miss",A1:CV300,16,FALSE)/HLOOKUP("BC - Open",A1:CV300,16,FALSE))</f>
      </c>
      <c r="AO16" t="n" s="6593">
        <v>0.0</v>
      </c>
      <c r="AP16" s="6594">
        <f>IF(HLOOKUP("Gs",A1:CV300,16,FALSE)=0,0,HLOOKUP("GIB",A1:CV300,16,FALSE)/HLOOKUP("Gs",A1:CV300,16,FALSE))</f>
      </c>
      <c r="AQ16" t="n" s="6595">
        <v>0.0</v>
      </c>
      <c r="AR16" s="6596">
        <f>IF(HLOOKUP("Gs",A1:CV300,16,FALSE)=0,0,HLOOKUP("Gs - Open",A1:CV300,16,FALSE)/HLOOKUP("Gs",A1:CV300,16,FALSE))</f>
      </c>
      <c r="AS16" t="n" s="6597">
        <v>0.0</v>
      </c>
      <c r="AT16" t="n" s="6598">
        <v>0.1</v>
      </c>
      <c r="AU16" s="6599">
        <f>IF(HLOOKUP("Mins",A1:CV300,16,FALSE)=0,0,HLOOKUP("Pts",A1:CV300,16,FALSE)/HLOOKUP("Mins",A1:CV300,16,FALSE)* 90)</f>
      </c>
      <c r="AV16" s="6600">
        <f>IF(HLOOKUP("Apps",A1:CV300,16,FALSE)=0,0,HLOOKUP("Pts",A1:CV300,16,FALSE)/HLOOKUP("Apps",A1:CV300,16,FALSE)* 1)</f>
      </c>
      <c r="AW16" s="6601">
        <f>IF(HLOOKUP("Mins",A1:CV300,16,FALSE)=0,0,HLOOKUP("Gs",A1:CV300,16,FALSE)/HLOOKUP("Mins",A1:CV300,16,FALSE)* 90)</f>
      </c>
      <c r="AX16" s="6602">
        <f>IF(HLOOKUP("Mins",A1:CV300,16,FALSE)=0,0,HLOOKUP("Bonus",A1:CV300,16,FALSE)/HLOOKUP("Mins",A1:CV300,16,FALSE)* 90)</f>
      </c>
      <c r="AY16" s="6603">
        <f>IF(HLOOKUP("Mins",A1:CV300,16,FALSE)=0,0,HLOOKUP("BPS",A1:CV300,16,FALSE)/HLOOKUP("Mins",A1:CV300,16,FALSE)* 90)</f>
      </c>
      <c r="AZ16" s="6604">
        <f>IF(HLOOKUP("Mins",A1:CV300,16,FALSE)=0,0,HLOOKUP("Base BPS",A1:CV300,16,FALSE)/HLOOKUP("Mins",A1:CV300,16,FALSE)* 90)</f>
      </c>
      <c r="BA16" s="6605">
        <f>IF(HLOOKUP("Mins",A1:CV300,16,FALSE)=0,0,HLOOKUP("PenTchs",A1:CV300,16,FALSE)/HLOOKUP("Mins",A1:CV300,16,FALSE)* 90)</f>
      </c>
      <c r="BB16" s="6606">
        <f>IF(HLOOKUP("Mins",A1:CV300,16,FALSE)=0,0,HLOOKUP("Shots",A1:CV300,16,FALSE)/HLOOKUP("Mins",A1:CV300,16,FALSE)* 90)</f>
      </c>
      <c r="BC16" s="6607">
        <f>IF(HLOOKUP("Mins",A1:CV300,16,FALSE)=0,0,HLOOKUP("SIB",A1:CV300,16,FALSE)/HLOOKUP("Mins",A1:CV300,16,FALSE)* 90)</f>
      </c>
      <c r="BD16" s="6608">
        <f>IF(HLOOKUP("Mins",A1:CV300,16,FALSE)=0,0,HLOOKUP("S6YD",A1:CV300,16,FALSE)/HLOOKUP("Mins",A1:CV300,16,FALSE)* 90)</f>
      </c>
      <c r="BE16" s="6609">
        <f>IF(HLOOKUP("Mins",A1:CV300,16,FALSE)=0,0,HLOOKUP("Headers",A1:CV300,16,FALSE)/HLOOKUP("Mins",A1:CV300,16,FALSE)* 90)</f>
      </c>
      <c r="BF16" s="6610">
        <f>IF(HLOOKUP("Mins",A1:CV300,16,FALSE)=0,0,HLOOKUP("SOT",A1:CV300,16,FALSE)/HLOOKUP("Mins",A1:CV300,16,FALSE)* 90)</f>
      </c>
      <c r="BG16" s="6611">
        <f>IF(HLOOKUP("Mins",A1:CV300,16,FALSE)=0,0,HLOOKUP("As",A1:CV300,16,FALSE)/HLOOKUP("Mins",A1:CV300,16,FALSE)* 90)</f>
      </c>
      <c r="BH16" s="6612">
        <f>IF(HLOOKUP("Mins",A1:CV300,16,FALSE)=0,0,HLOOKUP("FPL As",A1:CV300,16,FALSE)/HLOOKUP("Mins",A1:CV300,16,FALSE)* 90)</f>
      </c>
      <c r="BI16" s="6613">
        <f>IF(HLOOKUP("Mins",A1:CV300,16,FALSE)=0,0,HLOOKUP("BC Created",A1:CV300,16,FALSE)/HLOOKUP("Mins",A1:CV300,16,FALSE)* 90)</f>
      </c>
      <c r="BJ16" s="6614">
        <f>IF(HLOOKUP("Mins",A1:CV300,16,FALSE)=0,0,HLOOKUP("KP",A1:CV300,16,FALSE)/HLOOKUP("Mins",A1:CV300,16,FALSE)* 90)</f>
      </c>
      <c r="BK16" s="6615">
        <f>IF(HLOOKUP("Mins",A1:CV300,16,FALSE)=0,0,HLOOKUP("BC",A1:CV300,16,FALSE)/HLOOKUP("Mins",A1:CV300,16,FALSE)* 90)</f>
      </c>
      <c r="BL16" s="6616">
        <f>IF(HLOOKUP("Mins",A1:CV300,16,FALSE)=0,0,HLOOKUP("BC Miss",A1:CV300,16,FALSE)/HLOOKUP("Mins",A1:CV300,16,FALSE)* 90)</f>
      </c>
      <c r="BM16" s="6617">
        <f>IF(HLOOKUP("Mins",A1:CV300,16,FALSE)=0,0,HLOOKUP("Gs - BC",A1:CV300,16,FALSE)/HLOOKUP("Mins",A1:CV300,16,FALSE)* 90)</f>
      </c>
      <c r="BN16" s="6618">
        <f>IF(HLOOKUP("Mins",A1:CV300,16,FALSE)=0,0,HLOOKUP("GIB",A1:CV300,16,FALSE)/HLOOKUP("Mins",A1:CV300,16,FALSE)* 90)</f>
      </c>
      <c r="BO16" s="6619">
        <f>IF(HLOOKUP("Mins",A1:CV300,16,FALSE)=0,0,HLOOKUP("Gs - Open",A1:CV300,16,FALSE)/HLOOKUP("Mins",A1:CV300,16,FALSE)* 90)</f>
      </c>
      <c r="BP16" s="6620">
        <f>IF(HLOOKUP("Mins",A1:CV300,16,FALSE)=0,0,HLOOKUP("ICT Index",A1:CV300,16,FALSE)/HLOOKUP("Mins",A1:CV300,16,FALSE)* 90)</f>
      </c>
      <c r="BQ16" s="6621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</c>
      <c r="BR16" s="6622">
        <f>0.0825*HLOOKUP("KP/90",A1:CV300,16,FALSE)</f>
      </c>
      <c r="BS16" s="6623">
        <f>6*HLOOKUP("xG/90",A1:CV300,16,FALSE)+3*HLOOKUP("xA/90",A1:CV300,16,FALSE)</f>
      </c>
      <c r="BT16" s="6624">
        <f>HLOOKUP("xPts/90",A1:CV300,16,FALSE)-(6*0.75*(HLOOKUP("PK Gs",A1:CV300,16,FALSE)+HLOOKUP("PK Miss",A1:CV300,16,FALSE))*90/HLOOKUP("Mins",A1:CV300,16,FALSE))</f>
      </c>
      <c r="BU16" s="6625">
        <f>IF(HLOOKUP("Mins",A1:CV300,16,FALSE)=0,0,HLOOKUP("fsXG",A1:CV300,16,FALSE)/HLOOKUP("Mins",A1:CV300,16,FALSE)* 90)</f>
      </c>
      <c r="BV16" s="6626">
        <f>IF(HLOOKUP("Mins",A1:CV300,16,FALSE)=0,0,HLOOKUP("fsXA",A1:CV300,16,FALSE)/HLOOKUP("Mins",A1:CV300,16,FALSE)* 90)</f>
      </c>
      <c r="BW16" s="6627">
        <f>6*HLOOKUP("fsXG/90",A1:CV300,16,FALSE)+3*HLOOKUP("fsXA/90",A1:CV300,16,FALSE)</f>
      </c>
      <c r="BX16" t="n" s="6628">
        <v>0.0</v>
      </c>
      <c r="BY16" t="n" s="6629">
        <v>0.0</v>
      </c>
      <c r="BZ16" s="6630">
        <f>6*HLOOKUP("uXG/90",A1:CV300,16,FALSE)+3*HLOOKUP("uXA/90",A1:CV300,16,FALSE)</f>
      </c>
    </row>
    <row r="17">
      <c r="A17" t="s" s="6631">
        <v>182</v>
      </c>
      <c r="B17" t="s" s="6632">
        <v>105</v>
      </c>
      <c r="C17" t="n" s="6633">
        <v>5.0</v>
      </c>
      <c r="D17" t="n" s="6634">
        <v>297.0</v>
      </c>
      <c r="E17" t="n" s="6635">
        <v>4.0</v>
      </c>
      <c r="F17" t="n" s="6636">
        <v>64.0</v>
      </c>
      <c r="G17" t="n" s="6637">
        <v>0.0</v>
      </c>
      <c r="H17" t="n" s="6638">
        <v>6.0</v>
      </c>
      <c r="I17" t="n" s="6639">
        <v>295.0</v>
      </c>
      <c r="J17" s="6640">
        <f>HLOOKUP("BPS",A1:CV300,17,FALSE)-((-6*HLOOKUP("OG",A1:CV300,17,FALSE))+(-6*HLOOKUP("PK Miss",A1:CV300,17,FALSE))+(9*HLOOKUP("FPL As",A1:CV300,17,FALSE))+(12*HLOOKUP("CS",A1:CV300,17,FALSE))+(12*HLOOKUP("Gs",A1:CV300,17,FALSE)))</f>
      </c>
      <c r="K17" t="n" s="6641">
        <v>0.0</v>
      </c>
      <c r="L17" t="n" s="6642">
        <v>5.0</v>
      </c>
      <c r="M17" t="n" s="6643">
        <v>5.0</v>
      </c>
      <c r="N17" t="n" s="6644">
        <v>1.0</v>
      </c>
      <c r="O17" t="n" s="6645">
        <v>1.0</v>
      </c>
      <c r="P17" s="6646">
        <f>IF(HLOOKUP("Shots",A1:CV300,17,FALSE)=0,0,HLOOKUP("SIB",A1:CV300,17,FALSE)/HLOOKUP("Shots",A1:CV300,17,FALSE))</f>
      </c>
      <c r="Q17" t="n" s="6647">
        <v>0.0</v>
      </c>
      <c r="R17" s="6648">
        <f>IF(HLOOKUP("Shots",A1:CV300,17,FALSE)=0,0,HLOOKUP("S6YD",A1:CV300,17,FALSE)/HLOOKUP("Shots",A1:CV300,17,FALSE))</f>
      </c>
      <c r="S17" t="n" s="6649">
        <v>0.0</v>
      </c>
      <c r="T17" s="6650">
        <f>IF(HLOOKUP("Shots",A1:CV300,17,FALSE)=0,0,HLOOKUP("Headers",A1:CV300,17,FALSE)/HLOOKUP("Shots",A1:CV300,17,FALSE))</f>
      </c>
      <c r="U17" t="n" s="6651">
        <v>1.0</v>
      </c>
      <c r="V17" s="6652">
        <f>IF(HLOOKUP("Shots",A1:CV300,17,FALSE)=0,0,HLOOKUP("SOT",A1:CV300,17,FALSE)/HLOOKUP("Shots",A1:CV300,17,FALSE))</f>
      </c>
      <c r="W17" s="6653">
        <f>IF(HLOOKUP("Shots",A1:CV300,17,FALSE)=0,0,HLOOKUP("Gs",A1:CV300,17,FALSE)/HLOOKUP("Shots",A1:CV300,17,FALSE))</f>
      </c>
      <c r="X17" t="n" s="6654">
        <v>0.0</v>
      </c>
      <c r="Y17" t="n" s="6655">
        <v>1.0</v>
      </c>
      <c r="Z17" t="n" s="6656">
        <v>2.0</v>
      </c>
      <c r="AA17" s="6657">
        <f>IF(HLOOKUP("KP",A1:CV300,17,FALSE)=0,0,HLOOKUP("As",A1:CV300,17,FALSE)/HLOOKUP("KP",A1:CV300,17,FALSE))</f>
      </c>
      <c r="AB17" t="n" s="6658">
        <v>12.0</v>
      </c>
      <c r="AC17" t="n" s="6659">
        <v>0.0</v>
      </c>
      <c r="AD17" t="n" s="6660">
        <v>0.0</v>
      </c>
      <c r="AE17" t="n" s="6661">
        <v>0.0</v>
      </c>
      <c r="AF17" t="n" s="6662">
        <v>0.0</v>
      </c>
      <c r="AG17" s="6663">
        <f>IF(HLOOKUP("BC",A1:CV300,17,FALSE)=0,0,HLOOKUP("Gs - BC",A1:CV300,17,FALSE)/HLOOKUP("BC",A1:CV300,17,FALSE))</f>
      </c>
      <c r="AH17" s="6664">
        <f>HLOOKUP("BC",A1:CV300,17,FALSE) - HLOOKUP("BC Miss",A1:CV300,17,FALSE)</f>
      </c>
      <c r="AI17" s="6665">
        <f>IF(HLOOKUP("Gs",A1:CV300,17,FALSE)=0,0,HLOOKUP("Gs - BC",A1:CV300,17,FALSE)/HLOOKUP("Gs",A1:CV300,17,FALSE))</f>
      </c>
      <c r="AJ17" t="n" s="6666">
        <v>0.0</v>
      </c>
      <c r="AK17" t="n" s="6667">
        <v>0.0</v>
      </c>
      <c r="AL17" s="6668">
        <f>HLOOKUP("BC",A1:CV300,17,FALSE) - (HLOOKUP("PK Gs",A1:CV300,17,FALSE) + HLOOKUP("PK Miss",A1:CV300,17,FALSE))</f>
      </c>
      <c r="AM17" s="6669">
        <f>HLOOKUP("BC Miss",A1:CV300,17,FALSE) - HLOOKUP("PK Miss",A1:CV300,17,FALSE)</f>
      </c>
      <c r="AN17" s="6670">
        <f>IF(HLOOKUP("BC - Open",A1:CV300,17,FALSE)=0,0,HLOOKUP("BC - Open Miss",A1:CV300,17,FALSE)/HLOOKUP("BC - Open",A1:CV300,17,FALSE))</f>
      </c>
      <c r="AO17" t="n" s="6671">
        <v>0.0</v>
      </c>
      <c r="AP17" s="6672">
        <f>IF(HLOOKUP("Gs",A1:CV300,17,FALSE)=0,0,HLOOKUP("GIB",A1:CV300,17,FALSE)/HLOOKUP("Gs",A1:CV300,17,FALSE))</f>
      </c>
      <c r="AQ17" t="n" s="6673">
        <v>0.0</v>
      </c>
      <c r="AR17" s="6674">
        <f>IF(HLOOKUP("Gs",A1:CV300,17,FALSE)=0,0,HLOOKUP("Gs - Open",A1:CV300,17,FALSE)/HLOOKUP("Gs",A1:CV300,17,FALSE))</f>
      </c>
      <c r="AS17" t="n" s="6675">
        <v>0.09</v>
      </c>
      <c r="AT17" t="n" s="6676">
        <v>0.08</v>
      </c>
      <c r="AU17" s="6677">
        <f>IF(HLOOKUP("Mins",A1:CV300,17,FALSE)=0,0,HLOOKUP("Pts",A1:CV300,17,FALSE)/HLOOKUP("Mins",A1:CV300,17,FALSE)* 90)</f>
      </c>
      <c r="AV17" s="6678">
        <f>IF(HLOOKUP("Apps",A1:CV300,17,FALSE)=0,0,HLOOKUP("Pts",A1:CV300,17,FALSE)/HLOOKUP("Apps",A1:CV300,17,FALSE)* 1)</f>
      </c>
      <c r="AW17" s="6679">
        <f>IF(HLOOKUP("Mins",A1:CV300,17,FALSE)=0,0,HLOOKUP("Gs",A1:CV300,17,FALSE)/HLOOKUP("Mins",A1:CV300,17,FALSE)* 90)</f>
      </c>
      <c r="AX17" s="6680">
        <f>IF(HLOOKUP("Mins",A1:CV300,17,FALSE)=0,0,HLOOKUP("Bonus",A1:CV300,17,FALSE)/HLOOKUP("Mins",A1:CV300,17,FALSE)* 90)</f>
      </c>
      <c r="AY17" s="6681">
        <f>IF(HLOOKUP("Mins",A1:CV300,17,FALSE)=0,0,HLOOKUP("BPS",A1:CV300,17,FALSE)/HLOOKUP("Mins",A1:CV300,17,FALSE)* 90)</f>
      </c>
      <c r="AZ17" s="6682">
        <f>IF(HLOOKUP("Mins",A1:CV300,17,FALSE)=0,0,HLOOKUP("Base BPS",A1:CV300,17,FALSE)/HLOOKUP("Mins",A1:CV300,17,FALSE)* 90)</f>
      </c>
      <c r="BA17" s="6683">
        <f>IF(HLOOKUP("Mins",A1:CV300,17,FALSE)=0,0,HLOOKUP("PenTchs",A1:CV300,17,FALSE)/HLOOKUP("Mins",A1:CV300,17,FALSE)* 90)</f>
      </c>
      <c r="BB17" s="6684">
        <f>IF(HLOOKUP("Mins",A1:CV300,17,FALSE)=0,0,HLOOKUP("Shots",A1:CV300,17,FALSE)/HLOOKUP("Mins",A1:CV300,17,FALSE)* 90)</f>
      </c>
      <c r="BC17" s="6685">
        <f>IF(HLOOKUP("Mins",A1:CV300,17,FALSE)=0,0,HLOOKUP("SIB",A1:CV300,17,FALSE)/HLOOKUP("Mins",A1:CV300,17,FALSE)* 90)</f>
      </c>
      <c r="BD17" s="6686">
        <f>IF(HLOOKUP("Mins",A1:CV300,17,FALSE)=0,0,HLOOKUP("S6YD",A1:CV300,17,FALSE)/HLOOKUP("Mins",A1:CV300,17,FALSE)* 90)</f>
      </c>
      <c r="BE17" s="6687">
        <f>IF(HLOOKUP("Mins",A1:CV300,17,FALSE)=0,0,HLOOKUP("Headers",A1:CV300,17,FALSE)/HLOOKUP("Mins",A1:CV300,17,FALSE)* 90)</f>
      </c>
      <c r="BF17" s="6688">
        <f>IF(HLOOKUP("Mins",A1:CV300,17,FALSE)=0,0,HLOOKUP("SOT",A1:CV300,17,FALSE)/HLOOKUP("Mins",A1:CV300,17,FALSE)* 90)</f>
      </c>
      <c r="BG17" s="6689">
        <f>IF(HLOOKUP("Mins",A1:CV300,17,FALSE)=0,0,HLOOKUP("As",A1:CV300,17,FALSE)/HLOOKUP("Mins",A1:CV300,17,FALSE)* 90)</f>
      </c>
      <c r="BH17" s="6690">
        <f>IF(HLOOKUP("Mins",A1:CV300,17,FALSE)=0,0,HLOOKUP("FPL As",A1:CV300,17,FALSE)/HLOOKUP("Mins",A1:CV300,17,FALSE)* 90)</f>
      </c>
      <c r="BI17" s="6691">
        <f>IF(HLOOKUP("Mins",A1:CV300,17,FALSE)=0,0,HLOOKUP("BC Created",A1:CV300,17,FALSE)/HLOOKUP("Mins",A1:CV300,17,FALSE)* 90)</f>
      </c>
      <c r="BJ17" s="6692">
        <f>IF(HLOOKUP("Mins",A1:CV300,17,FALSE)=0,0,HLOOKUP("KP",A1:CV300,17,FALSE)/HLOOKUP("Mins",A1:CV300,17,FALSE)* 90)</f>
      </c>
      <c r="BK17" s="6693">
        <f>IF(HLOOKUP("Mins",A1:CV300,17,FALSE)=0,0,HLOOKUP("BC",A1:CV300,17,FALSE)/HLOOKUP("Mins",A1:CV300,17,FALSE)* 90)</f>
      </c>
      <c r="BL17" s="6694">
        <f>IF(HLOOKUP("Mins",A1:CV300,17,FALSE)=0,0,HLOOKUP("BC Miss",A1:CV300,17,FALSE)/HLOOKUP("Mins",A1:CV300,17,FALSE)* 90)</f>
      </c>
      <c r="BM17" s="6695">
        <f>IF(HLOOKUP("Mins",A1:CV300,17,FALSE)=0,0,HLOOKUP("Gs - BC",A1:CV300,17,FALSE)/HLOOKUP("Mins",A1:CV300,17,FALSE)* 90)</f>
      </c>
      <c r="BN17" s="6696">
        <f>IF(HLOOKUP("Mins",A1:CV300,17,FALSE)=0,0,HLOOKUP("GIB",A1:CV300,17,FALSE)/HLOOKUP("Mins",A1:CV300,17,FALSE)* 90)</f>
      </c>
      <c r="BO17" s="6697">
        <f>IF(HLOOKUP("Mins",A1:CV300,17,FALSE)=0,0,HLOOKUP("Gs - Open",A1:CV300,17,FALSE)/HLOOKUP("Mins",A1:CV300,17,FALSE)* 90)</f>
      </c>
      <c r="BP17" s="6698">
        <f>IF(HLOOKUP("Mins",A1:CV300,17,FALSE)=0,0,HLOOKUP("ICT Index",A1:CV300,17,FALSE)/HLOOKUP("Mins",A1:CV300,17,FALSE)* 90)</f>
      </c>
      <c r="BQ17" s="6699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</c>
      <c r="BR17" s="6700">
        <f>0.0825*HLOOKUP("KP/90",A1:CV300,17,FALSE)</f>
      </c>
      <c r="BS17" s="6701">
        <f>6*HLOOKUP("xG/90",A1:CV300,17,FALSE)+3*HLOOKUP("xA/90",A1:CV300,17,FALSE)</f>
      </c>
      <c r="BT17" s="6702">
        <f>HLOOKUP("xPts/90",A1:CV300,17,FALSE)-(6*0.75*(HLOOKUP("PK Gs",A1:CV300,17,FALSE)+HLOOKUP("PK Miss",A1:CV300,17,FALSE))*90/HLOOKUP("Mins",A1:CV300,17,FALSE))</f>
      </c>
      <c r="BU17" s="6703">
        <f>IF(HLOOKUP("Mins",A1:CV300,17,FALSE)=0,0,HLOOKUP("fsXG",A1:CV300,17,FALSE)/HLOOKUP("Mins",A1:CV300,17,FALSE)* 90)</f>
      </c>
      <c r="BV17" s="6704">
        <f>IF(HLOOKUP("Mins",A1:CV300,17,FALSE)=0,0,HLOOKUP("fsXA",A1:CV300,17,FALSE)/HLOOKUP("Mins",A1:CV300,17,FALSE)* 90)</f>
      </c>
      <c r="BW17" s="6705">
        <f>6*HLOOKUP("fsXG/90",A1:CV300,17,FALSE)+3*HLOOKUP("fsXA/90",A1:CV300,17,FALSE)</f>
      </c>
      <c r="BX17" t="n" s="6706">
        <v>0.027163131162524223</v>
      </c>
      <c r="BY17" t="n" s="6707">
        <v>0.03852270916104317</v>
      </c>
      <c r="BZ17" s="6708">
        <f>6*HLOOKUP("uXG/90",A1:CV300,17,FALSE)+3*HLOOKUP("uXA/90",A1:CV300,17,FALSE)</f>
      </c>
    </row>
    <row r="18">
      <c r="A18" t="s" s="6709">
        <v>183</v>
      </c>
      <c r="B18" t="s" s="6710">
        <v>116</v>
      </c>
      <c r="C18" t="n" s="6711">
        <v>4.300000190734863</v>
      </c>
      <c r="D18" t="n" s="6712">
        <v>252.0</v>
      </c>
      <c r="E18" t="n" s="6713">
        <v>4.0</v>
      </c>
      <c r="F18" t="n" s="6714">
        <v>50.0</v>
      </c>
      <c r="G18" t="n" s="6715">
        <v>0.0</v>
      </c>
      <c r="H18" t="n" s="6716">
        <v>3.0</v>
      </c>
      <c r="I18" t="n" s="6717">
        <v>241.0</v>
      </c>
      <c r="J18" s="6718">
        <f>HLOOKUP("BPS",A1:CV300,18,FALSE)-((-6*HLOOKUP("OG",A1:CV300,18,FALSE))+(-6*HLOOKUP("PK Miss",A1:CV300,18,FALSE))+(9*HLOOKUP("FPL As",A1:CV300,18,FALSE))+(12*HLOOKUP("CS",A1:CV300,18,FALSE))+(12*HLOOKUP("Gs",A1:CV300,18,FALSE)))</f>
      </c>
      <c r="K18" t="n" s="6719">
        <v>0.0</v>
      </c>
      <c r="L18" t="n" s="6720">
        <v>6.0</v>
      </c>
      <c r="M18" t="n" s="6721">
        <v>1.0</v>
      </c>
      <c r="N18" t="n" s="6722">
        <v>1.0</v>
      </c>
      <c r="O18" t="n" s="6723">
        <v>1.0</v>
      </c>
      <c r="P18" s="6724">
        <f>IF(HLOOKUP("Shots",A1:CV300,18,FALSE)=0,0,HLOOKUP("SIB",A1:CV300,18,FALSE)/HLOOKUP("Shots",A1:CV300,18,FALSE))</f>
      </c>
      <c r="Q18" t="n" s="6725">
        <v>1.0</v>
      </c>
      <c r="R18" s="6726">
        <f>IF(HLOOKUP("Shots",A1:CV300,18,FALSE)=0,0,HLOOKUP("S6YD",A1:CV300,18,FALSE)/HLOOKUP("Shots",A1:CV300,18,FALSE))</f>
      </c>
      <c r="S18" t="n" s="6727">
        <v>1.0</v>
      </c>
      <c r="T18" s="6728">
        <f>IF(HLOOKUP("Shots",A1:CV300,18,FALSE)=0,0,HLOOKUP("Headers",A1:CV300,18,FALSE)/HLOOKUP("Shots",A1:CV300,18,FALSE))</f>
      </c>
      <c r="U18" t="n" s="6729">
        <v>0.0</v>
      </c>
      <c r="V18" s="6730">
        <f>IF(HLOOKUP("Shots",A1:CV300,18,FALSE)=0,0,HLOOKUP("SOT",A1:CV300,18,FALSE)/HLOOKUP("Shots",A1:CV300,18,FALSE))</f>
      </c>
      <c r="W18" s="6731">
        <f>IF(HLOOKUP("Shots",A1:CV300,18,FALSE)=0,0,HLOOKUP("Gs",A1:CV300,18,FALSE)/HLOOKUP("Shots",A1:CV300,18,FALSE))</f>
      </c>
      <c r="X18" t="n" s="6732">
        <v>0.0</v>
      </c>
      <c r="Y18" t="n" s="6733">
        <v>1.0</v>
      </c>
      <c r="Z18" t="n" s="6734">
        <v>0.0</v>
      </c>
      <c r="AA18" s="6735">
        <f>IF(HLOOKUP("KP",A1:CV300,18,FALSE)=0,0,HLOOKUP("As",A1:CV300,18,FALSE)/HLOOKUP("KP",A1:CV300,18,FALSE))</f>
      </c>
      <c r="AB18" t="n" s="6736">
        <v>3.4</v>
      </c>
      <c r="AC18" t="n" s="6737">
        <v>0.0</v>
      </c>
      <c r="AD18" t="n" s="6738">
        <v>0.0</v>
      </c>
      <c r="AE18" t="n" s="6739">
        <v>0.0</v>
      </c>
      <c r="AF18" t="n" s="6740">
        <v>0.0</v>
      </c>
      <c r="AG18" s="6741">
        <f>IF(HLOOKUP("BC",A1:CV300,18,FALSE)=0,0,HLOOKUP("Gs - BC",A1:CV300,18,FALSE)/HLOOKUP("BC",A1:CV300,18,FALSE))</f>
      </c>
      <c r="AH18" s="6742">
        <f>HLOOKUP("BC",A1:CV300,18,FALSE) - HLOOKUP("BC Miss",A1:CV300,18,FALSE)</f>
      </c>
      <c r="AI18" s="6743">
        <f>IF(HLOOKUP("Gs",A1:CV300,18,FALSE)=0,0,HLOOKUP("Gs - BC",A1:CV300,18,FALSE)/HLOOKUP("Gs",A1:CV300,18,FALSE))</f>
      </c>
      <c r="AJ18" t="n" s="6744">
        <v>0.0</v>
      </c>
      <c r="AK18" t="n" s="6745">
        <v>0.0</v>
      </c>
      <c r="AL18" s="6746">
        <f>HLOOKUP("BC",A1:CV300,18,FALSE) - (HLOOKUP("PK Gs",A1:CV300,18,FALSE) + HLOOKUP("PK Miss",A1:CV300,18,FALSE))</f>
      </c>
      <c r="AM18" s="6747">
        <f>HLOOKUP("BC Miss",A1:CV300,18,FALSE) - HLOOKUP("PK Miss",A1:CV300,18,FALSE)</f>
      </c>
      <c r="AN18" s="6748">
        <f>IF(HLOOKUP("BC - Open",A1:CV300,18,FALSE)=0,0,HLOOKUP("BC - Open Miss",A1:CV300,18,FALSE)/HLOOKUP("BC - Open",A1:CV300,18,FALSE))</f>
      </c>
      <c r="AO18" t="n" s="6749">
        <v>0.0</v>
      </c>
      <c r="AP18" s="6750">
        <f>IF(HLOOKUP("Gs",A1:CV300,18,FALSE)=0,0,HLOOKUP("GIB",A1:CV300,18,FALSE)/HLOOKUP("Gs",A1:CV300,18,FALSE))</f>
      </c>
      <c r="AQ18" t="n" s="6751">
        <v>0.0</v>
      </c>
      <c r="AR18" s="6752">
        <f>IF(HLOOKUP("Gs",A1:CV300,18,FALSE)=0,0,HLOOKUP("Gs - Open",A1:CV300,18,FALSE)/HLOOKUP("Gs",A1:CV300,18,FALSE))</f>
      </c>
      <c r="AS18" t="n" s="6753">
        <v>0.16</v>
      </c>
      <c r="AT18" t="n" s="6754">
        <v>0.0</v>
      </c>
      <c r="AU18" s="6755">
        <f>IF(HLOOKUP("Mins",A1:CV300,18,FALSE)=0,0,HLOOKUP("Pts",A1:CV300,18,FALSE)/HLOOKUP("Mins",A1:CV300,18,FALSE)* 90)</f>
      </c>
      <c r="AV18" s="6756">
        <f>IF(HLOOKUP("Apps",A1:CV300,18,FALSE)=0,0,HLOOKUP("Pts",A1:CV300,18,FALSE)/HLOOKUP("Apps",A1:CV300,18,FALSE)* 1)</f>
      </c>
      <c r="AW18" s="6757">
        <f>IF(HLOOKUP("Mins",A1:CV300,18,FALSE)=0,0,HLOOKUP("Gs",A1:CV300,18,FALSE)/HLOOKUP("Mins",A1:CV300,18,FALSE)* 90)</f>
      </c>
      <c r="AX18" s="6758">
        <f>IF(HLOOKUP("Mins",A1:CV300,18,FALSE)=0,0,HLOOKUP("Bonus",A1:CV300,18,FALSE)/HLOOKUP("Mins",A1:CV300,18,FALSE)* 90)</f>
      </c>
      <c r="AY18" s="6759">
        <f>IF(HLOOKUP("Mins",A1:CV300,18,FALSE)=0,0,HLOOKUP("BPS",A1:CV300,18,FALSE)/HLOOKUP("Mins",A1:CV300,18,FALSE)* 90)</f>
      </c>
      <c r="AZ18" s="6760">
        <f>IF(HLOOKUP("Mins",A1:CV300,18,FALSE)=0,0,HLOOKUP("Base BPS",A1:CV300,18,FALSE)/HLOOKUP("Mins",A1:CV300,18,FALSE)* 90)</f>
      </c>
      <c r="BA18" s="6761">
        <f>IF(HLOOKUP("Mins",A1:CV300,18,FALSE)=0,0,HLOOKUP("PenTchs",A1:CV300,18,FALSE)/HLOOKUP("Mins",A1:CV300,18,FALSE)* 90)</f>
      </c>
      <c r="BB18" s="6762">
        <f>IF(HLOOKUP("Mins",A1:CV300,18,FALSE)=0,0,HLOOKUP("Shots",A1:CV300,18,FALSE)/HLOOKUP("Mins",A1:CV300,18,FALSE)* 90)</f>
      </c>
      <c r="BC18" s="6763">
        <f>IF(HLOOKUP("Mins",A1:CV300,18,FALSE)=0,0,HLOOKUP("SIB",A1:CV300,18,FALSE)/HLOOKUP("Mins",A1:CV300,18,FALSE)* 90)</f>
      </c>
      <c r="BD18" s="6764">
        <f>IF(HLOOKUP("Mins",A1:CV300,18,FALSE)=0,0,HLOOKUP("S6YD",A1:CV300,18,FALSE)/HLOOKUP("Mins",A1:CV300,18,FALSE)* 90)</f>
      </c>
      <c r="BE18" s="6765">
        <f>IF(HLOOKUP("Mins",A1:CV300,18,FALSE)=0,0,HLOOKUP("Headers",A1:CV300,18,FALSE)/HLOOKUP("Mins",A1:CV300,18,FALSE)* 90)</f>
      </c>
      <c r="BF18" s="6766">
        <f>IF(HLOOKUP("Mins",A1:CV300,18,FALSE)=0,0,HLOOKUP("SOT",A1:CV300,18,FALSE)/HLOOKUP("Mins",A1:CV300,18,FALSE)* 90)</f>
      </c>
      <c r="BG18" s="6767">
        <f>IF(HLOOKUP("Mins",A1:CV300,18,FALSE)=0,0,HLOOKUP("As",A1:CV300,18,FALSE)/HLOOKUP("Mins",A1:CV300,18,FALSE)* 90)</f>
      </c>
      <c r="BH18" s="6768">
        <f>IF(HLOOKUP("Mins",A1:CV300,18,FALSE)=0,0,HLOOKUP("FPL As",A1:CV300,18,FALSE)/HLOOKUP("Mins",A1:CV300,18,FALSE)* 90)</f>
      </c>
      <c r="BI18" s="6769">
        <f>IF(HLOOKUP("Mins",A1:CV300,18,FALSE)=0,0,HLOOKUP("BC Created",A1:CV300,18,FALSE)/HLOOKUP("Mins",A1:CV300,18,FALSE)* 90)</f>
      </c>
      <c r="BJ18" s="6770">
        <f>IF(HLOOKUP("Mins",A1:CV300,18,FALSE)=0,0,HLOOKUP("KP",A1:CV300,18,FALSE)/HLOOKUP("Mins",A1:CV300,18,FALSE)* 90)</f>
      </c>
      <c r="BK18" s="6771">
        <f>IF(HLOOKUP("Mins",A1:CV300,18,FALSE)=0,0,HLOOKUP("BC",A1:CV300,18,FALSE)/HLOOKUP("Mins",A1:CV300,18,FALSE)* 90)</f>
      </c>
      <c r="BL18" s="6772">
        <f>IF(HLOOKUP("Mins",A1:CV300,18,FALSE)=0,0,HLOOKUP("BC Miss",A1:CV300,18,FALSE)/HLOOKUP("Mins",A1:CV300,18,FALSE)* 90)</f>
      </c>
      <c r="BM18" s="6773">
        <f>IF(HLOOKUP("Mins",A1:CV300,18,FALSE)=0,0,HLOOKUP("Gs - BC",A1:CV300,18,FALSE)/HLOOKUP("Mins",A1:CV300,18,FALSE)* 90)</f>
      </c>
      <c r="BN18" s="6774">
        <f>IF(HLOOKUP("Mins",A1:CV300,18,FALSE)=0,0,HLOOKUP("GIB",A1:CV300,18,FALSE)/HLOOKUP("Mins",A1:CV300,18,FALSE)* 90)</f>
      </c>
      <c r="BO18" s="6775">
        <f>IF(HLOOKUP("Mins",A1:CV300,18,FALSE)=0,0,HLOOKUP("Gs - Open",A1:CV300,18,FALSE)/HLOOKUP("Mins",A1:CV300,18,FALSE)* 90)</f>
      </c>
      <c r="BP18" s="6776">
        <f>IF(HLOOKUP("Mins",A1:CV300,18,FALSE)=0,0,HLOOKUP("ICT Index",A1:CV300,18,FALSE)/HLOOKUP("Mins",A1:CV300,18,FALSE)* 90)</f>
      </c>
      <c r="BQ18" s="6777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</c>
      <c r="BR18" s="6778">
        <f>0.0825*HLOOKUP("KP/90",A1:CV300,18,FALSE)</f>
      </c>
      <c r="BS18" s="6779">
        <f>6*HLOOKUP("xG/90",A1:CV300,18,FALSE)+3*HLOOKUP("xA/90",A1:CV300,18,FALSE)</f>
      </c>
      <c r="BT18" s="6780">
        <f>HLOOKUP("xPts/90",A1:CV300,18,FALSE)-(6*0.75*(HLOOKUP("PK Gs",A1:CV300,18,FALSE)+HLOOKUP("PK Miss",A1:CV300,18,FALSE))*90/HLOOKUP("Mins",A1:CV300,18,FALSE))</f>
      </c>
      <c r="BU18" s="6781">
        <f>IF(HLOOKUP("Mins",A1:CV300,18,FALSE)=0,0,HLOOKUP("fsXG",A1:CV300,18,FALSE)/HLOOKUP("Mins",A1:CV300,18,FALSE)* 90)</f>
      </c>
      <c r="BV18" s="6782">
        <f>IF(HLOOKUP("Mins",A1:CV300,18,FALSE)=0,0,HLOOKUP("fsXA",A1:CV300,18,FALSE)/HLOOKUP("Mins",A1:CV300,18,FALSE)* 90)</f>
      </c>
      <c r="BW18" s="6783">
        <f>6*HLOOKUP("fsXG/90",A1:CV300,18,FALSE)+3*HLOOKUP("fsXA/90",A1:CV300,18,FALSE)</f>
      </c>
      <c r="BX18" t="n" s="6784">
        <v>0.028167378157377243</v>
      </c>
      <c r="BY18" t="n" s="6785">
        <v>0.0</v>
      </c>
      <c r="BZ18" s="6786">
        <f>6*HLOOKUP("uXG/90",A1:CV300,18,FALSE)+3*HLOOKUP("uXA/90",A1:CV300,18,FALSE)</f>
      </c>
    </row>
    <row r="19">
      <c r="A19" t="s" s="6787">
        <v>184</v>
      </c>
      <c r="B19" t="s" s="6788">
        <v>92</v>
      </c>
      <c r="C19" t="n" s="6789">
        <v>4.300000190734863</v>
      </c>
      <c r="D19" t="n" s="6790">
        <v>450.0</v>
      </c>
      <c r="E19" t="n" s="6791">
        <v>5.0</v>
      </c>
      <c r="F19" t="n" s="6792">
        <v>38.0</v>
      </c>
      <c r="G19" t="n" s="6793">
        <v>0.0</v>
      </c>
      <c r="H19" t="n" s="6794">
        <v>3.0</v>
      </c>
      <c r="I19" t="n" s="6795">
        <v>220.0</v>
      </c>
      <c r="J19" s="6796">
        <f>HLOOKUP("BPS",A1:CV300,19,FALSE)-((-6*HLOOKUP("OG",A1:CV300,19,FALSE))+(-6*HLOOKUP("PK Miss",A1:CV300,19,FALSE))+(9*HLOOKUP("FPL As",A1:CV300,19,FALSE))+(12*HLOOKUP("CS",A1:CV300,19,FALSE))+(12*HLOOKUP("Gs",A1:CV300,19,FALSE)))</f>
      </c>
      <c r="K19" t="n" s="6797">
        <v>0.0</v>
      </c>
      <c r="L19" t="n" s="6798">
        <v>3.0</v>
      </c>
      <c r="M19" t="n" s="6799">
        <v>7.0</v>
      </c>
      <c r="N19" t="n" s="6800">
        <v>2.0</v>
      </c>
      <c r="O19" t="n" s="6801">
        <v>0.0</v>
      </c>
      <c r="P19" s="6802">
        <f>IF(HLOOKUP("Shots",A1:CV300,19,FALSE)=0,0,HLOOKUP("SIB",A1:CV300,19,FALSE)/HLOOKUP("Shots",A1:CV300,19,FALSE))</f>
      </c>
      <c r="Q19" t="n" s="6803">
        <v>0.0</v>
      </c>
      <c r="R19" s="6804">
        <f>IF(HLOOKUP("Shots",A1:CV300,19,FALSE)=0,0,HLOOKUP("S6YD",A1:CV300,19,FALSE)/HLOOKUP("Shots",A1:CV300,19,FALSE))</f>
      </c>
      <c r="S19" t="n" s="6805">
        <v>0.0</v>
      </c>
      <c r="T19" s="6806">
        <f>IF(HLOOKUP("Shots",A1:CV300,19,FALSE)=0,0,HLOOKUP("Headers",A1:CV300,19,FALSE)/HLOOKUP("Shots",A1:CV300,19,FALSE))</f>
      </c>
      <c r="U19" t="n" s="6807">
        <v>0.0</v>
      </c>
      <c r="V19" s="6808">
        <f>IF(HLOOKUP("Shots",A1:CV300,19,FALSE)=0,0,HLOOKUP("SOT",A1:CV300,19,FALSE)/HLOOKUP("Shots",A1:CV300,19,FALSE))</f>
      </c>
      <c r="W19" s="6809">
        <f>IF(HLOOKUP("Shots",A1:CV300,19,FALSE)=0,0,HLOOKUP("Gs",A1:CV300,19,FALSE)/HLOOKUP("Shots",A1:CV300,19,FALSE))</f>
      </c>
      <c r="X19" t="n" s="6810">
        <v>0.0</v>
      </c>
      <c r="Y19" t="n" s="6811">
        <v>1.0</v>
      </c>
      <c r="Z19" t="n" s="6812">
        <v>2.0</v>
      </c>
      <c r="AA19" s="6813">
        <f>IF(HLOOKUP("KP",A1:CV300,19,FALSE)=0,0,HLOOKUP("As",A1:CV300,19,FALSE)/HLOOKUP("KP",A1:CV300,19,FALSE))</f>
      </c>
      <c r="AB19" t="n" s="6814">
        <v>13.6</v>
      </c>
      <c r="AC19" t="n" s="6815">
        <v>0.0</v>
      </c>
      <c r="AD19" t="n" s="6816">
        <v>0.0</v>
      </c>
      <c r="AE19" t="n" s="6817">
        <v>0.0</v>
      </c>
      <c r="AF19" t="n" s="6818">
        <v>0.0</v>
      </c>
      <c r="AG19" s="6819">
        <f>IF(HLOOKUP("BC",A1:CV300,19,FALSE)=0,0,HLOOKUP("Gs - BC",A1:CV300,19,FALSE)/HLOOKUP("BC",A1:CV300,19,FALSE))</f>
      </c>
      <c r="AH19" s="6820">
        <f>HLOOKUP("BC",A1:CV300,19,FALSE) - HLOOKUP("BC Miss",A1:CV300,19,FALSE)</f>
      </c>
      <c r="AI19" s="6821">
        <f>IF(HLOOKUP("Gs",A1:CV300,19,FALSE)=0,0,HLOOKUP("Gs - BC",A1:CV300,19,FALSE)/HLOOKUP("Gs",A1:CV300,19,FALSE))</f>
      </c>
      <c r="AJ19" t="n" s="6822">
        <v>0.0</v>
      </c>
      <c r="AK19" t="n" s="6823">
        <v>0.0</v>
      </c>
      <c r="AL19" s="6824">
        <f>HLOOKUP("BC",A1:CV300,19,FALSE) - (HLOOKUP("PK Gs",A1:CV300,19,FALSE) + HLOOKUP("PK Miss",A1:CV300,19,FALSE))</f>
      </c>
      <c r="AM19" s="6825">
        <f>HLOOKUP("BC Miss",A1:CV300,19,FALSE) - HLOOKUP("PK Miss",A1:CV300,19,FALSE)</f>
      </c>
      <c r="AN19" s="6826">
        <f>IF(HLOOKUP("BC - Open",A1:CV300,19,FALSE)=0,0,HLOOKUP("BC - Open Miss",A1:CV300,19,FALSE)/HLOOKUP("BC - Open",A1:CV300,19,FALSE))</f>
      </c>
      <c r="AO19" t="n" s="6827">
        <v>0.0</v>
      </c>
      <c r="AP19" s="6828">
        <f>IF(HLOOKUP("Gs",A1:CV300,19,FALSE)=0,0,HLOOKUP("GIB",A1:CV300,19,FALSE)/HLOOKUP("Gs",A1:CV300,19,FALSE))</f>
      </c>
      <c r="AQ19" t="n" s="6829">
        <v>0.0</v>
      </c>
      <c r="AR19" s="6830">
        <f>IF(HLOOKUP("Gs",A1:CV300,19,FALSE)=0,0,HLOOKUP("Gs - Open",A1:CV300,19,FALSE)/HLOOKUP("Gs",A1:CV300,19,FALSE))</f>
      </c>
      <c r="AS19" t="n" s="6831">
        <v>0.07</v>
      </c>
      <c r="AT19" t="n" s="6832">
        <v>0.17</v>
      </c>
      <c r="AU19" s="6833">
        <f>IF(HLOOKUP("Mins",A1:CV300,19,FALSE)=0,0,HLOOKUP("Pts",A1:CV300,19,FALSE)/HLOOKUP("Mins",A1:CV300,19,FALSE)* 90)</f>
      </c>
      <c r="AV19" s="6834">
        <f>IF(HLOOKUP("Apps",A1:CV300,19,FALSE)=0,0,HLOOKUP("Pts",A1:CV300,19,FALSE)/HLOOKUP("Apps",A1:CV300,19,FALSE)* 1)</f>
      </c>
      <c r="AW19" s="6835">
        <f>IF(HLOOKUP("Mins",A1:CV300,19,FALSE)=0,0,HLOOKUP("Gs",A1:CV300,19,FALSE)/HLOOKUP("Mins",A1:CV300,19,FALSE)* 90)</f>
      </c>
      <c r="AX19" s="6836">
        <f>IF(HLOOKUP("Mins",A1:CV300,19,FALSE)=0,0,HLOOKUP("Bonus",A1:CV300,19,FALSE)/HLOOKUP("Mins",A1:CV300,19,FALSE)* 90)</f>
      </c>
      <c r="AY19" s="6837">
        <f>IF(HLOOKUP("Mins",A1:CV300,19,FALSE)=0,0,HLOOKUP("BPS",A1:CV300,19,FALSE)/HLOOKUP("Mins",A1:CV300,19,FALSE)* 90)</f>
      </c>
      <c r="AZ19" s="6838">
        <f>IF(HLOOKUP("Mins",A1:CV300,19,FALSE)=0,0,HLOOKUP("Base BPS",A1:CV300,19,FALSE)/HLOOKUP("Mins",A1:CV300,19,FALSE)* 90)</f>
      </c>
      <c r="BA19" s="6839">
        <f>IF(HLOOKUP("Mins",A1:CV300,19,FALSE)=0,0,HLOOKUP("PenTchs",A1:CV300,19,FALSE)/HLOOKUP("Mins",A1:CV300,19,FALSE)* 90)</f>
      </c>
      <c r="BB19" s="6840">
        <f>IF(HLOOKUP("Mins",A1:CV300,19,FALSE)=0,0,HLOOKUP("Shots",A1:CV300,19,FALSE)/HLOOKUP("Mins",A1:CV300,19,FALSE)* 90)</f>
      </c>
      <c r="BC19" s="6841">
        <f>IF(HLOOKUP("Mins",A1:CV300,19,FALSE)=0,0,HLOOKUP("SIB",A1:CV300,19,FALSE)/HLOOKUP("Mins",A1:CV300,19,FALSE)* 90)</f>
      </c>
      <c r="BD19" s="6842">
        <f>IF(HLOOKUP("Mins",A1:CV300,19,FALSE)=0,0,HLOOKUP("S6YD",A1:CV300,19,FALSE)/HLOOKUP("Mins",A1:CV300,19,FALSE)* 90)</f>
      </c>
      <c r="BE19" s="6843">
        <f>IF(HLOOKUP("Mins",A1:CV300,19,FALSE)=0,0,HLOOKUP("Headers",A1:CV300,19,FALSE)/HLOOKUP("Mins",A1:CV300,19,FALSE)* 90)</f>
      </c>
      <c r="BF19" s="6844">
        <f>IF(HLOOKUP("Mins",A1:CV300,19,FALSE)=0,0,HLOOKUP("SOT",A1:CV300,19,FALSE)/HLOOKUP("Mins",A1:CV300,19,FALSE)* 90)</f>
      </c>
      <c r="BG19" s="6845">
        <f>IF(HLOOKUP("Mins",A1:CV300,19,FALSE)=0,0,HLOOKUP("As",A1:CV300,19,FALSE)/HLOOKUP("Mins",A1:CV300,19,FALSE)* 90)</f>
      </c>
      <c r="BH19" s="6846">
        <f>IF(HLOOKUP("Mins",A1:CV300,19,FALSE)=0,0,HLOOKUP("FPL As",A1:CV300,19,FALSE)/HLOOKUP("Mins",A1:CV300,19,FALSE)* 90)</f>
      </c>
      <c r="BI19" s="6847">
        <f>IF(HLOOKUP("Mins",A1:CV300,19,FALSE)=0,0,HLOOKUP("BC Created",A1:CV300,19,FALSE)/HLOOKUP("Mins",A1:CV300,19,FALSE)* 90)</f>
      </c>
      <c r="BJ19" s="6848">
        <f>IF(HLOOKUP("Mins",A1:CV300,19,FALSE)=0,0,HLOOKUP("KP",A1:CV300,19,FALSE)/HLOOKUP("Mins",A1:CV300,19,FALSE)* 90)</f>
      </c>
      <c r="BK19" s="6849">
        <f>IF(HLOOKUP("Mins",A1:CV300,19,FALSE)=0,0,HLOOKUP("BC",A1:CV300,19,FALSE)/HLOOKUP("Mins",A1:CV300,19,FALSE)* 90)</f>
      </c>
      <c r="BL19" s="6850">
        <f>IF(HLOOKUP("Mins",A1:CV300,19,FALSE)=0,0,HLOOKUP("BC Miss",A1:CV300,19,FALSE)/HLOOKUP("Mins",A1:CV300,19,FALSE)* 90)</f>
      </c>
      <c r="BM19" s="6851">
        <f>IF(HLOOKUP("Mins",A1:CV300,19,FALSE)=0,0,HLOOKUP("Gs - BC",A1:CV300,19,FALSE)/HLOOKUP("Mins",A1:CV300,19,FALSE)* 90)</f>
      </c>
      <c r="BN19" s="6852">
        <f>IF(HLOOKUP("Mins",A1:CV300,19,FALSE)=0,0,HLOOKUP("GIB",A1:CV300,19,FALSE)/HLOOKUP("Mins",A1:CV300,19,FALSE)* 90)</f>
      </c>
      <c r="BO19" s="6853">
        <f>IF(HLOOKUP("Mins",A1:CV300,19,FALSE)=0,0,HLOOKUP("Gs - Open",A1:CV300,19,FALSE)/HLOOKUP("Mins",A1:CV300,19,FALSE)* 90)</f>
      </c>
      <c r="BP19" s="6854">
        <f>IF(HLOOKUP("Mins",A1:CV300,19,FALSE)=0,0,HLOOKUP("ICT Index",A1:CV300,19,FALSE)/HLOOKUP("Mins",A1:CV300,19,FALSE)* 90)</f>
      </c>
      <c r="BQ19" s="6855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</c>
      <c r="BR19" s="6856">
        <f>0.0825*HLOOKUP("KP/90",A1:CV300,19,FALSE)</f>
      </c>
      <c r="BS19" s="6857">
        <f>6*HLOOKUP("xG/90",A1:CV300,19,FALSE)+3*HLOOKUP("xA/90",A1:CV300,19,FALSE)</f>
      </c>
      <c r="BT19" s="6858">
        <f>HLOOKUP("xPts/90",A1:CV300,19,FALSE)-(6*0.75*(HLOOKUP("PK Gs",A1:CV300,19,FALSE)+HLOOKUP("PK Miss",A1:CV300,19,FALSE))*90/HLOOKUP("Mins",A1:CV300,19,FALSE))</f>
      </c>
      <c r="BU19" s="6859">
        <f>IF(HLOOKUP("Mins",A1:CV300,19,FALSE)=0,0,HLOOKUP("fsXG",A1:CV300,19,FALSE)/HLOOKUP("Mins",A1:CV300,19,FALSE)* 90)</f>
      </c>
      <c r="BV19" s="6860">
        <f>IF(HLOOKUP("Mins",A1:CV300,19,FALSE)=0,0,HLOOKUP("fsXA",A1:CV300,19,FALSE)/HLOOKUP("Mins",A1:CV300,19,FALSE)* 90)</f>
      </c>
      <c r="BW19" s="6861">
        <f>6*HLOOKUP("fsXG/90",A1:CV300,19,FALSE)+3*HLOOKUP("fsXA/90",A1:CV300,19,FALSE)</f>
      </c>
      <c r="BX19" t="n" s="6862">
        <v>0.008775440976023674</v>
      </c>
      <c r="BY19" t="n" s="6863">
        <v>0.007580006029456854</v>
      </c>
      <c r="BZ19" s="6864">
        <f>6*HLOOKUP("uXG/90",A1:CV300,19,FALSE)+3*HLOOKUP("uXA/90",A1:CV300,19,FALSE)</f>
      </c>
    </row>
    <row r="20">
      <c r="A20" t="s" s="6865">
        <v>185</v>
      </c>
      <c r="B20" t="s" s="6866">
        <v>97</v>
      </c>
      <c r="C20" t="n" s="6867">
        <v>4.300000190734863</v>
      </c>
      <c r="D20" t="n" s="6868">
        <v>270.0</v>
      </c>
      <c r="E20" t="n" s="6869">
        <v>3.0</v>
      </c>
      <c r="F20" t="n" s="6870">
        <v>31.0</v>
      </c>
      <c r="G20" t="n" s="6871">
        <v>0.0</v>
      </c>
      <c r="H20" t="n" s="6872">
        <v>0.0</v>
      </c>
      <c r="I20" t="n" s="6873">
        <v>168.0</v>
      </c>
      <c r="J20" s="6874">
        <f>HLOOKUP("BPS",A1:CV300,20,FALSE)-((-6*HLOOKUP("OG",A1:CV300,20,FALSE))+(-6*HLOOKUP("PK Miss",A1:CV300,20,FALSE))+(9*HLOOKUP("FPL As",A1:CV300,20,FALSE))+(12*HLOOKUP("CS",A1:CV300,20,FALSE))+(12*HLOOKUP("Gs",A1:CV300,20,FALSE)))</f>
      </c>
      <c r="K20" t="n" s="6875">
        <v>0.0</v>
      </c>
      <c r="L20" t="n" s="6876">
        <v>4.0</v>
      </c>
      <c r="M20" t="n" s="6877">
        <v>2.0</v>
      </c>
      <c r="N20" t="n" s="6878">
        <v>2.0</v>
      </c>
      <c r="O20" t="n" s="6879">
        <v>1.0</v>
      </c>
      <c r="P20" s="6880">
        <f>IF(HLOOKUP("Shots",A1:CV300,20,FALSE)=0,0,HLOOKUP("SIB",A1:CV300,20,FALSE)/HLOOKUP("Shots",A1:CV300,20,FALSE))</f>
      </c>
      <c r="Q20" t="n" s="6881">
        <v>0.0</v>
      </c>
      <c r="R20" s="6882">
        <f>IF(HLOOKUP("Shots",A1:CV300,20,FALSE)=0,0,HLOOKUP("S6YD",A1:CV300,20,FALSE)/HLOOKUP("Shots",A1:CV300,20,FALSE))</f>
      </c>
      <c r="S20" t="n" s="6883">
        <v>0.0</v>
      </c>
      <c r="T20" s="6884">
        <f>IF(HLOOKUP("Shots",A1:CV300,20,FALSE)=0,0,HLOOKUP("Headers",A1:CV300,20,FALSE)/HLOOKUP("Shots",A1:CV300,20,FALSE))</f>
      </c>
      <c r="U20" t="n" s="6885">
        <v>0.0</v>
      </c>
      <c r="V20" s="6886">
        <f>IF(HLOOKUP("Shots",A1:CV300,20,FALSE)=0,0,HLOOKUP("SOT",A1:CV300,20,FALSE)/HLOOKUP("Shots",A1:CV300,20,FALSE))</f>
      </c>
      <c r="W20" s="6887">
        <f>IF(HLOOKUP("Shots",A1:CV300,20,FALSE)=0,0,HLOOKUP("Gs",A1:CV300,20,FALSE)/HLOOKUP("Shots",A1:CV300,20,FALSE))</f>
      </c>
      <c r="X20" t="n" s="6888">
        <v>0.0</v>
      </c>
      <c r="Y20" t="n" s="6889">
        <v>0.0</v>
      </c>
      <c r="Z20" t="n" s="6890">
        <v>2.0</v>
      </c>
      <c r="AA20" s="6891">
        <f>IF(HLOOKUP("KP",A1:CV300,20,FALSE)=0,0,HLOOKUP("As",A1:CV300,20,FALSE)/HLOOKUP("KP",A1:CV300,20,FALSE))</f>
      </c>
      <c r="AB20" t="n" s="6892">
        <v>9.3</v>
      </c>
      <c r="AC20" t="n" s="6893">
        <v>0.0</v>
      </c>
      <c r="AD20" t="n" s="6894">
        <v>1.0</v>
      </c>
      <c r="AE20" t="n" s="6895">
        <v>0.0</v>
      </c>
      <c r="AF20" t="n" s="6896">
        <v>0.0</v>
      </c>
      <c r="AG20" s="6897">
        <f>IF(HLOOKUP("BC",A1:CV300,20,FALSE)=0,0,HLOOKUP("Gs - BC",A1:CV300,20,FALSE)/HLOOKUP("BC",A1:CV300,20,FALSE))</f>
      </c>
      <c r="AH20" s="6898">
        <f>HLOOKUP("BC",A1:CV300,20,FALSE) - HLOOKUP("BC Miss",A1:CV300,20,FALSE)</f>
      </c>
      <c r="AI20" s="6899">
        <f>IF(HLOOKUP("Gs",A1:CV300,20,FALSE)=0,0,HLOOKUP("Gs - BC",A1:CV300,20,FALSE)/HLOOKUP("Gs",A1:CV300,20,FALSE))</f>
      </c>
      <c r="AJ20" t="n" s="6900">
        <v>0.0</v>
      </c>
      <c r="AK20" t="n" s="6901">
        <v>0.0</v>
      </c>
      <c r="AL20" s="6902">
        <f>HLOOKUP("BC",A1:CV300,20,FALSE) - (HLOOKUP("PK Gs",A1:CV300,20,FALSE) + HLOOKUP("PK Miss",A1:CV300,20,FALSE))</f>
      </c>
      <c r="AM20" s="6903">
        <f>HLOOKUP("BC Miss",A1:CV300,20,FALSE) - HLOOKUP("PK Miss",A1:CV300,20,FALSE)</f>
      </c>
      <c r="AN20" s="6904">
        <f>IF(HLOOKUP("BC - Open",A1:CV300,20,FALSE)=0,0,HLOOKUP("BC - Open Miss",A1:CV300,20,FALSE)/HLOOKUP("BC - Open",A1:CV300,20,FALSE))</f>
      </c>
      <c r="AO20" t="n" s="6905">
        <v>0.0</v>
      </c>
      <c r="AP20" s="6906">
        <f>IF(HLOOKUP("Gs",A1:CV300,20,FALSE)=0,0,HLOOKUP("GIB",A1:CV300,20,FALSE)/HLOOKUP("Gs",A1:CV300,20,FALSE))</f>
      </c>
      <c r="AQ20" t="n" s="6907">
        <v>0.0</v>
      </c>
      <c r="AR20" s="6908">
        <f>IF(HLOOKUP("Gs",A1:CV300,20,FALSE)=0,0,HLOOKUP("Gs - Open",A1:CV300,20,FALSE)/HLOOKUP("Gs",A1:CV300,20,FALSE))</f>
      </c>
      <c r="AS20" t="n" s="6909">
        <v>0.06</v>
      </c>
      <c r="AT20" t="n" s="6910">
        <v>0.33</v>
      </c>
      <c r="AU20" s="6911">
        <f>IF(HLOOKUP("Mins",A1:CV300,20,FALSE)=0,0,HLOOKUP("Pts",A1:CV300,20,FALSE)/HLOOKUP("Mins",A1:CV300,20,FALSE)* 90)</f>
      </c>
      <c r="AV20" s="6912">
        <f>IF(HLOOKUP("Apps",A1:CV300,20,FALSE)=0,0,HLOOKUP("Pts",A1:CV300,20,FALSE)/HLOOKUP("Apps",A1:CV300,20,FALSE)* 1)</f>
      </c>
      <c r="AW20" s="6913">
        <f>IF(HLOOKUP("Mins",A1:CV300,20,FALSE)=0,0,HLOOKUP("Gs",A1:CV300,20,FALSE)/HLOOKUP("Mins",A1:CV300,20,FALSE)* 90)</f>
      </c>
      <c r="AX20" s="6914">
        <f>IF(HLOOKUP("Mins",A1:CV300,20,FALSE)=0,0,HLOOKUP("Bonus",A1:CV300,20,FALSE)/HLOOKUP("Mins",A1:CV300,20,FALSE)* 90)</f>
      </c>
      <c r="AY20" s="6915">
        <f>IF(HLOOKUP("Mins",A1:CV300,20,FALSE)=0,0,HLOOKUP("BPS",A1:CV300,20,FALSE)/HLOOKUP("Mins",A1:CV300,20,FALSE)* 90)</f>
      </c>
      <c r="AZ20" s="6916">
        <f>IF(HLOOKUP("Mins",A1:CV300,20,FALSE)=0,0,HLOOKUP("Base BPS",A1:CV300,20,FALSE)/HLOOKUP("Mins",A1:CV300,20,FALSE)* 90)</f>
      </c>
      <c r="BA20" s="6917">
        <f>IF(HLOOKUP("Mins",A1:CV300,20,FALSE)=0,0,HLOOKUP("PenTchs",A1:CV300,20,FALSE)/HLOOKUP("Mins",A1:CV300,20,FALSE)* 90)</f>
      </c>
      <c r="BB20" s="6918">
        <f>IF(HLOOKUP("Mins",A1:CV300,20,FALSE)=0,0,HLOOKUP("Shots",A1:CV300,20,FALSE)/HLOOKUP("Mins",A1:CV300,20,FALSE)* 90)</f>
      </c>
      <c r="BC20" s="6919">
        <f>IF(HLOOKUP("Mins",A1:CV300,20,FALSE)=0,0,HLOOKUP("SIB",A1:CV300,20,FALSE)/HLOOKUP("Mins",A1:CV300,20,FALSE)* 90)</f>
      </c>
      <c r="BD20" s="6920">
        <f>IF(HLOOKUP("Mins",A1:CV300,20,FALSE)=0,0,HLOOKUP("S6YD",A1:CV300,20,FALSE)/HLOOKUP("Mins",A1:CV300,20,FALSE)* 90)</f>
      </c>
      <c r="BE20" s="6921">
        <f>IF(HLOOKUP("Mins",A1:CV300,20,FALSE)=0,0,HLOOKUP("Headers",A1:CV300,20,FALSE)/HLOOKUP("Mins",A1:CV300,20,FALSE)* 90)</f>
      </c>
      <c r="BF20" s="6922">
        <f>IF(HLOOKUP("Mins",A1:CV300,20,FALSE)=0,0,HLOOKUP("SOT",A1:CV300,20,FALSE)/HLOOKUP("Mins",A1:CV300,20,FALSE)* 90)</f>
      </c>
      <c r="BG20" s="6923">
        <f>IF(HLOOKUP("Mins",A1:CV300,20,FALSE)=0,0,HLOOKUP("As",A1:CV300,20,FALSE)/HLOOKUP("Mins",A1:CV300,20,FALSE)* 90)</f>
      </c>
      <c r="BH20" s="6924">
        <f>IF(HLOOKUP("Mins",A1:CV300,20,FALSE)=0,0,HLOOKUP("FPL As",A1:CV300,20,FALSE)/HLOOKUP("Mins",A1:CV300,20,FALSE)* 90)</f>
      </c>
      <c r="BI20" s="6925">
        <f>IF(HLOOKUP("Mins",A1:CV300,20,FALSE)=0,0,HLOOKUP("BC Created",A1:CV300,20,FALSE)/HLOOKUP("Mins",A1:CV300,20,FALSE)* 90)</f>
      </c>
      <c r="BJ20" s="6926">
        <f>IF(HLOOKUP("Mins",A1:CV300,20,FALSE)=0,0,HLOOKUP("KP",A1:CV300,20,FALSE)/HLOOKUP("Mins",A1:CV300,20,FALSE)* 90)</f>
      </c>
      <c r="BK20" s="6927">
        <f>IF(HLOOKUP("Mins",A1:CV300,20,FALSE)=0,0,HLOOKUP("BC",A1:CV300,20,FALSE)/HLOOKUP("Mins",A1:CV300,20,FALSE)* 90)</f>
      </c>
      <c r="BL20" s="6928">
        <f>IF(HLOOKUP("Mins",A1:CV300,20,FALSE)=0,0,HLOOKUP("BC Miss",A1:CV300,20,FALSE)/HLOOKUP("Mins",A1:CV300,20,FALSE)* 90)</f>
      </c>
      <c r="BM20" s="6929">
        <f>IF(HLOOKUP("Mins",A1:CV300,20,FALSE)=0,0,HLOOKUP("Gs - BC",A1:CV300,20,FALSE)/HLOOKUP("Mins",A1:CV300,20,FALSE)* 90)</f>
      </c>
      <c r="BN20" s="6930">
        <f>IF(HLOOKUP("Mins",A1:CV300,20,FALSE)=0,0,HLOOKUP("GIB",A1:CV300,20,FALSE)/HLOOKUP("Mins",A1:CV300,20,FALSE)* 90)</f>
      </c>
      <c r="BO20" s="6931">
        <f>IF(HLOOKUP("Mins",A1:CV300,20,FALSE)=0,0,HLOOKUP("Gs - Open",A1:CV300,20,FALSE)/HLOOKUP("Mins",A1:CV300,20,FALSE)* 90)</f>
      </c>
      <c r="BP20" s="6932">
        <f>IF(HLOOKUP("Mins",A1:CV300,20,FALSE)=0,0,HLOOKUP("ICT Index",A1:CV300,20,FALSE)/HLOOKUP("Mins",A1:CV300,20,FALSE)* 90)</f>
      </c>
      <c r="BQ20" s="6933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</c>
      <c r="BR20" s="6934">
        <f>0.0825*HLOOKUP("KP/90",A1:CV300,20,FALSE)</f>
      </c>
      <c r="BS20" s="6935">
        <f>6*HLOOKUP("xG/90",A1:CV300,20,FALSE)+3*HLOOKUP("xA/90",A1:CV300,20,FALSE)</f>
      </c>
      <c r="BT20" s="6936">
        <f>HLOOKUP("xPts/90",A1:CV300,20,FALSE)-(6*0.75*(HLOOKUP("PK Gs",A1:CV300,20,FALSE)+HLOOKUP("PK Miss",A1:CV300,20,FALSE))*90/HLOOKUP("Mins",A1:CV300,20,FALSE))</f>
      </c>
      <c r="BU20" s="6937">
        <f>IF(HLOOKUP("Mins",A1:CV300,20,FALSE)=0,0,HLOOKUP("fsXG",A1:CV300,20,FALSE)/HLOOKUP("Mins",A1:CV300,20,FALSE)* 90)</f>
      </c>
      <c r="BV20" s="6938">
        <f>IF(HLOOKUP("Mins",A1:CV300,20,FALSE)=0,0,HLOOKUP("fsXA",A1:CV300,20,FALSE)/HLOOKUP("Mins",A1:CV300,20,FALSE)* 90)</f>
      </c>
      <c r="BW20" s="6939">
        <f>6*HLOOKUP("fsXG/90",A1:CV300,20,FALSE)+3*HLOOKUP("fsXA/90",A1:CV300,20,FALSE)</f>
      </c>
      <c r="BX20" t="n" s="6940">
        <v>0.009709987789392471</v>
      </c>
      <c r="BY20" t="n" s="6941">
        <v>0.16879309713840485</v>
      </c>
      <c r="BZ20" s="6942">
        <f>6*HLOOKUP("uXG/90",A1:CV300,20,FALSE)+3*HLOOKUP("uXA/90",A1:CV300,20,FALSE)</f>
      </c>
    </row>
    <row r="21">
      <c r="A21" t="s" s="6943">
        <v>186</v>
      </c>
      <c r="B21" t="s" s="6944">
        <v>102</v>
      </c>
      <c r="C21" t="n" s="6945">
        <v>4.5</v>
      </c>
      <c r="D21" t="n" s="6946">
        <v>525.0</v>
      </c>
      <c r="E21" t="n" s="6947">
        <v>6.0</v>
      </c>
      <c r="F21" t="n" s="6948">
        <v>68.0</v>
      </c>
      <c r="G21" t="n" s="6949">
        <v>0.0</v>
      </c>
      <c r="H21" t="n" s="6950">
        <v>10.0</v>
      </c>
      <c r="I21" t="n" s="6951">
        <v>311.0</v>
      </c>
      <c r="J21" s="6952">
        <f>HLOOKUP("BPS",A1:CV300,21,FALSE)-((-6*HLOOKUP("OG",A1:CV300,21,FALSE))+(-6*HLOOKUP("PK Miss",A1:CV300,21,FALSE))+(9*HLOOKUP("FPL As",A1:CV300,21,FALSE))+(12*HLOOKUP("CS",A1:CV300,21,FALSE))+(12*HLOOKUP("Gs",A1:CV300,21,FALSE)))</f>
      </c>
      <c r="K21" t="n" s="6953">
        <v>0.0</v>
      </c>
      <c r="L21" t="n" s="6954">
        <v>4.0</v>
      </c>
      <c r="M21" t="n" s="6955">
        <v>7.0</v>
      </c>
      <c r="N21" t="n" s="6956">
        <v>3.0</v>
      </c>
      <c r="O21" t="n" s="6957">
        <v>3.0</v>
      </c>
      <c r="P21" s="6958">
        <f>IF(HLOOKUP("Shots",A1:CV300,21,FALSE)=0,0,HLOOKUP("SIB",A1:CV300,21,FALSE)/HLOOKUP("Shots",A1:CV300,21,FALSE))</f>
      </c>
      <c r="Q21" t="n" s="6959">
        <v>0.0</v>
      </c>
      <c r="R21" s="6960">
        <f>IF(HLOOKUP("Shots",A1:CV300,21,FALSE)=0,0,HLOOKUP("S6YD",A1:CV300,21,FALSE)/HLOOKUP("Shots",A1:CV300,21,FALSE))</f>
      </c>
      <c r="S21" t="n" s="6961">
        <v>2.0</v>
      </c>
      <c r="T21" s="6962">
        <f>IF(HLOOKUP("Shots",A1:CV300,21,FALSE)=0,0,HLOOKUP("Headers",A1:CV300,21,FALSE)/HLOOKUP("Shots",A1:CV300,21,FALSE))</f>
      </c>
      <c r="U21" t="n" s="6963">
        <v>1.0</v>
      </c>
      <c r="V21" s="6964">
        <f>IF(HLOOKUP("Shots",A1:CV300,21,FALSE)=0,0,HLOOKUP("SOT",A1:CV300,21,FALSE)/HLOOKUP("Shots",A1:CV300,21,FALSE))</f>
      </c>
      <c r="W21" s="6965">
        <f>IF(HLOOKUP("Shots",A1:CV300,21,FALSE)=0,0,HLOOKUP("Gs",A1:CV300,21,FALSE)/HLOOKUP("Shots",A1:CV300,21,FALSE))</f>
      </c>
      <c r="X21" t="n" s="6966">
        <v>0.0</v>
      </c>
      <c r="Y21" t="n" s="6967">
        <v>2.0</v>
      </c>
      <c r="Z21" t="n" s="6968">
        <v>1.0</v>
      </c>
      <c r="AA21" s="6969">
        <f>IF(HLOOKUP("KP",A1:CV300,21,FALSE)=0,0,HLOOKUP("As",A1:CV300,21,FALSE)/HLOOKUP("KP",A1:CV300,21,FALSE))</f>
      </c>
      <c r="AB21" t="n" s="6970">
        <v>17.7</v>
      </c>
      <c r="AC21" t="n" s="6971">
        <v>0.0</v>
      </c>
      <c r="AD21" t="n" s="6972">
        <v>1.0</v>
      </c>
      <c r="AE21" t="n" s="6973">
        <v>0.0</v>
      </c>
      <c r="AF21" t="n" s="6974">
        <v>0.0</v>
      </c>
      <c r="AG21" s="6975">
        <f>IF(HLOOKUP("BC",A1:CV300,21,FALSE)=0,0,HLOOKUP("Gs - BC",A1:CV300,21,FALSE)/HLOOKUP("BC",A1:CV300,21,FALSE))</f>
      </c>
      <c r="AH21" s="6976">
        <f>HLOOKUP("BC",A1:CV300,21,FALSE) - HLOOKUP("BC Miss",A1:CV300,21,FALSE)</f>
      </c>
      <c r="AI21" s="6977">
        <f>IF(HLOOKUP("Gs",A1:CV300,21,FALSE)=0,0,HLOOKUP("Gs - BC",A1:CV300,21,FALSE)/HLOOKUP("Gs",A1:CV300,21,FALSE))</f>
      </c>
      <c r="AJ21" t="n" s="6978">
        <v>0.0</v>
      </c>
      <c r="AK21" t="n" s="6979">
        <v>0.0</v>
      </c>
      <c r="AL21" s="6980">
        <f>HLOOKUP("BC",A1:CV300,21,FALSE) - (HLOOKUP("PK Gs",A1:CV300,21,FALSE) + HLOOKUP("PK Miss",A1:CV300,21,FALSE))</f>
      </c>
      <c r="AM21" s="6981">
        <f>HLOOKUP("BC Miss",A1:CV300,21,FALSE) - HLOOKUP("PK Miss",A1:CV300,21,FALSE)</f>
      </c>
      <c r="AN21" s="6982">
        <f>IF(HLOOKUP("BC - Open",A1:CV300,21,FALSE)=0,0,HLOOKUP("BC - Open Miss",A1:CV300,21,FALSE)/HLOOKUP("BC - Open",A1:CV300,21,FALSE))</f>
      </c>
      <c r="AO21" t="n" s="6983">
        <v>0.0</v>
      </c>
      <c r="AP21" s="6984">
        <f>IF(HLOOKUP("Gs",A1:CV300,21,FALSE)=0,0,HLOOKUP("GIB",A1:CV300,21,FALSE)/HLOOKUP("Gs",A1:CV300,21,FALSE))</f>
      </c>
      <c r="AQ21" t="n" s="6985">
        <v>0.0</v>
      </c>
      <c r="AR21" s="6986">
        <f>IF(HLOOKUP("Gs",A1:CV300,21,FALSE)=0,0,HLOOKUP("Gs - Open",A1:CV300,21,FALSE)/HLOOKUP("Gs",A1:CV300,21,FALSE))</f>
      </c>
      <c r="AS21" t="n" s="6987">
        <v>0.3</v>
      </c>
      <c r="AT21" t="n" s="6988">
        <v>0.12</v>
      </c>
      <c r="AU21" s="6989">
        <f>IF(HLOOKUP("Mins",A1:CV300,21,FALSE)=0,0,HLOOKUP("Pts",A1:CV300,21,FALSE)/HLOOKUP("Mins",A1:CV300,21,FALSE)* 90)</f>
      </c>
      <c r="AV21" s="6990">
        <f>IF(HLOOKUP("Apps",A1:CV300,21,FALSE)=0,0,HLOOKUP("Pts",A1:CV300,21,FALSE)/HLOOKUP("Apps",A1:CV300,21,FALSE)* 1)</f>
      </c>
      <c r="AW21" s="6991">
        <f>IF(HLOOKUP("Mins",A1:CV300,21,FALSE)=0,0,HLOOKUP("Gs",A1:CV300,21,FALSE)/HLOOKUP("Mins",A1:CV300,21,FALSE)* 90)</f>
      </c>
      <c r="AX21" s="6992">
        <f>IF(HLOOKUP("Mins",A1:CV300,21,FALSE)=0,0,HLOOKUP("Bonus",A1:CV300,21,FALSE)/HLOOKUP("Mins",A1:CV300,21,FALSE)* 90)</f>
      </c>
      <c r="AY21" s="6993">
        <f>IF(HLOOKUP("Mins",A1:CV300,21,FALSE)=0,0,HLOOKUP("BPS",A1:CV300,21,FALSE)/HLOOKUP("Mins",A1:CV300,21,FALSE)* 90)</f>
      </c>
      <c r="AZ21" s="6994">
        <f>IF(HLOOKUP("Mins",A1:CV300,21,FALSE)=0,0,HLOOKUP("Base BPS",A1:CV300,21,FALSE)/HLOOKUP("Mins",A1:CV300,21,FALSE)* 90)</f>
      </c>
      <c r="BA21" s="6995">
        <f>IF(HLOOKUP("Mins",A1:CV300,21,FALSE)=0,0,HLOOKUP("PenTchs",A1:CV300,21,FALSE)/HLOOKUP("Mins",A1:CV300,21,FALSE)* 90)</f>
      </c>
      <c r="BB21" s="6996">
        <f>IF(HLOOKUP("Mins",A1:CV300,21,FALSE)=0,0,HLOOKUP("Shots",A1:CV300,21,FALSE)/HLOOKUP("Mins",A1:CV300,21,FALSE)* 90)</f>
      </c>
      <c r="BC21" s="6997">
        <f>IF(HLOOKUP("Mins",A1:CV300,21,FALSE)=0,0,HLOOKUP("SIB",A1:CV300,21,FALSE)/HLOOKUP("Mins",A1:CV300,21,FALSE)* 90)</f>
      </c>
      <c r="BD21" s="6998">
        <f>IF(HLOOKUP("Mins",A1:CV300,21,FALSE)=0,0,HLOOKUP("S6YD",A1:CV300,21,FALSE)/HLOOKUP("Mins",A1:CV300,21,FALSE)* 90)</f>
      </c>
      <c r="BE21" s="6999">
        <f>IF(HLOOKUP("Mins",A1:CV300,21,FALSE)=0,0,HLOOKUP("Headers",A1:CV300,21,FALSE)/HLOOKUP("Mins",A1:CV300,21,FALSE)* 90)</f>
      </c>
      <c r="BF21" s="7000">
        <f>IF(HLOOKUP("Mins",A1:CV300,21,FALSE)=0,0,HLOOKUP("SOT",A1:CV300,21,FALSE)/HLOOKUP("Mins",A1:CV300,21,FALSE)* 90)</f>
      </c>
      <c r="BG21" s="7001">
        <f>IF(HLOOKUP("Mins",A1:CV300,21,FALSE)=0,0,HLOOKUP("As",A1:CV300,21,FALSE)/HLOOKUP("Mins",A1:CV300,21,FALSE)* 90)</f>
      </c>
      <c r="BH21" s="7002">
        <f>IF(HLOOKUP("Mins",A1:CV300,21,FALSE)=0,0,HLOOKUP("FPL As",A1:CV300,21,FALSE)/HLOOKUP("Mins",A1:CV300,21,FALSE)* 90)</f>
      </c>
      <c r="BI21" s="7003">
        <f>IF(HLOOKUP("Mins",A1:CV300,21,FALSE)=0,0,HLOOKUP("BC Created",A1:CV300,21,FALSE)/HLOOKUP("Mins",A1:CV300,21,FALSE)* 90)</f>
      </c>
      <c r="BJ21" s="7004">
        <f>IF(HLOOKUP("Mins",A1:CV300,21,FALSE)=0,0,HLOOKUP("KP",A1:CV300,21,FALSE)/HLOOKUP("Mins",A1:CV300,21,FALSE)* 90)</f>
      </c>
      <c r="BK21" s="7005">
        <f>IF(HLOOKUP("Mins",A1:CV300,21,FALSE)=0,0,HLOOKUP("BC",A1:CV300,21,FALSE)/HLOOKUP("Mins",A1:CV300,21,FALSE)* 90)</f>
      </c>
      <c r="BL21" s="7006">
        <f>IF(HLOOKUP("Mins",A1:CV300,21,FALSE)=0,0,HLOOKUP("BC Miss",A1:CV300,21,FALSE)/HLOOKUP("Mins",A1:CV300,21,FALSE)* 90)</f>
      </c>
      <c r="BM21" s="7007">
        <f>IF(HLOOKUP("Mins",A1:CV300,21,FALSE)=0,0,HLOOKUP("Gs - BC",A1:CV300,21,FALSE)/HLOOKUP("Mins",A1:CV300,21,FALSE)* 90)</f>
      </c>
      <c r="BN21" s="7008">
        <f>IF(HLOOKUP("Mins",A1:CV300,21,FALSE)=0,0,HLOOKUP("GIB",A1:CV300,21,FALSE)/HLOOKUP("Mins",A1:CV300,21,FALSE)* 90)</f>
      </c>
      <c r="BO21" s="7009">
        <f>IF(HLOOKUP("Mins",A1:CV300,21,FALSE)=0,0,HLOOKUP("Gs - Open",A1:CV300,21,FALSE)/HLOOKUP("Mins",A1:CV300,21,FALSE)* 90)</f>
      </c>
      <c r="BP21" s="7010">
        <f>IF(HLOOKUP("Mins",A1:CV300,21,FALSE)=0,0,HLOOKUP("ICT Index",A1:CV300,21,FALSE)/HLOOKUP("Mins",A1:CV300,21,FALSE)* 90)</f>
      </c>
      <c r="BQ21" s="7011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</c>
      <c r="BR21" s="7012">
        <f>0.0825*HLOOKUP("KP/90",A1:CV300,21,FALSE)</f>
      </c>
      <c r="BS21" s="7013">
        <f>6*HLOOKUP("xG/90",A1:CV300,21,FALSE)+3*HLOOKUP("xA/90",A1:CV300,21,FALSE)</f>
      </c>
      <c r="BT21" s="7014">
        <f>HLOOKUP("xPts/90",A1:CV300,21,FALSE)-(6*0.75*(HLOOKUP("PK Gs",A1:CV300,21,FALSE)+HLOOKUP("PK Miss",A1:CV300,21,FALSE))*90/HLOOKUP("Mins",A1:CV300,21,FALSE))</f>
      </c>
      <c r="BU21" s="7015">
        <f>IF(HLOOKUP("Mins",A1:CV300,21,FALSE)=0,0,HLOOKUP("fsXG",A1:CV300,21,FALSE)/HLOOKUP("Mins",A1:CV300,21,FALSE)* 90)</f>
      </c>
      <c r="BV21" s="7016">
        <f>IF(HLOOKUP("Mins",A1:CV300,21,FALSE)=0,0,HLOOKUP("fsXA",A1:CV300,21,FALSE)/HLOOKUP("Mins",A1:CV300,21,FALSE)* 90)</f>
      </c>
      <c r="BW21" s="7017">
        <f>6*HLOOKUP("fsXG/90",A1:CV300,21,FALSE)+3*HLOOKUP("fsXA/90",A1:CV300,21,FALSE)</f>
      </c>
      <c r="BX21" t="n" s="7018">
        <v>0.02860182709991932</v>
      </c>
      <c r="BY21" t="n" s="7019">
        <v>0.04550330340862274</v>
      </c>
      <c r="BZ21" s="7020">
        <f>6*HLOOKUP("uXG/90",A1:CV300,21,FALSE)+3*HLOOKUP("uXA/90",A1:CV300,21,FALSE)</f>
      </c>
    </row>
    <row r="22">
      <c r="A22" t="s" s="7021">
        <v>187</v>
      </c>
      <c r="B22" t="s" s="7022">
        <v>97</v>
      </c>
      <c r="C22" t="n" s="7023">
        <v>4.199999809265137</v>
      </c>
      <c r="D22" t="n" s="7024">
        <v>540.0</v>
      </c>
      <c r="E22" t="n" s="7025">
        <v>6.0</v>
      </c>
      <c r="F22" t="n" s="7026">
        <v>42.0</v>
      </c>
      <c r="G22" t="n" s="7027">
        <v>0.0</v>
      </c>
      <c r="H22" t="n" s="7028">
        <v>2.0</v>
      </c>
      <c r="I22" t="n" s="7029">
        <v>201.0</v>
      </c>
      <c r="J22" s="7030">
        <f>HLOOKUP("BPS",A1:CV300,22,FALSE)-((-6*HLOOKUP("OG",A1:CV300,22,FALSE))+(-6*HLOOKUP("PK Miss",A1:CV300,22,FALSE))+(9*HLOOKUP("FPL As",A1:CV300,22,FALSE))+(12*HLOOKUP("CS",A1:CV300,22,FALSE))+(12*HLOOKUP("Gs",A1:CV300,22,FALSE)))</f>
      </c>
      <c r="K22" t="n" s="7031">
        <v>0.0</v>
      </c>
      <c r="L22" t="n" s="7032">
        <v>5.0</v>
      </c>
      <c r="M22" t="n" s="7033">
        <v>4.0</v>
      </c>
      <c r="N22" t="n" s="7034">
        <v>1.0</v>
      </c>
      <c r="O22" t="n" s="7035">
        <v>0.0</v>
      </c>
      <c r="P22" s="7036">
        <f>IF(HLOOKUP("Shots",A1:CV300,22,FALSE)=0,0,HLOOKUP("SIB",A1:CV300,22,FALSE)/HLOOKUP("Shots",A1:CV300,22,FALSE))</f>
      </c>
      <c r="Q22" t="n" s="7037">
        <v>0.0</v>
      </c>
      <c r="R22" s="7038">
        <f>IF(HLOOKUP("Shots",A1:CV300,22,FALSE)=0,0,HLOOKUP("S6YD",A1:CV300,22,FALSE)/HLOOKUP("Shots",A1:CV300,22,FALSE))</f>
      </c>
      <c r="S22" t="n" s="7039">
        <v>0.0</v>
      </c>
      <c r="T22" s="7040">
        <f>IF(HLOOKUP("Shots",A1:CV300,22,FALSE)=0,0,HLOOKUP("Headers",A1:CV300,22,FALSE)/HLOOKUP("Shots",A1:CV300,22,FALSE))</f>
      </c>
      <c r="U22" t="n" s="7041">
        <v>0.0</v>
      </c>
      <c r="V22" s="7042">
        <f>IF(HLOOKUP("Shots",A1:CV300,22,FALSE)=0,0,HLOOKUP("SOT",A1:CV300,22,FALSE)/HLOOKUP("Shots",A1:CV300,22,FALSE))</f>
      </c>
      <c r="W22" s="7043">
        <f>IF(HLOOKUP("Shots",A1:CV300,22,FALSE)=0,0,HLOOKUP("Gs",A1:CV300,22,FALSE)/HLOOKUP("Shots",A1:CV300,22,FALSE))</f>
      </c>
      <c r="X22" t="n" s="7044">
        <v>0.0</v>
      </c>
      <c r="Y22" t="n" s="7045">
        <v>0.0</v>
      </c>
      <c r="Z22" t="n" s="7046">
        <v>6.0</v>
      </c>
      <c r="AA22" s="7047">
        <f>IF(HLOOKUP("KP",A1:CV300,22,FALSE)=0,0,HLOOKUP("As",A1:CV300,22,FALSE)/HLOOKUP("KP",A1:CV300,22,FALSE))</f>
      </c>
      <c r="AB22" t="n" s="7048">
        <v>21.4</v>
      </c>
      <c r="AC22" t="n" s="7049">
        <v>0.0</v>
      </c>
      <c r="AD22" t="n" s="7050">
        <v>0.0</v>
      </c>
      <c r="AE22" t="n" s="7051">
        <v>0.0</v>
      </c>
      <c r="AF22" t="n" s="7052">
        <v>0.0</v>
      </c>
      <c r="AG22" s="7053">
        <f>IF(HLOOKUP("BC",A1:CV300,22,FALSE)=0,0,HLOOKUP("Gs - BC",A1:CV300,22,FALSE)/HLOOKUP("BC",A1:CV300,22,FALSE))</f>
      </c>
      <c r="AH22" s="7054">
        <f>HLOOKUP("BC",A1:CV300,22,FALSE) - HLOOKUP("BC Miss",A1:CV300,22,FALSE)</f>
      </c>
      <c r="AI22" s="7055">
        <f>IF(HLOOKUP("Gs",A1:CV300,22,FALSE)=0,0,HLOOKUP("Gs - BC",A1:CV300,22,FALSE)/HLOOKUP("Gs",A1:CV300,22,FALSE))</f>
      </c>
      <c r="AJ22" t="n" s="7056">
        <v>0.0</v>
      </c>
      <c r="AK22" t="n" s="7057">
        <v>0.0</v>
      </c>
      <c r="AL22" s="7058">
        <f>HLOOKUP("BC",A1:CV300,22,FALSE) - (HLOOKUP("PK Gs",A1:CV300,22,FALSE) + HLOOKUP("PK Miss",A1:CV300,22,FALSE))</f>
      </c>
      <c r="AM22" s="7059">
        <f>HLOOKUP("BC Miss",A1:CV300,22,FALSE) - HLOOKUP("PK Miss",A1:CV300,22,FALSE)</f>
      </c>
      <c r="AN22" s="7060">
        <f>IF(HLOOKUP("BC - Open",A1:CV300,22,FALSE)=0,0,HLOOKUP("BC - Open Miss",A1:CV300,22,FALSE)/HLOOKUP("BC - Open",A1:CV300,22,FALSE))</f>
      </c>
      <c r="AO22" t="n" s="7061">
        <v>0.0</v>
      </c>
      <c r="AP22" s="7062">
        <f>IF(HLOOKUP("Gs",A1:CV300,22,FALSE)=0,0,HLOOKUP("GIB",A1:CV300,22,FALSE)/HLOOKUP("Gs",A1:CV300,22,FALSE))</f>
      </c>
      <c r="AQ22" t="n" s="7063">
        <v>0.0</v>
      </c>
      <c r="AR22" s="7064">
        <f>IF(HLOOKUP("Gs",A1:CV300,22,FALSE)=0,0,HLOOKUP("Gs - Open",A1:CV300,22,FALSE)/HLOOKUP("Gs",A1:CV300,22,FALSE))</f>
      </c>
      <c r="AS22" t="n" s="7065">
        <v>0.03</v>
      </c>
      <c r="AT22" t="n" s="7066">
        <v>0.45</v>
      </c>
      <c r="AU22" s="7067">
        <f>IF(HLOOKUP("Mins",A1:CV300,22,FALSE)=0,0,HLOOKUP("Pts",A1:CV300,22,FALSE)/HLOOKUP("Mins",A1:CV300,22,FALSE)* 90)</f>
      </c>
      <c r="AV22" s="7068">
        <f>IF(HLOOKUP("Apps",A1:CV300,22,FALSE)=0,0,HLOOKUP("Pts",A1:CV300,22,FALSE)/HLOOKUP("Apps",A1:CV300,22,FALSE)* 1)</f>
      </c>
      <c r="AW22" s="7069">
        <f>IF(HLOOKUP("Mins",A1:CV300,22,FALSE)=0,0,HLOOKUP("Gs",A1:CV300,22,FALSE)/HLOOKUP("Mins",A1:CV300,22,FALSE)* 90)</f>
      </c>
      <c r="AX22" s="7070">
        <f>IF(HLOOKUP("Mins",A1:CV300,22,FALSE)=0,0,HLOOKUP("Bonus",A1:CV300,22,FALSE)/HLOOKUP("Mins",A1:CV300,22,FALSE)* 90)</f>
      </c>
      <c r="AY22" s="7071">
        <f>IF(HLOOKUP("Mins",A1:CV300,22,FALSE)=0,0,HLOOKUP("BPS",A1:CV300,22,FALSE)/HLOOKUP("Mins",A1:CV300,22,FALSE)* 90)</f>
      </c>
      <c r="AZ22" s="7072">
        <f>IF(HLOOKUP("Mins",A1:CV300,22,FALSE)=0,0,HLOOKUP("Base BPS",A1:CV300,22,FALSE)/HLOOKUP("Mins",A1:CV300,22,FALSE)* 90)</f>
      </c>
      <c r="BA22" s="7073">
        <f>IF(HLOOKUP("Mins",A1:CV300,22,FALSE)=0,0,HLOOKUP("PenTchs",A1:CV300,22,FALSE)/HLOOKUP("Mins",A1:CV300,22,FALSE)* 90)</f>
      </c>
      <c r="BB22" s="7074">
        <f>IF(HLOOKUP("Mins",A1:CV300,22,FALSE)=0,0,HLOOKUP("Shots",A1:CV300,22,FALSE)/HLOOKUP("Mins",A1:CV300,22,FALSE)* 90)</f>
      </c>
      <c r="BC22" s="7075">
        <f>IF(HLOOKUP("Mins",A1:CV300,22,FALSE)=0,0,HLOOKUP("SIB",A1:CV300,22,FALSE)/HLOOKUP("Mins",A1:CV300,22,FALSE)* 90)</f>
      </c>
      <c r="BD22" s="7076">
        <f>IF(HLOOKUP("Mins",A1:CV300,22,FALSE)=0,0,HLOOKUP("S6YD",A1:CV300,22,FALSE)/HLOOKUP("Mins",A1:CV300,22,FALSE)* 90)</f>
      </c>
      <c r="BE22" s="7077">
        <f>IF(HLOOKUP("Mins",A1:CV300,22,FALSE)=0,0,HLOOKUP("Headers",A1:CV300,22,FALSE)/HLOOKUP("Mins",A1:CV300,22,FALSE)* 90)</f>
      </c>
      <c r="BF22" s="7078">
        <f>IF(HLOOKUP("Mins",A1:CV300,22,FALSE)=0,0,HLOOKUP("SOT",A1:CV300,22,FALSE)/HLOOKUP("Mins",A1:CV300,22,FALSE)* 90)</f>
      </c>
      <c r="BG22" s="7079">
        <f>IF(HLOOKUP("Mins",A1:CV300,22,FALSE)=0,0,HLOOKUP("As",A1:CV300,22,FALSE)/HLOOKUP("Mins",A1:CV300,22,FALSE)* 90)</f>
      </c>
      <c r="BH22" s="7080">
        <f>IF(HLOOKUP("Mins",A1:CV300,22,FALSE)=0,0,HLOOKUP("FPL As",A1:CV300,22,FALSE)/HLOOKUP("Mins",A1:CV300,22,FALSE)* 90)</f>
      </c>
      <c r="BI22" s="7081">
        <f>IF(HLOOKUP("Mins",A1:CV300,22,FALSE)=0,0,HLOOKUP("BC Created",A1:CV300,22,FALSE)/HLOOKUP("Mins",A1:CV300,22,FALSE)* 90)</f>
      </c>
      <c r="BJ22" s="7082">
        <f>IF(HLOOKUP("Mins",A1:CV300,22,FALSE)=0,0,HLOOKUP("KP",A1:CV300,22,FALSE)/HLOOKUP("Mins",A1:CV300,22,FALSE)* 90)</f>
      </c>
      <c r="BK22" s="7083">
        <f>IF(HLOOKUP("Mins",A1:CV300,22,FALSE)=0,0,HLOOKUP("BC",A1:CV300,22,FALSE)/HLOOKUP("Mins",A1:CV300,22,FALSE)* 90)</f>
      </c>
      <c r="BL22" s="7084">
        <f>IF(HLOOKUP("Mins",A1:CV300,22,FALSE)=0,0,HLOOKUP("BC Miss",A1:CV300,22,FALSE)/HLOOKUP("Mins",A1:CV300,22,FALSE)* 90)</f>
      </c>
      <c r="BM22" s="7085">
        <f>IF(HLOOKUP("Mins",A1:CV300,22,FALSE)=0,0,HLOOKUP("Gs - BC",A1:CV300,22,FALSE)/HLOOKUP("Mins",A1:CV300,22,FALSE)* 90)</f>
      </c>
      <c r="BN22" s="7086">
        <f>IF(HLOOKUP("Mins",A1:CV300,22,FALSE)=0,0,HLOOKUP("GIB",A1:CV300,22,FALSE)/HLOOKUP("Mins",A1:CV300,22,FALSE)* 90)</f>
      </c>
      <c r="BO22" s="7087">
        <f>IF(HLOOKUP("Mins",A1:CV300,22,FALSE)=0,0,HLOOKUP("Gs - Open",A1:CV300,22,FALSE)/HLOOKUP("Mins",A1:CV300,22,FALSE)* 90)</f>
      </c>
      <c r="BP22" s="7088">
        <f>IF(HLOOKUP("Mins",A1:CV300,22,FALSE)=0,0,HLOOKUP("ICT Index",A1:CV300,22,FALSE)/HLOOKUP("Mins",A1:CV300,22,FALSE)* 90)</f>
      </c>
      <c r="BQ22" s="7089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</c>
      <c r="BR22" s="7090">
        <f>0.0825*HLOOKUP("KP/90",A1:CV300,22,FALSE)</f>
      </c>
      <c r="BS22" s="7091">
        <f>6*HLOOKUP("xG/90",A1:CV300,22,FALSE)+3*HLOOKUP("xA/90",A1:CV300,22,FALSE)</f>
      </c>
      <c r="BT22" s="7092">
        <f>HLOOKUP("xPts/90",A1:CV300,22,FALSE)-(6*0.75*(HLOOKUP("PK Gs",A1:CV300,22,FALSE)+HLOOKUP("PK Miss",A1:CV300,22,FALSE))*90/HLOOKUP("Mins",A1:CV300,22,FALSE))</f>
      </c>
      <c r="BU22" s="7093">
        <f>IF(HLOOKUP("Mins",A1:CV300,22,FALSE)=0,0,HLOOKUP("fsXG",A1:CV300,22,FALSE)/HLOOKUP("Mins",A1:CV300,22,FALSE)* 90)</f>
      </c>
      <c r="BV22" s="7094">
        <f>IF(HLOOKUP("Mins",A1:CV300,22,FALSE)=0,0,HLOOKUP("fsXA",A1:CV300,22,FALSE)/HLOOKUP("Mins",A1:CV300,22,FALSE)* 90)</f>
      </c>
      <c r="BW22" s="7095">
        <f>6*HLOOKUP("fsXG/90",A1:CV300,22,FALSE)+3*HLOOKUP("fsXA/90",A1:CV300,22,FALSE)</f>
      </c>
      <c r="BX22" t="n" s="7096">
        <v>0.0023361805360764265</v>
      </c>
      <c r="BY22" t="n" s="7097">
        <v>0.04226164519786835</v>
      </c>
      <c r="BZ22" s="7098">
        <f>6*HLOOKUP("uXG/90",A1:CV300,22,FALSE)+3*HLOOKUP("uXA/90",A1:CV300,22,FALSE)</f>
      </c>
    </row>
    <row r="23">
      <c r="A23" t="s" s="7099">
        <v>188</v>
      </c>
      <c r="B23" t="s" s="7100">
        <v>118</v>
      </c>
      <c r="C23" t="n" s="7101">
        <v>5.800000190734863</v>
      </c>
      <c r="D23" t="n" s="7102">
        <v>535.0</v>
      </c>
      <c r="E23" t="n" s="7103">
        <v>6.0</v>
      </c>
      <c r="F23" t="n" s="7104">
        <v>83.0</v>
      </c>
      <c r="G23" t="n" s="7105">
        <v>0.0</v>
      </c>
      <c r="H23" t="n" s="7106">
        <v>12.0</v>
      </c>
      <c r="I23" t="n" s="7107">
        <v>459.0</v>
      </c>
      <c r="J23" s="7108">
        <f>HLOOKUP("BPS",A1:CV300,23,FALSE)-((-6*HLOOKUP("OG",A1:CV300,23,FALSE))+(-6*HLOOKUP("PK Miss",A1:CV300,23,FALSE))+(9*HLOOKUP("FPL As",A1:CV300,23,FALSE))+(12*HLOOKUP("CS",A1:CV300,23,FALSE))+(12*HLOOKUP("Gs",A1:CV300,23,FALSE)))</f>
      </c>
      <c r="K23" t="n" s="7109">
        <v>1.0</v>
      </c>
      <c r="L23" t="n" s="7110">
        <v>6.0</v>
      </c>
      <c r="M23" t="n" s="7111">
        <v>12.0</v>
      </c>
      <c r="N23" t="n" s="7112">
        <v>5.0</v>
      </c>
      <c r="O23" t="n" s="7113">
        <v>0.0</v>
      </c>
      <c r="P23" s="7114">
        <f>IF(HLOOKUP("Shots",A1:CV300,23,FALSE)=0,0,HLOOKUP("SIB",A1:CV300,23,FALSE)/HLOOKUP("Shots",A1:CV300,23,FALSE))</f>
      </c>
      <c r="Q23" t="n" s="7115">
        <v>0.0</v>
      </c>
      <c r="R23" s="7116">
        <f>IF(HLOOKUP("Shots",A1:CV300,23,FALSE)=0,0,HLOOKUP("S6YD",A1:CV300,23,FALSE)/HLOOKUP("Shots",A1:CV300,23,FALSE))</f>
      </c>
      <c r="S23" t="n" s="7117">
        <v>0.0</v>
      </c>
      <c r="T23" s="7118">
        <f>IF(HLOOKUP("Shots",A1:CV300,23,FALSE)=0,0,HLOOKUP("Headers",A1:CV300,23,FALSE)/HLOOKUP("Shots",A1:CV300,23,FALSE))</f>
      </c>
      <c r="U23" t="n" s="7119">
        <v>1.0</v>
      </c>
      <c r="V23" s="7120">
        <f>IF(HLOOKUP("Shots",A1:CV300,23,FALSE)=0,0,HLOOKUP("SOT",A1:CV300,23,FALSE)/HLOOKUP("Shots",A1:CV300,23,FALSE))</f>
      </c>
      <c r="W23" s="7121">
        <f>IF(HLOOKUP("Shots",A1:CV300,23,FALSE)=0,0,HLOOKUP("Gs",A1:CV300,23,FALSE)/HLOOKUP("Shots",A1:CV300,23,FALSE))</f>
      </c>
      <c r="X23" t="n" s="7122">
        <v>2.0</v>
      </c>
      <c r="Y23" t="n" s="7123">
        <v>5.0</v>
      </c>
      <c r="Z23" t="n" s="7124">
        <v>13.0</v>
      </c>
      <c r="AA23" s="7125">
        <f>IF(HLOOKUP("KP",A1:CV300,23,FALSE)=0,0,HLOOKUP("As",A1:CV300,23,FALSE)/HLOOKUP("KP",A1:CV300,23,FALSE))</f>
      </c>
      <c r="AB23" t="n" s="7126">
        <v>41.0</v>
      </c>
      <c r="AC23" t="n" s="7127">
        <v>18.0</v>
      </c>
      <c r="AD23" t="n" s="7128">
        <v>3.0</v>
      </c>
      <c r="AE23" t="n" s="7129">
        <v>0.0</v>
      </c>
      <c r="AF23" t="n" s="7130">
        <v>0.0</v>
      </c>
      <c r="AG23" s="7131">
        <f>IF(HLOOKUP("BC",A1:CV300,23,FALSE)=0,0,HLOOKUP("Gs - BC",A1:CV300,23,FALSE)/HLOOKUP("BC",A1:CV300,23,FALSE))</f>
      </c>
      <c r="AH23" s="7132">
        <f>HLOOKUP("BC",A1:CV300,23,FALSE) - HLOOKUP("BC Miss",A1:CV300,23,FALSE)</f>
      </c>
      <c r="AI23" s="7133">
        <f>IF(HLOOKUP("Gs",A1:CV300,23,FALSE)=0,0,HLOOKUP("Gs - BC",A1:CV300,23,FALSE)/HLOOKUP("Gs",A1:CV300,23,FALSE))</f>
      </c>
      <c r="AJ23" t="n" s="7134">
        <v>0.0</v>
      </c>
      <c r="AK23" t="n" s="7135">
        <v>0.0</v>
      </c>
      <c r="AL23" s="7136">
        <f>HLOOKUP("BC",A1:CV300,23,FALSE) - (HLOOKUP("PK Gs",A1:CV300,23,FALSE) + HLOOKUP("PK Miss",A1:CV300,23,FALSE))</f>
      </c>
      <c r="AM23" s="7137">
        <f>HLOOKUP("BC Miss",A1:CV300,23,FALSE) - HLOOKUP("PK Miss",A1:CV300,23,FALSE)</f>
      </c>
      <c r="AN23" s="7138">
        <f>IF(HLOOKUP("BC - Open",A1:CV300,23,FALSE)=0,0,HLOOKUP("BC - Open Miss",A1:CV300,23,FALSE)/HLOOKUP("BC - Open",A1:CV300,23,FALSE))</f>
      </c>
      <c r="AO23" t="n" s="7139">
        <v>0.0</v>
      </c>
      <c r="AP23" s="7140">
        <f>IF(HLOOKUP("Gs",A1:CV300,23,FALSE)=0,0,HLOOKUP("GIB",A1:CV300,23,FALSE)/HLOOKUP("Gs",A1:CV300,23,FALSE))</f>
      </c>
      <c r="AQ23" t="n" s="7141">
        <v>0.0</v>
      </c>
      <c r="AR23" s="7142">
        <f>IF(HLOOKUP("Gs",A1:CV300,23,FALSE)=0,0,HLOOKUP("Gs - Open",A1:CV300,23,FALSE)/HLOOKUP("Gs",A1:CV300,23,FALSE))</f>
      </c>
      <c r="AS23" t="n" s="7143">
        <v>0.24</v>
      </c>
      <c r="AT23" t="n" s="7144">
        <v>1.14</v>
      </c>
      <c r="AU23" s="7145">
        <f>IF(HLOOKUP("Mins",A1:CV300,23,FALSE)=0,0,HLOOKUP("Pts",A1:CV300,23,FALSE)/HLOOKUP("Mins",A1:CV300,23,FALSE)* 90)</f>
      </c>
      <c r="AV23" s="7146">
        <f>IF(HLOOKUP("Apps",A1:CV300,23,FALSE)=0,0,HLOOKUP("Pts",A1:CV300,23,FALSE)/HLOOKUP("Apps",A1:CV300,23,FALSE)* 1)</f>
      </c>
      <c r="AW23" s="7147">
        <f>IF(HLOOKUP("Mins",A1:CV300,23,FALSE)=0,0,HLOOKUP("Gs",A1:CV300,23,FALSE)/HLOOKUP("Mins",A1:CV300,23,FALSE)* 90)</f>
      </c>
      <c r="AX23" s="7148">
        <f>IF(HLOOKUP("Mins",A1:CV300,23,FALSE)=0,0,HLOOKUP("Bonus",A1:CV300,23,FALSE)/HLOOKUP("Mins",A1:CV300,23,FALSE)* 90)</f>
      </c>
      <c r="AY23" s="7149">
        <f>IF(HLOOKUP("Mins",A1:CV300,23,FALSE)=0,0,HLOOKUP("BPS",A1:CV300,23,FALSE)/HLOOKUP("Mins",A1:CV300,23,FALSE)* 90)</f>
      </c>
      <c r="AZ23" s="7150">
        <f>IF(HLOOKUP("Mins",A1:CV300,23,FALSE)=0,0,HLOOKUP("Base BPS",A1:CV300,23,FALSE)/HLOOKUP("Mins",A1:CV300,23,FALSE)* 90)</f>
      </c>
      <c r="BA23" s="7151">
        <f>IF(HLOOKUP("Mins",A1:CV300,23,FALSE)=0,0,HLOOKUP("PenTchs",A1:CV300,23,FALSE)/HLOOKUP("Mins",A1:CV300,23,FALSE)* 90)</f>
      </c>
      <c r="BB23" s="7152">
        <f>IF(HLOOKUP("Mins",A1:CV300,23,FALSE)=0,0,HLOOKUP("Shots",A1:CV300,23,FALSE)/HLOOKUP("Mins",A1:CV300,23,FALSE)* 90)</f>
      </c>
      <c r="BC23" s="7153">
        <f>IF(HLOOKUP("Mins",A1:CV300,23,FALSE)=0,0,HLOOKUP("SIB",A1:CV300,23,FALSE)/HLOOKUP("Mins",A1:CV300,23,FALSE)* 90)</f>
      </c>
      <c r="BD23" s="7154">
        <f>IF(HLOOKUP("Mins",A1:CV300,23,FALSE)=0,0,HLOOKUP("S6YD",A1:CV300,23,FALSE)/HLOOKUP("Mins",A1:CV300,23,FALSE)* 90)</f>
      </c>
      <c r="BE23" s="7155">
        <f>IF(HLOOKUP("Mins",A1:CV300,23,FALSE)=0,0,HLOOKUP("Headers",A1:CV300,23,FALSE)/HLOOKUP("Mins",A1:CV300,23,FALSE)* 90)</f>
      </c>
      <c r="BF23" s="7156">
        <f>IF(HLOOKUP("Mins",A1:CV300,23,FALSE)=0,0,HLOOKUP("SOT",A1:CV300,23,FALSE)/HLOOKUP("Mins",A1:CV300,23,FALSE)* 90)</f>
      </c>
      <c r="BG23" s="7157">
        <f>IF(HLOOKUP("Mins",A1:CV300,23,FALSE)=0,0,HLOOKUP("As",A1:CV300,23,FALSE)/HLOOKUP("Mins",A1:CV300,23,FALSE)* 90)</f>
      </c>
      <c r="BH23" s="7158">
        <f>IF(HLOOKUP("Mins",A1:CV300,23,FALSE)=0,0,HLOOKUP("FPL As",A1:CV300,23,FALSE)/HLOOKUP("Mins",A1:CV300,23,FALSE)* 90)</f>
      </c>
      <c r="BI23" s="7159">
        <f>IF(HLOOKUP("Mins",A1:CV300,23,FALSE)=0,0,HLOOKUP("BC Created",A1:CV300,23,FALSE)/HLOOKUP("Mins",A1:CV300,23,FALSE)* 90)</f>
      </c>
      <c r="BJ23" s="7160">
        <f>IF(HLOOKUP("Mins",A1:CV300,23,FALSE)=0,0,HLOOKUP("KP",A1:CV300,23,FALSE)/HLOOKUP("Mins",A1:CV300,23,FALSE)* 90)</f>
      </c>
      <c r="BK23" s="7161">
        <f>IF(HLOOKUP("Mins",A1:CV300,23,FALSE)=0,0,HLOOKUP("BC",A1:CV300,23,FALSE)/HLOOKUP("Mins",A1:CV300,23,FALSE)* 90)</f>
      </c>
      <c r="BL23" s="7162">
        <f>IF(HLOOKUP("Mins",A1:CV300,23,FALSE)=0,0,HLOOKUP("BC Miss",A1:CV300,23,FALSE)/HLOOKUP("Mins",A1:CV300,23,FALSE)* 90)</f>
      </c>
      <c r="BM23" s="7163">
        <f>IF(HLOOKUP("Mins",A1:CV300,23,FALSE)=0,0,HLOOKUP("Gs - BC",A1:CV300,23,FALSE)/HLOOKUP("Mins",A1:CV300,23,FALSE)* 90)</f>
      </c>
      <c r="BN23" s="7164">
        <f>IF(HLOOKUP("Mins",A1:CV300,23,FALSE)=0,0,HLOOKUP("GIB",A1:CV300,23,FALSE)/HLOOKUP("Mins",A1:CV300,23,FALSE)* 90)</f>
      </c>
      <c r="BO23" s="7165">
        <f>IF(HLOOKUP("Mins",A1:CV300,23,FALSE)=0,0,HLOOKUP("Gs - Open",A1:CV300,23,FALSE)/HLOOKUP("Mins",A1:CV300,23,FALSE)* 90)</f>
      </c>
      <c r="BP23" s="7166">
        <f>IF(HLOOKUP("Mins",A1:CV300,23,FALSE)=0,0,HLOOKUP("ICT Index",A1:CV300,23,FALSE)/HLOOKUP("Mins",A1:CV300,23,FALSE)* 90)</f>
      </c>
      <c r="BQ23" s="7167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</c>
      <c r="BR23" s="7168">
        <f>0.0825*HLOOKUP("KP/90",A1:CV300,23,FALSE)</f>
      </c>
      <c r="BS23" s="7169">
        <f>6*HLOOKUP("xG/90",A1:CV300,23,FALSE)+3*HLOOKUP("xA/90",A1:CV300,23,FALSE)</f>
      </c>
      <c r="BT23" s="7170">
        <f>HLOOKUP("xPts/90",A1:CV300,23,FALSE)-(6*0.75*(HLOOKUP("PK Gs",A1:CV300,23,FALSE)+HLOOKUP("PK Miss",A1:CV300,23,FALSE))*90/HLOOKUP("Mins",A1:CV300,23,FALSE))</f>
      </c>
      <c r="BU23" s="7171">
        <f>IF(HLOOKUP("Mins",A1:CV300,23,FALSE)=0,0,HLOOKUP("fsXG",A1:CV300,23,FALSE)/HLOOKUP("Mins",A1:CV300,23,FALSE)* 90)</f>
      </c>
      <c r="BV23" s="7172">
        <f>IF(HLOOKUP("Mins",A1:CV300,23,FALSE)=0,0,HLOOKUP("fsXA",A1:CV300,23,FALSE)/HLOOKUP("Mins",A1:CV300,23,FALSE)* 90)</f>
      </c>
      <c r="BW23" s="7173">
        <f>6*HLOOKUP("fsXG/90",A1:CV300,23,FALSE)+3*HLOOKUP("fsXA/90",A1:CV300,23,FALSE)</f>
      </c>
      <c r="BX23" t="n" s="7174">
        <v>0.03574225306510925</v>
      </c>
      <c r="BY23" t="n" s="7175">
        <v>0.2446654736995697</v>
      </c>
      <c r="BZ23" s="7176">
        <f>6*HLOOKUP("uXG/90",A1:CV300,23,FALSE)+3*HLOOKUP("uXA/90",A1:CV300,23,FALSE)</f>
      </c>
    </row>
    <row r="24">
      <c r="A24" t="s" s="7177">
        <v>189</v>
      </c>
      <c r="B24" t="s" s="7178">
        <v>92</v>
      </c>
      <c r="C24" t="n" s="7179">
        <v>4.800000190734863</v>
      </c>
      <c r="D24" t="n" s="7180">
        <v>450.0</v>
      </c>
      <c r="E24" t="n" s="7181">
        <v>5.0</v>
      </c>
      <c r="F24" t="n" s="7182">
        <v>65.0</v>
      </c>
      <c r="G24" t="n" s="7183">
        <v>1.0</v>
      </c>
      <c r="H24" t="n" s="7184">
        <v>6.0</v>
      </c>
      <c r="I24" t="n" s="7185">
        <v>375.0</v>
      </c>
      <c r="J24" s="7186">
        <f>HLOOKUP("BPS",A1:CV300,24,FALSE)-((-6*HLOOKUP("OG",A1:CV300,24,FALSE))+(-6*HLOOKUP("PK Miss",A1:CV300,24,FALSE))+(9*HLOOKUP("FPL As",A1:CV300,24,FALSE))+(12*HLOOKUP("CS",A1:CV300,24,FALSE))+(12*HLOOKUP("Gs",A1:CV300,24,FALSE)))</f>
      </c>
      <c r="K24" t="n" s="7187">
        <v>0.0</v>
      </c>
      <c r="L24" t="n" s="7188">
        <v>3.0</v>
      </c>
      <c r="M24" t="n" s="7189">
        <v>8.0</v>
      </c>
      <c r="N24" t="n" s="7190">
        <v>6.0</v>
      </c>
      <c r="O24" t="n" s="7191">
        <v>5.0</v>
      </c>
      <c r="P24" s="7192">
        <f>IF(HLOOKUP("Shots",A1:CV300,24,FALSE)=0,0,HLOOKUP("SIB",A1:CV300,24,FALSE)/HLOOKUP("Shots",A1:CV300,24,FALSE))</f>
      </c>
      <c r="Q24" t="n" s="7193">
        <v>2.0</v>
      </c>
      <c r="R24" s="7194">
        <f>IF(HLOOKUP("Shots",A1:CV300,24,FALSE)=0,0,HLOOKUP("S6YD",A1:CV300,24,FALSE)/HLOOKUP("Shots",A1:CV300,24,FALSE))</f>
      </c>
      <c r="S24" t="n" s="7195">
        <v>2.0</v>
      </c>
      <c r="T24" s="7196">
        <f>IF(HLOOKUP("Shots",A1:CV300,24,FALSE)=0,0,HLOOKUP("Headers",A1:CV300,24,FALSE)/HLOOKUP("Shots",A1:CV300,24,FALSE))</f>
      </c>
      <c r="U24" t="n" s="7197">
        <v>2.0</v>
      </c>
      <c r="V24" s="7198">
        <f>IF(HLOOKUP("Shots",A1:CV300,24,FALSE)=0,0,HLOOKUP("SOT",A1:CV300,24,FALSE)/HLOOKUP("Shots",A1:CV300,24,FALSE))</f>
      </c>
      <c r="W24" s="7199">
        <f>IF(HLOOKUP("Shots",A1:CV300,24,FALSE)=0,0,HLOOKUP("Gs",A1:CV300,24,FALSE)/HLOOKUP("Shots",A1:CV300,24,FALSE))</f>
      </c>
      <c r="X24" t="n" s="7200">
        <v>0.0</v>
      </c>
      <c r="Y24" t="n" s="7201">
        <v>1.0</v>
      </c>
      <c r="Z24" t="n" s="7202">
        <v>0.0</v>
      </c>
      <c r="AA24" s="7203">
        <f>IF(HLOOKUP("KP",A1:CV300,24,FALSE)=0,0,HLOOKUP("As",A1:CV300,24,FALSE)/HLOOKUP("KP",A1:CV300,24,FALSE))</f>
      </c>
      <c r="AB24" t="n" s="7204">
        <v>22.5</v>
      </c>
      <c r="AC24" t="n" s="7205">
        <v>17.0</v>
      </c>
      <c r="AD24" t="n" s="7206">
        <v>0.0</v>
      </c>
      <c r="AE24" t="n" s="7207">
        <v>1.0</v>
      </c>
      <c r="AF24" t="n" s="7208">
        <v>0.0</v>
      </c>
      <c r="AG24" s="7209">
        <f>IF(HLOOKUP("BC",A1:CV300,24,FALSE)=0,0,HLOOKUP("Gs - BC",A1:CV300,24,FALSE)/HLOOKUP("BC",A1:CV300,24,FALSE))</f>
      </c>
      <c r="AH24" s="7210">
        <f>HLOOKUP("BC",A1:CV300,24,FALSE) - HLOOKUP("BC Miss",A1:CV300,24,FALSE)</f>
      </c>
      <c r="AI24" s="7211">
        <f>IF(HLOOKUP("Gs",A1:CV300,24,FALSE)=0,0,HLOOKUP("Gs - BC",A1:CV300,24,FALSE)/HLOOKUP("Gs",A1:CV300,24,FALSE))</f>
      </c>
      <c r="AJ24" t="n" s="7212">
        <v>0.0</v>
      </c>
      <c r="AK24" t="n" s="7213">
        <v>0.0</v>
      </c>
      <c r="AL24" s="7214">
        <f>HLOOKUP("BC",A1:CV300,24,FALSE) - (HLOOKUP("PK Gs",A1:CV300,24,FALSE) + HLOOKUP("PK Miss",A1:CV300,24,FALSE))</f>
      </c>
      <c r="AM24" s="7215">
        <f>HLOOKUP("BC Miss",A1:CV300,24,FALSE) - HLOOKUP("PK Miss",A1:CV300,24,FALSE)</f>
      </c>
      <c r="AN24" s="7216">
        <f>IF(HLOOKUP("BC - Open",A1:CV300,24,FALSE)=0,0,HLOOKUP("BC - Open Miss",A1:CV300,24,FALSE)/HLOOKUP("BC - Open",A1:CV300,24,FALSE))</f>
      </c>
      <c r="AO24" t="n" s="7217">
        <v>1.0</v>
      </c>
      <c r="AP24" s="7218">
        <f>IF(HLOOKUP("Gs",A1:CV300,24,FALSE)=0,0,HLOOKUP("GIB",A1:CV300,24,FALSE)/HLOOKUP("Gs",A1:CV300,24,FALSE))</f>
      </c>
      <c r="AQ24" t="n" s="7219">
        <v>0.0</v>
      </c>
      <c r="AR24" s="7220">
        <f>IF(HLOOKUP("Gs",A1:CV300,24,FALSE)=0,0,HLOOKUP("Gs - Open",A1:CV300,24,FALSE)/HLOOKUP("Gs",A1:CV300,24,FALSE))</f>
      </c>
      <c r="AS24" t="n" s="7221">
        <v>1.23</v>
      </c>
      <c r="AT24" t="n" s="7222">
        <v>0.03</v>
      </c>
      <c r="AU24" s="7223">
        <f>IF(HLOOKUP("Mins",A1:CV300,24,FALSE)=0,0,HLOOKUP("Pts",A1:CV300,24,FALSE)/HLOOKUP("Mins",A1:CV300,24,FALSE)* 90)</f>
      </c>
      <c r="AV24" s="7224">
        <f>IF(HLOOKUP("Apps",A1:CV300,24,FALSE)=0,0,HLOOKUP("Pts",A1:CV300,24,FALSE)/HLOOKUP("Apps",A1:CV300,24,FALSE)* 1)</f>
      </c>
      <c r="AW24" s="7225">
        <f>IF(HLOOKUP("Mins",A1:CV300,24,FALSE)=0,0,HLOOKUP("Gs",A1:CV300,24,FALSE)/HLOOKUP("Mins",A1:CV300,24,FALSE)* 90)</f>
      </c>
      <c r="AX24" s="7226">
        <f>IF(HLOOKUP("Mins",A1:CV300,24,FALSE)=0,0,HLOOKUP("Bonus",A1:CV300,24,FALSE)/HLOOKUP("Mins",A1:CV300,24,FALSE)* 90)</f>
      </c>
      <c r="AY24" s="7227">
        <f>IF(HLOOKUP("Mins",A1:CV300,24,FALSE)=0,0,HLOOKUP("BPS",A1:CV300,24,FALSE)/HLOOKUP("Mins",A1:CV300,24,FALSE)* 90)</f>
      </c>
      <c r="AZ24" s="7228">
        <f>IF(HLOOKUP("Mins",A1:CV300,24,FALSE)=0,0,HLOOKUP("Base BPS",A1:CV300,24,FALSE)/HLOOKUP("Mins",A1:CV300,24,FALSE)* 90)</f>
      </c>
      <c r="BA24" s="7229">
        <f>IF(HLOOKUP("Mins",A1:CV300,24,FALSE)=0,0,HLOOKUP("PenTchs",A1:CV300,24,FALSE)/HLOOKUP("Mins",A1:CV300,24,FALSE)* 90)</f>
      </c>
      <c r="BB24" s="7230">
        <f>IF(HLOOKUP("Mins",A1:CV300,24,FALSE)=0,0,HLOOKUP("Shots",A1:CV300,24,FALSE)/HLOOKUP("Mins",A1:CV300,24,FALSE)* 90)</f>
      </c>
      <c r="BC24" s="7231">
        <f>IF(HLOOKUP("Mins",A1:CV300,24,FALSE)=0,0,HLOOKUP("SIB",A1:CV300,24,FALSE)/HLOOKUP("Mins",A1:CV300,24,FALSE)* 90)</f>
      </c>
      <c r="BD24" s="7232">
        <f>IF(HLOOKUP("Mins",A1:CV300,24,FALSE)=0,0,HLOOKUP("S6YD",A1:CV300,24,FALSE)/HLOOKUP("Mins",A1:CV300,24,FALSE)* 90)</f>
      </c>
      <c r="BE24" s="7233">
        <f>IF(HLOOKUP("Mins",A1:CV300,24,FALSE)=0,0,HLOOKUP("Headers",A1:CV300,24,FALSE)/HLOOKUP("Mins",A1:CV300,24,FALSE)* 90)</f>
      </c>
      <c r="BF24" s="7234">
        <f>IF(HLOOKUP("Mins",A1:CV300,24,FALSE)=0,0,HLOOKUP("SOT",A1:CV300,24,FALSE)/HLOOKUP("Mins",A1:CV300,24,FALSE)* 90)</f>
      </c>
      <c r="BG24" s="7235">
        <f>IF(HLOOKUP("Mins",A1:CV300,24,FALSE)=0,0,HLOOKUP("As",A1:CV300,24,FALSE)/HLOOKUP("Mins",A1:CV300,24,FALSE)* 90)</f>
      </c>
      <c r="BH24" s="7236">
        <f>IF(HLOOKUP("Mins",A1:CV300,24,FALSE)=0,0,HLOOKUP("FPL As",A1:CV300,24,FALSE)/HLOOKUP("Mins",A1:CV300,24,FALSE)* 90)</f>
      </c>
      <c r="BI24" s="7237">
        <f>IF(HLOOKUP("Mins",A1:CV300,24,FALSE)=0,0,HLOOKUP("BC Created",A1:CV300,24,FALSE)/HLOOKUP("Mins",A1:CV300,24,FALSE)* 90)</f>
      </c>
      <c r="BJ24" s="7238">
        <f>IF(HLOOKUP("Mins",A1:CV300,24,FALSE)=0,0,HLOOKUP("KP",A1:CV300,24,FALSE)/HLOOKUP("Mins",A1:CV300,24,FALSE)* 90)</f>
      </c>
      <c r="BK24" s="7239">
        <f>IF(HLOOKUP("Mins",A1:CV300,24,FALSE)=0,0,HLOOKUP("BC",A1:CV300,24,FALSE)/HLOOKUP("Mins",A1:CV300,24,FALSE)* 90)</f>
      </c>
      <c r="BL24" s="7240">
        <f>IF(HLOOKUP("Mins",A1:CV300,24,FALSE)=0,0,HLOOKUP("BC Miss",A1:CV300,24,FALSE)/HLOOKUP("Mins",A1:CV300,24,FALSE)* 90)</f>
      </c>
      <c r="BM24" s="7241">
        <f>IF(HLOOKUP("Mins",A1:CV300,24,FALSE)=0,0,HLOOKUP("Gs - BC",A1:CV300,24,FALSE)/HLOOKUP("Mins",A1:CV300,24,FALSE)* 90)</f>
      </c>
      <c r="BN24" s="7242">
        <f>IF(HLOOKUP("Mins",A1:CV300,24,FALSE)=0,0,HLOOKUP("GIB",A1:CV300,24,FALSE)/HLOOKUP("Mins",A1:CV300,24,FALSE)* 90)</f>
      </c>
      <c r="BO24" s="7243">
        <f>IF(HLOOKUP("Mins",A1:CV300,24,FALSE)=0,0,HLOOKUP("Gs - Open",A1:CV300,24,FALSE)/HLOOKUP("Mins",A1:CV300,24,FALSE)* 90)</f>
      </c>
      <c r="BP24" s="7244">
        <f>IF(HLOOKUP("Mins",A1:CV300,24,FALSE)=0,0,HLOOKUP("ICT Index",A1:CV300,24,FALSE)/HLOOKUP("Mins",A1:CV300,24,FALSE)* 90)</f>
      </c>
      <c r="BQ24" s="7245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</c>
      <c r="BR24" s="7246">
        <f>0.0825*HLOOKUP("KP/90",A1:CV300,24,FALSE)</f>
      </c>
      <c r="BS24" s="7247">
        <f>6*HLOOKUP("xG/90",A1:CV300,24,FALSE)+3*HLOOKUP("xA/90",A1:CV300,24,FALSE)</f>
      </c>
      <c r="BT24" s="7248">
        <f>HLOOKUP("xPts/90",A1:CV300,24,FALSE)-(6*0.75*(HLOOKUP("PK Gs",A1:CV300,24,FALSE)+HLOOKUP("PK Miss",A1:CV300,24,FALSE))*90/HLOOKUP("Mins",A1:CV300,24,FALSE))</f>
      </c>
      <c r="BU24" s="7249">
        <f>IF(HLOOKUP("Mins",A1:CV300,24,FALSE)=0,0,HLOOKUP("fsXG",A1:CV300,24,FALSE)/HLOOKUP("Mins",A1:CV300,24,FALSE)* 90)</f>
      </c>
      <c r="BV24" s="7250">
        <f>IF(HLOOKUP("Mins",A1:CV300,24,FALSE)=0,0,HLOOKUP("fsXA",A1:CV300,24,FALSE)/HLOOKUP("Mins",A1:CV300,24,FALSE)* 90)</f>
      </c>
      <c r="BW24" s="7251">
        <f>6*HLOOKUP("fsXG/90",A1:CV300,24,FALSE)+3*HLOOKUP("fsXA/90",A1:CV300,24,FALSE)</f>
      </c>
      <c r="BX24" t="n" s="7252">
        <v>0.2044021636247635</v>
      </c>
      <c r="BY24" t="n" s="7253">
        <v>0.0</v>
      </c>
      <c r="BZ24" s="7254">
        <f>6*HLOOKUP("uXG/90",A1:CV300,24,FALSE)+3*HLOOKUP("uXA/90",A1:CV300,24,FALSE)</f>
      </c>
    </row>
    <row r="25">
      <c r="A25" t="s" s="7255">
        <v>190</v>
      </c>
      <c r="B25" t="s" s="7256">
        <v>107</v>
      </c>
      <c r="C25" t="n" s="7257">
        <v>4.400000095367432</v>
      </c>
      <c r="D25" t="n" s="7258">
        <v>450.0</v>
      </c>
      <c r="E25" t="n" s="7259">
        <v>5.0</v>
      </c>
      <c r="F25" t="n" s="7260">
        <v>41.0</v>
      </c>
      <c r="G25" t="n" s="7261">
        <v>0.0</v>
      </c>
      <c r="H25" t="n" s="7262">
        <v>3.0</v>
      </c>
      <c r="I25" t="n" s="7263">
        <v>266.0</v>
      </c>
      <c r="J25" s="7264">
        <f>HLOOKUP("BPS",A1:CV300,25,FALSE)-((-6*HLOOKUP("OG",A1:CV300,25,FALSE))+(-6*HLOOKUP("PK Miss",A1:CV300,25,FALSE))+(9*HLOOKUP("FPL As",A1:CV300,25,FALSE))+(12*HLOOKUP("CS",A1:CV300,25,FALSE))+(12*HLOOKUP("Gs",A1:CV300,25,FALSE)))</f>
      </c>
      <c r="K25" t="n" s="7265">
        <v>0.0</v>
      </c>
      <c r="L25" t="n" s="7266">
        <v>3.0</v>
      </c>
      <c r="M25" t="n" s="7267">
        <v>9.0</v>
      </c>
      <c r="N25" t="n" s="7268">
        <v>4.0</v>
      </c>
      <c r="O25" t="n" s="7269">
        <v>3.0</v>
      </c>
      <c r="P25" s="7270">
        <f>IF(HLOOKUP("Shots",A1:CV300,25,FALSE)=0,0,HLOOKUP("SIB",A1:CV300,25,FALSE)/HLOOKUP("Shots",A1:CV300,25,FALSE))</f>
      </c>
      <c r="Q25" t="n" s="7271">
        <v>0.0</v>
      </c>
      <c r="R25" s="7272">
        <f>IF(HLOOKUP("Shots",A1:CV300,25,FALSE)=0,0,HLOOKUP("S6YD",A1:CV300,25,FALSE)/HLOOKUP("Shots",A1:CV300,25,FALSE))</f>
      </c>
      <c r="S25" t="n" s="7273">
        <v>1.0</v>
      </c>
      <c r="T25" s="7274">
        <f>IF(HLOOKUP("Shots",A1:CV300,25,FALSE)=0,0,HLOOKUP("Headers",A1:CV300,25,FALSE)/HLOOKUP("Shots",A1:CV300,25,FALSE))</f>
      </c>
      <c r="U25" t="n" s="7275">
        <v>0.0</v>
      </c>
      <c r="V25" s="7276">
        <f>IF(HLOOKUP("Shots",A1:CV300,25,FALSE)=0,0,HLOOKUP("SOT",A1:CV300,25,FALSE)/HLOOKUP("Shots",A1:CV300,25,FALSE))</f>
      </c>
      <c r="W25" s="7277">
        <f>IF(HLOOKUP("Shots",A1:CV300,25,FALSE)=0,0,HLOOKUP("Gs",A1:CV300,25,FALSE)/HLOOKUP("Shots",A1:CV300,25,FALSE))</f>
      </c>
      <c r="X25" t="n" s="7278">
        <v>1.0</v>
      </c>
      <c r="Y25" t="n" s="7279">
        <v>1.0</v>
      </c>
      <c r="Z25" t="n" s="7280">
        <v>1.0</v>
      </c>
      <c r="AA25" s="7281">
        <f>IF(HLOOKUP("KP",A1:CV300,25,FALSE)=0,0,HLOOKUP("As",A1:CV300,25,FALSE)/HLOOKUP("KP",A1:CV300,25,FALSE))</f>
      </c>
      <c r="AB25" t="n" s="7282">
        <v>15.6</v>
      </c>
      <c r="AC25" t="n" s="7283">
        <v>25.0</v>
      </c>
      <c r="AD25" t="n" s="7284">
        <v>1.0</v>
      </c>
      <c r="AE25" t="n" s="7285">
        <v>0.0</v>
      </c>
      <c r="AF25" t="n" s="7286">
        <v>0.0</v>
      </c>
      <c r="AG25" s="7287">
        <f>IF(HLOOKUP("BC",A1:CV300,25,FALSE)=0,0,HLOOKUP("Gs - BC",A1:CV300,25,FALSE)/HLOOKUP("BC",A1:CV300,25,FALSE))</f>
      </c>
      <c r="AH25" s="7288">
        <f>HLOOKUP("BC",A1:CV300,25,FALSE) - HLOOKUP("BC Miss",A1:CV300,25,FALSE)</f>
      </c>
      <c r="AI25" s="7289">
        <f>IF(HLOOKUP("Gs",A1:CV300,25,FALSE)=0,0,HLOOKUP("Gs - BC",A1:CV300,25,FALSE)/HLOOKUP("Gs",A1:CV300,25,FALSE))</f>
      </c>
      <c r="AJ25" t="n" s="7290">
        <v>0.0</v>
      </c>
      <c r="AK25" t="n" s="7291">
        <v>0.0</v>
      </c>
      <c r="AL25" s="7292">
        <f>HLOOKUP("BC",A1:CV300,25,FALSE) - (HLOOKUP("PK Gs",A1:CV300,25,FALSE) + HLOOKUP("PK Miss",A1:CV300,25,FALSE))</f>
      </c>
      <c r="AM25" s="7293">
        <f>HLOOKUP("BC Miss",A1:CV300,25,FALSE) - HLOOKUP("PK Miss",A1:CV300,25,FALSE)</f>
      </c>
      <c r="AN25" s="7294">
        <f>IF(HLOOKUP("BC - Open",A1:CV300,25,FALSE)=0,0,HLOOKUP("BC - Open Miss",A1:CV300,25,FALSE)/HLOOKUP("BC - Open",A1:CV300,25,FALSE))</f>
      </c>
      <c r="AO25" t="n" s="7295">
        <v>0.0</v>
      </c>
      <c r="AP25" s="7296">
        <f>IF(HLOOKUP("Gs",A1:CV300,25,FALSE)=0,0,HLOOKUP("GIB",A1:CV300,25,FALSE)/HLOOKUP("Gs",A1:CV300,25,FALSE))</f>
      </c>
      <c r="AQ25" t="n" s="7297">
        <v>0.0</v>
      </c>
      <c r="AR25" s="7298">
        <f>IF(HLOOKUP("Gs",A1:CV300,25,FALSE)=0,0,HLOOKUP("Gs - Open",A1:CV300,25,FALSE)/HLOOKUP("Gs",A1:CV300,25,FALSE))</f>
      </c>
      <c r="AS25" t="n" s="7299">
        <v>0.21</v>
      </c>
      <c r="AT25" t="n" s="7300">
        <v>0.16</v>
      </c>
      <c r="AU25" s="7301">
        <f>IF(HLOOKUP("Mins",A1:CV300,25,FALSE)=0,0,HLOOKUP("Pts",A1:CV300,25,FALSE)/HLOOKUP("Mins",A1:CV300,25,FALSE)* 90)</f>
      </c>
      <c r="AV25" s="7302">
        <f>IF(HLOOKUP("Apps",A1:CV300,25,FALSE)=0,0,HLOOKUP("Pts",A1:CV300,25,FALSE)/HLOOKUP("Apps",A1:CV300,25,FALSE)* 1)</f>
      </c>
      <c r="AW25" s="7303">
        <f>IF(HLOOKUP("Mins",A1:CV300,25,FALSE)=0,0,HLOOKUP("Gs",A1:CV300,25,FALSE)/HLOOKUP("Mins",A1:CV300,25,FALSE)* 90)</f>
      </c>
      <c r="AX25" s="7304">
        <f>IF(HLOOKUP("Mins",A1:CV300,25,FALSE)=0,0,HLOOKUP("Bonus",A1:CV300,25,FALSE)/HLOOKUP("Mins",A1:CV300,25,FALSE)* 90)</f>
      </c>
      <c r="AY25" s="7305">
        <f>IF(HLOOKUP("Mins",A1:CV300,25,FALSE)=0,0,HLOOKUP("BPS",A1:CV300,25,FALSE)/HLOOKUP("Mins",A1:CV300,25,FALSE)* 90)</f>
      </c>
      <c r="AZ25" s="7306">
        <f>IF(HLOOKUP("Mins",A1:CV300,25,FALSE)=0,0,HLOOKUP("Base BPS",A1:CV300,25,FALSE)/HLOOKUP("Mins",A1:CV300,25,FALSE)* 90)</f>
      </c>
      <c r="BA25" s="7307">
        <f>IF(HLOOKUP("Mins",A1:CV300,25,FALSE)=0,0,HLOOKUP("PenTchs",A1:CV300,25,FALSE)/HLOOKUP("Mins",A1:CV300,25,FALSE)* 90)</f>
      </c>
      <c r="BB25" s="7308">
        <f>IF(HLOOKUP("Mins",A1:CV300,25,FALSE)=0,0,HLOOKUP("Shots",A1:CV300,25,FALSE)/HLOOKUP("Mins",A1:CV300,25,FALSE)* 90)</f>
      </c>
      <c r="BC25" s="7309">
        <f>IF(HLOOKUP("Mins",A1:CV300,25,FALSE)=0,0,HLOOKUP("SIB",A1:CV300,25,FALSE)/HLOOKUP("Mins",A1:CV300,25,FALSE)* 90)</f>
      </c>
      <c r="BD25" s="7310">
        <f>IF(HLOOKUP("Mins",A1:CV300,25,FALSE)=0,0,HLOOKUP("S6YD",A1:CV300,25,FALSE)/HLOOKUP("Mins",A1:CV300,25,FALSE)* 90)</f>
      </c>
      <c r="BE25" s="7311">
        <f>IF(HLOOKUP("Mins",A1:CV300,25,FALSE)=0,0,HLOOKUP("Headers",A1:CV300,25,FALSE)/HLOOKUP("Mins",A1:CV300,25,FALSE)* 90)</f>
      </c>
      <c r="BF25" s="7312">
        <f>IF(HLOOKUP("Mins",A1:CV300,25,FALSE)=0,0,HLOOKUP("SOT",A1:CV300,25,FALSE)/HLOOKUP("Mins",A1:CV300,25,FALSE)* 90)</f>
      </c>
      <c r="BG25" s="7313">
        <f>IF(HLOOKUP("Mins",A1:CV300,25,FALSE)=0,0,HLOOKUP("As",A1:CV300,25,FALSE)/HLOOKUP("Mins",A1:CV300,25,FALSE)* 90)</f>
      </c>
      <c r="BH25" s="7314">
        <f>IF(HLOOKUP("Mins",A1:CV300,25,FALSE)=0,0,HLOOKUP("FPL As",A1:CV300,25,FALSE)/HLOOKUP("Mins",A1:CV300,25,FALSE)* 90)</f>
      </c>
      <c r="BI25" s="7315">
        <f>IF(HLOOKUP("Mins",A1:CV300,25,FALSE)=0,0,HLOOKUP("BC Created",A1:CV300,25,FALSE)/HLOOKUP("Mins",A1:CV300,25,FALSE)* 90)</f>
      </c>
      <c r="BJ25" s="7316">
        <f>IF(HLOOKUP("Mins",A1:CV300,25,FALSE)=0,0,HLOOKUP("KP",A1:CV300,25,FALSE)/HLOOKUP("Mins",A1:CV300,25,FALSE)* 90)</f>
      </c>
      <c r="BK25" s="7317">
        <f>IF(HLOOKUP("Mins",A1:CV300,25,FALSE)=0,0,HLOOKUP("BC",A1:CV300,25,FALSE)/HLOOKUP("Mins",A1:CV300,25,FALSE)* 90)</f>
      </c>
      <c r="BL25" s="7318">
        <f>IF(HLOOKUP("Mins",A1:CV300,25,FALSE)=0,0,HLOOKUP("BC Miss",A1:CV300,25,FALSE)/HLOOKUP("Mins",A1:CV300,25,FALSE)* 90)</f>
      </c>
      <c r="BM25" s="7319">
        <f>IF(HLOOKUP("Mins",A1:CV300,25,FALSE)=0,0,HLOOKUP("Gs - BC",A1:CV300,25,FALSE)/HLOOKUP("Mins",A1:CV300,25,FALSE)* 90)</f>
      </c>
      <c r="BN25" s="7320">
        <f>IF(HLOOKUP("Mins",A1:CV300,25,FALSE)=0,0,HLOOKUP("GIB",A1:CV300,25,FALSE)/HLOOKUP("Mins",A1:CV300,25,FALSE)* 90)</f>
      </c>
      <c r="BO25" s="7321">
        <f>IF(HLOOKUP("Mins",A1:CV300,25,FALSE)=0,0,HLOOKUP("Gs - Open",A1:CV300,25,FALSE)/HLOOKUP("Mins",A1:CV300,25,FALSE)* 90)</f>
      </c>
      <c r="BP25" s="7322">
        <f>IF(HLOOKUP("Mins",A1:CV300,25,FALSE)=0,0,HLOOKUP("ICT Index",A1:CV300,25,FALSE)/HLOOKUP("Mins",A1:CV300,25,FALSE)* 90)</f>
      </c>
      <c r="BQ25" s="7323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</c>
      <c r="BR25" s="7324">
        <f>0.0825*HLOOKUP("KP/90",A1:CV300,25,FALSE)</f>
      </c>
      <c r="BS25" s="7325">
        <f>6*HLOOKUP("xG/90",A1:CV300,25,FALSE)+3*HLOOKUP("xA/90",A1:CV300,25,FALSE)</f>
      </c>
      <c r="BT25" s="7326">
        <f>HLOOKUP("xPts/90",A1:CV300,25,FALSE)-(6*0.75*(HLOOKUP("PK Gs",A1:CV300,25,FALSE)+HLOOKUP("PK Miss",A1:CV300,25,FALSE))*90/HLOOKUP("Mins",A1:CV300,25,FALSE))</f>
      </c>
      <c r="BU25" s="7327">
        <f>IF(HLOOKUP("Mins",A1:CV300,25,FALSE)=0,0,HLOOKUP("fsXG",A1:CV300,25,FALSE)/HLOOKUP("Mins",A1:CV300,25,FALSE)* 90)</f>
      </c>
      <c r="BV25" s="7328">
        <f>IF(HLOOKUP("Mins",A1:CV300,25,FALSE)=0,0,HLOOKUP("fsXA",A1:CV300,25,FALSE)/HLOOKUP("Mins",A1:CV300,25,FALSE)* 90)</f>
      </c>
      <c r="BW25" s="7329">
        <f>6*HLOOKUP("fsXG/90",A1:CV300,25,FALSE)+3*HLOOKUP("fsXA/90",A1:CV300,25,FALSE)</f>
      </c>
      <c r="BX25" t="n" s="7330">
        <v>0.021414730697870255</v>
      </c>
      <c r="BY25" t="n" s="7331">
        <v>0.07272277772426605</v>
      </c>
      <c r="BZ25" s="7332">
        <f>6*HLOOKUP("uXG/90",A1:CV300,25,FALSE)+3*HLOOKUP("uXA/90",A1:CV300,25,FALSE)</f>
      </c>
    </row>
    <row r="26">
      <c r="A26" t="s" s="7333">
        <v>191</v>
      </c>
      <c r="B26" t="s" s="7334">
        <v>116</v>
      </c>
      <c r="C26" t="n" s="7335">
        <v>4.599999904632568</v>
      </c>
      <c r="D26" t="n" s="7336">
        <v>30.0</v>
      </c>
      <c r="E26" t="n" s="7337">
        <v>1.0</v>
      </c>
      <c r="F26" t="n" s="7338">
        <v>16.0</v>
      </c>
      <c r="G26" t="n" s="7339">
        <v>0.0</v>
      </c>
      <c r="H26" t="n" s="7340">
        <v>0.0</v>
      </c>
      <c r="I26" t="n" s="7341">
        <v>141.0</v>
      </c>
      <c r="J26" s="7342">
        <f>HLOOKUP("BPS",A1:CV300,26,FALSE)-((-6*HLOOKUP("OG",A1:CV300,26,FALSE))+(-6*HLOOKUP("PK Miss",A1:CV300,26,FALSE))+(9*HLOOKUP("FPL As",A1:CV300,26,FALSE))+(12*HLOOKUP("CS",A1:CV300,26,FALSE))+(12*HLOOKUP("Gs",A1:CV300,26,FALSE)))</f>
      </c>
      <c r="K26" t="n" s="7343">
        <v>0.0</v>
      </c>
      <c r="L26" t="n" s="7344">
        <v>2.0</v>
      </c>
      <c r="M26" t="n" s="7345">
        <v>0.0</v>
      </c>
      <c r="N26" t="n" s="7346">
        <v>0.0</v>
      </c>
      <c r="O26" t="n" s="7347">
        <v>0.0</v>
      </c>
      <c r="P26" s="7348">
        <f>IF(HLOOKUP("Shots",A1:CV300,26,FALSE)=0,0,HLOOKUP("SIB",A1:CV300,26,FALSE)/HLOOKUP("Shots",A1:CV300,26,FALSE))</f>
      </c>
      <c r="Q26" t="n" s="7349">
        <v>0.0</v>
      </c>
      <c r="R26" s="7350">
        <f>IF(HLOOKUP("Shots",A1:CV300,26,FALSE)=0,0,HLOOKUP("S6YD",A1:CV300,26,FALSE)/HLOOKUP("Shots",A1:CV300,26,FALSE))</f>
      </c>
      <c r="S26" t="n" s="7351">
        <v>0.0</v>
      </c>
      <c r="T26" s="7352">
        <f>IF(HLOOKUP("Shots",A1:CV300,26,FALSE)=0,0,HLOOKUP("Headers",A1:CV300,26,FALSE)/HLOOKUP("Shots",A1:CV300,26,FALSE))</f>
      </c>
      <c r="U26" t="n" s="7353">
        <v>0.0</v>
      </c>
      <c r="V26" s="7354">
        <f>IF(HLOOKUP("Shots",A1:CV300,26,FALSE)=0,0,HLOOKUP("SOT",A1:CV300,26,FALSE)/HLOOKUP("Shots",A1:CV300,26,FALSE))</f>
      </c>
      <c r="W26" s="7355">
        <f>IF(HLOOKUP("Shots",A1:CV300,26,FALSE)=0,0,HLOOKUP("Gs",A1:CV300,26,FALSE)/HLOOKUP("Shots",A1:CV300,26,FALSE))</f>
      </c>
      <c r="X26" t="n" s="7356">
        <v>0.0</v>
      </c>
      <c r="Y26" t="n" s="7357">
        <v>0.0</v>
      </c>
      <c r="Z26" t="n" s="7358">
        <v>0.0</v>
      </c>
      <c r="AA26" s="7359">
        <f>IF(HLOOKUP("KP",A1:CV300,26,FALSE)=0,0,HLOOKUP("As",A1:CV300,26,FALSE)/HLOOKUP("KP",A1:CV300,26,FALSE))</f>
      </c>
      <c r="AB26" t="n" s="7360">
        <v>1.0</v>
      </c>
      <c r="AC26" t="n" s="7361">
        <v>0.0</v>
      </c>
      <c r="AD26" t="n" s="7362">
        <v>0.0</v>
      </c>
      <c r="AE26" t="n" s="7363">
        <v>0.0</v>
      </c>
      <c r="AF26" t="n" s="7364">
        <v>0.0</v>
      </c>
      <c r="AG26" s="7365">
        <f>IF(HLOOKUP("BC",A1:CV300,26,FALSE)=0,0,HLOOKUP("Gs - BC",A1:CV300,26,FALSE)/HLOOKUP("BC",A1:CV300,26,FALSE))</f>
      </c>
      <c r="AH26" s="7366">
        <f>HLOOKUP("BC",A1:CV300,26,FALSE) - HLOOKUP("BC Miss",A1:CV300,26,FALSE)</f>
      </c>
      <c r="AI26" s="7367">
        <f>IF(HLOOKUP("Gs",A1:CV300,26,FALSE)=0,0,HLOOKUP("Gs - BC",A1:CV300,26,FALSE)/HLOOKUP("Gs",A1:CV300,26,FALSE))</f>
      </c>
      <c r="AJ26" t="n" s="7368">
        <v>0.0</v>
      </c>
      <c r="AK26" t="n" s="7369">
        <v>0.0</v>
      </c>
      <c r="AL26" s="7370">
        <f>HLOOKUP("BC",A1:CV300,26,FALSE) - (HLOOKUP("PK Gs",A1:CV300,26,FALSE) + HLOOKUP("PK Miss",A1:CV300,26,FALSE))</f>
      </c>
      <c r="AM26" s="7371">
        <f>HLOOKUP("BC Miss",A1:CV300,26,FALSE) - HLOOKUP("PK Miss",A1:CV300,26,FALSE)</f>
      </c>
      <c r="AN26" s="7372">
        <f>IF(HLOOKUP("BC - Open",A1:CV300,26,FALSE)=0,0,HLOOKUP("BC - Open Miss",A1:CV300,26,FALSE)/HLOOKUP("BC - Open",A1:CV300,26,FALSE))</f>
      </c>
      <c r="AO26" t="n" s="7373">
        <v>0.0</v>
      </c>
      <c r="AP26" s="7374">
        <f>IF(HLOOKUP("Gs",A1:CV300,26,FALSE)=0,0,HLOOKUP("GIB",A1:CV300,26,FALSE)/HLOOKUP("Gs",A1:CV300,26,FALSE))</f>
      </c>
      <c r="AQ26" t="n" s="7375">
        <v>0.0</v>
      </c>
      <c r="AR26" s="7376">
        <f>IF(HLOOKUP("Gs",A1:CV300,26,FALSE)=0,0,HLOOKUP("Gs - Open",A1:CV300,26,FALSE)/HLOOKUP("Gs",A1:CV300,26,FALSE))</f>
      </c>
      <c r="AS26" t="n" s="7377">
        <v>0.0</v>
      </c>
      <c r="AT26" t="n" s="7378">
        <v>0.0</v>
      </c>
      <c r="AU26" s="7379">
        <f>IF(HLOOKUP("Mins",A1:CV300,26,FALSE)=0,0,HLOOKUP("Pts",A1:CV300,26,FALSE)/HLOOKUP("Mins",A1:CV300,26,FALSE)* 90)</f>
      </c>
      <c r="AV26" s="7380">
        <f>IF(HLOOKUP("Apps",A1:CV300,26,FALSE)=0,0,HLOOKUP("Pts",A1:CV300,26,FALSE)/HLOOKUP("Apps",A1:CV300,26,FALSE)* 1)</f>
      </c>
      <c r="AW26" s="7381">
        <f>IF(HLOOKUP("Mins",A1:CV300,26,FALSE)=0,0,HLOOKUP("Gs",A1:CV300,26,FALSE)/HLOOKUP("Mins",A1:CV300,26,FALSE)* 90)</f>
      </c>
      <c r="AX26" s="7382">
        <f>IF(HLOOKUP("Mins",A1:CV300,26,FALSE)=0,0,HLOOKUP("Bonus",A1:CV300,26,FALSE)/HLOOKUP("Mins",A1:CV300,26,FALSE)* 90)</f>
      </c>
      <c r="AY26" s="7383">
        <f>IF(HLOOKUP("Mins",A1:CV300,26,FALSE)=0,0,HLOOKUP("BPS",A1:CV300,26,FALSE)/HLOOKUP("Mins",A1:CV300,26,FALSE)* 90)</f>
      </c>
      <c r="AZ26" s="7384">
        <f>IF(HLOOKUP("Mins",A1:CV300,26,FALSE)=0,0,HLOOKUP("Base BPS",A1:CV300,26,FALSE)/HLOOKUP("Mins",A1:CV300,26,FALSE)* 90)</f>
      </c>
      <c r="BA26" s="7385">
        <f>IF(HLOOKUP("Mins",A1:CV300,26,FALSE)=0,0,HLOOKUP("PenTchs",A1:CV300,26,FALSE)/HLOOKUP("Mins",A1:CV300,26,FALSE)* 90)</f>
      </c>
      <c r="BB26" s="7386">
        <f>IF(HLOOKUP("Mins",A1:CV300,26,FALSE)=0,0,HLOOKUP("Shots",A1:CV300,26,FALSE)/HLOOKUP("Mins",A1:CV300,26,FALSE)* 90)</f>
      </c>
      <c r="BC26" s="7387">
        <f>IF(HLOOKUP("Mins",A1:CV300,26,FALSE)=0,0,HLOOKUP("SIB",A1:CV300,26,FALSE)/HLOOKUP("Mins",A1:CV300,26,FALSE)* 90)</f>
      </c>
      <c r="BD26" s="7388">
        <f>IF(HLOOKUP("Mins",A1:CV300,26,FALSE)=0,0,HLOOKUP("S6YD",A1:CV300,26,FALSE)/HLOOKUP("Mins",A1:CV300,26,FALSE)* 90)</f>
      </c>
      <c r="BE26" s="7389">
        <f>IF(HLOOKUP("Mins",A1:CV300,26,FALSE)=0,0,HLOOKUP("Headers",A1:CV300,26,FALSE)/HLOOKUP("Mins",A1:CV300,26,FALSE)* 90)</f>
      </c>
      <c r="BF26" s="7390">
        <f>IF(HLOOKUP("Mins",A1:CV300,26,FALSE)=0,0,HLOOKUP("SOT",A1:CV300,26,FALSE)/HLOOKUP("Mins",A1:CV300,26,FALSE)* 90)</f>
      </c>
      <c r="BG26" s="7391">
        <f>IF(HLOOKUP("Mins",A1:CV300,26,FALSE)=0,0,HLOOKUP("As",A1:CV300,26,FALSE)/HLOOKUP("Mins",A1:CV300,26,FALSE)* 90)</f>
      </c>
      <c r="BH26" s="7392">
        <f>IF(HLOOKUP("Mins",A1:CV300,26,FALSE)=0,0,HLOOKUP("FPL As",A1:CV300,26,FALSE)/HLOOKUP("Mins",A1:CV300,26,FALSE)* 90)</f>
      </c>
      <c r="BI26" s="7393">
        <f>IF(HLOOKUP("Mins",A1:CV300,26,FALSE)=0,0,HLOOKUP("BC Created",A1:CV300,26,FALSE)/HLOOKUP("Mins",A1:CV300,26,FALSE)* 90)</f>
      </c>
      <c r="BJ26" s="7394">
        <f>IF(HLOOKUP("Mins",A1:CV300,26,FALSE)=0,0,HLOOKUP("KP",A1:CV300,26,FALSE)/HLOOKUP("Mins",A1:CV300,26,FALSE)* 90)</f>
      </c>
      <c r="BK26" s="7395">
        <f>IF(HLOOKUP("Mins",A1:CV300,26,FALSE)=0,0,HLOOKUP("BC",A1:CV300,26,FALSE)/HLOOKUP("Mins",A1:CV300,26,FALSE)* 90)</f>
      </c>
      <c r="BL26" s="7396">
        <f>IF(HLOOKUP("Mins",A1:CV300,26,FALSE)=0,0,HLOOKUP("BC Miss",A1:CV300,26,FALSE)/HLOOKUP("Mins",A1:CV300,26,FALSE)* 90)</f>
      </c>
      <c r="BM26" s="7397">
        <f>IF(HLOOKUP("Mins",A1:CV300,26,FALSE)=0,0,HLOOKUP("Gs - BC",A1:CV300,26,FALSE)/HLOOKUP("Mins",A1:CV300,26,FALSE)* 90)</f>
      </c>
      <c r="BN26" s="7398">
        <f>IF(HLOOKUP("Mins",A1:CV300,26,FALSE)=0,0,HLOOKUP("GIB",A1:CV300,26,FALSE)/HLOOKUP("Mins",A1:CV300,26,FALSE)* 90)</f>
      </c>
      <c r="BO26" s="7399">
        <f>IF(HLOOKUP("Mins",A1:CV300,26,FALSE)=0,0,HLOOKUP("Gs - Open",A1:CV300,26,FALSE)/HLOOKUP("Mins",A1:CV300,26,FALSE)* 90)</f>
      </c>
      <c r="BP26" s="7400">
        <f>IF(HLOOKUP("Mins",A1:CV300,26,FALSE)=0,0,HLOOKUP("ICT Index",A1:CV300,26,FALSE)/HLOOKUP("Mins",A1:CV300,26,FALSE)* 90)</f>
      </c>
      <c r="BQ26" s="7401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</c>
      <c r="BR26" s="7402">
        <f>0.0825*HLOOKUP("KP/90",A1:CV300,26,FALSE)</f>
      </c>
      <c r="BS26" s="7403">
        <f>6*HLOOKUP("xG/90",A1:CV300,26,FALSE)+3*HLOOKUP("xA/90",A1:CV300,26,FALSE)</f>
      </c>
      <c r="BT26" s="7404">
        <f>HLOOKUP("xPts/90",A1:CV300,26,FALSE)-(6*0.75*(HLOOKUP("PK Gs",A1:CV300,26,FALSE)+HLOOKUP("PK Miss",A1:CV300,26,FALSE))*90/HLOOKUP("Mins",A1:CV300,26,FALSE))</f>
      </c>
      <c r="BU26" s="7405">
        <f>IF(HLOOKUP("Mins",A1:CV300,26,FALSE)=0,0,HLOOKUP("fsXG",A1:CV300,26,FALSE)/HLOOKUP("Mins",A1:CV300,26,FALSE)* 90)</f>
      </c>
      <c r="BV26" s="7406">
        <f>IF(HLOOKUP("Mins",A1:CV300,26,FALSE)=0,0,HLOOKUP("fsXA",A1:CV300,26,FALSE)/HLOOKUP("Mins",A1:CV300,26,FALSE)* 90)</f>
      </c>
      <c r="BW26" s="7407">
        <f>6*HLOOKUP("fsXG/90",A1:CV300,26,FALSE)+3*HLOOKUP("fsXA/90",A1:CV300,26,FALSE)</f>
      </c>
      <c r="BX26" t="n" s="7408">
        <v>0.0</v>
      </c>
      <c r="BY26" t="n" s="7409">
        <v>0.0</v>
      </c>
      <c r="BZ26" s="7410">
        <f>6*HLOOKUP("uXG/90",A1:CV300,26,FALSE)+3*HLOOKUP("uXA/90",A1:CV300,26,FALSE)</f>
      </c>
    </row>
    <row r="27">
      <c r="A27" t="s" s="7411">
        <v>192</v>
      </c>
      <c r="B27" t="s" s="7412">
        <v>134</v>
      </c>
      <c r="C27" t="n" s="7413">
        <v>7.699999809265137</v>
      </c>
      <c r="D27" t="n" s="7414">
        <v>617.0</v>
      </c>
      <c r="E27" t="n" s="7415">
        <v>7.0</v>
      </c>
      <c r="F27" t="n" s="7416">
        <v>153.0</v>
      </c>
      <c r="G27" t="n" s="7417">
        <v>0.0</v>
      </c>
      <c r="H27" t="n" s="7418">
        <v>15.0</v>
      </c>
      <c r="I27" t="n" s="7419">
        <v>661.0</v>
      </c>
      <c r="J27" s="7420">
        <f>HLOOKUP("BPS",A1:CV300,27,FALSE)-((-6*HLOOKUP("OG",A1:CV300,27,FALSE))+(-6*HLOOKUP("PK Miss",A1:CV300,27,FALSE))+(9*HLOOKUP("FPL As",A1:CV300,27,FALSE))+(12*HLOOKUP("CS",A1:CV300,27,FALSE))+(12*HLOOKUP("Gs",A1:CV300,27,FALSE)))</f>
      </c>
      <c r="K27" t="n" s="7421">
        <v>0.0</v>
      </c>
      <c r="L27" t="n" s="7422">
        <v>11.0</v>
      </c>
      <c r="M27" t="n" s="7423">
        <v>11.0</v>
      </c>
      <c r="N27" t="n" s="7424">
        <v>8.0</v>
      </c>
      <c r="O27" t="n" s="7425">
        <v>1.0</v>
      </c>
      <c r="P27" s="7426">
        <f>IF(HLOOKUP("Shots",A1:CV300,27,FALSE)=0,0,HLOOKUP("SIB",A1:CV300,27,FALSE)/HLOOKUP("Shots",A1:CV300,27,FALSE))</f>
      </c>
      <c r="Q27" t="n" s="7427">
        <v>0.0</v>
      </c>
      <c r="R27" s="7428">
        <f>IF(HLOOKUP("Shots",A1:CV300,27,FALSE)=0,0,HLOOKUP("S6YD",A1:CV300,27,FALSE)/HLOOKUP("Shots",A1:CV300,27,FALSE))</f>
      </c>
      <c r="S27" t="n" s="7429">
        <v>0.0</v>
      </c>
      <c r="T27" s="7430">
        <f>IF(HLOOKUP("Shots",A1:CV300,27,FALSE)=0,0,HLOOKUP("Headers",A1:CV300,27,FALSE)/HLOOKUP("Shots",A1:CV300,27,FALSE))</f>
      </c>
      <c r="U27" t="n" s="7431">
        <v>0.0</v>
      </c>
      <c r="V27" s="7432">
        <f>IF(HLOOKUP("Shots",A1:CV300,27,FALSE)=0,0,HLOOKUP("SOT",A1:CV300,27,FALSE)/HLOOKUP("Shots",A1:CV300,27,FALSE))</f>
      </c>
      <c r="W27" s="7433">
        <f>IF(HLOOKUP("Shots",A1:CV300,27,FALSE)=0,0,HLOOKUP("Gs",A1:CV300,27,FALSE)/HLOOKUP("Shots",A1:CV300,27,FALSE))</f>
      </c>
      <c r="X27" t="n" s="7434">
        <v>2.0</v>
      </c>
      <c r="Y27" t="n" s="7435">
        <v>12.0</v>
      </c>
      <c r="Z27" t="n" s="7436">
        <v>10.0</v>
      </c>
      <c r="AA27" s="7437">
        <f>IF(HLOOKUP("KP",A1:CV300,27,FALSE)=0,0,HLOOKUP("As",A1:CV300,27,FALSE)/HLOOKUP("KP",A1:CV300,27,FALSE))</f>
      </c>
      <c r="AB27" t="n" s="7438">
        <v>39.7</v>
      </c>
      <c r="AC27" t="n" s="7439">
        <v>14.0</v>
      </c>
      <c r="AD27" t="n" s="7440">
        <v>2.0</v>
      </c>
      <c r="AE27" t="n" s="7441">
        <v>0.0</v>
      </c>
      <c r="AF27" t="n" s="7442">
        <v>0.0</v>
      </c>
      <c r="AG27" s="7443">
        <f>IF(HLOOKUP("BC",A1:CV300,27,FALSE)=0,0,HLOOKUP("Gs - BC",A1:CV300,27,FALSE)/HLOOKUP("BC",A1:CV300,27,FALSE))</f>
      </c>
      <c r="AH27" s="7444">
        <f>HLOOKUP("BC",A1:CV300,27,FALSE) - HLOOKUP("BC Miss",A1:CV300,27,FALSE)</f>
      </c>
      <c r="AI27" s="7445">
        <f>IF(HLOOKUP("Gs",A1:CV300,27,FALSE)=0,0,HLOOKUP("Gs - BC",A1:CV300,27,FALSE)/HLOOKUP("Gs",A1:CV300,27,FALSE))</f>
      </c>
      <c r="AJ27" t="n" s="7446">
        <v>0.0</v>
      </c>
      <c r="AK27" t="n" s="7447">
        <v>0.0</v>
      </c>
      <c r="AL27" s="7448">
        <f>HLOOKUP("BC",A1:CV300,27,FALSE) - (HLOOKUP("PK Gs",A1:CV300,27,FALSE) + HLOOKUP("PK Miss",A1:CV300,27,FALSE))</f>
      </c>
      <c r="AM27" s="7449">
        <f>HLOOKUP("BC Miss",A1:CV300,27,FALSE) - HLOOKUP("PK Miss",A1:CV300,27,FALSE)</f>
      </c>
      <c r="AN27" s="7450">
        <f>IF(HLOOKUP("BC - Open",A1:CV300,27,FALSE)=0,0,HLOOKUP("BC - Open Miss",A1:CV300,27,FALSE)/HLOOKUP("BC - Open",A1:CV300,27,FALSE))</f>
      </c>
      <c r="AO27" t="n" s="7451">
        <v>0.0</v>
      </c>
      <c r="AP27" s="7452">
        <f>IF(HLOOKUP("Gs",A1:CV300,27,FALSE)=0,0,HLOOKUP("GIB",A1:CV300,27,FALSE)/HLOOKUP("Gs",A1:CV300,27,FALSE))</f>
      </c>
      <c r="AQ27" t="n" s="7453">
        <v>0.0</v>
      </c>
      <c r="AR27" s="7454">
        <f>IF(HLOOKUP("Gs",A1:CV300,27,FALSE)=0,0,HLOOKUP("Gs - Open",A1:CV300,27,FALSE)/HLOOKUP("Gs",A1:CV300,27,FALSE))</f>
      </c>
      <c r="AS27" t="n" s="7455">
        <v>0.37</v>
      </c>
      <c r="AT27" t="n" s="7456">
        <v>1.64</v>
      </c>
      <c r="AU27" s="7457">
        <f>IF(HLOOKUP("Mins",A1:CV300,27,FALSE)=0,0,HLOOKUP("Pts",A1:CV300,27,FALSE)/HLOOKUP("Mins",A1:CV300,27,FALSE)* 90)</f>
      </c>
      <c r="AV27" s="7458">
        <f>IF(HLOOKUP("Apps",A1:CV300,27,FALSE)=0,0,HLOOKUP("Pts",A1:CV300,27,FALSE)/HLOOKUP("Apps",A1:CV300,27,FALSE)* 1)</f>
      </c>
      <c r="AW27" s="7459">
        <f>IF(HLOOKUP("Mins",A1:CV300,27,FALSE)=0,0,HLOOKUP("Gs",A1:CV300,27,FALSE)/HLOOKUP("Mins",A1:CV300,27,FALSE)* 90)</f>
      </c>
      <c r="AX27" s="7460">
        <f>IF(HLOOKUP("Mins",A1:CV300,27,FALSE)=0,0,HLOOKUP("Bonus",A1:CV300,27,FALSE)/HLOOKUP("Mins",A1:CV300,27,FALSE)* 90)</f>
      </c>
      <c r="AY27" s="7461">
        <f>IF(HLOOKUP("Mins",A1:CV300,27,FALSE)=0,0,HLOOKUP("BPS",A1:CV300,27,FALSE)/HLOOKUP("Mins",A1:CV300,27,FALSE)* 90)</f>
      </c>
      <c r="AZ27" s="7462">
        <f>IF(HLOOKUP("Mins",A1:CV300,27,FALSE)=0,0,HLOOKUP("Base BPS",A1:CV300,27,FALSE)/HLOOKUP("Mins",A1:CV300,27,FALSE)* 90)</f>
      </c>
      <c r="BA27" s="7463">
        <f>IF(HLOOKUP("Mins",A1:CV300,27,FALSE)=0,0,HLOOKUP("PenTchs",A1:CV300,27,FALSE)/HLOOKUP("Mins",A1:CV300,27,FALSE)* 90)</f>
      </c>
      <c r="BB27" s="7464">
        <f>IF(HLOOKUP("Mins",A1:CV300,27,FALSE)=0,0,HLOOKUP("Shots",A1:CV300,27,FALSE)/HLOOKUP("Mins",A1:CV300,27,FALSE)* 90)</f>
      </c>
      <c r="BC27" s="7465">
        <f>IF(HLOOKUP("Mins",A1:CV300,27,FALSE)=0,0,HLOOKUP("SIB",A1:CV300,27,FALSE)/HLOOKUP("Mins",A1:CV300,27,FALSE)* 90)</f>
      </c>
      <c r="BD27" s="7466">
        <f>IF(HLOOKUP("Mins",A1:CV300,27,FALSE)=0,0,HLOOKUP("S6YD",A1:CV300,27,FALSE)/HLOOKUP("Mins",A1:CV300,27,FALSE)* 90)</f>
      </c>
      <c r="BE27" s="7467">
        <f>IF(HLOOKUP("Mins",A1:CV300,27,FALSE)=0,0,HLOOKUP("Headers",A1:CV300,27,FALSE)/HLOOKUP("Mins",A1:CV300,27,FALSE)* 90)</f>
      </c>
      <c r="BF27" s="7468">
        <f>IF(HLOOKUP("Mins",A1:CV300,27,FALSE)=0,0,HLOOKUP("SOT",A1:CV300,27,FALSE)/HLOOKUP("Mins",A1:CV300,27,FALSE)* 90)</f>
      </c>
      <c r="BG27" s="7469">
        <f>IF(HLOOKUP("Mins",A1:CV300,27,FALSE)=0,0,HLOOKUP("As",A1:CV300,27,FALSE)/HLOOKUP("Mins",A1:CV300,27,FALSE)* 90)</f>
      </c>
      <c r="BH27" s="7470">
        <f>IF(HLOOKUP("Mins",A1:CV300,27,FALSE)=0,0,HLOOKUP("FPL As",A1:CV300,27,FALSE)/HLOOKUP("Mins",A1:CV300,27,FALSE)* 90)</f>
      </c>
      <c r="BI27" s="7471">
        <f>IF(HLOOKUP("Mins",A1:CV300,27,FALSE)=0,0,HLOOKUP("BC Created",A1:CV300,27,FALSE)/HLOOKUP("Mins",A1:CV300,27,FALSE)* 90)</f>
      </c>
      <c r="BJ27" s="7472">
        <f>IF(HLOOKUP("Mins",A1:CV300,27,FALSE)=0,0,HLOOKUP("KP",A1:CV300,27,FALSE)/HLOOKUP("Mins",A1:CV300,27,FALSE)* 90)</f>
      </c>
      <c r="BK27" s="7473">
        <f>IF(HLOOKUP("Mins",A1:CV300,27,FALSE)=0,0,HLOOKUP("BC",A1:CV300,27,FALSE)/HLOOKUP("Mins",A1:CV300,27,FALSE)* 90)</f>
      </c>
      <c r="BL27" s="7474">
        <f>IF(HLOOKUP("Mins",A1:CV300,27,FALSE)=0,0,HLOOKUP("BC Miss",A1:CV300,27,FALSE)/HLOOKUP("Mins",A1:CV300,27,FALSE)* 90)</f>
      </c>
      <c r="BM27" s="7475">
        <f>IF(HLOOKUP("Mins",A1:CV300,27,FALSE)=0,0,HLOOKUP("Gs - BC",A1:CV300,27,FALSE)/HLOOKUP("Mins",A1:CV300,27,FALSE)* 90)</f>
      </c>
      <c r="BN27" s="7476">
        <f>IF(HLOOKUP("Mins",A1:CV300,27,FALSE)=0,0,HLOOKUP("GIB",A1:CV300,27,FALSE)/HLOOKUP("Mins",A1:CV300,27,FALSE)* 90)</f>
      </c>
      <c r="BO27" s="7477">
        <f>IF(HLOOKUP("Mins",A1:CV300,27,FALSE)=0,0,HLOOKUP("Gs - Open",A1:CV300,27,FALSE)/HLOOKUP("Mins",A1:CV300,27,FALSE)* 90)</f>
      </c>
      <c r="BP27" s="7478">
        <f>IF(HLOOKUP("Mins",A1:CV300,27,FALSE)=0,0,HLOOKUP("ICT Index",A1:CV300,27,FALSE)/HLOOKUP("Mins",A1:CV300,27,FALSE)* 90)</f>
      </c>
      <c r="BQ27" s="7479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</c>
      <c r="BR27" s="7480">
        <f>0.0825*HLOOKUP("KP/90",A1:CV300,27,FALSE)</f>
      </c>
      <c r="BS27" s="7481">
        <f>6*HLOOKUP("xG/90",A1:CV300,27,FALSE)+3*HLOOKUP("xA/90",A1:CV300,27,FALSE)</f>
      </c>
      <c r="BT27" s="7482">
        <f>HLOOKUP("xPts/90",A1:CV300,27,FALSE)-(6*0.75*(HLOOKUP("PK Gs",A1:CV300,27,FALSE)+HLOOKUP("PK Miss",A1:CV300,27,FALSE))*90/HLOOKUP("Mins",A1:CV300,27,FALSE))</f>
      </c>
      <c r="BU27" s="7483">
        <f>IF(HLOOKUP("Mins",A1:CV300,27,FALSE)=0,0,HLOOKUP("fsXG",A1:CV300,27,FALSE)/HLOOKUP("Mins",A1:CV300,27,FALSE)* 90)</f>
      </c>
      <c r="BV27" s="7484">
        <f>IF(HLOOKUP("Mins",A1:CV300,27,FALSE)=0,0,HLOOKUP("fsXA",A1:CV300,27,FALSE)/HLOOKUP("Mins",A1:CV300,27,FALSE)* 90)</f>
      </c>
      <c r="BW27" s="7485">
        <f>6*HLOOKUP("fsXG/90",A1:CV300,27,FALSE)+3*HLOOKUP("fsXA/90",A1:CV300,27,FALSE)</f>
      </c>
      <c r="BX27" t="n" s="7486">
        <v>0.05581515654921532</v>
      </c>
      <c r="BY27" t="n" s="7487">
        <v>0.24411986768245697</v>
      </c>
      <c r="BZ27" s="7488">
        <f>6*HLOOKUP("uXG/90",A1:CV300,27,FALSE)+3*HLOOKUP("uXA/90",A1:CV300,27,FALSE)</f>
      </c>
    </row>
    <row r="28">
      <c r="A28" t="s" s="7489">
        <v>193</v>
      </c>
      <c r="B28" t="s" s="7490">
        <v>107</v>
      </c>
      <c r="C28" t="n" s="7491">
        <v>5.0</v>
      </c>
      <c r="D28" t="n" s="7492">
        <v>45.0</v>
      </c>
      <c r="E28" t="n" s="7493">
        <v>1.0</v>
      </c>
      <c r="F28" t="n" s="7494">
        <v>7.0</v>
      </c>
      <c r="G28" t="n" s="7495">
        <v>0.0</v>
      </c>
      <c r="H28" t="n" s="7496">
        <v>0.0</v>
      </c>
      <c r="I28" t="n" s="7497">
        <v>69.0</v>
      </c>
      <c r="J28" s="7498">
        <f>HLOOKUP("BPS",A1:CV300,28,FALSE)-((-6*HLOOKUP("OG",A1:CV300,28,FALSE))+(-6*HLOOKUP("PK Miss",A1:CV300,28,FALSE))+(9*HLOOKUP("FPL As",A1:CV300,28,FALSE))+(12*HLOOKUP("CS",A1:CV300,28,FALSE))+(12*HLOOKUP("Gs",A1:CV300,28,FALSE)))</f>
      </c>
      <c r="K28" t="n" s="7499">
        <v>0.0</v>
      </c>
      <c r="L28" t="n" s="7500">
        <v>0.0</v>
      </c>
      <c r="M28" t="n" s="7501">
        <v>0.0</v>
      </c>
      <c r="N28" t="n" s="7502">
        <v>0.0</v>
      </c>
      <c r="O28" t="n" s="7503">
        <v>0.0</v>
      </c>
      <c r="P28" s="7504">
        <f>IF(HLOOKUP("Shots",A1:CV300,28,FALSE)=0,0,HLOOKUP("SIB",A1:CV300,28,FALSE)/HLOOKUP("Shots",A1:CV300,28,FALSE))</f>
      </c>
      <c r="Q28" t="n" s="7505">
        <v>0.0</v>
      </c>
      <c r="R28" s="7506">
        <f>IF(HLOOKUP("Shots",A1:CV300,28,FALSE)=0,0,HLOOKUP("S6YD",A1:CV300,28,FALSE)/HLOOKUP("Shots",A1:CV300,28,FALSE))</f>
      </c>
      <c r="S28" t="n" s="7507">
        <v>0.0</v>
      </c>
      <c r="T28" s="7508">
        <f>IF(HLOOKUP("Shots",A1:CV300,28,FALSE)=0,0,HLOOKUP("Headers",A1:CV300,28,FALSE)/HLOOKUP("Shots",A1:CV300,28,FALSE))</f>
      </c>
      <c r="U28" t="n" s="7509">
        <v>0.0</v>
      </c>
      <c r="V28" s="7510">
        <f>IF(HLOOKUP("Shots",A1:CV300,28,FALSE)=0,0,HLOOKUP("SOT",A1:CV300,28,FALSE)/HLOOKUP("Shots",A1:CV300,28,FALSE))</f>
      </c>
      <c r="W28" s="7511">
        <f>IF(HLOOKUP("Shots",A1:CV300,28,FALSE)=0,0,HLOOKUP("Gs",A1:CV300,28,FALSE)/HLOOKUP("Shots",A1:CV300,28,FALSE))</f>
      </c>
      <c r="X28" t="n" s="7512">
        <v>0.0</v>
      </c>
      <c r="Y28" t="n" s="7513">
        <v>0.0</v>
      </c>
      <c r="Z28" t="n" s="7514">
        <v>0.0</v>
      </c>
      <c r="AA28" s="7515">
        <f>IF(HLOOKUP("KP",A1:CV300,28,FALSE)=0,0,HLOOKUP("As",A1:CV300,28,FALSE)/HLOOKUP("KP",A1:CV300,28,FALSE))</f>
      </c>
      <c r="AB28" t="n" s="7516">
        <v>0.6</v>
      </c>
      <c r="AC28" t="n" s="7517">
        <v>0.0</v>
      </c>
      <c r="AD28" t="n" s="7518">
        <v>0.0</v>
      </c>
      <c r="AE28" t="n" s="7519">
        <v>0.0</v>
      </c>
      <c r="AF28" t="n" s="7520">
        <v>0.0</v>
      </c>
      <c r="AG28" s="7521">
        <f>IF(HLOOKUP("BC",A1:CV300,28,FALSE)=0,0,HLOOKUP("Gs - BC",A1:CV300,28,FALSE)/HLOOKUP("BC",A1:CV300,28,FALSE))</f>
      </c>
      <c r="AH28" s="7522">
        <f>HLOOKUP("BC",A1:CV300,28,FALSE) - HLOOKUP("BC Miss",A1:CV300,28,FALSE)</f>
      </c>
      <c r="AI28" s="7523">
        <f>IF(HLOOKUP("Gs",A1:CV300,28,FALSE)=0,0,HLOOKUP("Gs - BC",A1:CV300,28,FALSE)/HLOOKUP("Gs",A1:CV300,28,FALSE))</f>
      </c>
      <c r="AJ28" t="n" s="7524">
        <v>0.0</v>
      </c>
      <c r="AK28" t="n" s="7525">
        <v>0.0</v>
      </c>
      <c r="AL28" s="7526">
        <f>HLOOKUP("BC",A1:CV300,28,FALSE) - (HLOOKUP("PK Gs",A1:CV300,28,FALSE) + HLOOKUP("PK Miss",A1:CV300,28,FALSE))</f>
      </c>
      <c r="AM28" s="7527">
        <f>HLOOKUP("BC Miss",A1:CV300,28,FALSE) - HLOOKUP("PK Miss",A1:CV300,28,FALSE)</f>
      </c>
      <c r="AN28" s="7528">
        <f>IF(HLOOKUP("BC - Open",A1:CV300,28,FALSE)=0,0,HLOOKUP("BC - Open Miss",A1:CV300,28,FALSE)/HLOOKUP("BC - Open",A1:CV300,28,FALSE))</f>
      </c>
      <c r="AO28" t="n" s="7529">
        <v>0.0</v>
      </c>
      <c r="AP28" s="7530">
        <f>IF(HLOOKUP("Gs",A1:CV300,28,FALSE)=0,0,HLOOKUP("GIB",A1:CV300,28,FALSE)/HLOOKUP("Gs",A1:CV300,28,FALSE))</f>
      </c>
      <c r="AQ28" t="n" s="7531">
        <v>0.0</v>
      </c>
      <c r="AR28" s="7532">
        <f>IF(HLOOKUP("Gs",A1:CV300,28,FALSE)=0,0,HLOOKUP("Gs - Open",A1:CV300,28,FALSE)/HLOOKUP("Gs",A1:CV300,28,FALSE))</f>
      </c>
      <c r="AS28" t="n" s="7533">
        <v>0.0</v>
      </c>
      <c r="AT28" t="n" s="7534">
        <v>0.01</v>
      </c>
      <c r="AU28" s="7535">
        <f>IF(HLOOKUP("Mins",A1:CV300,28,FALSE)=0,0,HLOOKUP("Pts",A1:CV300,28,FALSE)/HLOOKUP("Mins",A1:CV300,28,FALSE)* 90)</f>
      </c>
      <c r="AV28" s="7536">
        <f>IF(HLOOKUP("Apps",A1:CV300,28,FALSE)=0,0,HLOOKUP("Pts",A1:CV300,28,FALSE)/HLOOKUP("Apps",A1:CV300,28,FALSE)* 1)</f>
      </c>
      <c r="AW28" s="7537">
        <f>IF(HLOOKUP("Mins",A1:CV300,28,FALSE)=0,0,HLOOKUP("Gs",A1:CV300,28,FALSE)/HLOOKUP("Mins",A1:CV300,28,FALSE)* 90)</f>
      </c>
      <c r="AX28" s="7538">
        <f>IF(HLOOKUP("Mins",A1:CV300,28,FALSE)=0,0,HLOOKUP("Bonus",A1:CV300,28,FALSE)/HLOOKUP("Mins",A1:CV300,28,FALSE)* 90)</f>
      </c>
      <c r="AY28" s="7539">
        <f>IF(HLOOKUP("Mins",A1:CV300,28,FALSE)=0,0,HLOOKUP("BPS",A1:CV300,28,FALSE)/HLOOKUP("Mins",A1:CV300,28,FALSE)* 90)</f>
      </c>
      <c r="AZ28" s="7540">
        <f>IF(HLOOKUP("Mins",A1:CV300,28,FALSE)=0,0,HLOOKUP("Base BPS",A1:CV300,28,FALSE)/HLOOKUP("Mins",A1:CV300,28,FALSE)* 90)</f>
      </c>
      <c r="BA28" s="7541">
        <f>IF(HLOOKUP("Mins",A1:CV300,28,FALSE)=0,0,HLOOKUP("PenTchs",A1:CV300,28,FALSE)/HLOOKUP("Mins",A1:CV300,28,FALSE)* 90)</f>
      </c>
      <c r="BB28" s="7542">
        <f>IF(HLOOKUP("Mins",A1:CV300,28,FALSE)=0,0,HLOOKUP("Shots",A1:CV300,28,FALSE)/HLOOKUP("Mins",A1:CV300,28,FALSE)* 90)</f>
      </c>
      <c r="BC28" s="7543">
        <f>IF(HLOOKUP("Mins",A1:CV300,28,FALSE)=0,0,HLOOKUP("SIB",A1:CV300,28,FALSE)/HLOOKUP("Mins",A1:CV300,28,FALSE)* 90)</f>
      </c>
      <c r="BD28" s="7544">
        <f>IF(HLOOKUP("Mins",A1:CV300,28,FALSE)=0,0,HLOOKUP("S6YD",A1:CV300,28,FALSE)/HLOOKUP("Mins",A1:CV300,28,FALSE)* 90)</f>
      </c>
      <c r="BE28" s="7545">
        <f>IF(HLOOKUP("Mins",A1:CV300,28,FALSE)=0,0,HLOOKUP("Headers",A1:CV300,28,FALSE)/HLOOKUP("Mins",A1:CV300,28,FALSE)* 90)</f>
      </c>
      <c r="BF28" s="7546">
        <f>IF(HLOOKUP("Mins",A1:CV300,28,FALSE)=0,0,HLOOKUP("SOT",A1:CV300,28,FALSE)/HLOOKUP("Mins",A1:CV300,28,FALSE)* 90)</f>
      </c>
      <c r="BG28" s="7547">
        <f>IF(HLOOKUP("Mins",A1:CV300,28,FALSE)=0,0,HLOOKUP("As",A1:CV300,28,FALSE)/HLOOKUP("Mins",A1:CV300,28,FALSE)* 90)</f>
      </c>
      <c r="BH28" s="7548">
        <f>IF(HLOOKUP("Mins",A1:CV300,28,FALSE)=0,0,HLOOKUP("FPL As",A1:CV300,28,FALSE)/HLOOKUP("Mins",A1:CV300,28,FALSE)* 90)</f>
      </c>
      <c r="BI28" s="7549">
        <f>IF(HLOOKUP("Mins",A1:CV300,28,FALSE)=0,0,HLOOKUP("BC Created",A1:CV300,28,FALSE)/HLOOKUP("Mins",A1:CV300,28,FALSE)* 90)</f>
      </c>
      <c r="BJ28" s="7550">
        <f>IF(HLOOKUP("Mins",A1:CV300,28,FALSE)=0,0,HLOOKUP("KP",A1:CV300,28,FALSE)/HLOOKUP("Mins",A1:CV300,28,FALSE)* 90)</f>
      </c>
      <c r="BK28" s="7551">
        <f>IF(HLOOKUP("Mins",A1:CV300,28,FALSE)=0,0,HLOOKUP("BC",A1:CV300,28,FALSE)/HLOOKUP("Mins",A1:CV300,28,FALSE)* 90)</f>
      </c>
      <c r="BL28" s="7552">
        <f>IF(HLOOKUP("Mins",A1:CV300,28,FALSE)=0,0,HLOOKUP("BC Miss",A1:CV300,28,FALSE)/HLOOKUP("Mins",A1:CV300,28,FALSE)* 90)</f>
      </c>
      <c r="BM28" s="7553">
        <f>IF(HLOOKUP("Mins",A1:CV300,28,FALSE)=0,0,HLOOKUP("Gs - BC",A1:CV300,28,FALSE)/HLOOKUP("Mins",A1:CV300,28,FALSE)* 90)</f>
      </c>
      <c r="BN28" s="7554">
        <f>IF(HLOOKUP("Mins",A1:CV300,28,FALSE)=0,0,HLOOKUP("GIB",A1:CV300,28,FALSE)/HLOOKUP("Mins",A1:CV300,28,FALSE)* 90)</f>
      </c>
      <c r="BO28" s="7555">
        <f>IF(HLOOKUP("Mins",A1:CV300,28,FALSE)=0,0,HLOOKUP("Gs - Open",A1:CV300,28,FALSE)/HLOOKUP("Mins",A1:CV300,28,FALSE)* 90)</f>
      </c>
      <c r="BP28" s="7556">
        <f>IF(HLOOKUP("Mins",A1:CV300,28,FALSE)=0,0,HLOOKUP("ICT Index",A1:CV300,28,FALSE)/HLOOKUP("Mins",A1:CV300,28,FALSE)* 90)</f>
      </c>
      <c r="BQ28" s="7557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</c>
      <c r="BR28" s="7558">
        <f>0.0825*HLOOKUP("KP/90",A1:CV300,28,FALSE)</f>
      </c>
      <c r="BS28" s="7559">
        <f>6*HLOOKUP("xG/90",A1:CV300,28,FALSE)+3*HLOOKUP("xA/90",A1:CV300,28,FALSE)</f>
      </c>
      <c r="BT28" s="7560">
        <f>HLOOKUP("xPts/90",A1:CV300,28,FALSE)-(6*0.75*(HLOOKUP("PK Gs",A1:CV300,28,FALSE)+HLOOKUP("PK Miss",A1:CV300,28,FALSE))*90/HLOOKUP("Mins",A1:CV300,28,FALSE))</f>
      </c>
      <c r="BU28" s="7561">
        <f>IF(HLOOKUP("Mins",A1:CV300,28,FALSE)=0,0,HLOOKUP("fsXG",A1:CV300,28,FALSE)/HLOOKUP("Mins",A1:CV300,28,FALSE)* 90)</f>
      </c>
      <c r="BV28" s="7562">
        <f>IF(HLOOKUP("Mins",A1:CV300,28,FALSE)=0,0,HLOOKUP("fsXA",A1:CV300,28,FALSE)/HLOOKUP("Mins",A1:CV300,28,FALSE)* 90)</f>
      </c>
      <c r="BW28" s="7563">
        <f>6*HLOOKUP("fsXG/90",A1:CV300,28,FALSE)+3*HLOOKUP("fsXA/90",A1:CV300,28,FALSE)</f>
      </c>
      <c r="BX28" t="n" s="7564">
        <v>0.0</v>
      </c>
      <c r="BY28" t="n" s="7565">
        <v>0.0</v>
      </c>
      <c r="BZ28" s="7566">
        <f>6*HLOOKUP("uXG/90",A1:CV300,28,FALSE)+3*HLOOKUP("uXA/90",A1:CV300,28,FALSE)</f>
      </c>
    </row>
    <row r="29">
      <c r="A29" t="s" s="7567">
        <v>194</v>
      </c>
      <c r="B29" t="s" s="7568">
        <v>105</v>
      </c>
      <c r="C29" t="n" s="7569">
        <v>5.699999809265137</v>
      </c>
      <c r="D29" t="n" s="7570">
        <v>270.0</v>
      </c>
      <c r="E29" t="n" s="7571">
        <v>3.0</v>
      </c>
      <c r="F29" t="n" s="7572">
        <v>67.0</v>
      </c>
      <c r="G29" t="n" s="7573">
        <v>0.0</v>
      </c>
      <c r="H29" t="n" s="7574">
        <v>4.0</v>
      </c>
      <c r="I29" t="n" s="7575">
        <v>361.0</v>
      </c>
      <c r="J29" s="7576">
        <f>HLOOKUP("BPS",A1:CV300,29,FALSE)-((-6*HLOOKUP("OG",A1:CV300,29,FALSE))+(-6*HLOOKUP("PK Miss",A1:CV300,29,FALSE))+(9*HLOOKUP("FPL As",A1:CV300,29,FALSE))+(12*HLOOKUP("CS",A1:CV300,29,FALSE))+(12*HLOOKUP("Gs",A1:CV300,29,FALSE)))</f>
      </c>
      <c r="K29" t="n" s="7577">
        <v>0.0</v>
      </c>
      <c r="L29" t="n" s="7578">
        <v>6.0</v>
      </c>
      <c r="M29" t="n" s="7579">
        <v>3.0</v>
      </c>
      <c r="N29" t="n" s="7580">
        <v>1.0</v>
      </c>
      <c r="O29" t="n" s="7581">
        <v>0.0</v>
      </c>
      <c r="P29" s="7582">
        <f>IF(HLOOKUP("Shots",A1:CV300,29,FALSE)=0,0,HLOOKUP("SIB",A1:CV300,29,FALSE)/HLOOKUP("Shots",A1:CV300,29,FALSE))</f>
      </c>
      <c r="Q29" t="n" s="7583">
        <v>0.0</v>
      </c>
      <c r="R29" s="7584">
        <f>IF(HLOOKUP("Shots",A1:CV300,29,FALSE)=0,0,HLOOKUP("S6YD",A1:CV300,29,FALSE)/HLOOKUP("Shots",A1:CV300,29,FALSE))</f>
      </c>
      <c r="S29" t="n" s="7585">
        <v>0.0</v>
      </c>
      <c r="T29" s="7586">
        <f>IF(HLOOKUP("Shots",A1:CV300,29,FALSE)=0,0,HLOOKUP("Headers",A1:CV300,29,FALSE)/HLOOKUP("Shots",A1:CV300,29,FALSE))</f>
      </c>
      <c r="U29" t="n" s="7587">
        <v>0.0</v>
      </c>
      <c r="V29" s="7588">
        <f>IF(HLOOKUP("Shots",A1:CV300,29,FALSE)=0,0,HLOOKUP("SOT",A1:CV300,29,FALSE)/HLOOKUP("Shots",A1:CV300,29,FALSE))</f>
      </c>
      <c r="W29" s="7589">
        <f>IF(HLOOKUP("Shots",A1:CV300,29,FALSE)=0,0,HLOOKUP("Gs",A1:CV300,29,FALSE)/HLOOKUP("Shots",A1:CV300,29,FALSE))</f>
      </c>
      <c r="X29" t="n" s="7590">
        <v>0.0</v>
      </c>
      <c r="Y29" t="n" s="7591">
        <v>2.0</v>
      </c>
      <c r="Z29" t="n" s="7592">
        <v>2.0</v>
      </c>
      <c r="AA29" s="7593">
        <f>IF(HLOOKUP("KP",A1:CV300,29,FALSE)=0,0,HLOOKUP("As",A1:CV300,29,FALSE)/HLOOKUP("KP",A1:CV300,29,FALSE))</f>
      </c>
      <c r="AB29" t="n" s="7594">
        <v>9.9</v>
      </c>
      <c r="AC29" t="n" s="7595">
        <v>0.0</v>
      </c>
      <c r="AD29" t="n" s="7596">
        <v>0.0</v>
      </c>
      <c r="AE29" t="n" s="7597">
        <v>0.0</v>
      </c>
      <c r="AF29" t="n" s="7598">
        <v>0.0</v>
      </c>
      <c r="AG29" s="7599">
        <f>IF(HLOOKUP("BC",A1:CV300,29,FALSE)=0,0,HLOOKUP("Gs - BC",A1:CV300,29,FALSE)/HLOOKUP("BC",A1:CV300,29,FALSE))</f>
      </c>
      <c r="AH29" s="7600">
        <f>HLOOKUP("BC",A1:CV300,29,FALSE) - HLOOKUP("BC Miss",A1:CV300,29,FALSE)</f>
      </c>
      <c r="AI29" s="7601">
        <f>IF(HLOOKUP("Gs",A1:CV300,29,FALSE)=0,0,HLOOKUP("Gs - BC",A1:CV300,29,FALSE)/HLOOKUP("Gs",A1:CV300,29,FALSE))</f>
      </c>
      <c r="AJ29" t="n" s="7602">
        <v>0.0</v>
      </c>
      <c r="AK29" t="n" s="7603">
        <v>0.0</v>
      </c>
      <c r="AL29" s="7604">
        <f>HLOOKUP("BC",A1:CV300,29,FALSE) - (HLOOKUP("PK Gs",A1:CV300,29,FALSE) + HLOOKUP("PK Miss",A1:CV300,29,FALSE))</f>
      </c>
      <c r="AM29" s="7605">
        <f>HLOOKUP("BC Miss",A1:CV300,29,FALSE) - HLOOKUP("PK Miss",A1:CV300,29,FALSE)</f>
      </c>
      <c r="AN29" s="7606">
        <f>IF(HLOOKUP("BC - Open",A1:CV300,29,FALSE)=0,0,HLOOKUP("BC - Open Miss",A1:CV300,29,FALSE)/HLOOKUP("BC - Open",A1:CV300,29,FALSE))</f>
      </c>
      <c r="AO29" t="n" s="7607">
        <v>0.0</v>
      </c>
      <c r="AP29" s="7608">
        <f>IF(HLOOKUP("Gs",A1:CV300,29,FALSE)=0,0,HLOOKUP("GIB",A1:CV300,29,FALSE)/HLOOKUP("Gs",A1:CV300,29,FALSE))</f>
      </c>
      <c r="AQ29" t="n" s="7609">
        <v>0.0</v>
      </c>
      <c r="AR29" s="7610">
        <f>IF(HLOOKUP("Gs",A1:CV300,29,FALSE)=0,0,HLOOKUP("Gs - Open",A1:CV300,29,FALSE)/HLOOKUP("Gs",A1:CV300,29,FALSE))</f>
      </c>
      <c r="AS29" t="n" s="7611">
        <v>0.02</v>
      </c>
      <c r="AT29" t="n" s="7612">
        <v>0.28</v>
      </c>
      <c r="AU29" s="7613">
        <f>IF(HLOOKUP("Mins",A1:CV300,29,FALSE)=0,0,HLOOKUP("Pts",A1:CV300,29,FALSE)/HLOOKUP("Mins",A1:CV300,29,FALSE)* 90)</f>
      </c>
      <c r="AV29" s="7614">
        <f>IF(HLOOKUP("Apps",A1:CV300,29,FALSE)=0,0,HLOOKUP("Pts",A1:CV300,29,FALSE)/HLOOKUP("Apps",A1:CV300,29,FALSE)* 1)</f>
      </c>
      <c r="AW29" s="7615">
        <f>IF(HLOOKUP("Mins",A1:CV300,29,FALSE)=0,0,HLOOKUP("Gs",A1:CV300,29,FALSE)/HLOOKUP("Mins",A1:CV300,29,FALSE)* 90)</f>
      </c>
      <c r="AX29" s="7616">
        <f>IF(HLOOKUP("Mins",A1:CV300,29,FALSE)=0,0,HLOOKUP("Bonus",A1:CV300,29,FALSE)/HLOOKUP("Mins",A1:CV300,29,FALSE)* 90)</f>
      </c>
      <c r="AY29" s="7617">
        <f>IF(HLOOKUP("Mins",A1:CV300,29,FALSE)=0,0,HLOOKUP("BPS",A1:CV300,29,FALSE)/HLOOKUP("Mins",A1:CV300,29,FALSE)* 90)</f>
      </c>
      <c r="AZ29" s="7618">
        <f>IF(HLOOKUP("Mins",A1:CV300,29,FALSE)=0,0,HLOOKUP("Base BPS",A1:CV300,29,FALSE)/HLOOKUP("Mins",A1:CV300,29,FALSE)* 90)</f>
      </c>
      <c r="BA29" s="7619">
        <f>IF(HLOOKUP("Mins",A1:CV300,29,FALSE)=0,0,HLOOKUP("PenTchs",A1:CV300,29,FALSE)/HLOOKUP("Mins",A1:CV300,29,FALSE)* 90)</f>
      </c>
      <c r="BB29" s="7620">
        <f>IF(HLOOKUP("Mins",A1:CV300,29,FALSE)=0,0,HLOOKUP("Shots",A1:CV300,29,FALSE)/HLOOKUP("Mins",A1:CV300,29,FALSE)* 90)</f>
      </c>
      <c r="BC29" s="7621">
        <f>IF(HLOOKUP("Mins",A1:CV300,29,FALSE)=0,0,HLOOKUP("SIB",A1:CV300,29,FALSE)/HLOOKUP("Mins",A1:CV300,29,FALSE)* 90)</f>
      </c>
      <c r="BD29" s="7622">
        <f>IF(HLOOKUP("Mins",A1:CV300,29,FALSE)=0,0,HLOOKUP("S6YD",A1:CV300,29,FALSE)/HLOOKUP("Mins",A1:CV300,29,FALSE)* 90)</f>
      </c>
      <c r="BE29" s="7623">
        <f>IF(HLOOKUP("Mins",A1:CV300,29,FALSE)=0,0,HLOOKUP("Headers",A1:CV300,29,FALSE)/HLOOKUP("Mins",A1:CV300,29,FALSE)* 90)</f>
      </c>
      <c r="BF29" s="7624">
        <f>IF(HLOOKUP("Mins",A1:CV300,29,FALSE)=0,0,HLOOKUP("SOT",A1:CV300,29,FALSE)/HLOOKUP("Mins",A1:CV300,29,FALSE)* 90)</f>
      </c>
      <c r="BG29" s="7625">
        <f>IF(HLOOKUP("Mins",A1:CV300,29,FALSE)=0,0,HLOOKUP("As",A1:CV300,29,FALSE)/HLOOKUP("Mins",A1:CV300,29,FALSE)* 90)</f>
      </c>
      <c r="BH29" s="7626">
        <f>IF(HLOOKUP("Mins",A1:CV300,29,FALSE)=0,0,HLOOKUP("FPL As",A1:CV300,29,FALSE)/HLOOKUP("Mins",A1:CV300,29,FALSE)* 90)</f>
      </c>
      <c r="BI29" s="7627">
        <f>IF(HLOOKUP("Mins",A1:CV300,29,FALSE)=0,0,HLOOKUP("BC Created",A1:CV300,29,FALSE)/HLOOKUP("Mins",A1:CV300,29,FALSE)* 90)</f>
      </c>
      <c r="BJ29" s="7628">
        <f>IF(HLOOKUP("Mins",A1:CV300,29,FALSE)=0,0,HLOOKUP("KP",A1:CV300,29,FALSE)/HLOOKUP("Mins",A1:CV300,29,FALSE)* 90)</f>
      </c>
      <c r="BK29" s="7629">
        <f>IF(HLOOKUP("Mins",A1:CV300,29,FALSE)=0,0,HLOOKUP("BC",A1:CV300,29,FALSE)/HLOOKUP("Mins",A1:CV300,29,FALSE)* 90)</f>
      </c>
      <c r="BL29" s="7630">
        <f>IF(HLOOKUP("Mins",A1:CV300,29,FALSE)=0,0,HLOOKUP("BC Miss",A1:CV300,29,FALSE)/HLOOKUP("Mins",A1:CV300,29,FALSE)* 90)</f>
      </c>
      <c r="BM29" s="7631">
        <f>IF(HLOOKUP("Mins",A1:CV300,29,FALSE)=0,0,HLOOKUP("Gs - BC",A1:CV300,29,FALSE)/HLOOKUP("Mins",A1:CV300,29,FALSE)* 90)</f>
      </c>
      <c r="BN29" s="7632">
        <f>IF(HLOOKUP("Mins",A1:CV300,29,FALSE)=0,0,HLOOKUP("GIB",A1:CV300,29,FALSE)/HLOOKUP("Mins",A1:CV300,29,FALSE)* 90)</f>
      </c>
      <c r="BO29" s="7633">
        <f>IF(HLOOKUP("Mins",A1:CV300,29,FALSE)=0,0,HLOOKUP("Gs - Open",A1:CV300,29,FALSE)/HLOOKUP("Mins",A1:CV300,29,FALSE)* 90)</f>
      </c>
      <c r="BP29" s="7634">
        <f>IF(HLOOKUP("Mins",A1:CV300,29,FALSE)=0,0,HLOOKUP("ICT Index",A1:CV300,29,FALSE)/HLOOKUP("Mins",A1:CV300,29,FALSE)* 90)</f>
      </c>
      <c r="BQ29" s="7635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</c>
      <c r="BR29" s="7636">
        <f>0.0825*HLOOKUP("KP/90",A1:CV300,29,FALSE)</f>
      </c>
      <c r="BS29" s="7637">
        <f>6*HLOOKUP("xG/90",A1:CV300,29,FALSE)+3*HLOOKUP("xA/90",A1:CV300,29,FALSE)</f>
      </c>
      <c r="BT29" s="7638">
        <f>HLOOKUP("xPts/90",A1:CV300,29,FALSE)-(6*0.75*(HLOOKUP("PK Gs",A1:CV300,29,FALSE)+HLOOKUP("PK Miss",A1:CV300,29,FALSE))*90/HLOOKUP("Mins",A1:CV300,29,FALSE))</f>
      </c>
      <c r="BU29" s="7639">
        <f>IF(HLOOKUP("Mins",A1:CV300,29,FALSE)=0,0,HLOOKUP("fsXG",A1:CV300,29,FALSE)/HLOOKUP("Mins",A1:CV300,29,FALSE)* 90)</f>
      </c>
      <c r="BV29" s="7640">
        <f>IF(HLOOKUP("Mins",A1:CV300,29,FALSE)=0,0,HLOOKUP("fsXA",A1:CV300,29,FALSE)/HLOOKUP("Mins",A1:CV300,29,FALSE)* 90)</f>
      </c>
      <c r="BW29" s="7641">
        <f>6*HLOOKUP("fsXG/90",A1:CV300,29,FALSE)+3*HLOOKUP("fsXA/90",A1:CV300,29,FALSE)</f>
      </c>
      <c r="BX29" t="n" s="7642">
        <v>0.003919296897947788</v>
      </c>
      <c r="BY29" t="n" s="7643">
        <v>0.06942380219697952</v>
      </c>
      <c r="BZ29" s="7644">
        <f>6*HLOOKUP("uXG/90",A1:CV300,29,FALSE)+3*HLOOKUP("uXA/90",A1:CV300,29,FALSE)</f>
      </c>
    </row>
    <row r="30">
      <c r="A30" t="s" s="7645">
        <v>195</v>
      </c>
      <c r="B30" t="s" s="7646">
        <v>107</v>
      </c>
      <c r="C30" t="n" s="7647">
        <v>5.5</v>
      </c>
      <c r="D30" t="n" s="7648">
        <v>180.0</v>
      </c>
      <c r="E30" t="n" s="7649">
        <v>2.0</v>
      </c>
      <c r="F30" t="n" s="7650">
        <v>58.0</v>
      </c>
      <c r="G30" t="n" s="7651">
        <v>0.0</v>
      </c>
      <c r="H30" t="n" s="7652">
        <v>3.0</v>
      </c>
      <c r="I30" t="n" s="7653">
        <v>297.0</v>
      </c>
      <c r="J30" s="7654">
        <f>HLOOKUP("BPS",A1:CV300,30,FALSE)-((-6*HLOOKUP("OG",A1:CV300,30,FALSE))+(-6*HLOOKUP("PK Miss",A1:CV300,30,FALSE))+(9*HLOOKUP("FPL As",A1:CV300,30,FALSE))+(12*HLOOKUP("CS",A1:CV300,30,FALSE))+(12*HLOOKUP("Gs",A1:CV300,30,FALSE)))</f>
      </c>
      <c r="K30" t="n" s="7655">
        <v>1.0</v>
      </c>
      <c r="L30" t="n" s="7656">
        <v>4.0</v>
      </c>
      <c r="M30" t="n" s="7657">
        <v>4.0</v>
      </c>
      <c r="N30" t="n" s="7658">
        <v>4.0</v>
      </c>
      <c r="O30" t="n" s="7659">
        <v>2.0</v>
      </c>
      <c r="P30" s="7660">
        <f>IF(HLOOKUP("Shots",A1:CV300,30,FALSE)=0,0,HLOOKUP("SIB",A1:CV300,30,FALSE)/HLOOKUP("Shots",A1:CV300,30,FALSE))</f>
      </c>
      <c r="Q30" t="n" s="7661">
        <v>0.0</v>
      </c>
      <c r="R30" s="7662">
        <f>IF(HLOOKUP("Shots",A1:CV300,30,FALSE)=0,0,HLOOKUP("S6YD",A1:CV300,30,FALSE)/HLOOKUP("Shots",A1:CV300,30,FALSE))</f>
      </c>
      <c r="S30" t="n" s="7663">
        <v>0.0</v>
      </c>
      <c r="T30" s="7664">
        <f>IF(HLOOKUP("Shots",A1:CV300,30,FALSE)=0,0,HLOOKUP("Headers",A1:CV300,30,FALSE)/HLOOKUP("Shots",A1:CV300,30,FALSE))</f>
      </c>
      <c r="U30" t="n" s="7665">
        <v>0.0</v>
      </c>
      <c r="V30" s="7666">
        <f>IF(HLOOKUP("Shots",A1:CV300,30,FALSE)=0,0,HLOOKUP("SOT",A1:CV300,30,FALSE)/HLOOKUP("Shots",A1:CV300,30,FALSE))</f>
      </c>
      <c r="W30" s="7667">
        <f>IF(HLOOKUP("Shots",A1:CV300,30,FALSE)=0,0,HLOOKUP("Gs",A1:CV300,30,FALSE)/HLOOKUP("Shots",A1:CV300,30,FALSE))</f>
      </c>
      <c r="X30" t="n" s="7668">
        <v>0.0</v>
      </c>
      <c r="Y30" t="n" s="7669">
        <v>0.0</v>
      </c>
      <c r="Z30" t="n" s="7670">
        <v>0.0</v>
      </c>
      <c r="AA30" s="7671">
        <f>IF(HLOOKUP("KP",A1:CV300,30,FALSE)=0,0,HLOOKUP("As",A1:CV300,30,FALSE)/HLOOKUP("KP",A1:CV300,30,FALSE))</f>
      </c>
      <c r="AB30" t="n" s="7672">
        <v>6.8</v>
      </c>
      <c r="AC30" t="n" s="7673">
        <v>0.0</v>
      </c>
      <c r="AD30" t="n" s="7674">
        <v>0.0</v>
      </c>
      <c r="AE30" t="n" s="7675">
        <v>0.0</v>
      </c>
      <c r="AF30" t="n" s="7676">
        <v>0.0</v>
      </c>
      <c r="AG30" s="7677">
        <f>IF(HLOOKUP("BC",A1:CV300,30,FALSE)=0,0,HLOOKUP("Gs - BC",A1:CV300,30,FALSE)/HLOOKUP("BC",A1:CV300,30,FALSE))</f>
      </c>
      <c r="AH30" s="7678">
        <f>HLOOKUP("BC",A1:CV300,30,FALSE) - HLOOKUP("BC Miss",A1:CV300,30,FALSE)</f>
      </c>
      <c r="AI30" s="7679">
        <f>IF(HLOOKUP("Gs",A1:CV300,30,FALSE)=0,0,HLOOKUP("Gs - BC",A1:CV300,30,FALSE)/HLOOKUP("Gs",A1:CV300,30,FALSE))</f>
      </c>
      <c r="AJ30" t="n" s="7680">
        <v>0.0</v>
      </c>
      <c r="AK30" t="n" s="7681">
        <v>0.0</v>
      </c>
      <c r="AL30" s="7682">
        <f>HLOOKUP("BC",A1:CV300,30,FALSE) - (HLOOKUP("PK Gs",A1:CV300,30,FALSE) + HLOOKUP("PK Miss",A1:CV300,30,FALSE))</f>
      </c>
      <c r="AM30" s="7683">
        <f>HLOOKUP("BC Miss",A1:CV300,30,FALSE) - HLOOKUP("PK Miss",A1:CV300,30,FALSE)</f>
      </c>
      <c r="AN30" s="7684">
        <f>IF(HLOOKUP("BC - Open",A1:CV300,30,FALSE)=0,0,HLOOKUP("BC - Open Miss",A1:CV300,30,FALSE)/HLOOKUP("BC - Open",A1:CV300,30,FALSE))</f>
      </c>
      <c r="AO30" t="n" s="7685">
        <v>0.0</v>
      </c>
      <c r="AP30" s="7686">
        <f>IF(HLOOKUP("Gs",A1:CV300,30,FALSE)=0,0,HLOOKUP("GIB",A1:CV300,30,FALSE)/HLOOKUP("Gs",A1:CV300,30,FALSE))</f>
      </c>
      <c r="AQ30" t="n" s="7687">
        <v>0.0</v>
      </c>
      <c r="AR30" s="7688">
        <f>IF(HLOOKUP("Gs",A1:CV300,30,FALSE)=0,0,HLOOKUP("Gs - Open",A1:CV300,30,FALSE)/HLOOKUP("Gs",A1:CV300,30,FALSE))</f>
      </c>
      <c r="AS30" t="n" s="7689">
        <v>0.18</v>
      </c>
      <c r="AT30" t="n" s="7690">
        <v>0.15</v>
      </c>
      <c r="AU30" s="7691">
        <f>IF(HLOOKUP("Mins",A1:CV300,30,FALSE)=0,0,HLOOKUP("Pts",A1:CV300,30,FALSE)/HLOOKUP("Mins",A1:CV300,30,FALSE)* 90)</f>
      </c>
      <c r="AV30" s="7692">
        <f>IF(HLOOKUP("Apps",A1:CV300,30,FALSE)=0,0,HLOOKUP("Pts",A1:CV300,30,FALSE)/HLOOKUP("Apps",A1:CV300,30,FALSE)* 1)</f>
      </c>
      <c r="AW30" s="7693">
        <f>IF(HLOOKUP("Mins",A1:CV300,30,FALSE)=0,0,HLOOKUP("Gs",A1:CV300,30,FALSE)/HLOOKUP("Mins",A1:CV300,30,FALSE)* 90)</f>
      </c>
      <c r="AX30" s="7694">
        <f>IF(HLOOKUP("Mins",A1:CV300,30,FALSE)=0,0,HLOOKUP("Bonus",A1:CV300,30,FALSE)/HLOOKUP("Mins",A1:CV300,30,FALSE)* 90)</f>
      </c>
      <c r="AY30" s="7695">
        <f>IF(HLOOKUP("Mins",A1:CV300,30,FALSE)=0,0,HLOOKUP("BPS",A1:CV300,30,FALSE)/HLOOKUP("Mins",A1:CV300,30,FALSE)* 90)</f>
      </c>
      <c r="AZ30" s="7696">
        <f>IF(HLOOKUP("Mins",A1:CV300,30,FALSE)=0,0,HLOOKUP("Base BPS",A1:CV300,30,FALSE)/HLOOKUP("Mins",A1:CV300,30,FALSE)* 90)</f>
      </c>
      <c r="BA30" s="7697">
        <f>IF(HLOOKUP("Mins",A1:CV300,30,FALSE)=0,0,HLOOKUP("PenTchs",A1:CV300,30,FALSE)/HLOOKUP("Mins",A1:CV300,30,FALSE)* 90)</f>
      </c>
      <c r="BB30" s="7698">
        <f>IF(HLOOKUP("Mins",A1:CV300,30,FALSE)=0,0,HLOOKUP("Shots",A1:CV300,30,FALSE)/HLOOKUP("Mins",A1:CV300,30,FALSE)* 90)</f>
      </c>
      <c r="BC30" s="7699">
        <f>IF(HLOOKUP("Mins",A1:CV300,30,FALSE)=0,0,HLOOKUP("SIB",A1:CV300,30,FALSE)/HLOOKUP("Mins",A1:CV300,30,FALSE)* 90)</f>
      </c>
      <c r="BD30" s="7700">
        <f>IF(HLOOKUP("Mins",A1:CV300,30,FALSE)=0,0,HLOOKUP("S6YD",A1:CV300,30,FALSE)/HLOOKUP("Mins",A1:CV300,30,FALSE)* 90)</f>
      </c>
      <c r="BE30" s="7701">
        <f>IF(HLOOKUP("Mins",A1:CV300,30,FALSE)=0,0,HLOOKUP("Headers",A1:CV300,30,FALSE)/HLOOKUP("Mins",A1:CV300,30,FALSE)* 90)</f>
      </c>
      <c r="BF30" s="7702">
        <f>IF(HLOOKUP("Mins",A1:CV300,30,FALSE)=0,0,HLOOKUP("SOT",A1:CV300,30,FALSE)/HLOOKUP("Mins",A1:CV300,30,FALSE)* 90)</f>
      </c>
      <c r="BG30" s="7703">
        <f>IF(HLOOKUP("Mins",A1:CV300,30,FALSE)=0,0,HLOOKUP("As",A1:CV300,30,FALSE)/HLOOKUP("Mins",A1:CV300,30,FALSE)* 90)</f>
      </c>
      <c r="BH30" s="7704">
        <f>IF(HLOOKUP("Mins",A1:CV300,30,FALSE)=0,0,HLOOKUP("FPL As",A1:CV300,30,FALSE)/HLOOKUP("Mins",A1:CV300,30,FALSE)* 90)</f>
      </c>
      <c r="BI30" s="7705">
        <f>IF(HLOOKUP("Mins",A1:CV300,30,FALSE)=0,0,HLOOKUP("BC Created",A1:CV300,30,FALSE)/HLOOKUP("Mins",A1:CV300,30,FALSE)* 90)</f>
      </c>
      <c r="BJ30" s="7706">
        <f>IF(HLOOKUP("Mins",A1:CV300,30,FALSE)=0,0,HLOOKUP("KP",A1:CV300,30,FALSE)/HLOOKUP("Mins",A1:CV300,30,FALSE)* 90)</f>
      </c>
      <c r="BK30" s="7707">
        <f>IF(HLOOKUP("Mins",A1:CV300,30,FALSE)=0,0,HLOOKUP("BC",A1:CV300,30,FALSE)/HLOOKUP("Mins",A1:CV300,30,FALSE)* 90)</f>
      </c>
      <c r="BL30" s="7708">
        <f>IF(HLOOKUP("Mins",A1:CV300,30,FALSE)=0,0,HLOOKUP("BC Miss",A1:CV300,30,FALSE)/HLOOKUP("Mins",A1:CV300,30,FALSE)* 90)</f>
      </c>
      <c r="BM30" s="7709">
        <f>IF(HLOOKUP("Mins",A1:CV300,30,FALSE)=0,0,HLOOKUP("Gs - BC",A1:CV300,30,FALSE)/HLOOKUP("Mins",A1:CV300,30,FALSE)* 90)</f>
      </c>
      <c r="BN30" s="7710">
        <f>IF(HLOOKUP("Mins",A1:CV300,30,FALSE)=0,0,HLOOKUP("GIB",A1:CV300,30,FALSE)/HLOOKUP("Mins",A1:CV300,30,FALSE)* 90)</f>
      </c>
      <c r="BO30" s="7711">
        <f>IF(HLOOKUP("Mins",A1:CV300,30,FALSE)=0,0,HLOOKUP("Gs - Open",A1:CV300,30,FALSE)/HLOOKUP("Mins",A1:CV300,30,FALSE)* 90)</f>
      </c>
      <c r="BP30" s="7712">
        <f>IF(HLOOKUP("Mins",A1:CV300,30,FALSE)=0,0,HLOOKUP("ICT Index",A1:CV300,30,FALSE)/HLOOKUP("Mins",A1:CV300,30,FALSE)* 90)</f>
      </c>
      <c r="BQ30" s="7713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</c>
      <c r="BR30" s="7714">
        <f>0.0825*HLOOKUP("KP/90",A1:CV300,30,FALSE)</f>
      </c>
      <c r="BS30" s="7715">
        <f>6*HLOOKUP("xG/90",A1:CV300,30,FALSE)+3*HLOOKUP("xA/90",A1:CV300,30,FALSE)</f>
      </c>
      <c r="BT30" s="7716">
        <f>HLOOKUP("xPts/90",A1:CV300,30,FALSE)-(6*0.75*(HLOOKUP("PK Gs",A1:CV300,30,FALSE)+HLOOKUP("PK Miss",A1:CV300,30,FALSE))*90/HLOOKUP("Mins",A1:CV300,30,FALSE))</f>
      </c>
      <c r="BU30" s="7717">
        <f>IF(HLOOKUP("Mins",A1:CV300,30,FALSE)=0,0,HLOOKUP("fsXG",A1:CV300,30,FALSE)/HLOOKUP("Mins",A1:CV300,30,FALSE)* 90)</f>
      </c>
      <c r="BV30" s="7718">
        <f>IF(HLOOKUP("Mins",A1:CV300,30,FALSE)=0,0,HLOOKUP("fsXA",A1:CV300,30,FALSE)/HLOOKUP("Mins",A1:CV300,30,FALSE)* 90)</f>
      </c>
      <c r="BW30" s="7719">
        <f>6*HLOOKUP("fsXG/90",A1:CV300,30,FALSE)+3*HLOOKUP("fsXA/90",A1:CV300,30,FALSE)</f>
      </c>
      <c r="BX30" t="n" s="7720">
        <v>0.07049577683210373</v>
      </c>
      <c r="BY30" t="n" s="7721">
        <v>0.0</v>
      </c>
      <c r="BZ30" s="7722">
        <f>6*HLOOKUP("uXG/90",A1:CV300,30,FALSE)+3*HLOOKUP("uXA/90",A1:CV300,30,FALSE)</f>
      </c>
    </row>
    <row r="31">
      <c r="A31" t="s" s="7723">
        <v>196</v>
      </c>
      <c r="B31" t="s" s="7724">
        <v>82</v>
      </c>
      <c r="C31" t="n" s="7725">
        <v>4.800000190734863</v>
      </c>
      <c r="D31" t="n" s="7726">
        <v>54.0</v>
      </c>
      <c r="E31" t="n" s="7727">
        <v>1.0</v>
      </c>
      <c r="F31" t="n" s="7728">
        <v>21.0</v>
      </c>
      <c r="G31" t="n" s="7729">
        <v>0.0</v>
      </c>
      <c r="H31" t="n" s="7730">
        <v>0.0</v>
      </c>
      <c r="I31" t="n" s="7731">
        <v>110.0</v>
      </c>
      <c r="J31" s="7732">
        <f>HLOOKUP("BPS",A1:CV300,31,FALSE)-((-6*HLOOKUP("OG",A1:CV300,31,FALSE))+(-6*HLOOKUP("PK Miss",A1:CV300,31,FALSE))+(9*HLOOKUP("FPL As",A1:CV300,31,FALSE))+(12*HLOOKUP("CS",A1:CV300,31,FALSE))+(12*HLOOKUP("Gs",A1:CV300,31,FALSE)))</f>
      </c>
      <c r="K31" t="n" s="7733">
        <v>0.0</v>
      </c>
      <c r="L31" t="n" s="7734">
        <v>2.0</v>
      </c>
      <c r="M31" t="n" s="7735">
        <v>0.0</v>
      </c>
      <c r="N31" t="n" s="7736">
        <v>0.0</v>
      </c>
      <c r="O31" t="n" s="7737">
        <v>0.0</v>
      </c>
      <c r="P31" s="7738">
        <f>IF(HLOOKUP("Shots",A1:CV300,31,FALSE)=0,0,HLOOKUP("SIB",A1:CV300,31,FALSE)/HLOOKUP("Shots",A1:CV300,31,FALSE))</f>
      </c>
      <c r="Q31" t="n" s="7739">
        <v>0.0</v>
      </c>
      <c r="R31" s="7740">
        <f>IF(HLOOKUP("Shots",A1:CV300,31,FALSE)=0,0,HLOOKUP("S6YD",A1:CV300,31,FALSE)/HLOOKUP("Shots",A1:CV300,31,FALSE))</f>
      </c>
      <c r="S31" t="n" s="7741">
        <v>0.0</v>
      </c>
      <c r="T31" s="7742">
        <f>IF(HLOOKUP("Shots",A1:CV300,31,FALSE)=0,0,HLOOKUP("Headers",A1:CV300,31,FALSE)/HLOOKUP("Shots",A1:CV300,31,FALSE))</f>
      </c>
      <c r="U31" t="n" s="7743">
        <v>0.0</v>
      </c>
      <c r="V31" s="7744">
        <f>IF(HLOOKUP("Shots",A1:CV300,31,FALSE)=0,0,HLOOKUP("SOT",A1:CV300,31,FALSE)/HLOOKUP("Shots",A1:CV300,31,FALSE))</f>
      </c>
      <c r="W31" s="7745">
        <f>IF(HLOOKUP("Shots",A1:CV300,31,FALSE)=0,0,HLOOKUP("Gs",A1:CV300,31,FALSE)/HLOOKUP("Shots",A1:CV300,31,FALSE))</f>
      </c>
      <c r="X31" t="n" s="7746">
        <v>0.0</v>
      </c>
      <c r="Y31" t="n" s="7747">
        <v>0.0</v>
      </c>
      <c r="Z31" t="n" s="7748">
        <v>0.0</v>
      </c>
      <c r="AA31" s="7749">
        <f>IF(HLOOKUP("KP",A1:CV300,31,FALSE)=0,0,HLOOKUP("As",A1:CV300,31,FALSE)/HLOOKUP("KP",A1:CV300,31,FALSE))</f>
      </c>
      <c r="AB31" t="n" s="7750">
        <v>1.0</v>
      </c>
      <c r="AC31" t="n" s="7751">
        <v>0.0</v>
      </c>
      <c r="AD31" t="n" s="7752">
        <v>0.0</v>
      </c>
      <c r="AE31" t="n" s="7753">
        <v>0.0</v>
      </c>
      <c r="AF31" t="n" s="7754">
        <v>0.0</v>
      </c>
      <c r="AG31" s="7755">
        <f>IF(HLOOKUP("BC",A1:CV300,31,FALSE)=0,0,HLOOKUP("Gs - BC",A1:CV300,31,FALSE)/HLOOKUP("BC",A1:CV300,31,FALSE))</f>
      </c>
      <c r="AH31" s="7756">
        <f>HLOOKUP("BC",A1:CV300,31,FALSE) - HLOOKUP("BC Miss",A1:CV300,31,FALSE)</f>
      </c>
      <c r="AI31" s="7757">
        <f>IF(HLOOKUP("Gs",A1:CV300,31,FALSE)=0,0,HLOOKUP("Gs - BC",A1:CV300,31,FALSE)/HLOOKUP("Gs",A1:CV300,31,FALSE))</f>
      </c>
      <c r="AJ31" t="n" s="7758">
        <v>0.0</v>
      </c>
      <c r="AK31" t="n" s="7759">
        <v>0.0</v>
      </c>
      <c r="AL31" s="7760">
        <f>HLOOKUP("BC",A1:CV300,31,FALSE) - (HLOOKUP("PK Gs",A1:CV300,31,FALSE) + HLOOKUP("PK Miss",A1:CV300,31,FALSE))</f>
      </c>
      <c r="AM31" s="7761">
        <f>HLOOKUP("BC Miss",A1:CV300,31,FALSE) - HLOOKUP("PK Miss",A1:CV300,31,FALSE)</f>
      </c>
      <c r="AN31" s="7762">
        <f>IF(HLOOKUP("BC - Open",A1:CV300,31,FALSE)=0,0,HLOOKUP("BC - Open Miss",A1:CV300,31,FALSE)/HLOOKUP("BC - Open",A1:CV300,31,FALSE))</f>
      </c>
      <c r="AO31" t="n" s="7763">
        <v>0.0</v>
      </c>
      <c r="AP31" s="7764">
        <f>IF(HLOOKUP("Gs",A1:CV300,31,FALSE)=0,0,HLOOKUP("GIB",A1:CV300,31,FALSE)/HLOOKUP("Gs",A1:CV300,31,FALSE))</f>
      </c>
      <c r="AQ31" t="n" s="7765">
        <v>0.0</v>
      </c>
      <c r="AR31" s="7766">
        <f>IF(HLOOKUP("Gs",A1:CV300,31,FALSE)=0,0,HLOOKUP("Gs - Open",A1:CV300,31,FALSE)/HLOOKUP("Gs",A1:CV300,31,FALSE))</f>
      </c>
      <c r="AS31" t="n" s="7767">
        <v>0.0</v>
      </c>
      <c r="AT31" t="n" s="7768">
        <v>0.0</v>
      </c>
      <c r="AU31" s="7769">
        <f>IF(HLOOKUP("Mins",A1:CV300,31,FALSE)=0,0,HLOOKUP("Pts",A1:CV300,31,FALSE)/HLOOKUP("Mins",A1:CV300,31,FALSE)* 90)</f>
      </c>
      <c r="AV31" s="7770">
        <f>IF(HLOOKUP("Apps",A1:CV300,31,FALSE)=0,0,HLOOKUP("Pts",A1:CV300,31,FALSE)/HLOOKUP("Apps",A1:CV300,31,FALSE)* 1)</f>
      </c>
      <c r="AW31" s="7771">
        <f>IF(HLOOKUP("Mins",A1:CV300,31,FALSE)=0,0,HLOOKUP("Gs",A1:CV300,31,FALSE)/HLOOKUP("Mins",A1:CV300,31,FALSE)* 90)</f>
      </c>
      <c r="AX31" s="7772">
        <f>IF(HLOOKUP("Mins",A1:CV300,31,FALSE)=0,0,HLOOKUP("Bonus",A1:CV300,31,FALSE)/HLOOKUP("Mins",A1:CV300,31,FALSE)* 90)</f>
      </c>
      <c r="AY31" s="7773">
        <f>IF(HLOOKUP("Mins",A1:CV300,31,FALSE)=0,0,HLOOKUP("BPS",A1:CV300,31,FALSE)/HLOOKUP("Mins",A1:CV300,31,FALSE)* 90)</f>
      </c>
      <c r="AZ31" s="7774">
        <f>IF(HLOOKUP("Mins",A1:CV300,31,FALSE)=0,0,HLOOKUP("Base BPS",A1:CV300,31,FALSE)/HLOOKUP("Mins",A1:CV300,31,FALSE)* 90)</f>
      </c>
      <c r="BA31" s="7775">
        <f>IF(HLOOKUP("Mins",A1:CV300,31,FALSE)=0,0,HLOOKUP("PenTchs",A1:CV300,31,FALSE)/HLOOKUP("Mins",A1:CV300,31,FALSE)* 90)</f>
      </c>
      <c r="BB31" s="7776">
        <f>IF(HLOOKUP("Mins",A1:CV300,31,FALSE)=0,0,HLOOKUP("Shots",A1:CV300,31,FALSE)/HLOOKUP("Mins",A1:CV300,31,FALSE)* 90)</f>
      </c>
      <c r="BC31" s="7777">
        <f>IF(HLOOKUP("Mins",A1:CV300,31,FALSE)=0,0,HLOOKUP("SIB",A1:CV300,31,FALSE)/HLOOKUP("Mins",A1:CV300,31,FALSE)* 90)</f>
      </c>
      <c r="BD31" s="7778">
        <f>IF(HLOOKUP("Mins",A1:CV300,31,FALSE)=0,0,HLOOKUP("S6YD",A1:CV300,31,FALSE)/HLOOKUP("Mins",A1:CV300,31,FALSE)* 90)</f>
      </c>
      <c r="BE31" s="7779">
        <f>IF(HLOOKUP("Mins",A1:CV300,31,FALSE)=0,0,HLOOKUP("Headers",A1:CV300,31,FALSE)/HLOOKUP("Mins",A1:CV300,31,FALSE)* 90)</f>
      </c>
      <c r="BF31" s="7780">
        <f>IF(HLOOKUP("Mins",A1:CV300,31,FALSE)=0,0,HLOOKUP("SOT",A1:CV300,31,FALSE)/HLOOKUP("Mins",A1:CV300,31,FALSE)* 90)</f>
      </c>
      <c r="BG31" s="7781">
        <f>IF(HLOOKUP("Mins",A1:CV300,31,FALSE)=0,0,HLOOKUP("As",A1:CV300,31,FALSE)/HLOOKUP("Mins",A1:CV300,31,FALSE)* 90)</f>
      </c>
      <c r="BH31" s="7782">
        <f>IF(HLOOKUP("Mins",A1:CV300,31,FALSE)=0,0,HLOOKUP("FPL As",A1:CV300,31,FALSE)/HLOOKUP("Mins",A1:CV300,31,FALSE)* 90)</f>
      </c>
      <c r="BI31" s="7783">
        <f>IF(HLOOKUP("Mins",A1:CV300,31,FALSE)=0,0,HLOOKUP("BC Created",A1:CV300,31,FALSE)/HLOOKUP("Mins",A1:CV300,31,FALSE)* 90)</f>
      </c>
      <c r="BJ31" s="7784">
        <f>IF(HLOOKUP("Mins",A1:CV300,31,FALSE)=0,0,HLOOKUP("KP",A1:CV300,31,FALSE)/HLOOKUP("Mins",A1:CV300,31,FALSE)* 90)</f>
      </c>
      <c r="BK31" s="7785">
        <f>IF(HLOOKUP("Mins",A1:CV300,31,FALSE)=0,0,HLOOKUP("BC",A1:CV300,31,FALSE)/HLOOKUP("Mins",A1:CV300,31,FALSE)* 90)</f>
      </c>
      <c r="BL31" s="7786">
        <f>IF(HLOOKUP("Mins",A1:CV300,31,FALSE)=0,0,HLOOKUP("BC Miss",A1:CV300,31,FALSE)/HLOOKUP("Mins",A1:CV300,31,FALSE)* 90)</f>
      </c>
      <c r="BM31" s="7787">
        <f>IF(HLOOKUP("Mins",A1:CV300,31,FALSE)=0,0,HLOOKUP("Gs - BC",A1:CV300,31,FALSE)/HLOOKUP("Mins",A1:CV300,31,FALSE)* 90)</f>
      </c>
      <c r="BN31" s="7788">
        <f>IF(HLOOKUP("Mins",A1:CV300,31,FALSE)=0,0,HLOOKUP("GIB",A1:CV300,31,FALSE)/HLOOKUP("Mins",A1:CV300,31,FALSE)* 90)</f>
      </c>
      <c r="BO31" s="7789">
        <f>IF(HLOOKUP("Mins",A1:CV300,31,FALSE)=0,0,HLOOKUP("Gs - Open",A1:CV300,31,FALSE)/HLOOKUP("Mins",A1:CV300,31,FALSE)* 90)</f>
      </c>
      <c r="BP31" s="7790">
        <f>IF(HLOOKUP("Mins",A1:CV300,31,FALSE)=0,0,HLOOKUP("ICT Index",A1:CV300,31,FALSE)/HLOOKUP("Mins",A1:CV300,31,FALSE)* 90)</f>
      </c>
      <c r="BQ31" s="7791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</c>
      <c r="BR31" s="7792">
        <f>0.0825*HLOOKUP("KP/90",A1:CV300,31,FALSE)</f>
      </c>
      <c r="BS31" s="7793">
        <f>6*HLOOKUP("xG/90",A1:CV300,31,FALSE)+3*HLOOKUP("xA/90",A1:CV300,31,FALSE)</f>
      </c>
      <c r="BT31" s="7794">
        <f>HLOOKUP("xPts/90",A1:CV300,31,FALSE)-(6*0.75*(HLOOKUP("PK Gs",A1:CV300,31,FALSE)+HLOOKUP("PK Miss",A1:CV300,31,FALSE))*90/HLOOKUP("Mins",A1:CV300,31,FALSE))</f>
      </c>
      <c r="BU31" s="7795">
        <f>IF(HLOOKUP("Mins",A1:CV300,31,FALSE)=0,0,HLOOKUP("fsXG",A1:CV300,31,FALSE)/HLOOKUP("Mins",A1:CV300,31,FALSE)* 90)</f>
      </c>
      <c r="BV31" s="7796">
        <f>IF(HLOOKUP("Mins",A1:CV300,31,FALSE)=0,0,HLOOKUP("fsXA",A1:CV300,31,FALSE)/HLOOKUP("Mins",A1:CV300,31,FALSE)* 90)</f>
      </c>
      <c r="BW31" s="7797">
        <f>6*HLOOKUP("fsXG/90",A1:CV300,31,FALSE)+3*HLOOKUP("fsXA/90",A1:CV300,31,FALSE)</f>
      </c>
      <c r="BX31" t="n" s="7798">
        <v>0.0</v>
      </c>
      <c r="BY31" t="n" s="7799">
        <v>0.0</v>
      </c>
      <c r="BZ31" s="7800">
        <f>6*HLOOKUP("uXG/90",A1:CV300,31,FALSE)+3*HLOOKUP("uXA/90",A1:CV300,31,FALSE)</f>
      </c>
    </row>
    <row r="32">
      <c r="A32" t="s" s="7801">
        <v>197</v>
      </c>
      <c r="B32" t="s" s="7802">
        <v>87</v>
      </c>
      <c r="C32" t="n" s="7803">
        <v>4.300000190734863</v>
      </c>
      <c r="D32" t="n" s="7804">
        <v>495.0</v>
      </c>
      <c r="E32" t="n" s="7805">
        <v>6.0</v>
      </c>
      <c r="F32" t="n" s="7806">
        <v>30.0</v>
      </c>
      <c r="G32" t="n" s="7807">
        <v>0.0</v>
      </c>
      <c r="H32" t="n" s="7808">
        <v>1.0</v>
      </c>
      <c r="I32" t="n" s="7809">
        <v>197.0</v>
      </c>
      <c r="J32" s="7810">
        <f>HLOOKUP("BPS",A1:CV300,32,FALSE)-((-6*HLOOKUP("OG",A1:CV300,32,FALSE))+(-6*HLOOKUP("PK Miss",A1:CV300,32,FALSE))+(9*HLOOKUP("FPL As",A1:CV300,32,FALSE))+(12*HLOOKUP("CS",A1:CV300,32,FALSE))+(12*HLOOKUP("Gs",A1:CV300,32,FALSE)))</f>
      </c>
      <c r="K32" t="n" s="7811">
        <v>0.0</v>
      </c>
      <c r="L32" t="n" s="7812">
        <v>2.0</v>
      </c>
      <c r="M32" t="n" s="7813">
        <v>7.0</v>
      </c>
      <c r="N32" t="n" s="7814">
        <v>5.0</v>
      </c>
      <c r="O32" t="n" s="7815">
        <v>4.0</v>
      </c>
      <c r="P32" s="7816">
        <f>IF(HLOOKUP("Shots",A1:CV300,32,FALSE)=0,0,HLOOKUP("SIB",A1:CV300,32,FALSE)/HLOOKUP("Shots",A1:CV300,32,FALSE))</f>
      </c>
      <c r="Q32" t="n" s="7817">
        <v>0.0</v>
      </c>
      <c r="R32" s="7818">
        <f>IF(HLOOKUP("Shots",A1:CV300,32,FALSE)=0,0,HLOOKUP("S6YD",A1:CV300,32,FALSE)/HLOOKUP("Shots",A1:CV300,32,FALSE))</f>
      </c>
      <c r="S32" t="n" s="7819">
        <v>2.0</v>
      </c>
      <c r="T32" s="7820">
        <f>IF(HLOOKUP("Shots",A1:CV300,32,FALSE)=0,0,HLOOKUP("Headers",A1:CV300,32,FALSE)/HLOOKUP("Shots",A1:CV300,32,FALSE))</f>
      </c>
      <c r="U32" t="n" s="7821">
        <v>1.0</v>
      </c>
      <c r="V32" s="7822">
        <f>IF(HLOOKUP("Shots",A1:CV300,32,FALSE)=0,0,HLOOKUP("SOT",A1:CV300,32,FALSE)/HLOOKUP("Shots",A1:CV300,32,FALSE))</f>
      </c>
      <c r="W32" s="7823">
        <f>IF(HLOOKUP("Shots",A1:CV300,32,FALSE)=0,0,HLOOKUP("Gs",A1:CV300,32,FALSE)/HLOOKUP("Shots",A1:CV300,32,FALSE))</f>
      </c>
      <c r="X32" t="n" s="7824">
        <v>1.0</v>
      </c>
      <c r="Y32" t="n" s="7825">
        <v>2.0</v>
      </c>
      <c r="Z32" t="n" s="7826">
        <v>3.0</v>
      </c>
      <c r="AA32" s="7827">
        <f>IF(HLOOKUP("KP",A1:CV300,32,FALSE)=0,0,HLOOKUP("As",A1:CV300,32,FALSE)/HLOOKUP("KP",A1:CV300,32,FALSE))</f>
      </c>
      <c r="AB32" t="n" s="7828">
        <v>16.7</v>
      </c>
      <c r="AC32" t="n" s="7829">
        <v>12.0</v>
      </c>
      <c r="AD32" t="n" s="7830">
        <v>1.0</v>
      </c>
      <c r="AE32" t="n" s="7831">
        <v>1.0</v>
      </c>
      <c r="AF32" t="n" s="7832">
        <v>1.0</v>
      </c>
      <c r="AG32" s="7833">
        <f>IF(HLOOKUP("BC",A1:CV300,32,FALSE)=0,0,HLOOKUP("Gs - BC",A1:CV300,32,FALSE)/HLOOKUP("BC",A1:CV300,32,FALSE))</f>
      </c>
      <c r="AH32" s="7834">
        <f>HLOOKUP("BC",A1:CV300,32,FALSE) - HLOOKUP("BC Miss",A1:CV300,32,FALSE)</f>
      </c>
      <c r="AI32" s="7835">
        <f>IF(HLOOKUP("Gs",A1:CV300,32,FALSE)=0,0,HLOOKUP("Gs - BC",A1:CV300,32,FALSE)/HLOOKUP("Gs",A1:CV300,32,FALSE))</f>
      </c>
      <c r="AJ32" t="n" s="7836">
        <v>0.0</v>
      </c>
      <c r="AK32" t="n" s="7837">
        <v>0.0</v>
      </c>
      <c r="AL32" s="7838">
        <f>HLOOKUP("BC",A1:CV300,32,FALSE) - (HLOOKUP("PK Gs",A1:CV300,32,FALSE) + HLOOKUP("PK Miss",A1:CV300,32,FALSE))</f>
      </c>
      <c r="AM32" s="7839">
        <f>HLOOKUP("BC Miss",A1:CV300,32,FALSE) - HLOOKUP("PK Miss",A1:CV300,32,FALSE)</f>
      </c>
      <c r="AN32" s="7840">
        <f>IF(HLOOKUP("BC - Open",A1:CV300,32,FALSE)=0,0,HLOOKUP("BC - Open Miss",A1:CV300,32,FALSE)/HLOOKUP("BC - Open",A1:CV300,32,FALSE))</f>
      </c>
      <c r="AO32" t="n" s="7841">
        <v>0.0</v>
      </c>
      <c r="AP32" s="7842">
        <f>IF(HLOOKUP("Gs",A1:CV300,32,FALSE)=0,0,HLOOKUP("GIB",A1:CV300,32,FALSE)/HLOOKUP("Gs",A1:CV300,32,FALSE))</f>
      </c>
      <c r="AQ32" t="n" s="7843">
        <v>0.0</v>
      </c>
      <c r="AR32" s="7844">
        <f>IF(HLOOKUP("Gs",A1:CV300,32,FALSE)=0,0,HLOOKUP("Gs - Open",A1:CV300,32,FALSE)/HLOOKUP("Gs",A1:CV300,32,FALSE))</f>
      </c>
      <c r="AS32" t="n" s="7845">
        <v>0.3</v>
      </c>
      <c r="AT32" t="n" s="7846">
        <v>0.04</v>
      </c>
      <c r="AU32" s="7847">
        <f>IF(HLOOKUP("Mins",A1:CV300,32,FALSE)=0,0,HLOOKUP("Pts",A1:CV300,32,FALSE)/HLOOKUP("Mins",A1:CV300,32,FALSE)* 90)</f>
      </c>
      <c r="AV32" s="7848">
        <f>IF(HLOOKUP("Apps",A1:CV300,32,FALSE)=0,0,HLOOKUP("Pts",A1:CV300,32,FALSE)/HLOOKUP("Apps",A1:CV300,32,FALSE)* 1)</f>
      </c>
      <c r="AW32" s="7849">
        <f>IF(HLOOKUP("Mins",A1:CV300,32,FALSE)=0,0,HLOOKUP("Gs",A1:CV300,32,FALSE)/HLOOKUP("Mins",A1:CV300,32,FALSE)* 90)</f>
      </c>
      <c r="AX32" s="7850">
        <f>IF(HLOOKUP("Mins",A1:CV300,32,FALSE)=0,0,HLOOKUP("Bonus",A1:CV300,32,FALSE)/HLOOKUP("Mins",A1:CV300,32,FALSE)* 90)</f>
      </c>
      <c r="AY32" s="7851">
        <f>IF(HLOOKUP("Mins",A1:CV300,32,FALSE)=0,0,HLOOKUP("BPS",A1:CV300,32,FALSE)/HLOOKUP("Mins",A1:CV300,32,FALSE)* 90)</f>
      </c>
      <c r="AZ32" s="7852">
        <f>IF(HLOOKUP("Mins",A1:CV300,32,FALSE)=0,0,HLOOKUP("Base BPS",A1:CV300,32,FALSE)/HLOOKUP("Mins",A1:CV300,32,FALSE)* 90)</f>
      </c>
      <c r="BA32" s="7853">
        <f>IF(HLOOKUP("Mins",A1:CV300,32,FALSE)=0,0,HLOOKUP("PenTchs",A1:CV300,32,FALSE)/HLOOKUP("Mins",A1:CV300,32,FALSE)* 90)</f>
      </c>
      <c r="BB32" s="7854">
        <f>IF(HLOOKUP("Mins",A1:CV300,32,FALSE)=0,0,HLOOKUP("Shots",A1:CV300,32,FALSE)/HLOOKUP("Mins",A1:CV300,32,FALSE)* 90)</f>
      </c>
      <c r="BC32" s="7855">
        <f>IF(HLOOKUP("Mins",A1:CV300,32,FALSE)=0,0,HLOOKUP("SIB",A1:CV300,32,FALSE)/HLOOKUP("Mins",A1:CV300,32,FALSE)* 90)</f>
      </c>
      <c r="BD32" s="7856">
        <f>IF(HLOOKUP("Mins",A1:CV300,32,FALSE)=0,0,HLOOKUP("S6YD",A1:CV300,32,FALSE)/HLOOKUP("Mins",A1:CV300,32,FALSE)* 90)</f>
      </c>
      <c r="BE32" s="7857">
        <f>IF(HLOOKUP("Mins",A1:CV300,32,FALSE)=0,0,HLOOKUP("Headers",A1:CV300,32,FALSE)/HLOOKUP("Mins",A1:CV300,32,FALSE)* 90)</f>
      </c>
      <c r="BF32" s="7858">
        <f>IF(HLOOKUP("Mins",A1:CV300,32,FALSE)=0,0,HLOOKUP("SOT",A1:CV300,32,FALSE)/HLOOKUP("Mins",A1:CV300,32,FALSE)* 90)</f>
      </c>
      <c r="BG32" s="7859">
        <f>IF(HLOOKUP("Mins",A1:CV300,32,FALSE)=0,0,HLOOKUP("As",A1:CV300,32,FALSE)/HLOOKUP("Mins",A1:CV300,32,FALSE)* 90)</f>
      </c>
      <c r="BH32" s="7860">
        <f>IF(HLOOKUP("Mins",A1:CV300,32,FALSE)=0,0,HLOOKUP("FPL As",A1:CV300,32,FALSE)/HLOOKUP("Mins",A1:CV300,32,FALSE)* 90)</f>
      </c>
      <c r="BI32" s="7861">
        <f>IF(HLOOKUP("Mins",A1:CV300,32,FALSE)=0,0,HLOOKUP("BC Created",A1:CV300,32,FALSE)/HLOOKUP("Mins",A1:CV300,32,FALSE)* 90)</f>
      </c>
      <c r="BJ32" s="7862">
        <f>IF(HLOOKUP("Mins",A1:CV300,32,FALSE)=0,0,HLOOKUP("KP",A1:CV300,32,FALSE)/HLOOKUP("Mins",A1:CV300,32,FALSE)* 90)</f>
      </c>
      <c r="BK32" s="7863">
        <f>IF(HLOOKUP("Mins",A1:CV300,32,FALSE)=0,0,HLOOKUP("BC",A1:CV300,32,FALSE)/HLOOKUP("Mins",A1:CV300,32,FALSE)* 90)</f>
      </c>
      <c r="BL32" s="7864">
        <f>IF(HLOOKUP("Mins",A1:CV300,32,FALSE)=0,0,HLOOKUP("BC Miss",A1:CV300,32,FALSE)/HLOOKUP("Mins",A1:CV300,32,FALSE)* 90)</f>
      </c>
      <c r="BM32" s="7865">
        <f>IF(HLOOKUP("Mins",A1:CV300,32,FALSE)=0,0,HLOOKUP("Gs - BC",A1:CV300,32,FALSE)/HLOOKUP("Mins",A1:CV300,32,FALSE)* 90)</f>
      </c>
      <c r="BN32" s="7866">
        <f>IF(HLOOKUP("Mins",A1:CV300,32,FALSE)=0,0,HLOOKUP("GIB",A1:CV300,32,FALSE)/HLOOKUP("Mins",A1:CV300,32,FALSE)* 90)</f>
      </c>
      <c r="BO32" s="7867">
        <f>IF(HLOOKUP("Mins",A1:CV300,32,FALSE)=0,0,HLOOKUP("Gs - Open",A1:CV300,32,FALSE)/HLOOKUP("Mins",A1:CV300,32,FALSE)* 90)</f>
      </c>
      <c r="BP32" s="7868">
        <f>IF(HLOOKUP("Mins",A1:CV300,32,FALSE)=0,0,HLOOKUP("ICT Index",A1:CV300,32,FALSE)/HLOOKUP("Mins",A1:CV300,32,FALSE)* 90)</f>
      </c>
      <c r="BQ32" s="7869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</c>
      <c r="BR32" s="7870">
        <f>0.0825*HLOOKUP("KP/90",A1:CV300,32,FALSE)</f>
      </c>
      <c r="BS32" s="7871">
        <f>6*HLOOKUP("xG/90",A1:CV300,32,FALSE)+3*HLOOKUP("xA/90",A1:CV300,32,FALSE)</f>
      </c>
      <c r="BT32" s="7872">
        <f>HLOOKUP("xPts/90",A1:CV300,32,FALSE)-(6*0.75*(HLOOKUP("PK Gs",A1:CV300,32,FALSE)+HLOOKUP("PK Miss",A1:CV300,32,FALSE))*90/HLOOKUP("Mins",A1:CV300,32,FALSE))</f>
      </c>
      <c r="BU32" s="7873">
        <f>IF(HLOOKUP("Mins",A1:CV300,32,FALSE)=0,0,HLOOKUP("fsXG",A1:CV300,32,FALSE)/HLOOKUP("Mins",A1:CV300,32,FALSE)* 90)</f>
      </c>
      <c r="BV32" s="7874">
        <f>IF(HLOOKUP("Mins",A1:CV300,32,FALSE)=0,0,HLOOKUP("fsXA",A1:CV300,32,FALSE)/HLOOKUP("Mins",A1:CV300,32,FALSE)* 90)</f>
      </c>
      <c r="BW32" s="7875">
        <f>6*HLOOKUP("fsXG/90",A1:CV300,32,FALSE)+3*HLOOKUP("fsXA/90",A1:CV300,32,FALSE)</f>
      </c>
      <c r="BX32" t="n" s="7876">
        <v>0.03432735428214073</v>
      </c>
      <c r="BY32" t="n" s="7877">
        <v>0.06651371717453003</v>
      </c>
      <c r="BZ32" s="7878">
        <f>6*HLOOKUP("uXG/90",A1:CV300,32,FALSE)+3*HLOOKUP("uXA/90",A1:CV300,32,FALSE)</f>
      </c>
    </row>
    <row r="33">
      <c r="A33" t="s" s="7879">
        <v>198</v>
      </c>
      <c r="B33" t="s" s="7880">
        <v>102</v>
      </c>
      <c r="C33" t="n" s="7881">
        <v>4.400000095367432</v>
      </c>
      <c r="D33" t="n" s="7882">
        <v>147.0</v>
      </c>
      <c r="E33" t="n" s="7883">
        <v>3.0</v>
      </c>
      <c r="F33" t="n" s="7884">
        <v>64.0</v>
      </c>
      <c r="G33" t="n" s="7885">
        <v>0.0</v>
      </c>
      <c r="H33" t="n" s="7886">
        <v>6.0</v>
      </c>
      <c r="I33" t="n" s="7887">
        <v>283.0</v>
      </c>
      <c r="J33" s="7888">
        <f>HLOOKUP("BPS",A1:CV300,33,FALSE)-((-6*HLOOKUP("OG",A1:CV300,33,FALSE))+(-6*HLOOKUP("PK Miss",A1:CV300,33,FALSE))+(9*HLOOKUP("FPL As",A1:CV300,33,FALSE))+(12*HLOOKUP("CS",A1:CV300,33,FALSE))+(12*HLOOKUP("Gs",A1:CV300,33,FALSE)))</f>
      </c>
      <c r="K33" t="n" s="7889">
        <v>0.0</v>
      </c>
      <c r="L33" t="n" s="7890">
        <v>3.0</v>
      </c>
      <c r="M33" t="n" s="7891">
        <v>0.0</v>
      </c>
      <c r="N33" t="n" s="7892">
        <v>0.0</v>
      </c>
      <c r="O33" t="n" s="7893">
        <v>0.0</v>
      </c>
      <c r="P33" s="7894">
        <f>IF(HLOOKUP("Shots",A1:CV300,33,FALSE)=0,0,HLOOKUP("SIB",A1:CV300,33,FALSE)/HLOOKUP("Shots",A1:CV300,33,FALSE))</f>
      </c>
      <c r="Q33" t="n" s="7895">
        <v>0.0</v>
      </c>
      <c r="R33" s="7896">
        <f>IF(HLOOKUP("Shots",A1:CV300,33,FALSE)=0,0,HLOOKUP("S6YD",A1:CV300,33,FALSE)/HLOOKUP("Shots",A1:CV300,33,FALSE))</f>
      </c>
      <c r="S33" t="n" s="7897">
        <v>0.0</v>
      </c>
      <c r="T33" s="7898">
        <f>IF(HLOOKUP("Shots",A1:CV300,33,FALSE)=0,0,HLOOKUP("Headers",A1:CV300,33,FALSE)/HLOOKUP("Shots",A1:CV300,33,FALSE))</f>
      </c>
      <c r="U33" t="n" s="7899">
        <v>0.0</v>
      </c>
      <c r="V33" s="7900">
        <f>IF(HLOOKUP("Shots",A1:CV300,33,FALSE)=0,0,HLOOKUP("SOT",A1:CV300,33,FALSE)/HLOOKUP("Shots",A1:CV300,33,FALSE))</f>
      </c>
      <c r="W33" s="7901">
        <f>IF(HLOOKUP("Shots",A1:CV300,33,FALSE)=0,0,HLOOKUP("Gs",A1:CV300,33,FALSE)/HLOOKUP("Shots",A1:CV300,33,FALSE))</f>
      </c>
      <c r="X33" t="n" s="7902">
        <v>0.0</v>
      </c>
      <c r="Y33" t="n" s="7903">
        <v>2.0</v>
      </c>
      <c r="Z33" t="n" s="7904">
        <v>2.0</v>
      </c>
      <c r="AA33" s="7905">
        <f>IF(HLOOKUP("KP",A1:CV300,33,FALSE)=0,0,HLOOKUP("As",A1:CV300,33,FALSE)/HLOOKUP("KP",A1:CV300,33,FALSE))</f>
      </c>
      <c r="AB33" t="n" s="7906">
        <v>4.6</v>
      </c>
      <c r="AC33" t="n" s="7907">
        <v>0.0</v>
      </c>
      <c r="AD33" t="n" s="7908">
        <v>0.0</v>
      </c>
      <c r="AE33" t="n" s="7909">
        <v>0.0</v>
      </c>
      <c r="AF33" t="n" s="7910">
        <v>0.0</v>
      </c>
      <c r="AG33" s="7911">
        <f>IF(HLOOKUP("BC",A1:CV300,33,FALSE)=0,0,HLOOKUP("Gs - BC",A1:CV300,33,FALSE)/HLOOKUP("BC",A1:CV300,33,FALSE))</f>
      </c>
      <c r="AH33" s="7912">
        <f>HLOOKUP("BC",A1:CV300,33,FALSE) - HLOOKUP("BC Miss",A1:CV300,33,FALSE)</f>
      </c>
      <c r="AI33" s="7913">
        <f>IF(HLOOKUP("Gs",A1:CV300,33,FALSE)=0,0,HLOOKUP("Gs - BC",A1:CV300,33,FALSE)/HLOOKUP("Gs",A1:CV300,33,FALSE))</f>
      </c>
      <c r="AJ33" t="n" s="7914">
        <v>0.0</v>
      </c>
      <c r="AK33" t="n" s="7915">
        <v>0.0</v>
      </c>
      <c r="AL33" s="7916">
        <f>HLOOKUP("BC",A1:CV300,33,FALSE) - (HLOOKUP("PK Gs",A1:CV300,33,FALSE) + HLOOKUP("PK Miss",A1:CV300,33,FALSE))</f>
      </c>
      <c r="AM33" s="7917">
        <f>HLOOKUP("BC Miss",A1:CV300,33,FALSE) - HLOOKUP("PK Miss",A1:CV300,33,FALSE)</f>
      </c>
      <c r="AN33" s="7918">
        <f>IF(HLOOKUP("BC - Open",A1:CV300,33,FALSE)=0,0,HLOOKUP("BC - Open Miss",A1:CV300,33,FALSE)/HLOOKUP("BC - Open",A1:CV300,33,FALSE))</f>
      </c>
      <c r="AO33" t="n" s="7919">
        <v>0.0</v>
      </c>
      <c r="AP33" s="7920">
        <f>IF(HLOOKUP("Gs",A1:CV300,33,FALSE)=0,0,HLOOKUP("GIB",A1:CV300,33,FALSE)/HLOOKUP("Gs",A1:CV300,33,FALSE))</f>
      </c>
      <c r="AQ33" t="n" s="7921">
        <v>0.0</v>
      </c>
      <c r="AR33" s="7922">
        <f>IF(HLOOKUP("Gs",A1:CV300,33,FALSE)=0,0,HLOOKUP("Gs - Open",A1:CV300,33,FALSE)/HLOOKUP("Gs",A1:CV300,33,FALSE))</f>
      </c>
      <c r="AS33" t="n" s="7923">
        <v>0.0</v>
      </c>
      <c r="AT33" t="n" s="7924">
        <v>0.04</v>
      </c>
      <c r="AU33" s="7925">
        <f>IF(HLOOKUP("Mins",A1:CV300,33,FALSE)=0,0,HLOOKUP("Pts",A1:CV300,33,FALSE)/HLOOKUP("Mins",A1:CV300,33,FALSE)* 90)</f>
      </c>
      <c r="AV33" s="7926">
        <f>IF(HLOOKUP("Apps",A1:CV300,33,FALSE)=0,0,HLOOKUP("Pts",A1:CV300,33,FALSE)/HLOOKUP("Apps",A1:CV300,33,FALSE)* 1)</f>
      </c>
      <c r="AW33" s="7927">
        <f>IF(HLOOKUP("Mins",A1:CV300,33,FALSE)=0,0,HLOOKUP("Gs",A1:CV300,33,FALSE)/HLOOKUP("Mins",A1:CV300,33,FALSE)* 90)</f>
      </c>
      <c r="AX33" s="7928">
        <f>IF(HLOOKUP("Mins",A1:CV300,33,FALSE)=0,0,HLOOKUP("Bonus",A1:CV300,33,FALSE)/HLOOKUP("Mins",A1:CV300,33,FALSE)* 90)</f>
      </c>
      <c r="AY33" s="7929">
        <f>IF(HLOOKUP("Mins",A1:CV300,33,FALSE)=0,0,HLOOKUP("BPS",A1:CV300,33,FALSE)/HLOOKUP("Mins",A1:CV300,33,FALSE)* 90)</f>
      </c>
      <c r="AZ33" s="7930">
        <f>IF(HLOOKUP("Mins",A1:CV300,33,FALSE)=0,0,HLOOKUP("Base BPS",A1:CV300,33,FALSE)/HLOOKUP("Mins",A1:CV300,33,FALSE)* 90)</f>
      </c>
      <c r="BA33" s="7931">
        <f>IF(HLOOKUP("Mins",A1:CV300,33,FALSE)=0,0,HLOOKUP("PenTchs",A1:CV300,33,FALSE)/HLOOKUP("Mins",A1:CV300,33,FALSE)* 90)</f>
      </c>
      <c r="BB33" s="7932">
        <f>IF(HLOOKUP("Mins",A1:CV300,33,FALSE)=0,0,HLOOKUP("Shots",A1:CV300,33,FALSE)/HLOOKUP("Mins",A1:CV300,33,FALSE)* 90)</f>
      </c>
      <c r="BC33" s="7933">
        <f>IF(HLOOKUP("Mins",A1:CV300,33,FALSE)=0,0,HLOOKUP("SIB",A1:CV300,33,FALSE)/HLOOKUP("Mins",A1:CV300,33,FALSE)* 90)</f>
      </c>
      <c r="BD33" s="7934">
        <f>IF(HLOOKUP("Mins",A1:CV300,33,FALSE)=0,0,HLOOKUP("S6YD",A1:CV300,33,FALSE)/HLOOKUP("Mins",A1:CV300,33,FALSE)* 90)</f>
      </c>
      <c r="BE33" s="7935">
        <f>IF(HLOOKUP("Mins",A1:CV300,33,FALSE)=0,0,HLOOKUP("Headers",A1:CV300,33,FALSE)/HLOOKUP("Mins",A1:CV300,33,FALSE)* 90)</f>
      </c>
      <c r="BF33" s="7936">
        <f>IF(HLOOKUP("Mins",A1:CV300,33,FALSE)=0,0,HLOOKUP("SOT",A1:CV300,33,FALSE)/HLOOKUP("Mins",A1:CV300,33,FALSE)* 90)</f>
      </c>
      <c r="BG33" s="7937">
        <f>IF(HLOOKUP("Mins",A1:CV300,33,FALSE)=0,0,HLOOKUP("As",A1:CV300,33,FALSE)/HLOOKUP("Mins",A1:CV300,33,FALSE)* 90)</f>
      </c>
      <c r="BH33" s="7938">
        <f>IF(HLOOKUP("Mins",A1:CV300,33,FALSE)=0,0,HLOOKUP("FPL As",A1:CV300,33,FALSE)/HLOOKUP("Mins",A1:CV300,33,FALSE)* 90)</f>
      </c>
      <c r="BI33" s="7939">
        <f>IF(HLOOKUP("Mins",A1:CV300,33,FALSE)=0,0,HLOOKUP("BC Created",A1:CV300,33,FALSE)/HLOOKUP("Mins",A1:CV300,33,FALSE)* 90)</f>
      </c>
      <c r="BJ33" s="7940">
        <f>IF(HLOOKUP("Mins",A1:CV300,33,FALSE)=0,0,HLOOKUP("KP",A1:CV300,33,FALSE)/HLOOKUP("Mins",A1:CV300,33,FALSE)* 90)</f>
      </c>
      <c r="BK33" s="7941">
        <f>IF(HLOOKUP("Mins",A1:CV300,33,FALSE)=0,0,HLOOKUP("BC",A1:CV300,33,FALSE)/HLOOKUP("Mins",A1:CV300,33,FALSE)* 90)</f>
      </c>
      <c r="BL33" s="7942">
        <f>IF(HLOOKUP("Mins",A1:CV300,33,FALSE)=0,0,HLOOKUP("BC Miss",A1:CV300,33,FALSE)/HLOOKUP("Mins",A1:CV300,33,FALSE)* 90)</f>
      </c>
      <c r="BM33" s="7943">
        <f>IF(HLOOKUP("Mins",A1:CV300,33,FALSE)=0,0,HLOOKUP("Gs - BC",A1:CV300,33,FALSE)/HLOOKUP("Mins",A1:CV300,33,FALSE)* 90)</f>
      </c>
      <c r="BN33" s="7944">
        <f>IF(HLOOKUP("Mins",A1:CV300,33,FALSE)=0,0,HLOOKUP("GIB",A1:CV300,33,FALSE)/HLOOKUP("Mins",A1:CV300,33,FALSE)* 90)</f>
      </c>
      <c r="BO33" s="7945">
        <f>IF(HLOOKUP("Mins",A1:CV300,33,FALSE)=0,0,HLOOKUP("Gs - Open",A1:CV300,33,FALSE)/HLOOKUP("Mins",A1:CV300,33,FALSE)* 90)</f>
      </c>
      <c r="BP33" s="7946">
        <f>IF(HLOOKUP("Mins",A1:CV300,33,FALSE)=0,0,HLOOKUP("ICT Index",A1:CV300,33,FALSE)/HLOOKUP("Mins",A1:CV300,33,FALSE)* 90)</f>
      </c>
      <c r="BQ33" s="7947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</c>
      <c r="BR33" s="7948">
        <f>0.0825*HLOOKUP("KP/90",A1:CV300,33,FALSE)</f>
      </c>
      <c r="BS33" s="7949">
        <f>6*HLOOKUP("xG/90",A1:CV300,33,FALSE)+3*HLOOKUP("xA/90",A1:CV300,33,FALSE)</f>
      </c>
      <c r="BT33" s="7950">
        <f>HLOOKUP("xPts/90",A1:CV300,33,FALSE)-(6*0.75*(HLOOKUP("PK Gs",A1:CV300,33,FALSE)+HLOOKUP("PK Miss",A1:CV300,33,FALSE))*90/HLOOKUP("Mins",A1:CV300,33,FALSE))</f>
      </c>
      <c r="BU33" s="7951">
        <f>IF(HLOOKUP("Mins",A1:CV300,33,FALSE)=0,0,HLOOKUP("fsXG",A1:CV300,33,FALSE)/HLOOKUP("Mins",A1:CV300,33,FALSE)* 90)</f>
      </c>
      <c r="BV33" s="7952">
        <f>IF(HLOOKUP("Mins",A1:CV300,33,FALSE)=0,0,HLOOKUP("fsXA",A1:CV300,33,FALSE)/HLOOKUP("Mins",A1:CV300,33,FALSE)* 90)</f>
      </c>
      <c r="BW33" s="7953">
        <f>6*HLOOKUP("fsXG/90",A1:CV300,33,FALSE)+3*HLOOKUP("fsXA/90",A1:CV300,33,FALSE)</f>
      </c>
      <c r="BX33" t="n" s="7954">
        <v>0.0</v>
      </c>
      <c r="BY33" t="n" s="7955">
        <v>0.0261278934776783</v>
      </c>
      <c r="BZ33" s="7956">
        <f>6*HLOOKUP("uXG/90",A1:CV300,33,FALSE)+3*HLOOKUP("uXA/90",A1:CV300,33,FALSE)</f>
      </c>
    </row>
    <row r="34">
      <c r="A34" t="s" s="7957">
        <v>199</v>
      </c>
      <c r="B34" t="s" s="7958">
        <v>102</v>
      </c>
      <c r="C34" t="n" s="7959">
        <v>4.400000095367432</v>
      </c>
      <c r="D34" t="n" s="7960">
        <v>187.0</v>
      </c>
      <c r="E34" t="n" s="7961">
        <v>3.0</v>
      </c>
      <c r="F34" t="n" s="7962">
        <v>24.0</v>
      </c>
      <c r="G34" t="n" s="7963">
        <v>2.0</v>
      </c>
      <c r="H34" t="n" s="7964">
        <v>1.0</v>
      </c>
      <c r="I34" t="n" s="7965">
        <v>88.0</v>
      </c>
      <c r="J34" s="7966">
        <f>HLOOKUP("BPS",A1:CV300,34,FALSE)-((-6*HLOOKUP("OG",A1:CV300,34,FALSE))+(-6*HLOOKUP("PK Miss",A1:CV300,34,FALSE))+(9*HLOOKUP("FPL As",A1:CV300,34,FALSE))+(12*HLOOKUP("CS",A1:CV300,34,FALSE))+(12*HLOOKUP("Gs",A1:CV300,34,FALSE)))</f>
      </c>
      <c r="K34" t="n" s="7967">
        <v>0.0</v>
      </c>
      <c r="L34" t="n" s="7968">
        <v>1.0</v>
      </c>
      <c r="M34" t="n" s="7969">
        <v>2.0</v>
      </c>
      <c r="N34" t="n" s="7970">
        <v>2.0</v>
      </c>
      <c r="O34" t="n" s="7971">
        <v>2.0</v>
      </c>
      <c r="P34" s="7972">
        <f>IF(HLOOKUP("Shots",A1:CV300,34,FALSE)=0,0,HLOOKUP("SIB",A1:CV300,34,FALSE)/HLOOKUP("Shots",A1:CV300,34,FALSE))</f>
      </c>
      <c r="Q34" t="n" s="7973">
        <v>2.0</v>
      </c>
      <c r="R34" s="7974">
        <f>IF(HLOOKUP("Shots",A1:CV300,34,FALSE)=0,0,HLOOKUP("S6YD",A1:CV300,34,FALSE)/HLOOKUP("Shots",A1:CV300,34,FALSE))</f>
      </c>
      <c r="S34" t="n" s="7975">
        <v>0.0</v>
      </c>
      <c r="T34" s="7976">
        <f>IF(HLOOKUP("Shots",A1:CV300,34,FALSE)=0,0,HLOOKUP("Headers",A1:CV300,34,FALSE)/HLOOKUP("Shots",A1:CV300,34,FALSE))</f>
      </c>
      <c r="U34" t="n" s="7977">
        <v>2.0</v>
      </c>
      <c r="V34" s="7978">
        <f>IF(HLOOKUP("Shots",A1:CV300,34,FALSE)=0,0,HLOOKUP("SOT",A1:CV300,34,FALSE)/HLOOKUP("Shots",A1:CV300,34,FALSE))</f>
      </c>
      <c r="W34" s="7979">
        <f>IF(HLOOKUP("Shots",A1:CV300,34,FALSE)=0,0,HLOOKUP("Gs",A1:CV300,34,FALSE)/HLOOKUP("Shots",A1:CV300,34,FALSE))</f>
      </c>
      <c r="X34" t="n" s="7980">
        <v>0.0</v>
      </c>
      <c r="Y34" t="n" s="7981">
        <v>0.0</v>
      </c>
      <c r="Z34" t="n" s="7982">
        <v>0.0</v>
      </c>
      <c r="AA34" s="7983">
        <f>IF(HLOOKUP("KP",A1:CV300,34,FALSE)=0,0,HLOOKUP("As",A1:CV300,34,FALSE)/HLOOKUP("KP",A1:CV300,34,FALSE))</f>
      </c>
      <c r="AB34" t="n" s="7984">
        <v>15.2</v>
      </c>
      <c r="AC34" t="n" s="7985">
        <v>100.0</v>
      </c>
      <c r="AD34" t="n" s="7986">
        <v>0.0</v>
      </c>
      <c r="AE34" t="n" s="7987">
        <v>0.0</v>
      </c>
      <c r="AF34" t="n" s="7988">
        <v>0.0</v>
      </c>
      <c r="AG34" s="7989">
        <f>IF(HLOOKUP("BC",A1:CV300,34,FALSE)=0,0,HLOOKUP("Gs - BC",A1:CV300,34,FALSE)/HLOOKUP("BC",A1:CV300,34,FALSE))</f>
      </c>
      <c r="AH34" s="7990">
        <f>HLOOKUP("BC",A1:CV300,34,FALSE) - HLOOKUP("BC Miss",A1:CV300,34,FALSE)</f>
      </c>
      <c r="AI34" s="7991">
        <f>IF(HLOOKUP("Gs",A1:CV300,34,FALSE)=0,0,HLOOKUP("Gs - BC",A1:CV300,34,FALSE)/HLOOKUP("Gs",A1:CV300,34,FALSE))</f>
      </c>
      <c r="AJ34" t="n" s="7992">
        <v>0.0</v>
      </c>
      <c r="AK34" t="n" s="7993">
        <v>0.0</v>
      </c>
      <c r="AL34" s="7994">
        <f>HLOOKUP("BC",A1:CV300,34,FALSE) - (HLOOKUP("PK Gs",A1:CV300,34,FALSE) + HLOOKUP("PK Miss",A1:CV300,34,FALSE))</f>
      </c>
      <c r="AM34" s="7995">
        <f>HLOOKUP("BC Miss",A1:CV300,34,FALSE) - HLOOKUP("PK Miss",A1:CV300,34,FALSE)</f>
      </c>
      <c r="AN34" s="7996">
        <f>IF(HLOOKUP("BC - Open",A1:CV300,34,FALSE)=0,0,HLOOKUP("BC - Open Miss",A1:CV300,34,FALSE)/HLOOKUP("BC - Open",A1:CV300,34,FALSE))</f>
      </c>
      <c r="AO34" t="n" s="7997">
        <v>2.0</v>
      </c>
      <c r="AP34" s="7998">
        <f>IF(HLOOKUP("Gs",A1:CV300,34,FALSE)=0,0,HLOOKUP("GIB",A1:CV300,34,FALSE)/HLOOKUP("Gs",A1:CV300,34,FALSE))</f>
      </c>
      <c r="AQ34" t="n" s="7999">
        <v>0.0</v>
      </c>
      <c r="AR34" s="8000">
        <f>IF(HLOOKUP("Gs",A1:CV300,34,FALSE)=0,0,HLOOKUP("Gs - Open",A1:CV300,34,FALSE)/HLOOKUP("Gs",A1:CV300,34,FALSE))</f>
      </c>
      <c r="AS34" t="n" s="8001">
        <v>1.13</v>
      </c>
      <c r="AT34" t="n" s="8002">
        <v>0.0</v>
      </c>
      <c r="AU34" s="8003">
        <f>IF(HLOOKUP("Mins",A1:CV300,34,FALSE)=0,0,HLOOKUP("Pts",A1:CV300,34,FALSE)/HLOOKUP("Mins",A1:CV300,34,FALSE)* 90)</f>
      </c>
      <c r="AV34" s="8004">
        <f>IF(HLOOKUP("Apps",A1:CV300,34,FALSE)=0,0,HLOOKUP("Pts",A1:CV300,34,FALSE)/HLOOKUP("Apps",A1:CV300,34,FALSE)* 1)</f>
      </c>
      <c r="AW34" s="8005">
        <f>IF(HLOOKUP("Mins",A1:CV300,34,FALSE)=0,0,HLOOKUP("Gs",A1:CV300,34,FALSE)/HLOOKUP("Mins",A1:CV300,34,FALSE)* 90)</f>
      </c>
      <c r="AX34" s="8006">
        <f>IF(HLOOKUP("Mins",A1:CV300,34,FALSE)=0,0,HLOOKUP("Bonus",A1:CV300,34,FALSE)/HLOOKUP("Mins",A1:CV300,34,FALSE)* 90)</f>
      </c>
      <c r="AY34" s="8007">
        <f>IF(HLOOKUP("Mins",A1:CV300,34,FALSE)=0,0,HLOOKUP("BPS",A1:CV300,34,FALSE)/HLOOKUP("Mins",A1:CV300,34,FALSE)* 90)</f>
      </c>
      <c r="AZ34" s="8008">
        <f>IF(HLOOKUP("Mins",A1:CV300,34,FALSE)=0,0,HLOOKUP("Base BPS",A1:CV300,34,FALSE)/HLOOKUP("Mins",A1:CV300,34,FALSE)* 90)</f>
      </c>
      <c r="BA34" s="8009">
        <f>IF(HLOOKUP("Mins",A1:CV300,34,FALSE)=0,0,HLOOKUP("PenTchs",A1:CV300,34,FALSE)/HLOOKUP("Mins",A1:CV300,34,FALSE)* 90)</f>
      </c>
      <c r="BB34" s="8010">
        <f>IF(HLOOKUP("Mins",A1:CV300,34,FALSE)=0,0,HLOOKUP("Shots",A1:CV300,34,FALSE)/HLOOKUP("Mins",A1:CV300,34,FALSE)* 90)</f>
      </c>
      <c r="BC34" s="8011">
        <f>IF(HLOOKUP("Mins",A1:CV300,34,FALSE)=0,0,HLOOKUP("SIB",A1:CV300,34,FALSE)/HLOOKUP("Mins",A1:CV300,34,FALSE)* 90)</f>
      </c>
      <c r="BD34" s="8012">
        <f>IF(HLOOKUP("Mins",A1:CV300,34,FALSE)=0,0,HLOOKUP("S6YD",A1:CV300,34,FALSE)/HLOOKUP("Mins",A1:CV300,34,FALSE)* 90)</f>
      </c>
      <c r="BE34" s="8013">
        <f>IF(HLOOKUP("Mins",A1:CV300,34,FALSE)=0,0,HLOOKUP("Headers",A1:CV300,34,FALSE)/HLOOKUP("Mins",A1:CV300,34,FALSE)* 90)</f>
      </c>
      <c r="BF34" s="8014">
        <f>IF(HLOOKUP("Mins",A1:CV300,34,FALSE)=0,0,HLOOKUP("SOT",A1:CV300,34,FALSE)/HLOOKUP("Mins",A1:CV300,34,FALSE)* 90)</f>
      </c>
      <c r="BG34" s="8015">
        <f>IF(HLOOKUP("Mins",A1:CV300,34,FALSE)=0,0,HLOOKUP("As",A1:CV300,34,FALSE)/HLOOKUP("Mins",A1:CV300,34,FALSE)* 90)</f>
      </c>
      <c r="BH34" s="8016">
        <f>IF(HLOOKUP("Mins",A1:CV300,34,FALSE)=0,0,HLOOKUP("FPL As",A1:CV300,34,FALSE)/HLOOKUP("Mins",A1:CV300,34,FALSE)* 90)</f>
      </c>
      <c r="BI34" s="8017">
        <f>IF(HLOOKUP("Mins",A1:CV300,34,FALSE)=0,0,HLOOKUP("BC Created",A1:CV300,34,FALSE)/HLOOKUP("Mins",A1:CV300,34,FALSE)* 90)</f>
      </c>
      <c r="BJ34" s="8018">
        <f>IF(HLOOKUP("Mins",A1:CV300,34,FALSE)=0,0,HLOOKUP("KP",A1:CV300,34,FALSE)/HLOOKUP("Mins",A1:CV300,34,FALSE)* 90)</f>
      </c>
      <c r="BK34" s="8019">
        <f>IF(HLOOKUP("Mins",A1:CV300,34,FALSE)=0,0,HLOOKUP("BC",A1:CV300,34,FALSE)/HLOOKUP("Mins",A1:CV300,34,FALSE)* 90)</f>
      </c>
      <c r="BL34" s="8020">
        <f>IF(HLOOKUP("Mins",A1:CV300,34,FALSE)=0,0,HLOOKUP("BC Miss",A1:CV300,34,FALSE)/HLOOKUP("Mins",A1:CV300,34,FALSE)* 90)</f>
      </c>
      <c r="BM34" s="8021">
        <f>IF(HLOOKUP("Mins",A1:CV300,34,FALSE)=0,0,HLOOKUP("Gs - BC",A1:CV300,34,FALSE)/HLOOKUP("Mins",A1:CV300,34,FALSE)* 90)</f>
      </c>
      <c r="BN34" s="8022">
        <f>IF(HLOOKUP("Mins",A1:CV300,34,FALSE)=0,0,HLOOKUP("GIB",A1:CV300,34,FALSE)/HLOOKUP("Mins",A1:CV300,34,FALSE)* 90)</f>
      </c>
      <c r="BO34" s="8023">
        <f>IF(HLOOKUP("Mins",A1:CV300,34,FALSE)=0,0,HLOOKUP("Gs - Open",A1:CV300,34,FALSE)/HLOOKUP("Mins",A1:CV300,34,FALSE)* 90)</f>
      </c>
      <c r="BP34" s="8024">
        <f>IF(HLOOKUP("Mins",A1:CV300,34,FALSE)=0,0,HLOOKUP("ICT Index",A1:CV300,34,FALSE)/HLOOKUP("Mins",A1:CV300,34,FALSE)* 90)</f>
      </c>
      <c r="BQ34" s="8025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</c>
      <c r="BR34" s="8026">
        <f>0.0825*HLOOKUP("KP/90",A1:CV300,34,FALSE)</f>
      </c>
      <c r="BS34" s="8027">
        <f>6*HLOOKUP("xG/90",A1:CV300,34,FALSE)+3*HLOOKUP("xA/90",A1:CV300,34,FALSE)</f>
      </c>
      <c r="BT34" s="8028">
        <f>HLOOKUP("xPts/90",A1:CV300,34,FALSE)-(6*0.75*(HLOOKUP("PK Gs",A1:CV300,34,FALSE)+HLOOKUP("PK Miss",A1:CV300,34,FALSE))*90/HLOOKUP("Mins",A1:CV300,34,FALSE))</f>
      </c>
      <c r="BU34" s="8029">
        <f>IF(HLOOKUP("Mins",A1:CV300,34,FALSE)=0,0,HLOOKUP("fsXG",A1:CV300,34,FALSE)/HLOOKUP("Mins",A1:CV300,34,FALSE)* 90)</f>
      </c>
      <c r="BV34" s="8030">
        <f>IF(HLOOKUP("Mins",A1:CV300,34,FALSE)=0,0,HLOOKUP("fsXA",A1:CV300,34,FALSE)/HLOOKUP("Mins",A1:CV300,34,FALSE)* 90)</f>
      </c>
      <c r="BW34" s="8031">
        <f>6*HLOOKUP("fsXG/90",A1:CV300,34,FALSE)+3*HLOOKUP("fsXA/90",A1:CV300,34,FALSE)</f>
      </c>
      <c r="BX34" t="n" s="8032">
        <v>0.15719974040985107</v>
      </c>
      <c r="BY34" t="n" s="8033">
        <v>0.0</v>
      </c>
      <c r="BZ34" s="8034">
        <f>6*HLOOKUP("uXG/90",A1:CV300,34,FALSE)+3*HLOOKUP("uXA/90",A1:CV300,34,FALSE)</f>
      </c>
    </row>
    <row r="35">
      <c r="A35" t="s" s="8035">
        <v>200</v>
      </c>
      <c r="B35" t="s" s="8036">
        <v>85</v>
      </c>
      <c r="C35" t="n" s="8037">
        <v>5.0</v>
      </c>
      <c r="D35" t="n" s="8038">
        <v>290.0</v>
      </c>
      <c r="E35" t="n" s="8039">
        <v>6.0</v>
      </c>
      <c r="F35" t="n" s="8040">
        <v>115.0</v>
      </c>
      <c r="G35" t="n" s="8041">
        <v>1.0</v>
      </c>
      <c r="H35" t="n" s="8042">
        <v>12.0</v>
      </c>
      <c r="I35" t="n" s="8043">
        <v>425.0</v>
      </c>
      <c r="J35" s="8044">
        <f>HLOOKUP("BPS",A1:CV300,35,FALSE)-((-6*HLOOKUP("OG",A1:CV300,35,FALSE))+(-6*HLOOKUP("PK Miss",A1:CV300,35,FALSE))+(9*HLOOKUP("FPL As",A1:CV300,35,FALSE))+(12*HLOOKUP("CS",A1:CV300,35,FALSE))+(12*HLOOKUP("Gs",A1:CV300,35,FALSE)))</f>
      </c>
      <c r="K35" t="n" s="8045">
        <v>0.0</v>
      </c>
      <c r="L35" t="n" s="8046">
        <v>8.0</v>
      </c>
      <c r="M35" t="n" s="8047">
        <v>9.0</v>
      </c>
      <c r="N35" t="n" s="8048">
        <v>7.0</v>
      </c>
      <c r="O35" t="n" s="8049">
        <v>6.0</v>
      </c>
      <c r="P35" s="8050">
        <f>IF(HLOOKUP("Shots",A1:CV300,35,FALSE)=0,0,HLOOKUP("SIB",A1:CV300,35,FALSE)/HLOOKUP("Shots",A1:CV300,35,FALSE))</f>
      </c>
      <c r="Q35" t="n" s="8051">
        <v>0.0</v>
      </c>
      <c r="R35" s="8052">
        <f>IF(HLOOKUP("Shots",A1:CV300,35,FALSE)=0,0,HLOOKUP("S6YD",A1:CV300,35,FALSE)/HLOOKUP("Shots",A1:CV300,35,FALSE))</f>
      </c>
      <c r="S35" t="n" s="8053">
        <v>1.0</v>
      </c>
      <c r="T35" s="8054">
        <f>IF(HLOOKUP("Shots",A1:CV300,35,FALSE)=0,0,HLOOKUP("Headers",A1:CV300,35,FALSE)/HLOOKUP("Shots",A1:CV300,35,FALSE))</f>
      </c>
      <c r="U35" t="n" s="8055">
        <v>1.0</v>
      </c>
      <c r="V35" s="8056">
        <f>IF(HLOOKUP("Shots",A1:CV300,35,FALSE)=0,0,HLOOKUP("SOT",A1:CV300,35,FALSE)/HLOOKUP("Shots",A1:CV300,35,FALSE))</f>
      </c>
      <c r="W35" s="8057">
        <f>IF(HLOOKUP("Shots",A1:CV300,35,FALSE)=0,0,HLOOKUP("Gs",A1:CV300,35,FALSE)/HLOOKUP("Shots",A1:CV300,35,FALSE))</f>
      </c>
      <c r="X35" t="n" s="8058">
        <v>0.0</v>
      </c>
      <c r="Y35" t="n" s="8059">
        <v>3.0</v>
      </c>
      <c r="Z35" t="n" s="8060">
        <v>2.0</v>
      </c>
      <c r="AA35" s="8061">
        <f>IF(HLOOKUP("KP",A1:CV300,35,FALSE)=0,0,HLOOKUP("As",A1:CV300,35,FALSE)/HLOOKUP("KP",A1:CV300,35,FALSE))</f>
      </c>
      <c r="AB35" t="n" s="8062">
        <v>14.8</v>
      </c>
      <c r="AC35" t="n" s="8063">
        <v>50.0</v>
      </c>
      <c r="AD35" t="n" s="8064">
        <v>0.0</v>
      </c>
      <c r="AE35" t="n" s="8065">
        <v>1.0</v>
      </c>
      <c r="AF35" t="n" s="8066">
        <v>0.0</v>
      </c>
      <c r="AG35" s="8067">
        <f>IF(HLOOKUP("BC",A1:CV300,35,FALSE)=0,0,HLOOKUP("Gs - BC",A1:CV300,35,FALSE)/HLOOKUP("BC",A1:CV300,35,FALSE))</f>
      </c>
      <c r="AH35" s="8068">
        <f>HLOOKUP("BC",A1:CV300,35,FALSE) - HLOOKUP("BC Miss",A1:CV300,35,FALSE)</f>
      </c>
      <c r="AI35" s="8069">
        <f>IF(HLOOKUP("Gs",A1:CV300,35,FALSE)=0,0,HLOOKUP("Gs - BC",A1:CV300,35,FALSE)/HLOOKUP("Gs",A1:CV300,35,FALSE))</f>
      </c>
      <c r="AJ35" t="n" s="8070">
        <v>0.0</v>
      </c>
      <c r="AK35" t="n" s="8071">
        <v>0.0</v>
      </c>
      <c r="AL35" s="8072">
        <f>HLOOKUP("BC",A1:CV300,35,FALSE) - (HLOOKUP("PK Gs",A1:CV300,35,FALSE) + HLOOKUP("PK Miss",A1:CV300,35,FALSE))</f>
      </c>
      <c r="AM35" s="8073">
        <f>HLOOKUP("BC Miss",A1:CV300,35,FALSE) - HLOOKUP("PK Miss",A1:CV300,35,FALSE)</f>
      </c>
      <c r="AN35" s="8074">
        <f>IF(HLOOKUP("BC - Open",A1:CV300,35,FALSE)=0,0,HLOOKUP("BC - Open Miss",A1:CV300,35,FALSE)/HLOOKUP("BC - Open",A1:CV300,35,FALSE))</f>
      </c>
      <c r="AO35" t="n" s="8075">
        <v>1.0</v>
      </c>
      <c r="AP35" s="8076">
        <f>IF(HLOOKUP("Gs",A1:CV300,35,FALSE)=0,0,HLOOKUP("GIB",A1:CV300,35,FALSE)/HLOOKUP("Gs",A1:CV300,35,FALSE))</f>
      </c>
      <c r="AQ35" t="n" s="8077">
        <v>1.0</v>
      </c>
      <c r="AR35" s="8078">
        <f>IF(HLOOKUP("Gs",A1:CV300,35,FALSE)=0,0,HLOOKUP("Gs - Open",A1:CV300,35,FALSE)/HLOOKUP("Gs",A1:CV300,35,FALSE))</f>
      </c>
      <c r="AS35" t="n" s="8079">
        <v>0.74</v>
      </c>
      <c r="AT35" t="n" s="8080">
        <v>0.1</v>
      </c>
      <c r="AU35" s="8081">
        <f>IF(HLOOKUP("Mins",A1:CV300,35,FALSE)=0,0,HLOOKUP("Pts",A1:CV300,35,FALSE)/HLOOKUP("Mins",A1:CV300,35,FALSE)* 90)</f>
      </c>
      <c r="AV35" s="8082">
        <f>IF(HLOOKUP("Apps",A1:CV300,35,FALSE)=0,0,HLOOKUP("Pts",A1:CV300,35,FALSE)/HLOOKUP("Apps",A1:CV300,35,FALSE)* 1)</f>
      </c>
      <c r="AW35" s="8083">
        <f>IF(HLOOKUP("Mins",A1:CV300,35,FALSE)=0,0,HLOOKUP("Gs",A1:CV300,35,FALSE)/HLOOKUP("Mins",A1:CV300,35,FALSE)* 90)</f>
      </c>
      <c r="AX35" s="8084">
        <f>IF(HLOOKUP("Mins",A1:CV300,35,FALSE)=0,0,HLOOKUP("Bonus",A1:CV300,35,FALSE)/HLOOKUP("Mins",A1:CV300,35,FALSE)* 90)</f>
      </c>
      <c r="AY35" s="8085">
        <f>IF(HLOOKUP("Mins",A1:CV300,35,FALSE)=0,0,HLOOKUP("BPS",A1:CV300,35,FALSE)/HLOOKUP("Mins",A1:CV300,35,FALSE)* 90)</f>
      </c>
      <c r="AZ35" s="8086">
        <f>IF(HLOOKUP("Mins",A1:CV300,35,FALSE)=0,0,HLOOKUP("Base BPS",A1:CV300,35,FALSE)/HLOOKUP("Mins",A1:CV300,35,FALSE)* 90)</f>
      </c>
      <c r="BA35" s="8087">
        <f>IF(HLOOKUP("Mins",A1:CV300,35,FALSE)=0,0,HLOOKUP("PenTchs",A1:CV300,35,FALSE)/HLOOKUP("Mins",A1:CV300,35,FALSE)* 90)</f>
      </c>
      <c r="BB35" s="8088">
        <f>IF(HLOOKUP("Mins",A1:CV300,35,FALSE)=0,0,HLOOKUP("Shots",A1:CV300,35,FALSE)/HLOOKUP("Mins",A1:CV300,35,FALSE)* 90)</f>
      </c>
      <c r="BC35" s="8089">
        <f>IF(HLOOKUP("Mins",A1:CV300,35,FALSE)=0,0,HLOOKUP("SIB",A1:CV300,35,FALSE)/HLOOKUP("Mins",A1:CV300,35,FALSE)* 90)</f>
      </c>
      <c r="BD35" s="8090">
        <f>IF(HLOOKUP("Mins",A1:CV300,35,FALSE)=0,0,HLOOKUP("S6YD",A1:CV300,35,FALSE)/HLOOKUP("Mins",A1:CV300,35,FALSE)* 90)</f>
      </c>
      <c r="BE35" s="8091">
        <f>IF(HLOOKUP("Mins",A1:CV300,35,FALSE)=0,0,HLOOKUP("Headers",A1:CV300,35,FALSE)/HLOOKUP("Mins",A1:CV300,35,FALSE)* 90)</f>
      </c>
      <c r="BF35" s="8092">
        <f>IF(HLOOKUP("Mins",A1:CV300,35,FALSE)=0,0,HLOOKUP("SOT",A1:CV300,35,FALSE)/HLOOKUP("Mins",A1:CV300,35,FALSE)* 90)</f>
      </c>
      <c r="BG35" s="8093">
        <f>IF(HLOOKUP("Mins",A1:CV300,35,FALSE)=0,0,HLOOKUP("As",A1:CV300,35,FALSE)/HLOOKUP("Mins",A1:CV300,35,FALSE)* 90)</f>
      </c>
      <c r="BH35" s="8094">
        <f>IF(HLOOKUP("Mins",A1:CV300,35,FALSE)=0,0,HLOOKUP("FPL As",A1:CV300,35,FALSE)/HLOOKUP("Mins",A1:CV300,35,FALSE)* 90)</f>
      </c>
      <c r="BI35" s="8095">
        <f>IF(HLOOKUP("Mins",A1:CV300,35,FALSE)=0,0,HLOOKUP("BC Created",A1:CV300,35,FALSE)/HLOOKUP("Mins",A1:CV300,35,FALSE)* 90)</f>
      </c>
      <c r="BJ35" s="8096">
        <f>IF(HLOOKUP("Mins",A1:CV300,35,FALSE)=0,0,HLOOKUP("KP",A1:CV300,35,FALSE)/HLOOKUP("Mins",A1:CV300,35,FALSE)* 90)</f>
      </c>
      <c r="BK35" s="8097">
        <f>IF(HLOOKUP("Mins",A1:CV300,35,FALSE)=0,0,HLOOKUP("BC",A1:CV300,35,FALSE)/HLOOKUP("Mins",A1:CV300,35,FALSE)* 90)</f>
      </c>
      <c r="BL35" s="8098">
        <f>IF(HLOOKUP("Mins",A1:CV300,35,FALSE)=0,0,HLOOKUP("BC Miss",A1:CV300,35,FALSE)/HLOOKUP("Mins",A1:CV300,35,FALSE)* 90)</f>
      </c>
      <c r="BM35" s="8099">
        <f>IF(HLOOKUP("Mins",A1:CV300,35,FALSE)=0,0,HLOOKUP("Gs - BC",A1:CV300,35,FALSE)/HLOOKUP("Mins",A1:CV300,35,FALSE)* 90)</f>
      </c>
      <c r="BN35" s="8100">
        <f>IF(HLOOKUP("Mins",A1:CV300,35,FALSE)=0,0,HLOOKUP("GIB",A1:CV300,35,FALSE)/HLOOKUP("Mins",A1:CV300,35,FALSE)* 90)</f>
      </c>
      <c r="BO35" s="8101">
        <f>IF(HLOOKUP("Mins",A1:CV300,35,FALSE)=0,0,HLOOKUP("Gs - Open",A1:CV300,35,FALSE)/HLOOKUP("Mins",A1:CV300,35,FALSE)* 90)</f>
      </c>
      <c r="BP35" s="8102">
        <f>IF(HLOOKUP("Mins",A1:CV300,35,FALSE)=0,0,HLOOKUP("ICT Index",A1:CV300,35,FALSE)/HLOOKUP("Mins",A1:CV300,35,FALSE)* 90)</f>
      </c>
      <c r="BQ35" s="8103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</c>
      <c r="BR35" s="8104">
        <f>0.0825*HLOOKUP("KP/90",A1:CV300,35,FALSE)</f>
      </c>
      <c r="BS35" s="8105">
        <f>6*HLOOKUP("xG/90",A1:CV300,35,FALSE)+3*HLOOKUP("xA/90",A1:CV300,35,FALSE)</f>
      </c>
      <c r="BT35" s="8106">
        <f>HLOOKUP("xPts/90",A1:CV300,35,FALSE)-(6*0.75*(HLOOKUP("PK Gs",A1:CV300,35,FALSE)+HLOOKUP("PK Miss",A1:CV300,35,FALSE))*90/HLOOKUP("Mins",A1:CV300,35,FALSE))</f>
      </c>
      <c r="BU35" s="8107">
        <f>IF(HLOOKUP("Mins",A1:CV300,35,FALSE)=0,0,HLOOKUP("fsXG",A1:CV300,35,FALSE)/HLOOKUP("Mins",A1:CV300,35,FALSE)* 90)</f>
      </c>
      <c r="BV35" s="8108">
        <f>IF(HLOOKUP("Mins",A1:CV300,35,FALSE)=0,0,HLOOKUP("fsXA",A1:CV300,35,FALSE)/HLOOKUP("Mins",A1:CV300,35,FALSE)* 90)</f>
      </c>
      <c r="BW35" s="8109">
        <f>6*HLOOKUP("fsXG/90",A1:CV300,35,FALSE)+3*HLOOKUP("fsXA/90",A1:CV300,35,FALSE)</f>
      </c>
      <c r="BX35" t="n" s="8110">
        <v>0.24118471145629883</v>
      </c>
      <c r="BY35" t="n" s="8111">
        <v>0.0666133388876915</v>
      </c>
      <c r="BZ35" s="8112">
        <f>6*HLOOKUP("uXG/90",A1:CV300,35,FALSE)+3*HLOOKUP("uXA/90",A1:CV300,35,FALSE)</f>
      </c>
    </row>
    <row r="36">
      <c r="A36" t="s" s="8113">
        <v>201</v>
      </c>
      <c r="B36" t="s" s="8114">
        <v>95</v>
      </c>
      <c r="C36" t="n" s="8115">
        <v>5.300000190734863</v>
      </c>
      <c r="D36" t="n" s="8116">
        <v>270.0</v>
      </c>
      <c r="E36" t="n" s="8117">
        <v>3.0</v>
      </c>
      <c r="F36" t="n" s="8118">
        <v>36.0</v>
      </c>
      <c r="G36" t="n" s="8119">
        <v>0.0</v>
      </c>
      <c r="H36" t="n" s="8120">
        <v>1.0</v>
      </c>
      <c r="I36" t="n" s="8121">
        <v>293.0</v>
      </c>
      <c r="J36" s="8122">
        <f>HLOOKUP("BPS",A1:CV300,36,FALSE)-((-6*HLOOKUP("OG",A1:CV300,36,FALSE))+(-6*HLOOKUP("PK Miss",A1:CV300,36,FALSE))+(9*HLOOKUP("FPL As",A1:CV300,36,FALSE))+(12*HLOOKUP("CS",A1:CV300,36,FALSE))+(12*HLOOKUP("Gs",A1:CV300,36,FALSE)))</f>
      </c>
      <c r="K36" t="n" s="8123">
        <v>0.0</v>
      </c>
      <c r="L36" t="n" s="8124">
        <v>2.0</v>
      </c>
      <c r="M36" t="n" s="8125">
        <v>0.0</v>
      </c>
      <c r="N36" t="n" s="8126">
        <v>0.0</v>
      </c>
      <c r="O36" t="n" s="8127">
        <v>0.0</v>
      </c>
      <c r="P36" s="8128">
        <f>IF(HLOOKUP("Shots",A1:CV300,36,FALSE)=0,0,HLOOKUP("SIB",A1:CV300,36,FALSE)/HLOOKUP("Shots",A1:CV300,36,FALSE))</f>
      </c>
      <c r="Q36" t="n" s="8129">
        <v>0.0</v>
      </c>
      <c r="R36" s="8130">
        <f>IF(HLOOKUP("Shots",A1:CV300,36,FALSE)=0,0,HLOOKUP("S6YD",A1:CV300,36,FALSE)/HLOOKUP("Shots",A1:CV300,36,FALSE))</f>
      </c>
      <c r="S36" t="n" s="8131">
        <v>0.0</v>
      </c>
      <c r="T36" s="8132">
        <f>IF(HLOOKUP("Shots",A1:CV300,36,FALSE)=0,0,HLOOKUP("Headers",A1:CV300,36,FALSE)/HLOOKUP("Shots",A1:CV300,36,FALSE))</f>
      </c>
      <c r="U36" t="n" s="8133">
        <v>0.0</v>
      </c>
      <c r="V36" s="8134">
        <f>IF(HLOOKUP("Shots",A1:CV300,36,FALSE)=0,0,HLOOKUP("SOT",A1:CV300,36,FALSE)/HLOOKUP("Shots",A1:CV300,36,FALSE))</f>
      </c>
      <c r="W36" s="8135">
        <f>IF(HLOOKUP("Shots",A1:CV300,36,FALSE)=0,0,HLOOKUP("Gs",A1:CV300,36,FALSE)/HLOOKUP("Shots",A1:CV300,36,FALSE))</f>
      </c>
      <c r="X36" t="n" s="8136">
        <v>0.0</v>
      </c>
      <c r="Y36" t="n" s="8137">
        <v>1.0</v>
      </c>
      <c r="Z36" t="n" s="8138">
        <v>0.0</v>
      </c>
      <c r="AA36" s="8139">
        <f>IF(HLOOKUP("KP",A1:CV300,36,FALSE)=0,0,HLOOKUP("As",A1:CV300,36,FALSE)/HLOOKUP("KP",A1:CV300,36,FALSE))</f>
      </c>
      <c r="AB36" t="n" s="8140">
        <v>6.6</v>
      </c>
      <c r="AC36" t="n" s="8141">
        <v>20.0</v>
      </c>
      <c r="AD36" t="n" s="8142">
        <v>0.0</v>
      </c>
      <c r="AE36" t="n" s="8143">
        <v>0.0</v>
      </c>
      <c r="AF36" t="n" s="8144">
        <v>0.0</v>
      </c>
      <c r="AG36" s="8145">
        <f>IF(HLOOKUP("BC",A1:CV300,36,FALSE)=0,0,HLOOKUP("Gs - BC",A1:CV300,36,FALSE)/HLOOKUP("BC",A1:CV300,36,FALSE))</f>
      </c>
      <c r="AH36" s="8146">
        <f>HLOOKUP("BC",A1:CV300,36,FALSE) - HLOOKUP("BC Miss",A1:CV300,36,FALSE)</f>
      </c>
      <c r="AI36" s="8147">
        <f>IF(HLOOKUP("Gs",A1:CV300,36,FALSE)=0,0,HLOOKUP("Gs - BC",A1:CV300,36,FALSE)/HLOOKUP("Gs",A1:CV300,36,FALSE))</f>
      </c>
      <c r="AJ36" t="n" s="8148">
        <v>0.0</v>
      </c>
      <c r="AK36" t="n" s="8149">
        <v>0.0</v>
      </c>
      <c r="AL36" s="8150">
        <f>HLOOKUP("BC",A1:CV300,36,FALSE) - (HLOOKUP("PK Gs",A1:CV300,36,FALSE) + HLOOKUP("PK Miss",A1:CV300,36,FALSE))</f>
      </c>
      <c r="AM36" s="8151">
        <f>HLOOKUP("BC Miss",A1:CV300,36,FALSE) - HLOOKUP("PK Miss",A1:CV300,36,FALSE)</f>
      </c>
      <c r="AN36" s="8152">
        <f>IF(HLOOKUP("BC - Open",A1:CV300,36,FALSE)=0,0,HLOOKUP("BC - Open Miss",A1:CV300,36,FALSE)/HLOOKUP("BC - Open",A1:CV300,36,FALSE))</f>
      </c>
      <c r="AO36" t="n" s="8153">
        <v>0.0</v>
      </c>
      <c r="AP36" s="8154">
        <f>IF(HLOOKUP("Gs",A1:CV300,36,FALSE)=0,0,HLOOKUP("GIB",A1:CV300,36,FALSE)/HLOOKUP("Gs",A1:CV300,36,FALSE))</f>
      </c>
      <c r="AQ36" t="n" s="8155">
        <v>0.0</v>
      </c>
      <c r="AR36" s="8156">
        <f>IF(HLOOKUP("Gs",A1:CV300,36,FALSE)=0,0,HLOOKUP("Gs - Open",A1:CV300,36,FALSE)/HLOOKUP("Gs",A1:CV300,36,FALSE))</f>
      </c>
      <c r="AS36" t="n" s="8157">
        <v>0.0</v>
      </c>
      <c r="AT36" t="n" s="8158">
        <v>0.0</v>
      </c>
      <c r="AU36" s="8159">
        <f>IF(HLOOKUP("Mins",A1:CV300,36,FALSE)=0,0,HLOOKUP("Pts",A1:CV300,36,FALSE)/HLOOKUP("Mins",A1:CV300,36,FALSE)* 90)</f>
      </c>
      <c r="AV36" s="8160">
        <f>IF(HLOOKUP("Apps",A1:CV300,36,FALSE)=0,0,HLOOKUP("Pts",A1:CV300,36,FALSE)/HLOOKUP("Apps",A1:CV300,36,FALSE)* 1)</f>
      </c>
      <c r="AW36" s="8161">
        <f>IF(HLOOKUP("Mins",A1:CV300,36,FALSE)=0,0,HLOOKUP("Gs",A1:CV300,36,FALSE)/HLOOKUP("Mins",A1:CV300,36,FALSE)* 90)</f>
      </c>
      <c r="AX36" s="8162">
        <f>IF(HLOOKUP("Mins",A1:CV300,36,FALSE)=0,0,HLOOKUP("Bonus",A1:CV300,36,FALSE)/HLOOKUP("Mins",A1:CV300,36,FALSE)* 90)</f>
      </c>
      <c r="AY36" s="8163">
        <f>IF(HLOOKUP("Mins",A1:CV300,36,FALSE)=0,0,HLOOKUP("BPS",A1:CV300,36,FALSE)/HLOOKUP("Mins",A1:CV300,36,FALSE)* 90)</f>
      </c>
      <c r="AZ36" s="8164">
        <f>IF(HLOOKUP("Mins",A1:CV300,36,FALSE)=0,0,HLOOKUP("Base BPS",A1:CV300,36,FALSE)/HLOOKUP("Mins",A1:CV300,36,FALSE)* 90)</f>
      </c>
      <c r="BA36" s="8165">
        <f>IF(HLOOKUP("Mins",A1:CV300,36,FALSE)=0,0,HLOOKUP("PenTchs",A1:CV300,36,FALSE)/HLOOKUP("Mins",A1:CV300,36,FALSE)* 90)</f>
      </c>
      <c r="BB36" s="8166">
        <f>IF(HLOOKUP("Mins",A1:CV300,36,FALSE)=0,0,HLOOKUP("Shots",A1:CV300,36,FALSE)/HLOOKUP("Mins",A1:CV300,36,FALSE)* 90)</f>
      </c>
      <c r="BC36" s="8167">
        <f>IF(HLOOKUP("Mins",A1:CV300,36,FALSE)=0,0,HLOOKUP("SIB",A1:CV300,36,FALSE)/HLOOKUP("Mins",A1:CV300,36,FALSE)* 90)</f>
      </c>
      <c r="BD36" s="8168">
        <f>IF(HLOOKUP("Mins",A1:CV300,36,FALSE)=0,0,HLOOKUP("S6YD",A1:CV300,36,FALSE)/HLOOKUP("Mins",A1:CV300,36,FALSE)* 90)</f>
      </c>
      <c r="BE36" s="8169">
        <f>IF(HLOOKUP("Mins",A1:CV300,36,FALSE)=0,0,HLOOKUP("Headers",A1:CV300,36,FALSE)/HLOOKUP("Mins",A1:CV300,36,FALSE)* 90)</f>
      </c>
      <c r="BF36" s="8170">
        <f>IF(HLOOKUP("Mins",A1:CV300,36,FALSE)=0,0,HLOOKUP("SOT",A1:CV300,36,FALSE)/HLOOKUP("Mins",A1:CV300,36,FALSE)* 90)</f>
      </c>
      <c r="BG36" s="8171">
        <f>IF(HLOOKUP("Mins",A1:CV300,36,FALSE)=0,0,HLOOKUP("As",A1:CV300,36,FALSE)/HLOOKUP("Mins",A1:CV300,36,FALSE)* 90)</f>
      </c>
      <c r="BH36" s="8172">
        <f>IF(HLOOKUP("Mins",A1:CV300,36,FALSE)=0,0,HLOOKUP("FPL As",A1:CV300,36,FALSE)/HLOOKUP("Mins",A1:CV300,36,FALSE)* 90)</f>
      </c>
      <c r="BI36" s="8173">
        <f>IF(HLOOKUP("Mins",A1:CV300,36,FALSE)=0,0,HLOOKUP("BC Created",A1:CV300,36,FALSE)/HLOOKUP("Mins",A1:CV300,36,FALSE)* 90)</f>
      </c>
      <c r="BJ36" s="8174">
        <f>IF(HLOOKUP("Mins",A1:CV300,36,FALSE)=0,0,HLOOKUP("KP",A1:CV300,36,FALSE)/HLOOKUP("Mins",A1:CV300,36,FALSE)* 90)</f>
      </c>
      <c r="BK36" s="8175">
        <f>IF(HLOOKUP("Mins",A1:CV300,36,FALSE)=0,0,HLOOKUP("BC",A1:CV300,36,FALSE)/HLOOKUP("Mins",A1:CV300,36,FALSE)* 90)</f>
      </c>
      <c r="BL36" s="8176">
        <f>IF(HLOOKUP("Mins",A1:CV300,36,FALSE)=0,0,HLOOKUP("BC Miss",A1:CV300,36,FALSE)/HLOOKUP("Mins",A1:CV300,36,FALSE)* 90)</f>
      </c>
      <c r="BM36" s="8177">
        <f>IF(HLOOKUP("Mins",A1:CV300,36,FALSE)=0,0,HLOOKUP("Gs - BC",A1:CV300,36,FALSE)/HLOOKUP("Mins",A1:CV300,36,FALSE)* 90)</f>
      </c>
      <c r="BN36" s="8178">
        <f>IF(HLOOKUP("Mins",A1:CV300,36,FALSE)=0,0,HLOOKUP("GIB",A1:CV300,36,FALSE)/HLOOKUP("Mins",A1:CV300,36,FALSE)* 90)</f>
      </c>
      <c r="BO36" s="8179">
        <f>IF(HLOOKUP("Mins",A1:CV300,36,FALSE)=0,0,HLOOKUP("Gs - Open",A1:CV300,36,FALSE)/HLOOKUP("Mins",A1:CV300,36,FALSE)* 90)</f>
      </c>
      <c r="BP36" s="8180">
        <f>IF(HLOOKUP("Mins",A1:CV300,36,FALSE)=0,0,HLOOKUP("ICT Index",A1:CV300,36,FALSE)/HLOOKUP("Mins",A1:CV300,36,FALSE)* 90)</f>
      </c>
      <c r="BQ36" s="8181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</c>
      <c r="BR36" s="8182">
        <f>0.0825*HLOOKUP("KP/90",A1:CV300,36,FALSE)</f>
      </c>
      <c r="BS36" s="8183">
        <f>6*HLOOKUP("xG/90",A1:CV300,36,FALSE)+3*HLOOKUP("xA/90",A1:CV300,36,FALSE)</f>
      </c>
      <c r="BT36" s="8184">
        <f>HLOOKUP("xPts/90",A1:CV300,36,FALSE)-(6*0.75*(HLOOKUP("PK Gs",A1:CV300,36,FALSE)+HLOOKUP("PK Miss",A1:CV300,36,FALSE))*90/HLOOKUP("Mins",A1:CV300,36,FALSE))</f>
      </c>
      <c r="BU36" s="8185">
        <f>IF(HLOOKUP("Mins",A1:CV300,36,FALSE)=0,0,HLOOKUP("fsXG",A1:CV300,36,FALSE)/HLOOKUP("Mins",A1:CV300,36,FALSE)* 90)</f>
      </c>
      <c r="BV36" s="8186">
        <f>IF(HLOOKUP("Mins",A1:CV300,36,FALSE)=0,0,HLOOKUP("fsXA",A1:CV300,36,FALSE)/HLOOKUP("Mins",A1:CV300,36,FALSE)* 90)</f>
      </c>
      <c r="BW36" s="8187">
        <f>6*HLOOKUP("fsXG/90",A1:CV300,36,FALSE)+3*HLOOKUP("fsXA/90",A1:CV300,36,FALSE)</f>
      </c>
      <c r="BX36" t="n" s="8188">
        <v>0.0</v>
      </c>
      <c r="BY36" t="n" s="8189">
        <v>0.0</v>
      </c>
      <c r="BZ36" s="8190">
        <f>6*HLOOKUP("uXG/90",A1:CV300,36,FALSE)+3*HLOOKUP("uXA/90",A1:CV300,36,FALSE)</f>
      </c>
    </row>
    <row r="37">
      <c r="A37" t="s" s="8191">
        <v>202</v>
      </c>
      <c r="B37" t="s" s="8192">
        <v>107</v>
      </c>
      <c r="C37" t="n" s="8193">
        <v>5.0</v>
      </c>
      <c r="D37" t="n" s="8194">
        <v>511.0</v>
      </c>
      <c r="E37" t="n" s="8195">
        <v>6.0</v>
      </c>
      <c r="F37" t="n" s="8196">
        <v>48.0</v>
      </c>
      <c r="G37" t="n" s="8197">
        <v>0.0</v>
      </c>
      <c r="H37" t="n" s="8198">
        <v>4.0</v>
      </c>
      <c r="I37" t="n" s="8199">
        <v>260.0</v>
      </c>
      <c r="J37" s="8200">
        <f>HLOOKUP("BPS",A1:CV300,37,FALSE)-((-6*HLOOKUP("OG",A1:CV300,37,FALSE))+(-6*HLOOKUP("PK Miss",A1:CV300,37,FALSE))+(9*HLOOKUP("FPL As",A1:CV300,37,FALSE))+(12*HLOOKUP("CS",A1:CV300,37,FALSE))+(12*HLOOKUP("Gs",A1:CV300,37,FALSE)))</f>
      </c>
      <c r="K37" t="n" s="8201">
        <v>0.0</v>
      </c>
      <c r="L37" t="n" s="8202">
        <v>3.0</v>
      </c>
      <c r="M37" t="n" s="8203">
        <v>8.0</v>
      </c>
      <c r="N37" t="n" s="8204">
        <v>4.0</v>
      </c>
      <c r="O37" t="n" s="8205">
        <v>3.0</v>
      </c>
      <c r="P37" s="8206">
        <f>IF(HLOOKUP("Shots",A1:CV300,37,FALSE)=0,0,HLOOKUP("SIB",A1:CV300,37,FALSE)/HLOOKUP("Shots",A1:CV300,37,FALSE))</f>
      </c>
      <c r="Q37" t="n" s="8207">
        <v>3.0</v>
      </c>
      <c r="R37" s="8208">
        <f>IF(HLOOKUP("Shots",A1:CV300,37,FALSE)=0,0,HLOOKUP("S6YD",A1:CV300,37,FALSE)/HLOOKUP("Shots",A1:CV300,37,FALSE))</f>
      </c>
      <c r="S37" t="n" s="8209">
        <v>3.0</v>
      </c>
      <c r="T37" s="8210">
        <f>IF(HLOOKUP("Shots",A1:CV300,37,FALSE)=0,0,HLOOKUP("Headers",A1:CV300,37,FALSE)/HLOOKUP("Shots",A1:CV300,37,FALSE))</f>
      </c>
      <c r="U37" t="n" s="8211">
        <v>0.0</v>
      </c>
      <c r="V37" s="8212">
        <f>IF(HLOOKUP("Shots",A1:CV300,37,FALSE)=0,0,HLOOKUP("SOT",A1:CV300,37,FALSE)/HLOOKUP("Shots",A1:CV300,37,FALSE))</f>
      </c>
      <c r="W37" s="8213">
        <f>IF(HLOOKUP("Shots",A1:CV300,37,FALSE)=0,0,HLOOKUP("Gs",A1:CV300,37,FALSE)/HLOOKUP("Shots",A1:CV300,37,FALSE))</f>
      </c>
      <c r="X37" t="n" s="8214">
        <v>0.0</v>
      </c>
      <c r="Y37" t="n" s="8215">
        <v>1.0</v>
      </c>
      <c r="Z37" t="n" s="8216">
        <v>0.0</v>
      </c>
      <c r="AA37" s="8217">
        <f>IF(HLOOKUP("KP",A1:CV300,37,FALSE)=0,0,HLOOKUP("As",A1:CV300,37,FALSE)/HLOOKUP("KP",A1:CV300,37,FALSE))</f>
      </c>
      <c r="AB37" t="n" s="8218">
        <v>15.4</v>
      </c>
      <c r="AC37" t="n" s="8219">
        <v>0.0</v>
      </c>
      <c r="AD37" t="n" s="8220">
        <v>0.0</v>
      </c>
      <c r="AE37" t="n" s="8221">
        <v>1.0</v>
      </c>
      <c r="AF37" t="n" s="8222">
        <v>1.0</v>
      </c>
      <c r="AG37" s="8223">
        <f>IF(HLOOKUP("BC",A1:CV300,37,FALSE)=0,0,HLOOKUP("Gs - BC",A1:CV300,37,FALSE)/HLOOKUP("BC",A1:CV300,37,FALSE))</f>
      </c>
      <c r="AH37" s="8224">
        <f>HLOOKUP("BC",A1:CV300,37,FALSE) - HLOOKUP("BC Miss",A1:CV300,37,FALSE)</f>
      </c>
      <c r="AI37" s="8225">
        <f>IF(HLOOKUP("Gs",A1:CV300,37,FALSE)=0,0,HLOOKUP("Gs - BC",A1:CV300,37,FALSE)/HLOOKUP("Gs",A1:CV300,37,FALSE))</f>
      </c>
      <c r="AJ37" t="n" s="8226">
        <v>0.0</v>
      </c>
      <c r="AK37" t="n" s="8227">
        <v>0.0</v>
      </c>
      <c r="AL37" s="8228">
        <f>HLOOKUP("BC",A1:CV300,37,FALSE) - (HLOOKUP("PK Gs",A1:CV300,37,FALSE) + HLOOKUP("PK Miss",A1:CV300,37,FALSE))</f>
      </c>
      <c r="AM37" s="8229">
        <f>HLOOKUP("BC Miss",A1:CV300,37,FALSE) - HLOOKUP("PK Miss",A1:CV300,37,FALSE)</f>
      </c>
      <c r="AN37" s="8230">
        <f>IF(HLOOKUP("BC - Open",A1:CV300,37,FALSE)=0,0,HLOOKUP("BC - Open Miss",A1:CV300,37,FALSE)/HLOOKUP("BC - Open",A1:CV300,37,FALSE))</f>
      </c>
      <c r="AO37" t="n" s="8231">
        <v>0.0</v>
      </c>
      <c r="AP37" s="8232">
        <f>IF(HLOOKUP("Gs",A1:CV300,37,FALSE)=0,0,HLOOKUP("GIB",A1:CV300,37,FALSE)/HLOOKUP("Gs",A1:CV300,37,FALSE))</f>
      </c>
      <c r="AQ37" t="n" s="8233">
        <v>0.0</v>
      </c>
      <c r="AR37" s="8234">
        <f>IF(HLOOKUP("Gs",A1:CV300,37,FALSE)=0,0,HLOOKUP("Gs - Open",A1:CV300,37,FALSE)/HLOOKUP("Gs",A1:CV300,37,FALSE))</f>
      </c>
      <c r="AS37" t="n" s="8235">
        <v>0.6</v>
      </c>
      <c r="AT37" t="n" s="8236">
        <v>0.03</v>
      </c>
      <c r="AU37" s="8237">
        <f>IF(HLOOKUP("Mins",A1:CV300,37,FALSE)=0,0,HLOOKUP("Pts",A1:CV300,37,FALSE)/HLOOKUP("Mins",A1:CV300,37,FALSE)* 90)</f>
      </c>
      <c r="AV37" s="8238">
        <f>IF(HLOOKUP("Apps",A1:CV300,37,FALSE)=0,0,HLOOKUP("Pts",A1:CV300,37,FALSE)/HLOOKUP("Apps",A1:CV300,37,FALSE)* 1)</f>
      </c>
      <c r="AW37" s="8239">
        <f>IF(HLOOKUP("Mins",A1:CV300,37,FALSE)=0,0,HLOOKUP("Gs",A1:CV300,37,FALSE)/HLOOKUP("Mins",A1:CV300,37,FALSE)* 90)</f>
      </c>
      <c r="AX37" s="8240">
        <f>IF(HLOOKUP("Mins",A1:CV300,37,FALSE)=0,0,HLOOKUP("Bonus",A1:CV300,37,FALSE)/HLOOKUP("Mins",A1:CV300,37,FALSE)* 90)</f>
      </c>
      <c r="AY37" s="8241">
        <f>IF(HLOOKUP("Mins",A1:CV300,37,FALSE)=0,0,HLOOKUP("BPS",A1:CV300,37,FALSE)/HLOOKUP("Mins",A1:CV300,37,FALSE)* 90)</f>
      </c>
      <c r="AZ37" s="8242">
        <f>IF(HLOOKUP("Mins",A1:CV300,37,FALSE)=0,0,HLOOKUP("Base BPS",A1:CV300,37,FALSE)/HLOOKUP("Mins",A1:CV300,37,FALSE)* 90)</f>
      </c>
      <c r="BA37" s="8243">
        <f>IF(HLOOKUP("Mins",A1:CV300,37,FALSE)=0,0,HLOOKUP("PenTchs",A1:CV300,37,FALSE)/HLOOKUP("Mins",A1:CV300,37,FALSE)* 90)</f>
      </c>
      <c r="BB37" s="8244">
        <f>IF(HLOOKUP("Mins",A1:CV300,37,FALSE)=0,0,HLOOKUP("Shots",A1:CV300,37,FALSE)/HLOOKUP("Mins",A1:CV300,37,FALSE)* 90)</f>
      </c>
      <c r="BC37" s="8245">
        <f>IF(HLOOKUP("Mins",A1:CV300,37,FALSE)=0,0,HLOOKUP("SIB",A1:CV300,37,FALSE)/HLOOKUP("Mins",A1:CV300,37,FALSE)* 90)</f>
      </c>
      <c r="BD37" s="8246">
        <f>IF(HLOOKUP("Mins",A1:CV300,37,FALSE)=0,0,HLOOKUP("S6YD",A1:CV300,37,FALSE)/HLOOKUP("Mins",A1:CV300,37,FALSE)* 90)</f>
      </c>
      <c r="BE37" s="8247">
        <f>IF(HLOOKUP("Mins",A1:CV300,37,FALSE)=0,0,HLOOKUP("Headers",A1:CV300,37,FALSE)/HLOOKUP("Mins",A1:CV300,37,FALSE)* 90)</f>
      </c>
      <c r="BF37" s="8248">
        <f>IF(HLOOKUP("Mins",A1:CV300,37,FALSE)=0,0,HLOOKUP("SOT",A1:CV300,37,FALSE)/HLOOKUP("Mins",A1:CV300,37,FALSE)* 90)</f>
      </c>
      <c r="BG37" s="8249">
        <f>IF(HLOOKUP("Mins",A1:CV300,37,FALSE)=0,0,HLOOKUP("As",A1:CV300,37,FALSE)/HLOOKUP("Mins",A1:CV300,37,FALSE)* 90)</f>
      </c>
      <c r="BH37" s="8250">
        <f>IF(HLOOKUP("Mins",A1:CV300,37,FALSE)=0,0,HLOOKUP("FPL As",A1:CV300,37,FALSE)/HLOOKUP("Mins",A1:CV300,37,FALSE)* 90)</f>
      </c>
      <c r="BI37" s="8251">
        <f>IF(HLOOKUP("Mins",A1:CV300,37,FALSE)=0,0,HLOOKUP("BC Created",A1:CV300,37,FALSE)/HLOOKUP("Mins",A1:CV300,37,FALSE)* 90)</f>
      </c>
      <c r="BJ37" s="8252">
        <f>IF(HLOOKUP("Mins",A1:CV300,37,FALSE)=0,0,HLOOKUP("KP",A1:CV300,37,FALSE)/HLOOKUP("Mins",A1:CV300,37,FALSE)* 90)</f>
      </c>
      <c r="BK37" s="8253">
        <f>IF(HLOOKUP("Mins",A1:CV300,37,FALSE)=0,0,HLOOKUP("BC",A1:CV300,37,FALSE)/HLOOKUP("Mins",A1:CV300,37,FALSE)* 90)</f>
      </c>
      <c r="BL37" s="8254">
        <f>IF(HLOOKUP("Mins",A1:CV300,37,FALSE)=0,0,HLOOKUP("BC Miss",A1:CV300,37,FALSE)/HLOOKUP("Mins",A1:CV300,37,FALSE)* 90)</f>
      </c>
      <c r="BM37" s="8255">
        <f>IF(HLOOKUP("Mins",A1:CV300,37,FALSE)=0,0,HLOOKUP("Gs - BC",A1:CV300,37,FALSE)/HLOOKUP("Mins",A1:CV300,37,FALSE)* 90)</f>
      </c>
      <c r="BN37" s="8256">
        <f>IF(HLOOKUP("Mins",A1:CV300,37,FALSE)=0,0,HLOOKUP("GIB",A1:CV300,37,FALSE)/HLOOKUP("Mins",A1:CV300,37,FALSE)* 90)</f>
      </c>
      <c r="BO37" s="8257">
        <f>IF(HLOOKUP("Mins",A1:CV300,37,FALSE)=0,0,HLOOKUP("Gs - Open",A1:CV300,37,FALSE)/HLOOKUP("Mins",A1:CV300,37,FALSE)* 90)</f>
      </c>
      <c r="BP37" s="8258">
        <f>IF(HLOOKUP("Mins",A1:CV300,37,FALSE)=0,0,HLOOKUP("ICT Index",A1:CV300,37,FALSE)/HLOOKUP("Mins",A1:CV300,37,FALSE)* 90)</f>
      </c>
      <c r="BQ37" s="8259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</c>
      <c r="BR37" s="8260">
        <f>0.0825*HLOOKUP("KP/90",A1:CV300,37,FALSE)</f>
      </c>
      <c r="BS37" s="8261">
        <f>6*HLOOKUP("xG/90",A1:CV300,37,FALSE)+3*HLOOKUP("xA/90",A1:CV300,37,FALSE)</f>
      </c>
      <c r="BT37" s="8262">
        <f>HLOOKUP("xPts/90",A1:CV300,37,FALSE)-(6*0.75*(HLOOKUP("PK Gs",A1:CV300,37,FALSE)+HLOOKUP("PK Miss",A1:CV300,37,FALSE))*90/HLOOKUP("Mins",A1:CV300,37,FALSE))</f>
      </c>
      <c r="BU37" s="8263">
        <f>IF(HLOOKUP("Mins",A1:CV300,37,FALSE)=0,0,HLOOKUP("fsXG",A1:CV300,37,FALSE)/HLOOKUP("Mins",A1:CV300,37,FALSE)* 90)</f>
      </c>
      <c r="BV37" s="8264">
        <f>IF(HLOOKUP("Mins",A1:CV300,37,FALSE)=0,0,HLOOKUP("fsXA",A1:CV300,37,FALSE)/HLOOKUP("Mins",A1:CV300,37,FALSE)* 90)</f>
      </c>
      <c r="BW37" s="8265">
        <f>6*HLOOKUP("fsXG/90",A1:CV300,37,FALSE)+3*HLOOKUP("fsXA/90",A1:CV300,37,FALSE)</f>
      </c>
      <c r="BX37" t="n" s="8266">
        <v>0.09541747719049454</v>
      </c>
      <c r="BY37" t="n" s="8267">
        <v>0.0</v>
      </c>
      <c r="BZ37" s="8268">
        <f>6*HLOOKUP("uXG/90",A1:CV300,37,FALSE)+3*HLOOKUP("uXA/90",A1:CV300,37,FALSE)</f>
      </c>
    </row>
    <row r="38">
      <c r="A38" t="s" s="8269">
        <v>203</v>
      </c>
      <c r="B38" t="s" s="8270">
        <v>114</v>
      </c>
      <c r="C38" t="n" s="8271">
        <v>4.5</v>
      </c>
      <c r="D38" t="n" s="8272">
        <v>630.0</v>
      </c>
      <c r="E38" t="n" s="8273">
        <v>7.0</v>
      </c>
      <c r="F38" t="n" s="8274">
        <v>60.0</v>
      </c>
      <c r="G38" t="n" s="8275">
        <v>0.0</v>
      </c>
      <c r="H38" t="n" s="8276">
        <v>0.0</v>
      </c>
      <c r="I38" t="n" s="8277">
        <v>318.0</v>
      </c>
      <c r="J38" s="8278">
        <f>HLOOKUP("BPS",A1:CV300,38,FALSE)-((-6*HLOOKUP("OG",A1:CV300,38,FALSE))+(-6*HLOOKUP("PK Miss",A1:CV300,38,FALSE))+(9*HLOOKUP("FPL As",A1:CV300,38,FALSE))+(12*HLOOKUP("CS",A1:CV300,38,FALSE))+(12*HLOOKUP("Gs",A1:CV300,38,FALSE)))</f>
      </c>
      <c r="K38" t="n" s="8279">
        <v>1.0</v>
      </c>
      <c r="L38" t="n" s="8280">
        <v>6.0</v>
      </c>
      <c r="M38" t="n" s="8281">
        <v>5.0</v>
      </c>
      <c r="N38" t="n" s="8282">
        <v>3.0</v>
      </c>
      <c r="O38" t="n" s="8283">
        <v>3.0</v>
      </c>
      <c r="P38" s="8284">
        <f>IF(HLOOKUP("Shots",A1:CV300,38,FALSE)=0,0,HLOOKUP("SIB",A1:CV300,38,FALSE)/HLOOKUP("Shots",A1:CV300,38,FALSE))</f>
      </c>
      <c r="Q38" t="n" s="8285">
        <v>1.0</v>
      </c>
      <c r="R38" s="8286">
        <f>IF(HLOOKUP("Shots",A1:CV300,38,FALSE)=0,0,HLOOKUP("S6YD",A1:CV300,38,FALSE)/HLOOKUP("Shots",A1:CV300,38,FALSE))</f>
      </c>
      <c r="S38" t="n" s="8287">
        <v>3.0</v>
      </c>
      <c r="T38" s="8288">
        <f>IF(HLOOKUP("Shots",A1:CV300,38,FALSE)=0,0,HLOOKUP("Headers",A1:CV300,38,FALSE)/HLOOKUP("Shots",A1:CV300,38,FALSE))</f>
      </c>
      <c r="U38" t="n" s="8289">
        <v>0.0</v>
      </c>
      <c r="V38" s="8290">
        <f>IF(HLOOKUP("Shots",A1:CV300,38,FALSE)=0,0,HLOOKUP("SOT",A1:CV300,38,FALSE)/HLOOKUP("Shots",A1:CV300,38,FALSE))</f>
      </c>
      <c r="W38" s="8291">
        <f>IF(HLOOKUP("Shots",A1:CV300,38,FALSE)=0,0,HLOOKUP("Gs",A1:CV300,38,FALSE)/HLOOKUP("Shots",A1:CV300,38,FALSE))</f>
      </c>
      <c r="X38" t="n" s="8292">
        <v>0.0</v>
      </c>
      <c r="Y38" t="n" s="8293">
        <v>0.0</v>
      </c>
      <c r="Z38" t="n" s="8294">
        <v>0.0</v>
      </c>
      <c r="AA38" s="8295">
        <f>IF(HLOOKUP("KP",A1:CV300,38,FALSE)=0,0,HLOOKUP("As",A1:CV300,38,FALSE)/HLOOKUP("KP",A1:CV300,38,FALSE))</f>
      </c>
      <c r="AB38" t="n" s="8296">
        <v>10.7</v>
      </c>
      <c r="AC38" t="n" s="8297">
        <v>0.0</v>
      </c>
      <c r="AD38" t="n" s="8298">
        <v>0.0</v>
      </c>
      <c r="AE38" t="n" s="8299">
        <v>1.0</v>
      </c>
      <c r="AF38" t="n" s="8300">
        <v>1.0</v>
      </c>
      <c r="AG38" s="8301">
        <f>IF(HLOOKUP("BC",A1:CV300,38,FALSE)=0,0,HLOOKUP("Gs - BC",A1:CV300,38,FALSE)/HLOOKUP("BC",A1:CV300,38,FALSE))</f>
      </c>
      <c r="AH38" s="8302">
        <f>HLOOKUP("BC",A1:CV300,38,FALSE) - HLOOKUP("BC Miss",A1:CV300,38,FALSE)</f>
      </c>
      <c r="AI38" s="8303">
        <f>IF(HLOOKUP("Gs",A1:CV300,38,FALSE)=0,0,HLOOKUP("Gs - BC",A1:CV300,38,FALSE)/HLOOKUP("Gs",A1:CV300,38,FALSE))</f>
      </c>
      <c r="AJ38" t="n" s="8304">
        <v>0.0</v>
      </c>
      <c r="AK38" t="n" s="8305">
        <v>0.0</v>
      </c>
      <c r="AL38" s="8306">
        <f>HLOOKUP("BC",A1:CV300,38,FALSE) - (HLOOKUP("PK Gs",A1:CV300,38,FALSE) + HLOOKUP("PK Miss",A1:CV300,38,FALSE))</f>
      </c>
      <c r="AM38" s="8307">
        <f>HLOOKUP("BC Miss",A1:CV300,38,FALSE) - HLOOKUP("PK Miss",A1:CV300,38,FALSE)</f>
      </c>
      <c r="AN38" s="8308">
        <f>IF(HLOOKUP("BC - Open",A1:CV300,38,FALSE)=0,0,HLOOKUP("BC - Open Miss",A1:CV300,38,FALSE)/HLOOKUP("BC - Open",A1:CV300,38,FALSE))</f>
      </c>
      <c r="AO38" t="n" s="8309">
        <v>0.0</v>
      </c>
      <c r="AP38" s="8310">
        <f>IF(HLOOKUP("Gs",A1:CV300,38,FALSE)=0,0,HLOOKUP("GIB",A1:CV300,38,FALSE)/HLOOKUP("Gs",A1:CV300,38,FALSE))</f>
      </c>
      <c r="AQ38" t="n" s="8311">
        <v>0.0</v>
      </c>
      <c r="AR38" s="8312">
        <f>IF(HLOOKUP("Gs",A1:CV300,38,FALSE)=0,0,HLOOKUP("Gs - Open",A1:CV300,38,FALSE)/HLOOKUP("Gs",A1:CV300,38,FALSE))</f>
      </c>
      <c r="AS38" t="n" s="8313">
        <v>0.54</v>
      </c>
      <c r="AT38" t="n" s="8314">
        <v>0.12</v>
      </c>
      <c r="AU38" s="8315">
        <f>IF(HLOOKUP("Mins",A1:CV300,38,FALSE)=0,0,HLOOKUP("Pts",A1:CV300,38,FALSE)/HLOOKUP("Mins",A1:CV300,38,FALSE)* 90)</f>
      </c>
      <c r="AV38" s="8316">
        <f>IF(HLOOKUP("Apps",A1:CV300,38,FALSE)=0,0,HLOOKUP("Pts",A1:CV300,38,FALSE)/HLOOKUP("Apps",A1:CV300,38,FALSE)* 1)</f>
      </c>
      <c r="AW38" s="8317">
        <f>IF(HLOOKUP("Mins",A1:CV300,38,FALSE)=0,0,HLOOKUP("Gs",A1:CV300,38,FALSE)/HLOOKUP("Mins",A1:CV300,38,FALSE)* 90)</f>
      </c>
      <c r="AX38" s="8318">
        <f>IF(HLOOKUP("Mins",A1:CV300,38,FALSE)=0,0,HLOOKUP("Bonus",A1:CV300,38,FALSE)/HLOOKUP("Mins",A1:CV300,38,FALSE)* 90)</f>
      </c>
      <c r="AY38" s="8319">
        <f>IF(HLOOKUP("Mins",A1:CV300,38,FALSE)=0,0,HLOOKUP("BPS",A1:CV300,38,FALSE)/HLOOKUP("Mins",A1:CV300,38,FALSE)* 90)</f>
      </c>
      <c r="AZ38" s="8320">
        <f>IF(HLOOKUP("Mins",A1:CV300,38,FALSE)=0,0,HLOOKUP("Base BPS",A1:CV300,38,FALSE)/HLOOKUP("Mins",A1:CV300,38,FALSE)* 90)</f>
      </c>
      <c r="BA38" s="8321">
        <f>IF(HLOOKUP("Mins",A1:CV300,38,FALSE)=0,0,HLOOKUP("PenTchs",A1:CV300,38,FALSE)/HLOOKUP("Mins",A1:CV300,38,FALSE)* 90)</f>
      </c>
      <c r="BB38" s="8322">
        <f>IF(HLOOKUP("Mins",A1:CV300,38,FALSE)=0,0,HLOOKUP("Shots",A1:CV300,38,FALSE)/HLOOKUP("Mins",A1:CV300,38,FALSE)* 90)</f>
      </c>
      <c r="BC38" s="8323">
        <f>IF(HLOOKUP("Mins",A1:CV300,38,FALSE)=0,0,HLOOKUP("SIB",A1:CV300,38,FALSE)/HLOOKUP("Mins",A1:CV300,38,FALSE)* 90)</f>
      </c>
      <c r="BD38" s="8324">
        <f>IF(HLOOKUP("Mins",A1:CV300,38,FALSE)=0,0,HLOOKUP("S6YD",A1:CV300,38,FALSE)/HLOOKUP("Mins",A1:CV300,38,FALSE)* 90)</f>
      </c>
      <c r="BE38" s="8325">
        <f>IF(HLOOKUP("Mins",A1:CV300,38,FALSE)=0,0,HLOOKUP("Headers",A1:CV300,38,FALSE)/HLOOKUP("Mins",A1:CV300,38,FALSE)* 90)</f>
      </c>
      <c r="BF38" s="8326">
        <f>IF(HLOOKUP("Mins",A1:CV300,38,FALSE)=0,0,HLOOKUP("SOT",A1:CV300,38,FALSE)/HLOOKUP("Mins",A1:CV300,38,FALSE)* 90)</f>
      </c>
      <c r="BG38" s="8327">
        <f>IF(HLOOKUP("Mins",A1:CV300,38,FALSE)=0,0,HLOOKUP("As",A1:CV300,38,FALSE)/HLOOKUP("Mins",A1:CV300,38,FALSE)* 90)</f>
      </c>
      <c r="BH38" s="8328">
        <f>IF(HLOOKUP("Mins",A1:CV300,38,FALSE)=0,0,HLOOKUP("FPL As",A1:CV300,38,FALSE)/HLOOKUP("Mins",A1:CV300,38,FALSE)* 90)</f>
      </c>
      <c r="BI38" s="8329">
        <f>IF(HLOOKUP("Mins",A1:CV300,38,FALSE)=0,0,HLOOKUP("BC Created",A1:CV300,38,FALSE)/HLOOKUP("Mins",A1:CV300,38,FALSE)* 90)</f>
      </c>
      <c r="BJ38" s="8330">
        <f>IF(HLOOKUP("Mins",A1:CV300,38,FALSE)=0,0,HLOOKUP("KP",A1:CV300,38,FALSE)/HLOOKUP("Mins",A1:CV300,38,FALSE)* 90)</f>
      </c>
      <c r="BK38" s="8331">
        <f>IF(HLOOKUP("Mins",A1:CV300,38,FALSE)=0,0,HLOOKUP("BC",A1:CV300,38,FALSE)/HLOOKUP("Mins",A1:CV300,38,FALSE)* 90)</f>
      </c>
      <c r="BL38" s="8332">
        <f>IF(HLOOKUP("Mins",A1:CV300,38,FALSE)=0,0,HLOOKUP("BC Miss",A1:CV300,38,FALSE)/HLOOKUP("Mins",A1:CV300,38,FALSE)* 90)</f>
      </c>
      <c r="BM38" s="8333">
        <f>IF(HLOOKUP("Mins",A1:CV300,38,FALSE)=0,0,HLOOKUP("Gs - BC",A1:CV300,38,FALSE)/HLOOKUP("Mins",A1:CV300,38,FALSE)* 90)</f>
      </c>
      <c r="BN38" s="8334">
        <f>IF(HLOOKUP("Mins",A1:CV300,38,FALSE)=0,0,HLOOKUP("GIB",A1:CV300,38,FALSE)/HLOOKUP("Mins",A1:CV300,38,FALSE)* 90)</f>
      </c>
      <c r="BO38" s="8335">
        <f>IF(HLOOKUP("Mins",A1:CV300,38,FALSE)=0,0,HLOOKUP("Gs - Open",A1:CV300,38,FALSE)/HLOOKUP("Mins",A1:CV300,38,FALSE)* 90)</f>
      </c>
      <c r="BP38" s="8336">
        <f>IF(HLOOKUP("Mins",A1:CV300,38,FALSE)=0,0,HLOOKUP("ICT Index",A1:CV300,38,FALSE)/HLOOKUP("Mins",A1:CV300,38,FALSE)* 90)</f>
      </c>
      <c r="BQ38" s="8337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</c>
      <c r="BR38" s="8338">
        <f>0.0825*HLOOKUP("KP/90",A1:CV300,38,FALSE)</f>
      </c>
      <c r="BS38" s="8339">
        <f>6*HLOOKUP("xG/90",A1:CV300,38,FALSE)+3*HLOOKUP("xA/90",A1:CV300,38,FALSE)</f>
      </c>
      <c r="BT38" s="8340">
        <f>HLOOKUP("xPts/90",A1:CV300,38,FALSE)-(6*0.75*(HLOOKUP("PK Gs",A1:CV300,38,FALSE)+HLOOKUP("PK Miss",A1:CV300,38,FALSE))*90/HLOOKUP("Mins",A1:CV300,38,FALSE))</f>
      </c>
      <c r="BU38" s="8341">
        <f>IF(HLOOKUP("Mins",A1:CV300,38,FALSE)=0,0,HLOOKUP("fsXG",A1:CV300,38,FALSE)/HLOOKUP("Mins",A1:CV300,38,FALSE)* 90)</f>
      </c>
      <c r="BV38" s="8342">
        <f>IF(HLOOKUP("Mins",A1:CV300,38,FALSE)=0,0,HLOOKUP("fsXA",A1:CV300,38,FALSE)/HLOOKUP("Mins",A1:CV300,38,FALSE)* 90)</f>
      </c>
      <c r="BW38" s="8343">
        <f>6*HLOOKUP("fsXG/90",A1:CV300,38,FALSE)+3*HLOOKUP("fsXA/90",A1:CV300,38,FALSE)</f>
      </c>
      <c r="BX38" t="n" s="8344">
        <v>0.09710222482681274</v>
      </c>
      <c r="BY38" t="n" s="8345">
        <v>0.0</v>
      </c>
      <c r="BZ38" s="8346">
        <f>6*HLOOKUP("uXG/90",A1:CV300,38,FALSE)+3*HLOOKUP("uXA/90",A1:CV300,38,FALSE)</f>
      </c>
    </row>
    <row r="39">
      <c r="A39" t="s" s="8347">
        <v>204</v>
      </c>
      <c r="B39" t="s" s="8348">
        <v>131</v>
      </c>
      <c r="C39" t="n" s="8349">
        <v>5.0</v>
      </c>
      <c r="D39" t="n" s="8350">
        <v>540.0</v>
      </c>
      <c r="E39" t="n" s="8351">
        <v>6.0</v>
      </c>
      <c r="F39" t="n" s="8352">
        <v>70.0</v>
      </c>
      <c r="G39" t="n" s="8353">
        <v>0.0</v>
      </c>
      <c r="H39" t="n" s="8354">
        <v>5.0</v>
      </c>
      <c r="I39" t="n" s="8355">
        <v>429.0</v>
      </c>
      <c r="J39" s="8356">
        <f>HLOOKUP("BPS",A1:CV300,39,FALSE)-((-6*HLOOKUP("OG",A1:CV300,39,FALSE))+(-6*HLOOKUP("PK Miss",A1:CV300,39,FALSE))+(9*HLOOKUP("FPL As",A1:CV300,39,FALSE))+(12*HLOOKUP("CS",A1:CV300,39,FALSE))+(12*HLOOKUP("Gs",A1:CV300,39,FALSE)))</f>
      </c>
      <c r="K39" t="n" s="8357">
        <v>0.0</v>
      </c>
      <c r="L39" t="n" s="8358">
        <v>6.0</v>
      </c>
      <c r="M39" t="n" s="8359">
        <v>0.0</v>
      </c>
      <c r="N39" t="n" s="8360">
        <v>0.0</v>
      </c>
      <c r="O39" t="n" s="8361">
        <v>0.0</v>
      </c>
      <c r="P39" s="8362">
        <f>IF(HLOOKUP("Shots",A1:CV300,39,FALSE)=0,0,HLOOKUP("SIB",A1:CV300,39,FALSE)/HLOOKUP("Shots",A1:CV300,39,FALSE))</f>
      </c>
      <c r="Q39" t="n" s="8363">
        <v>0.0</v>
      </c>
      <c r="R39" s="8364">
        <f>IF(HLOOKUP("Shots",A1:CV300,39,FALSE)=0,0,HLOOKUP("S6YD",A1:CV300,39,FALSE)/HLOOKUP("Shots",A1:CV300,39,FALSE))</f>
      </c>
      <c r="S39" t="n" s="8365">
        <v>0.0</v>
      </c>
      <c r="T39" s="8366">
        <f>IF(HLOOKUP("Shots",A1:CV300,39,FALSE)=0,0,HLOOKUP("Headers",A1:CV300,39,FALSE)/HLOOKUP("Shots",A1:CV300,39,FALSE))</f>
      </c>
      <c r="U39" t="n" s="8367">
        <v>0.0</v>
      </c>
      <c r="V39" s="8368">
        <f>IF(HLOOKUP("Shots",A1:CV300,39,FALSE)=0,0,HLOOKUP("SOT",A1:CV300,39,FALSE)/HLOOKUP("Shots",A1:CV300,39,FALSE))</f>
      </c>
      <c r="W39" s="8369">
        <f>IF(HLOOKUP("Shots",A1:CV300,39,FALSE)=0,0,HLOOKUP("Gs",A1:CV300,39,FALSE)/HLOOKUP("Shots",A1:CV300,39,FALSE))</f>
      </c>
      <c r="X39" t="n" s="8370">
        <v>0.0</v>
      </c>
      <c r="Y39" t="n" s="8371">
        <v>0.0</v>
      </c>
      <c r="Z39" t="n" s="8372">
        <v>1.0</v>
      </c>
      <c r="AA39" s="8373">
        <f>IF(HLOOKUP("KP",A1:CV300,39,FALSE)=0,0,HLOOKUP("As",A1:CV300,39,FALSE)/HLOOKUP("KP",A1:CV300,39,FALSE))</f>
      </c>
      <c r="AB39" t="n" s="8374">
        <v>11.5</v>
      </c>
      <c r="AC39" t="n" s="8375">
        <v>0.0</v>
      </c>
      <c r="AD39" t="n" s="8376">
        <v>1.0</v>
      </c>
      <c r="AE39" t="n" s="8377">
        <v>0.0</v>
      </c>
      <c r="AF39" t="n" s="8378">
        <v>0.0</v>
      </c>
      <c r="AG39" s="8379">
        <f>IF(HLOOKUP("BC",A1:CV300,39,FALSE)=0,0,HLOOKUP("Gs - BC",A1:CV300,39,FALSE)/HLOOKUP("BC",A1:CV300,39,FALSE))</f>
      </c>
      <c r="AH39" s="8380">
        <f>HLOOKUP("BC",A1:CV300,39,FALSE) - HLOOKUP("BC Miss",A1:CV300,39,FALSE)</f>
      </c>
      <c r="AI39" s="8381">
        <f>IF(HLOOKUP("Gs",A1:CV300,39,FALSE)=0,0,HLOOKUP("Gs - BC",A1:CV300,39,FALSE)/HLOOKUP("Gs",A1:CV300,39,FALSE))</f>
      </c>
      <c r="AJ39" t="n" s="8382">
        <v>0.0</v>
      </c>
      <c r="AK39" t="n" s="8383">
        <v>0.0</v>
      </c>
      <c r="AL39" s="8384">
        <f>HLOOKUP("BC",A1:CV300,39,FALSE) - (HLOOKUP("PK Gs",A1:CV300,39,FALSE) + HLOOKUP("PK Miss",A1:CV300,39,FALSE))</f>
      </c>
      <c r="AM39" s="8385">
        <f>HLOOKUP("BC Miss",A1:CV300,39,FALSE) - HLOOKUP("PK Miss",A1:CV300,39,FALSE)</f>
      </c>
      <c r="AN39" s="8386">
        <f>IF(HLOOKUP("BC - Open",A1:CV300,39,FALSE)=0,0,HLOOKUP("BC - Open Miss",A1:CV300,39,FALSE)/HLOOKUP("BC - Open",A1:CV300,39,FALSE))</f>
      </c>
      <c r="AO39" t="n" s="8387">
        <v>0.0</v>
      </c>
      <c r="AP39" s="8388">
        <f>IF(HLOOKUP("Gs",A1:CV300,39,FALSE)=0,0,HLOOKUP("GIB",A1:CV300,39,FALSE)/HLOOKUP("Gs",A1:CV300,39,FALSE))</f>
      </c>
      <c r="AQ39" t="n" s="8389">
        <v>0.0</v>
      </c>
      <c r="AR39" s="8390">
        <f>IF(HLOOKUP("Gs",A1:CV300,39,FALSE)=0,0,HLOOKUP("Gs - Open",A1:CV300,39,FALSE)/HLOOKUP("Gs",A1:CV300,39,FALSE))</f>
      </c>
      <c r="AS39" t="n" s="8391">
        <v>0.0</v>
      </c>
      <c r="AT39" t="n" s="8392">
        <v>0.25</v>
      </c>
      <c r="AU39" s="8393">
        <f>IF(HLOOKUP("Mins",A1:CV300,39,FALSE)=0,0,HLOOKUP("Pts",A1:CV300,39,FALSE)/HLOOKUP("Mins",A1:CV300,39,FALSE)* 90)</f>
      </c>
      <c r="AV39" s="8394">
        <f>IF(HLOOKUP("Apps",A1:CV300,39,FALSE)=0,0,HLOOKUP("Pts",A1:CV300,39,FALSE)/HLOOKUP("Apps",A1:CV300,39,FALSE)* 1)</f>
      </c>
      <c r="AW39" s="8395">
        <f>IF(HLOOKUP("Mins",A1:CV300,39,FALSE)=0,0,HLOOKUP("Gs",A1:CV300,39,FALSE)/HLOOKUP("Mins",A1:CV300,39,FALSE)* 90)</f>
      </c>
      <c r="AX39" s="8396">
        <f>IF(HLOOKUP("Mins",A1:CV300,39,FALSE)=0,0,HLOOKUP("Bonus",A1:CV300,39,FALSE)/HLOOKUP("Mins",A1:CV300,39,FALSE)* 90)</f>
      </c>
      <c r="AY39" s="8397">
        <f>IF(HLOOKUP("Mins",A1:CV300,39,FALSE)=0,0,HLOOKUP("BPS",A1:CV300,39,FALSE)/HLOOKUP("Mins",A1:CV300,39,FALSE)* 90)</f>
      </c>
      <c r="AZ39" s="8398">
        <f>IF(HLOOKUP("Mins",A1:CV300,39,FALSE)=0,0,HLOOKUP("Base BPS",A1:CV300,39,FALSE)/HLOOKUP("Mins",A1:CV300,39,FALSE)* 90)</f>
      </c>
      <c r="BA39" s="8399">
        <f>IF(HLOOKUP("Mins",A1:CV300,39,FALSE)=0,0,HLOOKUP("PenTchs",A1:CV300,39,FALSE)/HLOOKUP("Mins",A1:CV300,39,FALSE)* 90)</f>
      </c>
      <c r="BB39" s="8400">
        <f>IF(HLOOKUP("Mins",A1:CV300,39,FALSE)=0,0,HLOOKUP("Shots",A1:CV300,39,FALSE)/HLOOKUP("Mins",A1:CV300,39,FALSE)* 90)</f>
      </c>
      <c r="BC39" s="8401">
        <f>IF(HLOOKUP("Mins",A1:CV300,39,FALSE)=0,0,HLOOKUP("SIB",A1:CV300,39,FALSE)/HLOOKUP("Mins",A1:CV300,39,FALSE)* 90)</f>
      </c>
      <c r="BD39" s="8402">
        <f>IF(HLOOKUP("Mins",A1:CV300,39,FALSE)=0,0,HLOOKUP("S6YD",A1:CV300,39,FALSE)/HLOOKUP("Mins",A1:CV300,39,FALSE)* 90)</f>
      </c>
      <c r="BE39" s="8403">
        <f>IF(HLOOKUP("Mins",A1:CV300,39,FALSE)=0,0,HLOOKUP("Headers",A1:CV300,39,FALSE)/HLOOKUP("Mins",A1:CV300,39,FALSE)* 90)</f>
      </c>
      <c r="BF39" s="8404">
        <f>IF(HLOOKUP("Mins",A1:CV300,39,FALSE)=0,0,HLOOKUP("SOT",A1:CV300,39,FALSE)/HLOOKUP("Mins",A1:CV300,39,FALSE)* 90)</f>
      </c>
      <c r="BG39" s="8405">
        <f>IF(HLOOKUP("Mins",A1:CV300,39,FALSE)=0,0,HLOOKUP("As",A1:CV300,39,FALSE)/HLOOKUP("Mins",A1:CV300,39,FALSE)* 90)</f>
      </c>
      <c r="BH39" s="8406">
        <f>IF(HLOOKUP("Mins",A1:CV300,39,FALSE)=0,0,HLOOKUP("FPL As",A1:CV300,39,FALSE)/HLOOKUP("Mins",A1:CV300,39,FALSE)* 90)</f>
      </c>
      <c r="BI39" s="8407">
        <f>IF(HLOOKUP("Mins",A1:CV300,39,FALSE)=0,0,HLOOKUP("BC Created",A1:CV300,39,FALSE)/HLOOKUP("Mins",A1:CV300,39,FALSE)* 90)</f>
      </c>
      <c r="BJ39" s="8408">
        <f>IF(HLOOKUP("Mins",A1:CV300,39,FALSE)=0,0,HLOOKUP("KP",A1:CV300,39,FALSE)/HLOOKUP("Mins",A1:CV300,39,FALSE)* 90)</f>
      </c>
      <c r="BK39" s="8409">
        <f>IF(HLOOKUP("Mins",A1:CV300,39,FALSE)=0,0,HLOOKUP("BC",A1:CV300,39,FALSE)/HLOOKUP("Mins",A1:CV300,39,FALSE)* 90)</f>
      </c>
      <c r="BL39" s="8410">
        <f>IF(HLOOKUP("Mins",A1:CV300,39,FALSE)=0,0,HLOOKUP("BC Miss",A1:CV300,39,FALSE)/HLOOKUP("Mins",A1:CV300,39,FALSE)* 90)</f>
      </c>
      <c r="BM39" s="8411">
        <f>IF(HLOOKUP("Mins",A1:CV300,39,FALSE)=0,0,HLOOKUP("Gs - BC",A1:CV300,39,FALSE)/HLOOKUP("Mins",A1:CV300,39,FALSE)* 90)</f>
      </c>
      <c r="BN39" s="8412">
        <f>IF(HLOOKUP("Mins",A1:CV300,39,FALSE)=0,0,HLOOKUP("GIB",A1:CV300,39,FALSE)/HLOOKUP("Mins",A1:CV300,39,FALSE)* 90)</f>
      </c>
      <c r="BO39" s="8413">
        <f>IF(HLOOKUP("Mins",A1:CV300,39,FALSE)=0,0,HLOOKUP("Gs - Open",A1:CV300,39,FALSE)/HLOOKUP("Mins",A1:CV300,39,FALSE)* 90)</f>
      </c>
      <c r="BP39" s="8414">
        <f>IF(HLOOKUP("Mins",A1:CV300,39,FALSE)=0,0,HLOOKUP("ICT Index",A1:CV300,39,FALSE)/HLOOKUP("Mins",A1:CV300,39,FALSE)* 90)</f>
      </c>
      <c r="BQ39" s="8415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</c>
      <c r="BR39" s="8416">
        <f>0.0825*HLOOKUP("KP/90",A1:CV300,39,FALSE)</f>
      </c>
      <c r="BS39" s="8417">
        <f>6*HLOOKUP("xG/90",A1:CV300,39,FALSE)+3*HLOOKUP("xA/90",A1:CV300,39,FALSE)</f>
      </c>
      <c r="BT39" s="8418">
        <f>HLOOKUP("xPts/90",A1:CV300,39,FALSE)-(6*0.75*(HLOOKUP("PK Gs",A1:CV300,39,FALSE)+HLOOKUP("PK Miss",A1:CV300,39,FALSE))*90/HLOOKUP("Mins",A1:CV300,39,FALSE))</f>
      </c>
      <c r="BU39" s="8419">
        <f>IF(HLOOKUP("Mins",A1:CV300,39,FALSE)=0,0,HLOOKUP("fsXG",A1:CV300,39,FALSE)/HLOOKUP("Mins",A1:CV300,39,FALSE)* 90)</f>
      </c>
      <c r="BV39" s="8420">
        <f>IF(HLOOKUP("Mins",A1:CV300,39,FALSE)=0,0,HLOOKUP("fsXA",A1:CV300,39,FALSE)/HLOOKUP("Mins",A1:CV300,39,FALSE)* 90)</f>
      </c>
      <c r="BW39" s="8421">
        <f>6*HLOOKUP("fsXG/90",A1:CV300,39,FALSE)+3*HLOOKUP("fsXA/90",A1:CV300,39,FALSE)</f>
      </c>
      <c r="BX39" t="n" s="8422">
        <v>0.0</v>
      </c>
      <c r="BY39" t="n" s="8423">
        <v>0.05816365405917168</v>
      </c>
      <c r="BZ39" s="8424">
        <f>6*HLOOKUP("uXG/90",A1:CV300,39,FALSE)+3*HLOOKUP("uXA/90",A1:CV300,39,FALSE)</f>
      </c>
    </row>
    <row r="40">
      <c r="A40" t="s" s="8425">
        <v>205</v>
      </c>
      <c r="B40" t="s" s="8426">
        <v>122</v>
      </c>
      <c r="C40" t="n" s="8427">
        <v>5.300000190734863</v>
      </c>
      <c r="D40" t="n" s="8428">
        <v>360.0</v>
      </c>
      <c r="E40" t="n" s="8429">
        <v>4.0</v>
      </c>
      <c r="F40" t="n" s="8430">
        <v>63.0</v>
      </c>
      <c r="G40" t="n" s="8431">
        <v>0.0</v>
      </c>
      <c r="H40" t="n" s="8432">
        <v>4.0</v>
      </c>
      <c r="I40" t="n" s="8433">
        <v>366.0</v>
      </c>
      <c r="J40" s="8434">
        <f>HLOOKUP("BPS",A1:CV300,40,FALSE)-((-6*HLOOKUP("OG",A1:CV300,40,FALSE))+(-6*HLOOKUP("PK Miss",A1:CV300,40,FALSE))+(9*HLOOKUP("FPL As",A1:CV300,40,FALSE))+(12*HLOOKUP("CS",A1:CV300,40,FALSE))+(12*HLOOKUP("Gs",A1:CV300,40,FALSE)))</f>
      </c>
      <c r="K40" t="n" s="8435">
        <v>1.0</v>
      </c>
      <c r="L40" t="n" s="8436">
        <v>5.0</v>
      </c>
      <c r="M40" t="n" s="8437">
        <v>3.0</v>
      </c>
      <c r="N40" t="n" s="8438">
        <v>2.0</v>
      </c>
      <c r="O40" t="n" s="8439">
        <v>2.0</v>
      </c>
      <c r="P40" s="8440">
        <f>IF(HLOOKUP("Shots",A1:CV300,40,FALSE)=0,0,HLOOKUP("SIB",A1:CV300,40,FALSE)/HLOOKUP("Shots",A1:CV300,40,FALSE))</f>
      </c>
      <c r="Q40" t="n" s="8441">
        <v>0.0</v>
      </c>
      <c r="R40" s="8442">
        <f>IF(HLOOKUP("Shots",A1:CV300,40,FALSE)=0,0,HLOOKUP("S6YD",A1:CV300,40,FALSE)/HLOOKUP("Shots",A1:CV300,40,FALSE))</f>
      </c>
      <c r="S40" t="n" s="8443">
        <v>2.0</v>
      </c>
      <c r="T40" s="8444">
        <f>IF(HLOOKUP("Shots",A1:CV300,40,FALSE)=0,0,HLOOKUP("Headers",A1:CV300,40,FALSE)/HLOOKUP("Shots",A1:CV300,40,FALSE))</f>
      </c>
      <c r="U40" t="n" s="8445">
        <v>0.0</v>
      </c>
      <c r="V40" s="8446">
        <f>IF(HLOOKUP("Shots",A1:CV300,40,FALSE)=0,0,HLOOKUP("SOT",A1:CV300,40,FALSE)/HLOOKUP("Shots",A1:CV300,40,FALSE))</f>
      </c>
      <c r="W40" s="8447">
        <f>IF(HLOOKUP("Shots",A1:CV300,40,FALSE)=0,0,HLOOKUP("Gs",A1:CV300,40,FALSE)/HLOOKUP("Shots",A1:CV300,40,FALSE))</f>
      </c>
      <c r="X40" t="n" s="8448">
        <v>0.0</v>
      </c>
      <c r="Y40" t="n" s="8449">
        <v>0.0</v>
      </c>
      <c r="Z40" t="n" s="8450">
        <v>1.0</v>
      </c>
      <c r="AA40" s="8451">
        <f>IF(HLOOKUP("KP",A1:CV300,40,FALSE)=0,0,HLOOKUP("As",A1:CV300,40,FALSE)/HLOOKUP("KP",A1:CV300,40,FALSE))</f>
      </c>
      <c r="AB40" t="n" s="8452">
        <v>10.1</v>
      </c>
      <c r="AC40" t="n" s="8453">
        <v>0.0</v>
      </c>
      <c r="AD40" t="n" s="8454">
        <v>0.0</v>
      </c>
      <c r="AE40" t="n" s="8455">
        <v>0.0</v>
      </c>
      <c r="AF40" t="n" s="8456">
        <v>0.0</v>
      </c>
      <c r="AG40" s="8457">
        <f>IF(HLOOKUP("BC",A1:CV300,40,FALSE)=0,0,HLOOKUP("Gs - BC",A1:CV300,40,FALSE)/HLOOKUP("BC",A1:CV300,40,FALSE))</f>
      </c>
      <c r="AH40" s="8458">
        <f>HLOOKUP("BC",A1:CV300,40,FALSE) - HLOOKUP("BC Miss",A1:CV300,40,FALSE)</f>
      </c>
      <c r="AI40" s="8459">
        <f>IF(HLOOKUP("Gs",A1:CV300,40,FALSE)=0,0,HLOOKUP("Gs - BC",A1:CV300,40,FALSE)/HLOOKUP("Gs",A1:CV300,40,FALSE))</f>
      </c>
      <c r="AJ40" t="n" s="8460">
        <v>0.0</v>
      </c>
      <c r="AK40" t="n" s="8461">
        <v>0.0</v>
      </c>
      <c r="AL40" s="8462">
        <f>HLOOKUP("BC",A1:CV300,40,FALSE) - (HLOOKUP("PK Gs",A1:CV300,40,FALSE) + HLOOKUP("PK Miss",A1:CV300,40,FALSE))</f>
      </c>
      <c r="AM40" s="8463">
        <f>HLOOKUP("BC Miss",A1:CV300,40,FALSE) - HLOOKUP("PK Miss",A1:CV300,40,FALSE)</f>
      </c>
      <c r="AN40" s="8464">
        <f>IF(HLOOKUP("BC - Open",A1:CV300,40,FALSE)=0,0,HLOOKUP("BC - Open Miss",A1:CV300,40,FALSE)/HLOOKUP("BC - Open",A1:CV300,40,FALSE))</f>
      </c>
      <c r="AO40" t="n" s="8465">
        <v>0.0</v>
      </c>
      <c r="AP40" s="8466">
        <f>IF(HLOOKUP("Gs",A1:CV300,40,FALSE)=0,0,HLOOKUP("GIB",A1:CV300,40,FALSE)/HLOOKUP("Gs",A1:CV300,40,FALSE))</f>
      </c>
      <c r="AQ40" t="n" s="8467">
        <v>0.0</v>
      </c>
      <c r="AR40" s="8468">
        <f>IF(HLOOKUP("Gs",A1:CV300,40,FALSE)=0,0,HLOOKUP("Gs - Open",A1:CV300,40,FALSE)/HLOOKUP("Gs",A1:CV300,40,FALSE))</f>
      </c>
      <c r="AS40" t="n" s="8469">
        <v>0.1</v>
      </c>
      <c r="AT40" t="n" s="8470">
        <v>0.03</v>
      </c>
      <c r="AU40" s="8471">
        <f>IF(HLOOKUP("Mins",A1:CV300,40,FALSE)=0,0,HLOOKUP("Pts",A1:CV300,40,FALSE)/HLOOKUP("Mins",A1:CV300,40,FALSE)* 90)</f>
      </c>
      <c r="AV40" s="8472">
        <f>IF(HLOOKUP("Apps",A1:CV300,40,FALSE)=0,0,HLOOKUP("Pts",A1:CV300,40,FALSE)/HLOOKUP("Apps",A1:CV300,40,FALSE)* 1)</f>
      </c>
      <c r="AW40" s="8473">
        <f>IF(HLOOKUP("Mins",A1:CV300,40,FALSE)=0,0,HLOOKUP("Gs",A1:CV300,40,FALSE)/HLOOKUP("Mins",A1:CV300,40,FALSE)* 90)</f>
      </c>
      <c r="AX40" s="8474">
        <f>IF(HLOOKUP("Mins",A1:CV300,40,FALSE)=0,0,HLOOKUP("Bonus",A1:CV300,40,FALSE)/HLOOKUP("Mins",A1:CV300,40,FALSE)* 90)</f>
      </c>
      <c r="AY40" s="8475">
        <f>IF(HLOOKUP("Mins",A1:CV300,40,FALSE)=0,0,HLOOKUP("BPS",A1:CV300,40,FALSE)/HLOOKUP("Mins",A1:CV300,40,FALSE)* 90)</f>
      </c>
      <c r="AZ40" s="8476">
        <f>IF(HLOOKUP("Mins",A1:CV300,40,FALSE)=0,0,HLOOKUP("Base BPS",A1:CV300,40,FALSE)/HLOOKUP("Mins",A1:CV300,40,FALSE)* 90)</f>
      </c>
      <c r="BA40" s="8477">
        <f>IF(HLOOKUP("Mins",A1:CV300,40,FALSE)=0,0,HLOOKUP("PenTchs",A1:CV300,40,FALSE)/HLOOKUP("Mins",A1:CV300,40,FALSE)* 90)</f>
      </c>
      <c r="BB40" s="8478">
        <f>IF(HLOOKUP("Mins",A1:CV300,40,FALSE)=0,0,HLOOKUP("Shots",A1:CV300,40,FALSE)/HLOOKUP("Mins",A1:CV300,40,FALSE)* 90)</f>
      </c>
      <c r="BC40" s="8479">
        <f>IF(HLOOKUP("Mins",A1:CV300,40,FALSE)=0,0,HLOOKUP("SIB",A1:CV300,40,FALSE)/HLOOKUP("Mins",A1:CV300,40,FALSE)* 90)</f>
      </c>
      <c r="BD40" s="8480">
        <f>IF(HLOOKUP("Mins",A1:CV300,40,FALSE)=0,0,HLOOKUP("S6YD",A1:CV300,40,FALSE)/HLOOKUP("Mins",A1:CV300,40,FALSE)* 90)</f>
      </c>
      <c r="BE40" s="8481">
        <f>IF(HLOOKUP("Mins",A1:CV300,40,FALSE)=0,0,HLOOKUP("Headers",A1:CV300,40,FALSE)/HLOOKUP("Mins",A1:CV300,40,FALSE)* 90)</f>
      </c>
      <c r="BF40" s="8482">
        <f>IF(HLOOKUP("Mins",A1:CV300,40,FALSE)=0,0,HLOOKUP("SOT",A1:CV300,40,FALSE)/HLOOKUP("Mins",A1:CV300,40,FALSE)* 90)</f>
      </c>
      <c r="BG40" s="8483">
        <f>IF(HLOOKUP("Mins",A1:CV300,40,FALSE)=0,0,HLOOKUP("As",A1:CV300,40,FALSE)/HLOOKUP("Mins",A1:CV300,40,FALSE)* 90)</f>
      </c>
      <c r="BH40" s="8484">
        <f>IF(HLOOKUP("Mins",A1:CV300,40,FALSE)=0,0,HLOOKUP("FPL As",A1:CV300,40,FALSE)/HLOOKUP("Mins",A1:CV300,40,FALSE)* 90)</f>
      </c>
      <c r="BI40" s="8485">
        <f>IF(HLOOKUP("Mins",A1:CV300,40,FALSE)=0,0,HLOOKUP("BC Created",A1:CV300,40,FALSE)/HLOOKUP("Mins",A1:CV300,40,FALSE)* 90)</f>
      </c>
      <c r="BJ40" s="8486">
        <f>IF(HLOOKUP("Mins",A1:CV300,40,FALSE)=0,0,HLOOKUP("KP",A1:CV300,40,FALSE)/HLOOKUP("Mins",A1:CV300,40,FALSE)* 90)</f>
      </c>
      <c r="BK40" s="8487">
        <f>IF(HLOOKUP("Mins",A1:CV300,40,FALSE)=0,0,HLOOKUP("BC",A1:CV300,40,FALSE)/HLOOKUP("Mins",A1:CV300,40,FALSE)* 90)</f>
      </c>
      <c r="BL40" s="8488">
        <f>IF(HLOOKUP("Mins",A1:CV300,40,FALSE)=0,0,HLOOKUP("BC Miss",A1:CV300,40,FALSE)/HLOOKUP("Mins",A1:CV300,40,FALSE)* 90)</f>
      </c>
      <c r="BM40" s="8489">
        <f>IF(HLOOKUP("Mins",A1:CV300,40,FALSE)=0,0,HLOOKUP("Gs - BC",A1:CV300,40,FALSE)/HLOOKUP("Mins",A1:CV300,40,FALSE)* 90)</f>
      </c>
      <c r="BN40" s="8490">
        <f>IF(HLOOKUP("Mins",A1:CV300,40,FALSE)=0,0,HLOOKUP("GIB",A1:CV300,40,FALSE)/HLOOKUP("Mins",A1:CV300,40,FALSE)* 90)</f>
      </c>
      <c r="BO40" s="8491">
        <f>IF(HLOOKUP("Mins",A1:CV300,40,FALSE)=0,0,HLOOKUP("Gs - Open",A1:CV300,40,FALSE)/HLOOKUP("Mins",A1:CV300,40,FALSE)* 90)</f>
      </c>
      <c r="BP40" s="8492">
        <f>IF(HLOOKUP("Mins",A1:CV300,40,FALSE)=0,0,HLOOKUP("ICT Index",A1:CV300,40,FALSE)/HLOOKUP("Mins",A1:CV300,40,FALSE)* 90)</f>
      </c>
      <c r="BQ40" s="8493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</c>
      <c r="BR40" s="8494">
        <f>0.0825*HLOOKUP("KP/90",A1:CV300,40,FALSE)</f>
      </c>
      <c r="BS40" s="8495">
        <f>6*HLOOKUP("xG/90",A1:CV300,40,FALSE)+3*HLOOKUP("xA/90",A1:CV300,40,FALSE)</f>
      </c>
      <c r="BT40" s="8496">
        <f>HLOOKUP("xPts/90",A1:CV300,40,FALSE)-(6*0.75*(HLOOKUP("PK Gs",A1:CV300,40,FALSE)+HLOOKUP("PK Miss",A1:CV300,40,FALSE))*90/HLOOKUP("Mins",A1:CV300,40,FALSE))</f>
      </c>
      <c r="BU40" s="8497">
        <f>IF(HLOOKUP("Mins",A1:CV300,40,FALSE)=0,0,HLOOKUP("fsXG",A1:CV300,40,FALSE)/HLOOKUP("Mins",A1:CV300,40,FALSE)* 90)</f>
      </c>
      <c r="BV40" s="8498">
        <f>IF(HLOOKUP("Mins",A1:CV300,40,FALSE)=0,0,HLOOKUP("fsXA",A1:CV300,40,FALSE)/HLOOKUP("Mins",A1:CV300,40,FALSE)* 90)</f>
      </c>
      <c r="BW40" s="8499">
        <f>6*HLOOKUP("fsXG/90",A1:CV300,40,FALSE)+3*HLOOKUP("fsXA/90",A1:CV300,40,FALSE)</f>
      </c>
      <c r="BX40" t="n" s="8500">
        <v>0.007019001059234142</v>
      </c>
      <c r="BY40" t="n" s="8501">
        <v>0.0031339232809841633</v>
      </c>
      <c r="BZ40" s="8502">
        <f>6*HLOOKUP("uXG/90",A1:CV300,40,FALSE)+3*HLOOKUP("uXA/90",A1:CV300,40,FALSE)</f>
      </c>
    </row>
    <row r="41">
      <c r="A41" t="s" s="8503">
        <v>206</v>
      </c>
      <c r="B41" t="s" s="8504">
        <v>90</v>
      </c>
      <c r="C41" t="n" s="8505">
        <v>4.300000190734863</v>
      </c>
      <c r="D41" t="n" s="8506">
        <v>540.0</v>
      </c>
      <c r="E41" t="n" s="8507">
        <v>6.0</v>
      </c>
      <c r="F41" t="n" s="8508">
        <v>45.0</v>
      </c>
      <c r="G41" t="n" s="8509">
        <v>0.0</v>
      </c>
      <c r="H41" t="n" s="8510">
        <v>1.0</v>
      </c>
      <c r="I41" t="n" s="8511">
        <v>338.0</v>
      </c>
      <c r="J41" s="8512">
        <f>HLOOKUP("BPS",A1:CV300,41,FALSE)-((-6*HLOOKUP("OG",A1:CV300,41,FALSE))+(-6*HLOOKUP("PK Miss",A1:CV300,41,FALSE))+(9*HLOOKUP("FPL As",A1:CV300,41,FALSE))+(12*HLOOKUP("CS",A1:CV300,41,FALSE))+(12*HLOOKUP("Gs",A1:CV300,41,FALSE)))</f>
      </c>
      <c r="K41" t="n" s="8513">
        <v>0.0</v>
      </c>
      <c r="L41" t="n" s="8514">
        <v>4.0</v>
      </c>
      <c r="M41" t="n" s="8515">
        <v>13.0</v>
      </c>
      <c r="N41" t="n" s="8516">
        <v>3.0</v>
      </c>
      <c r="O41" t="n" s="8517">
        <v>2.0</v>
      </c>
      <c r="P41" s="8518">
        <f>IF(HLOOKUP("Shots",A1:CV300,41,FALSE)=0,0,HLOOKUP("SIB",A1:CV300,41,FALSE)/HLOOKUP("Shots",A1:CV300,41,FALSE))</f>
      </c>
      <c r="Q41" t="n" s="8519">
        <v>0.0</v>
      </c>
      <c r="R41" s="8520">
        <f>IF(HLOOKUP("Shots",A1:CV300,41,FALSE)=0,0,HLOOKUP("S6YD",A1:CV300,41,FALSE)/HLOOKUP("Shots",A1:CV300,41,FALSE))</f>
      </c>
      <c r="S41" t="n" s="8521">
        <v>0.0</v>
      </c>
      <c r="T41" s="8522">
        <f>IF(HLOOKUP("Shots",A1:CV300,41,FALSE)=0,0,HLOOKUP("Headers",A1:CV300,41,FALSE)/HLOOKUP("Shots",A1:CV300,41,FALSE))</f>
      </c>
      <c r="U41" t="n" s="8523">
        <v>0.0</v>
      </c>
      <c r="V41" s="8524">
        <f>IF(HLOOKUP("Shots",A1:CV300,41,FALSE)=0,0,HLOOKUP("SOT",A1:CV300,41,FALSE)/HLOOKUP("Shots",A1:CV300,41,FALSE))</f>
      </c>
      <c r="W41" s="8525">
        <f>IF(HLOOKUP("Shots",A1:CV300,41,FALSE)=0,0,HLOOKUP("Gs",A1:CV300,41,FALSE)/HLOOKUP("Shots",A1:CV300,41,FALSE))</f>
      </c>
      <c r="X41" t="n" s="8526">
        <v>0.0</v>
      </c>
      <c r="Y41" t="n" s="8527">
        <v>1.0</v>
      </c>
      <c r="Z41" t="n" s="8528">
        <v>5.0</v>
      </c>
      <c r="AA41" s="8529">
        <f>IF(HLOOKUP("KP",A1:CV300,41,FALSE)=0,0,HLOOKUP("As",A1:CV300,41,FALSE)/HLOOKUP("KP",A1:CV300,41,FALSE))</f>
      </c>
      <c r="AB41" t="n" s="8530">
        <v>22.3</v>
      </c>
      <c r="AC41" t="n" s="8531">
        <v>33.0</v>
      </c>
      <c r="AD41" t="n" s="8532">
        <v>1.0</v>
      </c>
      <c r="AE41" t="n" s="8533">
        <v>0.0</v>
      </c>
      <c r="AF41" t="n" s="8534">
        <v>0.0</v>
      </c>
      <c r="AG41" s="8535">
        <f>IF(HLOOKUP("BC",A1:CV300,41,FALSE)=0,0,HLOOKUP("Gs - BC",A1:CV300,41,FALSE)/HLOOKUP("BC",A1:CV300,41,FALSE))</f>
      </c>
      <c r="AH41" s="8536">
        <f>HLOOKUP("BC",A1:CV300,41,FALSE) - HLOOKUP("BC Miss",A1:CV300,41,FALSE)</f>
      </c>
      <c r="AI41" s="8537">
        <f>IF(HLOOKUP("Gs",A1:CV300,41,FALSE)=0,0,HLOOKUP("Gs - BC",A1:CV300,41,FALSE)/HLOOKUP("Gs",A1:CV300,41,FALSE))</f>
      </c>
      <c r="AJ41" t="n" s="8538">
        <v>0.0</v>
      </c>
      <c r="AK41" t="n" s="8539">
        <v>0.0</v>
      </c>
      <c r="AL41" s="8540">
        <f>HLOOKUP("BC",A1:CV300,41,FALSE) - (HLOOKUP("PK Gs",A1:CV300,41,FALSE) + HLOOKUP("PK Miss",A1:CV300,41,FALSE))</f>
      </c>
      <c r="AM41" s="8541">
        <f>HLOOKUP("BC Miss",A1:CV300,41,FALSE) - HLOOKUP("PK Miss",A1:CV300,41,FALSE)</f>
      </c>
      <c r="AN41" s="8542">
        <f>IF(HLOOKUP("BC - Open",A1:CV300,41,FALSE)=0,0,HLOOKUP("BC - Open Miss",A1:CV300,41,FALSE)/HLOOKUP("BC - Open",A1:CV300,41,FALSE))</f>
      </c>
      <c r="AO41" t="n" s="8543">
        <v>0.0</v>
      </c>
      <c r="AP41" s="8544">
        <f>IF(HLOOKUP("Gs",A1:CV300,41,FALSE)=0,0,HLOOKUP("GIB",A1:CV300,41,FALSE)/HLOOKUP("Gs",A1:CV300,41,FALSE))</f>
      </c>
      <c r="AQ41" t="n" s="8545">
        <v>0.0</v>
      </c>
      <c r="AR41" s="8546">
        <f>IF(HLOOKUP("Gs",A1:CV300,41,FALSE)=0,0,HLOOKUP("Gs - Open",A1:CV300,41,FALSE)/HLOOKUP("Gs",A1:CV300,41,FALSE))</f>
      </c>
      <c r="AS41" t="n" s="8547">
        <v>0.12</v>
      </c>
      <c r="AT41" t="n" s="8548">
        <v>0.73</v>
      </c>
      <c r="AU41" s="8549">
        <f>IF(HLOOKUP("Mins",A1:CV300,41,FALSE)=0,0,HLOOKUP("Pts",A1:CV300,41,FALSE)/HLOOKUP("Mins",A1:CV300,41,FALSE)* 90)</f>
      </c>
      <c r="AV41" s="8550">
        <f>IF(HLOOKUP("Apps",A1:CV300,41,FALSE)=0,0,HLOOKUP("Pts",A1:CV300,41,FALSE)/HLOOKUP("Apps",A1:CV300,41,FALSE)* 1)</f>
      </c>
      <c r="AW41" s="8551">
        <f>IF(HLOOKUP("Mins",A1:CV300,41,FALSE)=0,0,HLOOKUP("Gs",A1:CV300,41,FALSE)/HLOOKUP("Mins",A1:CV300,41,FALSE)* 90)</f>
      </c>
      <c r="AX41" s="8552">
        <f>IF(HLOOKUP("Mins",A1:CV300,41,FALSE)=0,0,HLOOKUP("Bonus",A1:CV300,41,FALSE)/HLOOKUP("Mins",A1:CV300,41,FALSE)* 90)</f>
      </c>
      <c r="AY41" s="8553">
        <f>IF(HLOOKUP("Mins",A1:CV300,41,FALSE)=0,0,HLOOKUP("BPS",A1:CV300,41,FALSE)/HLOOKUP("Mins",A1:CV300,41,FALSE)* 90)</f>
      </c>
      <c r="AZ41" s="8554">
        <f>IF(HLOOKUP("Mins",A1:CV300,41,FALSE)=0,0,HLOOKUP("Base BPS",A1:CV300,41,FALSE)/HLOOKUP("Mins",A1:CV300,41,FALSE)* 90)</f>
      </c>
      <c r="BA41" s="8555">
        <f>IF(HLOOKUP("Mins",A1:CV300,41,FALSE)=0,0,HLOOKUP("PenTchs",A1:CV300,41,FALSE)/HLOOKUP("Mins",A1:CV300,41,FALSE)* 90)</f>
      </c>
      <c r="BB41" s="8556">
        <f>IF(HLOOKUP("Mins",A1:CV300,41,FALSE)=0,0,HLOOKUP("Shots",A1:CV300,41,FALSE)/HLOOKUP("Mins",A1:CV300,41,FALSE)* 90)</f>
      </c>
      <c r="BC41" s="8557">
        <f>IF(HLOOKUP("Mins",A1:CV300,41,FALSE)=0,0,HLOOKUP("SIB",A1:CV300,41,FALSE)/HLOOKUP("Mins",A1:CV300,41,FALSE)* 90)</f>
      </c>
      <c r="BD41" s="8558">
        <f>IF(HLOOKUP("Mins",A1:CV300,41,FALSE)=0,0,HLOOKUP("S6YD",A1:CV300,41,FALSE)/HLOOKUP("Mins",A1:CV300,41,FALSE)* 90)</f>
      </c>
      <c r="BE41" s="8559">
        <f>IF(HLOOKUP("Mins",A1:CV300,41,FALSE)=0,0,HLOOKUP("Headers",A1:CV300,41,FALSE)/HLOOKUP("Mins",A1:CV300,41,FALSE)* 90)</f>
      </c>
      <c r="BF41" s="8560">
        <f>IF(HLOOKUP("Mins",A1:CV300,41,FALSE)=0,0,HLOOKUP("SOT",A1:CV300,41,FALSE)/HLOOKUP("Mins",A1:CV300,41,FALSE)* 90)</f>
      </c>
      <c r="BG41" s="8561">
        <f>IF(HLOOKUP("Mins",A1:CV300,41,FALSE)=0,0,HLOOKUP("As",A1:CV300,41,FALSE)/HLOOKUP("Mins",A1:CV300,41,FALSE)* 90)</f>
      </c>
      <c r="BH41" s="8562">
        <f>IF(HLOOKUP("Mins",A1:CV300,41,FALSE)=0,0,HLOOKUP("FPL As",A1:CV300,41,FALSE)/HLOOKUP("Mins",A1:CV300,41,FALSE)* 90)</f>
      </c>
      <c r="BI41" s="8563">
        <f>IF(HLOOKUP("Mins",A1:CV300,41,FALSE)=0,0,HLOOKUP("BC Created",A1:CV300,41,FALSE)/HLOOKUP("Mins",A1:CV300,41,FALSE)* 90)</f>
      </c>
      <c r="BJ41" s="8564">
        <f>IF(HLOOKUP("Mins",A1:CV300,41,FALSE)=0,0,HLOOKUP("KP",A1:CV300,41,FALSE)/HLOOKUP("Mins",A1:CV300,41,FALSE)* 90)</f>
      </c>
      <c r="BK41" s="8565">
        <f>IF(HLOOKUP("Mins",A1:CV300,41,FALSE)=0,0,HLOOKUP("BC",A1:CV300,41,FALSE)/HLOOKUP("Mins",A1:CV300,41,FALSE)* 90)</f>
      </c>
      <c r="BL41" s="8566">
        <f>IF(HLOOKUP("Mins",A1:CV300,41,FALSE)=0,0,HLOOKUP("BC Miss",A1:CV300,41,FALSE)/HLOOKUP("Mins",A1:CV300,41,FALSE)* 90)</f>
      </c>
      <c r="BM41" s="8567">
        <f>IF(HLOOKUP("Mins",A1:CV300,41,FALSE)=0,0,HLOOKUP("Gs - BC",A1:CV300,41,FALSE)/HLOOKUP("Mins",A1:CV300,41,FALSE)* 90)</f>
      </c>
      <c r="BN41" s="8568">
        <f>IF(HLOOKUP("Mins",A1:CV300,41,FALSE)=0,0,HLOOKUP("GIB",A1:CV300,41,FALSE)/HLOOKUP("Mins",A1:CV300,41,FALSE)* 90)</f>
      </c>
      <c r="BO41" s="8569">
        <f>IF(HLOOKUP("Mins",A1:CV300,41,FALSE)=0,0,HLOOKUP("Gs - Open",A1:CV300,41,FALSE)/HLOOKUP("Mins",A1:CV300,41,FALSE)* 90)</f>
      </c>
      <c r="BP41" s="8570">
        <f>IF(HLOOKUP("Mins",A1:CV300,41,FALSE)=0,0,HLOOKUP("ICT Index",A1:CV300,41,FALSE)/HLOOKUP("Mins",A1:CV300,41,FALSE)* 90)</f>
      </c>
      <c r="BQ41" s="8571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</c>
      <c r="BR41" s="8572">
        <f>0.0825*HLOOKUP("KP/90",A1:CV300,41,FALSE)</f>
      </c>
      <c r="BS41" s="8573">
        <f>6*HLOOKUP("xG/90",A1:CV300,41,FALSE)+3*HLOOKUP("xA/90",A1:CV300,41,FALSE)</f>
      </c>
      <c r="BT41" s="8574">
        <f>HLOOKUP("xPts/90",A1:CV300,41,FALSE)-(6*0.75*(HLOOKUP("PK Gs",A1:CV300,41,FALSE)+HLOOKUP("PK Miss",A1:CV300,41,FALSE))*90/HLOOKUP("Mins",A1:CV300,41,FALSE))</f>
      </c>
      <c r="BU41" s="8575">
        <f>IF(HLOOKUP("Mins",A1:CV300,41,FALSE)=0,0,HLOOKUP("fsXG",A1:CV300,41,FALSE)/HLOOKUP("Mins",A1:CV300,41,FALSE)* 90)</f>
      </c>
      <c r="BV41" s="8576">
        <f>IF(HLOOKUP("Mins",A1:CV300,41,FALSE)=0,0,HLOOKUP("fsXA",A1:CV300,41,FALSE)/HLOOKUP("Mins",A1:CV300,41,FALSE)* 90)</f>
      </c>
      <c r="BW41" s="8577">
        <f>6*HLOOKUP("fsXG/90",A1:CV300,41,FALSE)+3*HLOOKUP("fsXA/90",A1:CV300,41,FALSE)</f>
      </c>
      <c r="BX41" t="n" s="8578">
        <v>0.023419732227921486</v>
      </c>
      <c r="BY41" t="n" s="8579">
        <v>0.15989628434181213</v>
      </c>
      <c r="BZ41" s="8580">
        <f>6*HLOOKUP("uXG/90",A1:CV300,41,FALSE)+3*HLOOKUP("uXA/90",A1:CV300,41,FALSE)</f>
      </c>
    </row>
    <row r="42">
      <c r="A42" t="s" s="8581">
        <v>207</v>
      </c>
      <c r="B42" t="s" s="8582">
        <v>149</v>
      </c>
      <c r="C42" t="n" s="8583">
        <v>5.400000095367432</v>
      </c>
      <c r="D42" t="n" s="8584">
        <v>105.0</v>
      </c>
      <c r="E42" t="n" s="8585">
        <v>2.0</v>
      </c>
      <c r="F42" t="n" s="8586">
        <v>18.0</v>
      </c>
      <c r="G42" t="n" s="8587">
        <v>0.0</v>
      </c>
      <c r="H42" t="n" s="8588">
        <v>0.0</v>
      </c>
      <c r="I42" t="n" s="8589">
        <v>179.0</v>
      </c>
      <c r="J42" s="8590">
        <f>HLOOKUP("BPS",A1:CV300,42,FALSE)-((-6*HLOOKUP("OG",A1:CV300,42,FALSE))+(-6*HLOOKUP("PK Miss",A1:CV300,42,FALSE))+(9*HLOOKUP("FPL As",A1:CV300,42,FALSE))+(12*HLOOKUP("CS",A1:CV300,42,FALSE))+(12*HLOOKUP("Gs",A1:CV300,42,FALSE)))</f>
      </c>
      <c r="K42" t="n" s="8591">
        <v>0.0</v>
      </c>
      <c r="L42" t="n" s="8592">
        <v>1.0</v>
      </c>
      <c r="M42" t="n" s="8593">
        <v>7.0</v>
      </c>
      <c r="N42" t="n" s="8594">
        <v>2.0</v>
      </c>
      <c r="O42" t="n" s="8595">
        <v>1.0</v>
      </c>
      <c r="P42" s="8596">
        <f>IF(HLOOKUP("Shots",A1:CV300,42,FALSE)=0,0,HLOOKUP("SIB",A1:CV300,42,FALSE)/HLOOKUP("Shots",A1:CV300,42,FALSE))</f>
      </c>
      <c r="Q42" t="n" s="8597">
        <v>0.0</v>
      </c>
      <c r="R42" s="8598">
        <f>IF(HLOOKUP("Shots",A1:CV300,42,FALSE)=0,0,HLOOKUP("S6YD",A1:CV300,42,FALSE)/HLOOKUP("Shots",A1:CV300,42,FALSE))</f>
      </c>
      <c r="S42" t="n" s="8599">
        <v>0.0</v>
      </c>
      <c r="T42" s="8600">
        <f>IF(HLOOKUP("Shots",A1:CV300,42,FALSE)=0,0,HLOOKUP("Headers",A1:CV300,42,FALSE)/HLOOKUP("Shots",A1:CV300,42,FALSE))</f>
      </c>
      <c r="U42" t="n" s="8601">
        <v>0.0</v>
      </c>
      <c r="V42" s="8602">
        <f>IF(HLOOKUP("Shots",A1:CV300,42,FALSE)=0,0,HLOOKUP("SOT",A1:CV300,42,FALSE)/HLOOKUP("Shots",A1:CV300,42,FALSE))</f>
      </c>
      <c r="W42" s="8603">
        <f>IF(HLOOKUP("Shots",A1:CV300,42,FALSE)=0,0,HLOOKUP("Gs",A1:CV300,42,FALSE)/HLOOKUP("Shots",A1:CV300,42,FALSE))</f>
      </c>
      <c r="X42" t="n" s="8604">
        <v>0.0</v>
      </c>
      <c r="Y42" t="n" s="8605">
        <v>0.0</v>
      </c>
      <c r="Z42" t="n" s="8606">
        <v>5.0</v>
      </c>
      <c r="AA42" s="8607">
        <f>IF(HLOOKUP("KP",A1:CV300,42,FALSE)=0,0,HLOOKUP("As",A1:CV300,42,FALSE)/HLOOKUP("KP",A1:CV300,42,FALSE))</f>
      </c>
      <c r="AB42" t="n" s="8608">
        <v>13.0</v>
      </c>
      <c r="AC42" t="n" s="8609">
        <v>0.0</v>
      </c>
      <c r="AD42" t="n" s="8610">
        <v>0.0</v>
      </c>
      <c r="AE42" t="n" s="8611">
        <v>0.0</v>
      </c>
      <c r="AF42" t="n" s="8612">
        <v>0.0</v>
      </c>
      <c r="AG42" s="8613">
        <f>IF(HLOOKUP("BC",A1:CV300,42,FALSE)=0,0,HLOOKUP("Gs - BC",A1:CV300,42,FALSE)/HLOOKUP("BC",A1:CV300,42,FALSE))</f>
      </c>
      <c r="AH42" s="8614">
        <f>HLOOKUP("BC",A1:CV300,42,FALSE) - HLOOKUP("BC Miss",A1:CV300,42,FALSE)</f>
      </c>
      <c r="AI42" s="8615">
        <f>IF(HLOOKUP("Gs",A1:CV300,42,FALSE)=0,0,HLOOKUP("Gs - BC",A1:CV300,42,FALSE)/HLOOKUP("Gs",A1:CV300,42,FALSE))</f>
      </c>
      <c r="AJ42" t="n" s="8616">
        <v>0.0</v>
      </c>
      <c r="AK42" t="n" s="8617">
        <v>0.0</v>
      </c>
      <c r="AL42" s="8618">
        <f>HLOOKUP("BC",A1:CV300,42,FALSE) - (HLOOKUP("PK Gs",A1:CV300,42,FALSE) + HLOOKUP("PK Miss",A1:CV300,42,FALSE))</f>
      </c>
      <c r="AM42" s="8619">
        <f>HLOOKUP("BC Miss",A1:CV300,42,FALSE) - HLOOKUP("PK Miss",A1:CV300,42,FALSE)</f>
      </c>
      <c r="AN42" s="8620">
        <f>IF(HLOOKUP("BC - Open",A1:CV300,42,FALSE)=0,0,HLOOKUP("BC - Open Miss",A1:CV300,42,FALSE)/HLOOKUP("BC - Open",A1:CV300,42,FALSE))</f>
      </c>
      <c r="AO42" t="n" s="8621">
        <v>0.0</v>
      </c>
      <c r="AP42" s="8622">
        <f>IF(HLOOKUP("Gs",A1:CV300,42,FALSE)=0,0,HLOOKUP("GIB",A1:CV300,42,FALSE)/HLOOKUP("Gs",A1:CV300,42,FALSE))</f>
      </c>
      <c r="AQ42" t="n" s="8623">
        <v>0.0</v>
      </c>
      <c r="AR42" s="8624">
        <f>IF(HLOOKUP("Gs",A1:CV300,42,FALSE)=0,0,HLOOKUP("Gs - Open",A1:CV300,42,FALSE)/HLOOKUP("Gs",A1:CV300,42,FALSE))</f>
      </c>
      <c r="AS42" t="n" s="8625">
        <v>0.07</v>
      </c>
      <c r="AT42" t="n" s="8626">
        <v>0.22</v>
      </c>
      <c r="AU42" s="8627">
        <f>IF(HLOOKUP("Mins",A1:CV300,42,FALSE)=0,0,HLOOKUP("Pts",A1:CV300,42,FALSE)/HLOOKUP("Mins",A1:CV300,42,FALSE)* 90)</f>
      </c>
      <c r="AV42" s="8628">
        <f>IF(HLOOKUP("Apps",A1:CV300,42,FALSE)=0,0,HLOOKUP("Pts",A1:CV300,42,FALSE)/HLOOKUP("Apps",A1:CV300,42,FALSE)* 1)</f>
      </c>
      <c r="AW42" s="8629">
        <f>IF(HLOOKUP("Mins",A1:CV300,42,FALSE)=0,0,HLOOKUP("Gs",A1:CV300,42,FALSE)/HLOOKUP("Mins",A1:CV300,42,FALSE)* 90)</f>
      </c>
      <c r="AX42" s="8630">
        <f>IF(HLOOKUP("Mins",A1:CV300,42,FALSE)=0,0,HLOOKUP("Bonus",A1:CV300,42,FALSE)/HLOOKUP("Mins",A1:CV300,42,FALSE)* 90)</f>
      </c>
      <c r="AY42" s="8631">
        <f>IF(HLOOKUP("Mins",A1:CV300,42,FALSE)=0,0,HLOOKUP("BPS",A1:CV300,42,FALSE)/HLOOKUP("Mins",A1:CV300,42,FALSE)* 90)</f>
      </c>
      <c r="AZ42" s="8632">
        <f>IF(HLOOKUP("Mins",A1:CV300,42,FALSE)=0,0,HLOOKUP("Base BPS",A1:CV300,42,FALSE)/HLOOKUP("Mins",A1:CV300,42,FALSE)* 90)</f>
      </c>
      <c r="BA42" s="8633">
        <f>IF(HLOOKUP("Mins",A1:CV300,42,FALSE)=0,0,HLOOKUP("PenTchs",A1:CV300,42,FALSE)/HLOOKUP("Mins",A1:CV300,42,FALSE)* 90)</f>
      </c>
      <c r="BB42" s="8634">
        <f>IF(HLOOKUP("Mins",A1:CV300,42,FALSE)=0,0,HLOOKUP("Shots",A1:CV300,42,FALSE)/HLOOKUP("Mins",A1:CV300,42,FALSE)* 90)</f>
      </c>
      <c r="BC42" s="8635">
        <f>IF(HLOOKUP("Mins",A1:CV300,42,FALSE)=0,0,HLOOKUP("SIB",A1:CV300,42,FALSE)/HLOOKUP("Mins",A1:CV300,42,FALSE)* 90)</f>
      </c>
      <c r="BD42" s="8636">
        <f>IF(HLOOKUP("Mins",A1:CV300,42,FALSE)=0,0,HLOOKUP("S6YD",A1:CV300,42,FALSE)/HLOOKUP("Mins",A1:CV300,42,FALSE)* 90)</f>
      </c>
      <c r="BE42" s="8637">
        <f>IF(HLOOKUP("Mins",A1:CV300,42,FALSE)=0,0,HLOOKUP("Headers",A1:CV300,42,FALSE)/HLOOKUP("Mins",A1:CV300,42,FALSE)* 90)</f>
      </c>
      <c r="BF42" s="8638">
        <f>IF(HLOOKUP("Mins",A1:CV300,42,FALSE)=0,0,HLOOKUP("SOT",A1:CV300,42,FALSE)/HLOOKUP("Mins",A1:CV300,42,FALSE)* 90)</f>
      </c>
      <c r="BG42" s="8639">
        <f>IF(HLOOKUP("Mins",A1:CV300,42,FALSE)=0,0,HLOOKUP("As",A1:CV300,42,FALSE)/HLOOKUP("Mins",A1:CV300,42,FALSE)* 90)</f>
      </c>
      <c r="BH42" s="8640">
        <f>IF(HLOOKUP("Mins",A1:CV300,42,FALSE)=0,0,HLOOKUP("FPL As",A1:CV300,42,FALSE)/HLOOKUP("Mins",A1:CV300,42,FALSE)* 90)</f>
      </c>
      <c r="BI42" s="8641">
        <f>IF(HLOOKUP("Mins",A1:CV300,42,FALSE)=0,0,HLOOKUP("BC Created",A1:CV300,42,FALSE)/HLOOKUP("Mins",A1:CV300,42,FALSE)* 90)</f>
      </c>
      <c r="BJ42" s="8642">
        <f>IF(HLOOKUP("Mins",A1:CV300,42,FALSE)=0,0,HLOOKUP("KP",A1:CV300,42,FALSE)/HLOOKUP("Mins",A1:CV300,42,FALSE)* 90)</f>
      </c>
      <c r="BK42" s="8643">
        <f>IF(HLOOKUP("Mins",A1:CV300,42,FALSE)=0,0,HLOOKUP("BC",A1:CV300,42,FALSE)/HLOOKUP("Mins",A1:CV300,42,FALSE)* 90)</f>
      </c>
      <c r="BL42" s="8644">
        <f>IF(HLOOKUP("Mins",A1:CV300,42,FALSE)=0,0,HLOOKUP("BC Miss",A1:CV300,42,FALSE)/HLOOKUP("Mins",A1:CV300,42,FALSE)* 90)</f>
      </c>
      <c r="BM42" s="8645">
        <f>IF(HLOOKUP("Mins",A1:CV300,42,FALSE)=0,0,HLOOKUP("Gs - BC",A1:CV300,42,FALSE)/HLOOKUP("Mins",A1:CV300,42,FALSE)* 90)</f>
      </c>
      <c r="BN42" s="8646">
        <f>IF(HLOOKUP("Mins",A1:CV300,42,FALSE)=0,0,HLOOKUP("GIB",A1:CV300,42,FALSE)/HLOOKUP("Mins",A1:CV300,42,FALSE)* 90)</f>
      </c>
      <c r="BO42" s="8647">
        <f>IF(HLOOKUP("Mins",A1:CV300,42,FALSE)=0,0,HLOOKUP("Gs - Open",A1:CV300,42,FALSE)/HLOOKUP("Mins",A1:CV300,42,FALSE)* 90)</f>
      </c>
      <c r="BP42" s="8648">
        <f>IF(HLOOKUP("Mins",A1:CV300,42,FALSE)=0,0,HLOOKUP("ICT Index",A1:CV300,42,FALSE)/HLOOKUP("Mins",A1:CV300,42,FALSE)* 90)</f>
      </c>
      <c r="BQ42" s="8649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</c>
      <c r="BR42" s="8650">
        <f>0.0825*HLOOKUP("KP/90",A1:CV300,42,FALSE)</f>
      </c>
      <c r="BS42" s="8651">
        <f>6*HLOOKUP("xG/90",A1:CV300,42,FALSE)+3*HLOOKUP("xA/90",A1:CV300,42,FALSE)</f>
      </c>
      <c r="BT42" s="8652">
        <f>HLOOKUP("xPts/90",A1:CV300,42,FALSE)-(6*0.75*(HLOOKUP("PK Gs",A1:CV300,42,FALSE)+HLOOKUP("PK Miss",A1:CV300,42,FALSE))*90/HLOOKUP("Mins",A1:CV300,42,FALSE))</f>
      </c>
      <c r="BU42" s="8653">
        <f>IF(HLOOKUP("Mins",A1:CV300,42,FALSE)=0,0,HLOOKUP("fsXG",A1:CV300,42,FALSE)/HLOOKUP("Mins",A1:CV300,42,FALSE)* 90)</f>
      </c>
      <c r="BV42" s="8654">
        <f>IF(HLOOKUP("Mins",A1:CV300,42,FALSE)=0,0,HLOOKUP("fsXA",A1:CV300,42,FALSE)/HLOOKUP("Mins",A1:CV300,42,FALSE)* 90)</f>
      </c>
      <c r="BW42" s="8655">
        <f>6*HLOOKUP("fsXG/90",A1:CV300,42,FALSE)+3*HLOOKUP("fsXA/90",A1:CV300,42,FALSE)</f>
      </c>
      <c r="BX42" t="n" s="8656">
        <v>0.06808454543352127</v>
      </c>
      <c r="BY42" t="n" s="8657">
        <v>0.3060610592365265</v>
      </c>
      <c r="BZ42" s="8658">
        <f>6*HLOOKUP("uXG/90",A1:CV300,42,FALSE)+3*HLOOKUP("uXA/90",A1:CV300,42,FALSE)</f>
      </c>
    </row>
    <row r="43">
      <c r="A43" t="s" s="8659">
        <v>208</v>
      </c>
      <c r="B43" t="s" s="8660">
        <v>80</v>
      </c>
      <c r="C43" t="n" s="8661">
        <v>5.099999904632568</v>
      </c>
      <c r="D43" t="n" s="8662">
        <v>360.0</v>
      </c>
      <c r="E43" t="n" s="8663">
        <v>4.0</v>
      </c>
      <c r="F43" t="n" s="8664">
        <v>25.0</v>
      </c>
      <c r="G43" t="n" s="8665">
        <v>0.0</v>
      </c>
      <c r="H43" t="n" s="8666">
        <v>1.0</v>
      </c>
      <c r="I43" t="n" s="8667">
        <v>125.0</v>
      </c>
      <c r="J43" s="8668">
        <f>HLOOKUP("BPS",A1:CV300,43,FALSE)-((-6*HLOOKUP("OG",A1:CV300,43,FALSE))+(-6*HLOOKUP("PK Miss",A1:CV300,43,FALSE))+(9*HLOOKUP("FPL As",A1:CV300,43,FALSE))+(12*HLOOKUP("CS",A1:CV300,43,FALSE))+(12*HLOOKUP("Gs",A1:CV300,43,FALSE)))</f>
      </c>
      <c r="K43" t="n" s="8669">
        <v>0.0</v>
      </c>
      <c r="L43" t="n" s="8670">
        <v>2.0</v>
      </c>
      <c r="M43" t="n" s="8671">
        <v>7.0</v>
      </c>
      <c r="N43" t="n" s="8672">
        <v>4.0</v>
      </c>
      <c r="O43" t="n" s="8673">
        <v>4.0</v>
      </c>
      <c r="P43" s="8674">
        <f>IF(HLOOKUP("Shots",A1:CV300,43,FALSE)=0,0,HLOOKUP("SIB",A1:CV300,43,FALSE)/HLOOKUP("Shots",A1:CV300,43,FALSE))</f>
      </c>
      <c r="Q43" t="n" s="8675">
        <v>0.0</v>
      </c>
      <c r="R43" s="8676">
        <f>IF(HLOOKUP("Shots",A1:CV300,43,FALSE)=0,0,HLOOKUP("S6YD",A1:CV300,43,FALSE)/HLOOKUP("Shots",A1:CV300,43,FALSE))</f>
      </c>
      <c r="S43" t="n" s="8677">
        <v>3.0</v>
      </c>
      <c r="T43" s="8678">
        <f>IF(HLOOKUP("Shots",A1:CV300,43,FALSE)=0,0,HLOOKUP("Headers",A1:CV300,43,FALSE)/HLOOKUP("Shots",A1:CV300,43,FALSE))</f>
      </c>
      <c r="U43" t="n" s="8679">
        <v>1.0</v>
      </c>
      <c r="V43" s="8680">
        <f>IF(HLOOKUP("Shots",A1:CV300,43,FALSE)=0,0,HLOOKUP("SOT",A1:CV300,43,FALSE)/HLOOKUP("Shots",A1:CV300,43,FALSE))</f>
      </c>
      <c r="W43" s="8681">
        <f>IF(HLOOKUP("Shots",A1:CV300,43,FALSE)=0,0,HLOOKUP("Gs",A1:CV300,43,FALSE)/HLOOKUP("Shots",A1:CV300,43,FALSE))</f>
      </c>
      <c r="X43" t="n" s="8682">
        <v>1.0</v>
      </c>
      <c r="Y43" t="n" s="8683">
        <v>2.0</v>
      </c>
      <c r="Z43" t="n" s="8684">
        <v>1.0</v>
      </c>
      <c r="AA43" s="8685">
        <f>IF(HLOOKUP("KP",A1:CV300,43,FALSE)=0,0,HLOOKUP("As",A1:CV300,43,FALSE)/HLOOKUP("KP",A1:CV300,43,FALSE))</f>
      </c>
      <c r="AB43" t="n" s="8686">
        <v>18.2</v>
      </c>
      <c r="AC43" t="n" s="8687">
        <v>14.0</v>
      </c>
      <c r="AD43" t="n" s="8688">
        <v>1.0</v>
      </c>
      <c r="AE43" t="n" s="8689">
        <v>0.0</v>
      </c>
      <c r="AF43" t="n" s="8690">
        <v>0.0</v>
      </c>
      <c r="AG43" s="8691">
        <f>IF(HLOOKUP("BC",A1:CV300,43,FALSE)=0,0,HLOOKUP("Gs - BC",A1:CV300,43,FALSE)/HLOOKUP("BC",A1:CV300,43,FALSE))</f>
      </c>
      <c r="AH43" s="8692">
        <f>HLOOKUP("BC",A1:CV300,43,FALSE) - HLOOKUP("BC Miss",A1:CV300,43,FALSE)</f>
      </c>
      <c r="AI43" s="8693">
        <f>IF(HLOOKUP("Gs",A1:CV300,43,FALSE)=0,0,HLOOKUP("Gs - BC",A1:CV300,43,FALSE)/HLOOKUP("Gs",A1:CV300,43,FALSE))</f>
      </c>
      <c r="AJ43" t="n" s="8694">
        <v>0.0</v>
      </c>
      <c r="AK43" t="n" s="8695">
        <v>0.0</v>
      </c>
      <c r="AL43" s="8696">
        <f>HLOOKUP("BC",A1:CV300,43,FALSE) - (HLOOKUP("PK Gs",A1:CV300,43,FALSE) + HLOOKUP("PK Miss",A1:CV300,43,FALSE))</f>
      </c>
      <c r="AM43" s="8697">
        <f>HLOOKUP("BC Miss",A1:CV300,43,FALSE) - HLOOKUP("PK Miss",A1:CV300,43,FALSE)</f>
      </c>
      <c r="AN43" s="8698">
        <f>IF(HLOOKUP("BC - Open",A1:CV300,43,FALSE)=0,0,HLOOKUP("BC - Open Miss",A1:CV300,43,FALSE)/HLOOKUP("BC - Open",A1:CV300,43,FALSE))</f>
      </c>
      <c r="AO43" t="n" s="8699">
        <v>0.0</v>
      </c>
      <c r="AP43" s="8700">
        <f>IF(HLOOKUP("Gs",A1:CV300,43,FALSE)=0,0,HLOOKUP("GIB",A1:CV300,43,FALSE)/HLOOKUP("Gs",A1:CV300,43,FALSE))</f>
      </c>
      <c r="AQ43" t="n" s="8701">
        <v>0.0</v>
      </c>
      <c r="AR43" s="8702">
        <f>IF(HLOOKUP("Gs",A1:CV300,43,FALSE)=0,0,HLOOKUP("Gs - Open",A1:CV300,43,FALSE)/HLOOKUP("Gs",A1:CV300,43,FALSE))</f>
      </c>
      <c r="AS43" t="n" s="8703">
        <v>0.22</v>
      </c>
      <c r="AT43" t="n" s="8704">
        <v>0.04</v>
      </c>
      <c r="AU43" s="8705">
        <f>IF(HLOOKUP("Mins",A1:CV300,43,FALSE)=0,0,HLOOKUP("Pts",A1:CV300,43,FALSE)/HLOOKUP("Mins",A1:CV300,43,FALSE)* 90)</f>
      </c>
      <c r="AV43" s="8706">
        <f>IF(HLOOKUP("Apps",A1:CV300,43,FALSE)=0,0,HLOOKUP("Pts",A1:CV300,43,FALSE)/HLOOKUP("Apps",A1:CV300,43,FALSE)* 1)</f>
      </c>
      <c r="AW43" s="8707">
        <f>IF(HLOOKUP("Mins",A1:CV300,43,FALSE)=0,0,HLOOKUP("Gs",A1:CV300,43,FALSE)/HLOOKUP("Mins",A1:CV300,43,FALSE)* 90)</f>
      </c>
      <c r="AX43" s="8708">
        <f>IF(HLOOKUP("Mins",A1:CV300,43,FALSE)=0,0,HLOOKUP("Bonus",A1:CV300,43,FALSE)/HLOOKUP("Mins",A1:CV300,43,FALSE)* 90)</f>
      </c>
      <c r="AY43" s="8709">
        <f>IF(HLOOKUP("Mins",A1:CV300,43,FALSE)=0,0,HLOOKUP("BPS",A1:CV300,43,FALSE)/HLOOKUP("Mins",A1:CV300,43,FALSE)* 90)</f>
      </c>
      <c r="AZ43" s="8710">
        <f>IF(HLOOKUP("Mins",A1:CV300,43,FALSE)=0,0,HLOOKUP("Base BPS",A1:CV300,43,FALSE)/HLOOKUP("Mins",A1:CV300,43,FALSE)* 90)</f>
      </c>
      <c r="BA43" s="8711">
        <f>IF(HLOOKUP("Mins",A1:CV300,43,FALSE)=0,0,HLOOKUP("PenTchs",A1:CV300,43,FALSE)/HLOOKUP("Mins",A1:CV300,43,FALSE)* 90)</f>
      </c>
      <c r="BB43" s="8712">
        <f>IF(HLOOKUP("Mins",A1:CV300,43,FALSE)=0,0,HLOOKUP("Shots",A1:CV300,43,FALSE)/HLOOKUP("Mins",A1:CV300,43,FALSE)* 90)</f>
      </c>
      <c r="BC43" s="8713">
        <f>IF(HLOOKUP("Mins",A1:CV300,43,FALSE)=0,0,HLOOKUP("SIB",A1:CV300,43,FALSE)/HLOOKUP("Mins",A1:CV300,43,FALSE)* 90)</f>
      </c>
      <c r="BD43" s="8714">
        <f>IF(HLOOKUP("Mins",A1:CV300,43,FALSE)=0,0,HLOOKUP("S6YD",A1:CV300,43,FALSE)/HLOOKUP("Mins",A1:CV300,43,FALSE)* 90)</f>
      </c>
      <c r="BE43" s="8715">
        <f>IF(HLOOKUP("Mins",A1:CV300,43,FALSE)=0,0,HLOOKUP("Headers",A1:CV300,43,FALSE)/HLOOKUP("Mins",A1:CV300,43,FALSE)* 90)</f>
      </c>
      <c r="BF43" s="8716">
        <f>IF(HLOOKUP("Mins",A1:CV300,43,FALSE)=0,0,HLOOKUP("SOT",A1:CV300,43,FALSE)/HLOOKUP("Mins",A1:CV300,43,FALSE)* 90)</f>
      </c>
      <c r="BG43" s="8717">
        <f>IF(HLOOKUP("Mins",A1:CV300,43,FALSE)=0,0,HLOOKUP("As",A1:CV300,43,FALSE)/HLOOKUP("Mins",A1:CV300,43,FALSE)* 90)</f>
      </c>
      <c r="BH43" s="8718">
        <f>IF(HLOOKUP("Mins",A1:CV300,43,FALSE)=0,0,HLOOKUP("FPL As",A1:CV300,43,FALSE)/HLOOKUP("Mins",A1:CV300,43,FALSE)* 90)</f>
      </c>
      <c r="BI43" s="8719">
        <f>IF(HLOOKUP("Mins",A1:CV300,43,FALSE)=0,0,HLOOKUP("BC Created",A1:CV300,43,FALSE)/HLOOKUP("Mins",A1:CV300,43,FALSE)* 90)</f>
      </c>
      <c r="BJ43" s="8720">
        <f>IF(HLOOKUP("Mins",A1:CV300,43,FALSE)=0,0,HLOOKUP("KP",A1:CV300,43,FALSE)/HLOOKUP("Mins",A1:CV300,43,FALSE)* 90)</f>
      </c>
      <c r="BK43" s="8721">
        <f>IF(HLOOKUP("Mins",A1:CV300,43,FALSE)=0,0,HLOOKUP("BC",A1:CV300,43,FALSE)/HLOOKUP("Mins",A1:CV300,43,FALSE)* 90)</f>
      </c>
      <c r="BL43" s="8722">
        <f>IF(HLOOKUP("Mins",A1:CV300,43,FALSE)=0,0,HLOOKUP("BC Miss",A1:CV300,43,FALSE)/HLOOKUP("Mins",A1:CV300,43,FALSE)* 90)</f>
      </c>
      <c r="BM43" s="8723">
        <f>IF(HLOOKUP("Mins",A1:CV300,43,FALSE)=0,0,HLOOKUP("Gs - BC",A1:CV300,43,FALSE)/HLOOKUP("Mins",A1:CV300,43,FALSE)* 90)</f>
      </c>
      <c r="BN43" s="8724">
        <f>IF(HLOOKUP("Mins",A1:CV300,43,FALSE)=0,0,HLOOKUP("GIB",A1:CV300,43,FALSE)/HLOOKUP("Mins",A1:CV300,43,FALSE)* 90)</f>
      </c>
      <c r="BO43" s="8725">
        <f>IF(HLOOKUP("Mins",A1:CV300,43,FALSE)=0,0,HLOOKUP("Gs - Open",A1:CV300,43,FALSE)/HLOOKUP("Mins",A1:CV300,43,FALSE)* 90)</f>
      </c>
      <c r="BP43" s="8726">
        <f>IF(HLOOKUP("Mins",A1:CV300,43,FALSE)=0,0,HLOOKUP("ICT Index",A1:CV300,43,FALSE)/HLOOKUP("Mins",A1:CV300,43,FALSE)* 90)</f>
      </c>
      <c r="BQ43" s="8727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</c>
      <c r="BR43" s="8728">
        <f>0.0825*HLOOKUP("KP/90",A1:CV300,43,FALSE)</f>
      </c>
      <c r="BS43" s="8729">
        <f>6*HLOOKUP("xG/90",A1:CV300,43,FALSE)+3*HLOOKUP("xA/90",A1:CV300,43,FALSE)</f>
      </c>
      <c r="BT43" s="8730">
        <f>HLOOKUP("xPts/90",A1:CV300,43,FALSE)-(6*0.75*(HLOOKUP("PK Gs",A1:CV300,43,FALSE)+HLOOKUP("PK Miss",A1:CV300,43,FALSE))*90/HLOOKUP("Mins",A1:CV300,43,FALSE))</f>
      </c>
      <c r="BU43" s="8731">
        <f>IF(HLOOKUP("Mins",A1:CV300,43,FALSE)=0,0,HLOOKUP("fsXG",A1:CV300,43,FALSE)/HLOOKUP("Mins",A1:CV300,43,FALSE)* 90)</f>
      </c>
      <c r="BV43" s="8732">
        <f>IF(HLOOKUP("Mins",A1:CV300,43,FALSE)=0,0,HLOOKUP("fsXA",A1:CV300,43,FALSE)/HLOOKUP("Mins",A1:CV300,43,FALSE)* 90)</f>
      </c>
      <c r="BW43" s="8733">
        <f>6*HLOOKUP("fsXG/90",A1:CV300,43,FALSE)+3*HLOOKUP("fsXA/90",A1:CV300,43,FALSE)</f>
      </c>
      <c r="BX43" t="n" s="8734">
        <v>0.05485416203737259</v>
      </c>
      <c r="BY43" t="n" s="8735">
        <v>0.13318251073360443</v>
      </c>
      <c r="BZ43" s="8736">
        <f>6*HLOOKUP("uXG/90",A1:CV300,43,FALSE)+3*HLOOKUP("uXA/90",A1:CV300,43,FALSE)</f>
      </c>
    </row>
    <row r="44">
      <c r="A44" t="s" s="8737">
        <v>209</v>
      </c>
      <c r="B44" t="s" s="8738">
        <v>118</v>
      </c>
      <c r="C44" t="n" s="8739">
        <v>5.300000190734863</v>
      </c>
      <c r="D44" t="n" s="8740">
        <v>457.0</v>
      </c>
      <c r="E44" t="n" s="8741">
        <v>6.0</v>
      </c>
      <c r="F44" t="n" s="8742">
        <v>62.0</v>
      </c>
      <c r="G44" t="n" s="8743">
        <v>0.0</v>
      </c>
      <c r="H44" t="n" s="8744">
        <v>9.0</v>
      </c>
      <c r="I44" t="n" s="8745">
        <v>319.0</v>
      </c>
      <c r="J44" s="8746">
        <f>HLOOKUP("BPS",A1:CV300,44,FALSE)-((-6*HLOOKUP("OG",A1:CV300,44,FALSE))+(-6*HLOOKUP("PK Miss",A1:CV300,44,FALSE))+(9*HLOOKUP("FPL As",A1:CV300,44,FALSE))+(12*HLOOKUP("CS",A1:CV300,44,FALSE))+(12*HLOOKUP("Gs",A1:CV300,44,FALSE)))</f>
      </c>
      <c r="K44" t="n" s="8747">
        <v>0.0</v>
      </c>
      <c r="L44" t="n" s="8748">
        <v>4.0</v>
      </c>
      <c r="M44" t="n" s="8749">
        <v>5.0</v>
      </c>
      <c r="N44" t="n" s="8750">
        <v>2.0</v>
      </c>
      <c r="O44" t="n" s="8751">
        <v>0.0</v>
      </c>
      <c r="P44" s="8752">
        <f>IF(HLOOKUP("Shots",A1:CV300,44,FALSE)=0,0,HLOOKUP("SIB",A1:CV300,44,FALSE)/HLOOKUP("Shots",A1:CV300,44,FALSE))</f>
      </c>
      <c r="Q44" t="n" s="8753">
        <v>0.0</v>
      </c>
      <c r="R44" s="8754">
        <f>IF(HLOOKUP("Shots",A1:CV300,44,FALSE)=0,0,HLOOKUP("S6YD",A1:CV300,44,FALSE)/HLOOKUP("Shots",A1:CV300,44,FALSE))</f>
      </c>
      <c r="S44" t="n" s="8755">
        <v>0.0</v>
      </c>
      <c r="T44" s="8756">
        <f>IF(HLOOKUP("Shots",A1:CV300,44,FALSE)=0,0,HLOOKUP("Headers",A1:CV300,44,FALSE)/HLOOKUP("Shots",A1:CV300,44,FALSE))</f>
      </c>
      <c r="U44" t="n" s="8757">
        <v>1.0</v>
      </c>
      <c r="V44" s="8758">
        <f>IF(HLOOKUP("Shots",A1:CV300,44,FALSE)=0,0,HLOOKUP("SOT",A1:CV300,44,FALSE)/HLOOKUP("Shots",A1:CV300,44,FALSE))</f>
      </c>
      <c r="W44" s="8759">
        <f>IF(HLOOKUP("Shots",A1:CV300,44,FALSE)=0,0,HLOOKUP("Gs",A1:CV300,44,FALSE)/HLOOKUP("Shots",A1:CV300,44,FALSE))</f>
      </c>
      <c r="X44" t="n" s="8760">
        <v>0.0</v>
      </c>
      <c r="Y44" t="n" s="8761">
        <v>4.0</v>
      </c>
      <c r="Z44" t="n" s="8762">
        <v>5.0</v>
      </c>
      <c r="AA44" s="8763">
        <f>IF(HLOOKUP("KP",A1:CV300,44,FALSE)=0,0,HLOOKUP("As",A1:CV300,44,FALSE)/HLOOKUP("KP",A1:CV300,44,FALSE))</f>
      </c>
      <c r="AB44" t="n" s="8764">
        <v>20.7</v>
      </c>
      <c r="AC44" t="n" s="8765">
        <v>0.0</v>
      </c>
      <c r="AD44" t="n" s="8766">
        <v>0.0</v>
      </c>
      <c r="AE44" t="n" s="8767">
        <v>0.0</v>
      </c>
      <c r="AF44" t="n" s="8768">
        <v>0.0</v>
      </c>
      <c r="AG44" s="8769">
        <f>IF(HLOOKUP("BC",A1:CV300,44,FALSE)=0,0,HLOOKUP("Gs - BC",A1:CV300,44,FALSE)/HLOOKUP("BC",A1:CV300,44,FALSE))</f>
      </c>
      <c r="AH44" s="8770">
        <f>HLOOKUP("BC",A1:CV300,44,FALSE) - HLOOKUP("BC Miss",A1:CV300,44,FALSE)</f>
      </c>
      <c r="AI44" s="8771">
        <f>IF(HLOOKUP("Gs",A1:CV300,44,FALSE)=0,0,HLOOKUP("Gs - BC",A1:CV300,44,FALSE)/HLOOKUP("Gs",A1:CV300,44,FALSE))</f>
      </c>
      <c r="AJ44" t="n" s="8772">
        <v>0.0</v>
      </c>
      <c r="AK44" t="n" s="8773">
        <v>0.0</v>
      </c>
      <c r="AL44" s="8774">
        <f>HLOOKUP("BC",A1:CV300,44,FALSE) - (HLOOKUP("PK Gs",A1:CV300,44,FALSE) + HLOOKUP("PK Miss",A1:CV300,44,FALSE))</f>
      </c>
      <c r="AM44" s="8775">
        <f>HLOOKUP("BC Miss",A1:CV300,44,FALSE) - HLOOKUP("PK Miss",A1:CV300,44,FALSE)</f>
      </c>
      <c r="AN44" s="8776">
        <f>IF(HLOOKUP("BC - Open",A1:CV300,44,FALSE)=0,0,HLOOKUP("BC - Open Miss",A1:CV300,44,FALSE)/HLOOKUP("BC - Open",A1:CV300,44,FALSE))</f>
      </c>
      <c r="AO44" t="n" s="8777">
        <v>0.0</v>
      </c>
      <c r="AP44" s="8778">
        <f>IF(HLOOKUP("Gs",A1:CV300,44,FALSE)=0,0,HLOOKUP("GIB",A1:CV300,44,FALSE)/HLOOKUP("Gs",A1:CV300,44,FALSE))</f>
      </c>
      <c r="AQ44" t="n" s="8779">
        <v>0.0</v>
      </c>
      <c r="AR44" s="8780">
        <f>IF(HLOOKUP("Gs",A1:CV300,44,FALSE)=0,0,HLOOKUP("Gs - Open",A1:CV300,44,FALSE)/HLOOKUP("Gs",A1:CV300,44,FALSE))</f>
      </c>
      <c r="AS44" t="n" s="8781">
        <v>0.06</v>
      </c>
      <c r="AT44" t="n" s="8782">
        <v>0.43</v>
      </c>
      <c r="AU44" s="8783">
        <f>IF(HLOOKUP("Mins",A1:CV300,44,FALSE)=0,0,HLOOKUP("Pts",A1:CV300,44,FALSE)/HLOOKUP("Mins",A1:CV300,44,FALSE)* 90)</f>
      </c>
      <c r="AV44" s="8784">
        <f>IF(HLOOKUP("Apps",A1:CV300,44,FALSE)=0,0,HLOOKUP("Pts",A1:CV300,44,FALSE)/HLOOKUP("Apps",A1:CV300,44,FALSE)* 1)</f>
      </c>
      <c r="AW44" s="8785">
        <f>IF(HLOOKUP("Mins",A1:CV300,44,FALSE)=0,0,HLOOKUP("Gs",A1:CV300,44,FALSE)/HLOOKUP("Mins",A1:CV300,44,FALSE)* 90)</f>
      </c>
      <c r="AX44" s="8786">
        <f>IF(HLOOKUP("Mins",A1:CV300,44,FALSE)=0,0,HLOOKUP("Bonus",A1:CV300,44,FALSE)/HLOOKUP("Mins",A1:CV300,44,FALSE)* 90)</f>
      </c>
      <c r="AY44" s="8787">
        <f>IF(HLOOKUP("Mins",A1:CV300,44,FALSE)=0,0,HLOOKUP("BPS",A1:CV300,44,FALSE)/HLOOKUP("Mins",A1:CV300,44,FALSE)* 90)</f>
      </c>
      <c r="AZ44" s="8788">
        <f>IF(HLOOKUP("Mins",A1:CV300,44,FALSE)=0,0,HLOOKUP("Base BPS",A1:CV300,44,FALSE)/HLOOKUP("Mins",A1:CV300,44,FALSE)* 90)</f>
      </c>
      <c r="BA44" s="8789">
        <f>IF(HLOOKUP("Mins",A1:CV300,44,FALSE)=0,0,HLOOKUP("PenTchs",A1:CV300,44,FALSE)/HLOOKUP("Mins",A1:CV300,44,FALSE)* 90)</f>
      </c>
      <c r="BB44" s="8790">
        <f>IF(HLOOKUP("Mins",A1:CV300,44,FALSE)=0,0,HLOOKUP("Shots",A1:CV300,44,FALSE)/HLOOKUP("Mins",A1:CV300,44,FALSE)* 90)</f>
      </c>
      <c r="BC44" s="8791">
        <f>IF(HLOOKUP("Mins",A1:CV300,44,FALSE)=0,0,HLOOKUP("SIB",A1:CV300,44,FALSE)/HLOOKUP("Mins",A1:CV300,44,FALSE)* 90)</f>
      </c>
      <c r="BD44" s="8792">
        <f>IF(HLOOKUP("Mins",A1:CV300,44,FALSE)=0,0,HLOOKUP("S6YD",A1:CV300,44,FALSE)/HLOOKUP("Mins",A1:CV300,44,FALSE)* 90)</f>
      </c>
      <c r="BE44" s="8793">
        <f>IF(HLOOKUP("Mins",A1:CV300,44,FALSE)=0,0,HLOOKUP("Headers",A1:CV300,44,FALSE)/HLOOKUP("Mins",A1:CV300,44,FALSE)* 90)</f>
      </c>
      <c r="BF44" s="8794">
        <f>IF(HLOOKUP("Mins",A1:CV300,44,FALSE)=0,0,HLOOKUP("SOT",A1:CV300,44,FALSE)/HLOOKUP("Mins",A1:CV300,44,FALSE)* 90)</f>
      </c>
      <c r="BG44" s="8795">
        <f>IF(HLOOKUP("Mins",A1:CV300,44,FALSE)=0,0,HLOOKUP("As",A1:CV300,44,FALSE)/HLOOKUP("Mins",A1:CV300,44,FALSE)* 90)</f>
      </c>
      <c r="BH44" s="8796">
        <f>IF(HLOOKUP("Mins",A1:CV300,44,FALSE)=0,0,HLOOKUP("FPL As",A1:CV300,44,FALSE)/HLOOKUP("Mins",A1:CV300,44,FALSE)* 90)</f>
      </c>
      <c r="BI44" s="8797">
        <f>IF(HLOOKUP("Mins",A1:CV300,44,FALSE)=0,0,HLOOKUP("BC Created",A1:CV300,44,FALSE)/HLOOKUP("Mins",A1:CV300,44,FALSE)* 90)</f>
      </c>
      <c r="BJ44" s="8798">
        <f>IF(HLOOKUP("Mins",A1:CV300,44,FALSE)=0,0,HLOOKUP("KP",A1:CV300,44,FALSE)/HLOOKUP("Mins",A1:CV300,44,FALSE)* 90)</f>
      </c>
      <c r="BK44" s="8799">
        <f>IF(HLOOKUP("Mins",A1:CV300,44,FALSE)=0,0,HLOOKUP("BC",A1:CV300,44,FALSE)/HLOOKUP("Mins",A1:CV300,44,FALSE)* 90)</f>
      </c>
      <c r="BL44" s="8800">
        <f>IF(HLOOKUP("Mins",A1:CV300,44,FALSE)=0,0,HLOOKUP("BC Miss",A1:CV300,44,FALSE)/HLOOKUP("Mins",A1:CV300,44,FALSE)* 90)</f>
      </c>
      <c r="BM44" s="8801">
        <f>IF(HLOOKUP("Mins",A1:CV300,44,FALSE)=0,0,HLOOKUP("Gs - BC",A1:CV300,44,FALSE)/HLOOKUP("Mins",A1:CV300,44,FALSE)* 90)</f>
      </c>
      <c r="BN44" s="8802">
        <f>IF(HLOOKUP("Mins",A1:CV300,44,FALSE)=0,0,HLOOKUP("GIB",A1:CV300,44,FALSE)/HLOOKUP("Mins",A1:CV300,44,FALSE)* 90)</f>
      </c>
      <c r="BO44" s="8803">
        <f>IF(HLOOKUP("Mins",A1:CV300,44,FALSE)=0,0,HLOOKUP("Gs - Open",A1:CV300,44,FALSE)/HLOOKUP("Mins",A1:CV300,44,FALSE)* 90)</f>
      </c>
      <c r="BP44" s="8804">
        <f>IF(HLOOKUP("Mins",A1:CV300,44,FALSE)=0,0,HLOOKUP("ICT Index",A1:CV300,44,FALSE)/HLOOKUP("Mins",A1:CV300,44,FALSE)* 90)</f>
      </c>
      <c r="BQ44" s="8805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</c>
      <c r="BR44" s="8806">
        <f>0.0825*HLOOKUP("KP/90",A1:CV300,44,FALSE)</f>
      </c>
      <c r="BS44" s="8807">
        <f>6*HLOOKUP("xG/90",A1:CV300,44,FALSE)+3*HLOOKUP("xA/90",A1:CV300,44,FALSE)</f>
      </c>
      <c r="BT44" s="8808">
        <f>HLOOKUP("xPts/90",A1:CV300,44,FALSE)-(6*0.75*(HLOOKUP("PK Gs",A1:CV300,44,FALSE)+HLOOKUP("PK Miss",A1:CV300,44,FALSE))*90/HLOOKUP("Mins",A1:CV300,44,FALSE))</f>
      </c>
      <c r="BU44" s="8809">
        <f>IF(HLOOKUP("Mins",A1:CV300,44,FALSE)=0,0,HLOOKUP("fsXG",A1:CV300,44,FALSE)/HLOOKUP("Mins",A1:CV300,44,FALSE)* 90)</f>
      </c>
      <c r="BV44" s="8810">
        <f>IF(HLOOKUP("Mins",A1:CV300,44,FALSE)=0,0,HLOOKUP("fsXA",A1:CV300,44,FALSE)/HLOOKUP("Mins",A1:CV300,44,FALSE)* 90)</f>
      </c>
      <c r="BW44" s="8811">
        <f>6*HLOOKUP("fsXG/90",A1:CV300,44,FALSE)+3*HLOOKUP("fsXA/90",A1:CV300,44,FALSE)</f>
      </c>
      <c r="BX44" t="n" s="8812">
        <v>0.005722768139094114</v>
      </c>
      <c r="BY44" t="n" s="8813">
        <v>0.06569166481494904</v>
      </c>
      <c r="BZ44" s="8814">
        <f>6*HLOOKUP("uXG/90",A1:CV300,44,FALSE)+3*HLOOKUP("uXA/90",A1:CV300,44,FALSE)</f>
      </c>
    </row>
    <row r="45">
      <c r="A45" t="s" s="8815">
        <v>210</v>
      </c>
      <c r="B45" t="s" s="8816">
        <v>109</v>
      </c>
      <c r="C45" t="n" s="8817">
        <v>4.400000095367432</v>
      </c>
      <c r="D45" t="n" s="8818">
        <v>450.0</v>
      </c>
      <c r="E45" t="n" s="8819">
        <v>5.0</v>
      </c>
      <c r="F45" t="n" s="8820">
        <v>54.0</v>
      </c>
      <c r="G45" t="n" s="8821">
        <v>0.0</v>
      </c>
      <c r="H45" t="n" s="8822">
        <v>5.0</v>
      </c>
      <c r="I45" t="n" s="8823">
        <v>329.0</v>
      </c>
      <c r="J45" s="8824">
        <f>HLOOKUP("BPS",A1:CV300,45,FALSE)-((-6*HLOOKUP("OG",A1:CV300,45,FALSE))+(-6*HLOOKUP("PK Miss",A1:CV300,45,FALSE))+(9*HLOOKUP("FPL As",A1:CV300,45,FALSE))+(12*HLOOKUP("CS",A1:CV300,45,FALSE))+(12*HLOOKUP("Gs",A1:CV300,45,FALSE)))</f>
      </c>
      <c r="K45" t="n" s="8825">
        <v>1.0</v>
      </c>
      <c r="L45" t="n" s="8826">
        <v>2.0</v>
      </c>
      <c r="M45" t="n" s="8827">
        <v>5.0</v>
      </c>
      <c r="N45" t="n" s="8828">
        <v>3.0</v>
      </c>
      <c r="O45" t="n" s="8829">
        <v>3.0</v>
      </c>
      <c r="P45" s="8830">
        <f>IF(HLOOKUP("Shots",A1:CV300,45,FALSE)=0,0,HLOOKUP("SIB",A1:CV300,45,FALSE)/HLOOKUP("Shots",A1:CV300,45,FALSE))</f>
      </c>
      <c r="Q45" t="n" s="8831">
        <v>1.0</v>
      </c>
      <c r="R45" s="8832">
        <f>IF(HLOOKUP("Shots",A1:CV300,45,FALSE)=0,0,HLOOKUP("S6YD",A1:CV300,45,FALSE)/HLOOKUP("Shots",A1:CV300,45,FALSE))</f>
      </c>
      <c r="S45" t="n" s="8833">
        <v>2.0</v>
      </c>
      <c r="T45" s="8834">
        <f>IF(HLOOKUP("Shots",A1:CV300,45,FALSE)=0,0,HLOOKUP("Headers",A1:CV300,45,FALSE)/HLOOKUP("Shots",A1:CV300,45,FALSE))</f>
      </c>
      <c r="U45" t="n" s="8835">
        <v>0.0</v>
      </c>
      <c r="V45" s="8836">
        <f>IF(HLOOKUP("Shots",A1:CV300,45,FALSE)=0,0,HLOOKUP("SOT",A1:CV300,45,FALSE)/HLOOKUP("Shots",A1:CV300,45,FALSE))</f>
      </c>
      <c r="W45" s="8837">
        <f>IF(HLOOKUP("Shots",A1:CV300,45,FALSE)=0,0,HLOOKUP("Gs",A1:CV300,45,FALSE)/HLOOKUP("Shots",A1:CV300,45,FALSE))</f>
      </c>
      <c r="X45" t="n" s="8838">
        <v>0.0</v>
      </c>
      <c r="Y45" t="n" s="8839">
        <v>0.0</v>
      </c>
      <c r="Z45" t="n" s="8840">
        <v>1.0</v>
      </c>
      <c r="AA45" s="8841">
        <f>IF(HLOOKUP("KP",A1:CV300,45,FALSE)=0,0,HLOOKUP("As",A1:CV300,45,FALSE)/HLOOKUP("KP",A1:CV300,45,FALSE))</f>
      </c>
      <c r="AB45" t="n" s="8842">
        <v>14.5</v>
      </c>
      <c r="AC45" t="n" s="8843">
        <v>0.0</v>
      </c>
      <c r="AD45" t="n" s="8844">
        <v>0.0</v>
      </c>
      <c r="AE45" t="n" s="8845">
        <v>1.0</v>
      </c>
      <c r="AF45" t="n" s="8846">
        <v>1.0</v>
      </c>
      <c r="AG45" s="8847">
        <f>IF(HLOOKUP("BC",A1:CV300,45,FALSE)=0,0,HLOOKUP("Gs - BC",A1:CV300,45,FALSE)/HLOOKUP("BC",A1:CV300,45,FALSE))</f>
      </c>
      <c r="AH45" s="8848">
        <f>HLOOKUP("BC",A1:CV300,45,FALSE) - HLOOKUP("BC Miss",A1:CV300,45,FALSE)</f>
      </c>
      <c r="AI45" s="8849">
        <f>IF(HLOOKUP("Gs",A1:CV300,45,FALSE)=0,0,HLOOKUP("Gs - BC",A1:CV300,45,FALSE)/HLOOKUP("Gs",A1:CV300,45,FALSE))</f>
      </c>
      <c r="AJ45" t="n" s="8850">
        <v>0.0</v>
      </c>
      <c r="AK45" t="n" s="8851">
        <v>0.0</v>
      </c>
      <c r="AL45" s="8852">
        <f>HLOOKUP("BC",A1:CV300,45,FALSE) - (HLOOKUP("PK Gs",A1:CV300,45,FALSE) + HLOOKUP("PK Miss",A1:CV300,45,FALSE))</f>
      </c>
      <c r="AM45" s="8853">
        <f>HLOOKUP("BC Miss",A1:CV300,45,FALSE) - HLOOKUP("PK Miss",A1:CV300,45,FALSE)</f>
      </c>
      <c r="AN45" s="8854">
        <f>IF(HLOOKUP("BC - Open",A1:CV300,45,FALSE)=0,0,HLOOKUP("BC - Open Miss",A1:CV300,45,FALSE)/HLOOKUP("BC - Open",A1:CV300,45,FALSE))</f>
      </c>
      <c r="AO45" t="n" s="8855">
        <v>0.0</v>
      </c>
      <c r="AP45" s="8856">
        <f>IF(HLOOKUP("Gs",A1:CV300,45,FALSE)=0,0,HLOOKUP("GIB",A1:CV300,45,FALSE)/HLOOKUP("Gs",A1:CV300,45,FALSE))</f>
      </c>
      <c r="AQ45" t="n" s="8857">
        <v>0.0</v>
      </c>
      <c r="AR45" s="8858">
        <f>IF(HLOOKUP("Gs",A1:CV300,45,FALSE)=0,0,HLOOKUP("Gs - Open",A1:CV300,45,FALSE)/HLOOKUP("Gs",A1:CV300,45,FALSE))</f>
      </c>
      <c r="AS45" t="n" s="8859">
        <v>0.44</v>
      </c>
      <c r="AT45" t="n" s="8860">
        <v>0.05</v>
      </c>
      <c r="AU45" s="8861">
        <f>IF(HLOOKUP("Mins",A1:CV300,45,FALSE)=0,0,HLOOKUP("Pts",A1:CV300,45,FALSE)/HLOOKUP("Mins",A1:CV300,45,FALSE)* 90)</f>
      </c>
      <c r="AV45" s="8862">
        <f>IF(HLOOKUP("Apps",A1:CV300,45,FALSE)=0,0,HLOOKUP("Pts",A1:CV300,45,FALSE)/HLOOKUP("Apps",A1:CV300,45,FALSE)* 1)</f>
      </c>
      <c r="AW45" s="8863">
        <f>IF(HLOOKUP("Mins",A1:CV300,45,FALSE)=0,0,HLOOKUP("Gs",A1:CV300,45,FALSE)/HLOOKUP("Mins",A1:CV300,45,FALSE)* 90)</f>
      </c>
      <c r="AX45" s="8864">
        <f>IF(HLOOKUP("Mins",A1:CV300,45,FALSE)=0,0,HLOOKUP("Bonus",A1:CV300,45,FALSE)/HLOOKUP("Mins",A1:CV300,45,FALSE)* 90)</f>
      </c>
      <c r="AY45" s="8865">
        <f>IF(HLOOKUP("Mins",A1:CV300,45,FALSE)=0,0,HLOOKUP("BPS",A1:CV300,45,FALSE)/HLOOKUP("Mins",A1:CV300,45,FALSE)* 90)</f>
      </c>
      <c r="AZ45" s="8866">
        <f>IF(HLOOKUP("Mins",A1:CV300,45,FALSE)=0,0,HLOOKUP("Base BPS",A1:CV300,45,FALSE)/HLOOKUP("Mins",A1:CV300,45,FALSE)* 90)</f>
      </c>
      <c r="BA45" s="8867">
        <f>IF(HLOOKUP("Mins",A1:CV300,45,FALSE)=0,0,HLOOKUP("PenTchs",A1:CV300,45,FALSE)/HLOOKUP("Mins",A1:CV300,45,FALSE)* 90)</f>
      </c>
      <c r="BB45" s="8868">
        <f>IF(HLOOKUP("Mins",A1:CV300,45,FALSE)=0,0,HLOOKUP("Shots",A1:CV300,45,FALSE)/HLOOKUP("Mins",A1:CV300,45,FALSE)* 90)</f>
      </c>
      <c r="BC45" s="8869">
        <f>IF(HLOOKUP("Mins",A1:CV300,45,FALSE)=0,0,HLOOKUP("SIB",A1:CV300,45,FALSE)/HLOOKUP("Mins",A1:CV300,45,FALSE)* 90)</f>
      </c>
      <c r="BD45" s="8870">
        <f>IF(HLOOKUP("Mins",A1:CV300,45,FALSE)=0,0,HLOOKUP("S6YD",A1:CV300,45,FALSE)/HLOOKUP("Mins",A1:CV300,45,FALSE)* 90)</f>
      </c>
      <c r="BE45" s="8871">
        <f>IF(HLOOKUP("Mins",A1:CV300,45,FALSE)=0,0,HLOOKUP("Headers",A1:CV300,45,FALSE)/HLOOKUP("Mins",A1:CV300,45,FALSE)* 90)</f>
      </c>
      <c r="BF45" s="8872">
        <f>IF(HLOOKUP("Mins",A1:CV300,45,FALSE)=0,0,HLOOKUP("SOT",A1:CV300,45,FALSE)/HLOOKUP("Mins",A1:CV300,45,FALSE)* 90)</f>
      </c>
      <c r="BG45" s="8873">
        <f>IF(HLOOKUP("Mins",A1:CV300,45,FALSE)=0,0,HLOOKUP("As",A1:CV300,45,FALSE)/HLOOKUP("Mins",A1:CV300,45,FALSE)* 90)</f>
      </c>
      <c r="BH45" s="8874">
        <f>IF(HLOOKUP("Mins",A1:CV300,45,FALSE)=0,0,HLOOKUP("FPL As",A1:CV300,45,FALSE)/HLOOKUP("Mins",A1:CV300,45,FALSE)* 90)</f>
      </c>
      <c r="BI45" s="8875">
        <f>IF(HLOOKUP("Mins",A1:CV300,45,FALSE)=0,0,HLOOKUP("BC Created",A1:CV300,45,FALSE)/HLOOKUP("Mins",A1:CV300,45,FALSE)* 90)</f>
      </c>
      <c r="BJ45" s="8876">
        <f>IF(HLOOKUP("Mins",A1:CV300,45,FALSE)=0,0,HLOOKUP("KP",A1:CV300,45,FALSE)/HLOOKUP("Mins",A1:CV300,45,FALSE)* 90)</f>
      </c>
      <c r="BK45" s="8877">
        <f>IF(HLOOKUP("Mins",A1:CV300,45,FALSE)=0,0,HLOOKUP("BC",A1:CV300,45,FALSE)/HLOOKUP("Mins",A1:CV300,45,FALSE)* 90)</f>
      </c>
      <c r="BL45" s="8878">
        <f>IF(HLOOKUP("Mins",A1:CV300,45,FALSE)=0,0,HLOOKUP("BC Miss",A1:CV300,45,FALSE)/HLOOKUP("Mins",A1:CV300,45,FALSE)* 90)</f>
      </c>
      <c r="BM45" s="8879">
        <f>IF(HLOOKUP("Mins",A1:CV300,45,FALSE)=0,0,HLOOKUP("Gs - BC",A1:CV300,45,FALSE)/HLOOKUP("Mins",A1:CV300,45,FALSE)* 90)</f>
      </c>
      <c r="BN45" s="8880">
        <f>IF(HLOOKUP("Mins",A1:CV300,45,FALSE)=0,0,HLOOKUP("GIB",A1:CV300,45,FALSE)/HLOOKUP("Mins",A1:CV300,45,FALSE)* 90)</f>
      </c>
      <c r="BO45" s="8881">
        <f>IF(HLOOKUP("Mins",A1:CV300,45,FALSE)=0,0,HLOOKUP("Gs - Open",A1:CV300,45,FALSE)/HLOOKUP("Mins",A1:CV300,45,FALSE)* 90)</f>
      </c>
      <c r="BP45" s="8882">
        <f>IF(HLOOKUP("Mins",A1:CV300,45,FALSE)=0,0,HLOOKUP("ICT Index",A1:CV300,45,FALSE)/HLOOKUP("Mins",A1:CV300,45,FALSE)* 90)</f>
      </c>
      <c r="BQ45" s="8883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</c>
      <c r="BR45" s="8884">
        <f>0.0825*HLOOKUP("KP/90",A1:CV300,45,FALSE)</f>
      </c>
      <c r="BS45" s="8885">
        <f>6*HLOOKUP("xG/90",A1:CV300,45,FALSE)+3*HLOOKUP("xA/90",A1:CV300,45,FALSE)</f>
      </c>
      <c r="BT45" s="8886">
        <f>HLOOKUP("xPts/90",A1:CV300,45,FALSE)-(6*0.75*(HLOOKUP("PK Gs",A1:CV300,45,FALSE)+HLOOKUP("PK Miss",A1:CV300,45,FALSE))*90/HLOOKUP("Mins",A1:CV300,45,FALSE))</f>
      </c>
      <c r="BU45" s="8887">
        <f>IF(HLOOKUP("Mins",A1:CV300,45,FALSE)=0,0,HLOOKUP("fsXG",A1:CV300,45,FALSE)/HLOOKUP("Mins",A1:CV300,45,FALSE)* 90)</f>
      </c>
      <c r="BV45" s="8888">
        <f>IF(HLOOKUP("Mins",A1:CV300,45,FALSE)=0,0,HLOOKUP("fsXA",A1:CV300,45,FALSE)/HLOOKUP("Mins",A1:CV300,45,FALSE)* 90)</f>
      </c>
      <c r="BW45" s="8889">
        <f>6*HLOOKUP("fsXG/90",A1:CV300,45,FALSE)+3*HLOOKUP("fsXA/90",A1:CV300,45,FALSE)</f>
      </c>
      <c r="BX45" t="n" s="8890">
        <v>0.1107407808303833</v>
      </c>
      <c r="BY45" t="n" s="8891">
        <v>0.009110799990594387</v>
      </c>
      <c r="BZ45" s="8892">
        <f>6*HLOOKUP("uXG/90",A1:CV300,45,FALSE)+3*HLOOKUP("uXA/90",A1:CV300,45,FALSE)</f>
      </c>
    </row>
    <row r="46">
      <c r="A46" t="s" s="8893">
        <v>211</v>
      </c>
      <c r="B46" t="s" s="8894">
        <v>97</v>
      </c>
      <c r="C46" t="n" s="8895">
        <v>4.199999809265137</v>
      </c>
      <c r="D46" t="n" s="8896">
        <v>270.0</v>
      </c>
      <c r="E46" t="n" s="8897">
        <v>3.0</v>
      </c>
      <c r="F46" t="n" s="8898">
        <v>41.0</v>
      </c>
      <c r="G46" t="n" s="8899">
        <v>0.0</v>
      </c>
      <c r="H46" t="n" s="8900">
        <v>0.0</v>
      </c>
      <c r="I46" t="n" s="8901">
        <v>236.0</v>
      </c>
      <c r="J46" s="8902">
        <f>HLOOKUP("BPS",A1:CV300,46,FALSE)-((-6*HLOOKUP("OG",A1:CV300,46,FALSE))+(-6*HLOOKUP("PK Miss",A1:CV300,46,FALSE))+(9*HLOOKUP("FPL As",A1:CV300,46,FALSE))+(12*HLOOKUP("CS",A1:CV300,46,FALSE))+(12*HLOOKUP("Gs",A1:CV300,46,FALSE)))</f>
      </c>
      <c r="K46" t="n" s="8903">
        <v>0.0</v>
      </c>
      <c r="L46" t="n" s="8904">
        <v>5.0</v>
      </c>
      <c r="M46" t="n" s="8905">
        <v>0.0</v>
      </c>
      <c r="N46" t="n" s="8906">
        <v>0.0</v>
      </c>
      <c r="O46" t="n" s="8907">
        <v>0.0</v>
      </c>
      <c r="P46" s="8908">
        <f>IF(HLOOKUP("Shots",A1:CV300,46,FALSE)=0,0,HLOOKUP("SIB",A1:CV300,46,FALSE)/HLOOKUP("Shots",A1:CV300,46,FALSE))</f>
      </c>
      <c r="Q46" t="n" s="8909">
        <v>0.0</v>
      </c>
      <c r="R46" s="8910">
        <f>IF(HLOOKUP("Shots",A1:CV300,46,FALSE)=0,0,HLOOKUP("S6YD",A1:CV300,46,FALSE)/HLOOKUP("Shots",A1:CV300,46,FALSE))</f>
      </c>
      <c r="S46" t="n" s="8911">
        <v>0.0</v>
      </c>
      <c r="T46" s="8912">
        <f>IF(HLOOKUP("Shots",A1:CV300,46,FALSE)=0,0,HLOOKUP("Headers",A1:CV300,46,FALSE)/HLOOKUP("Shots",A1:CV300,46,FALSE))</f>
      </c>
      <c r="U46" t="n" s="8913">
        <v>0.0</v>
      </c>
      <c r="V46" s="8914">
        <f>IF(HLOOKUP("Shots",A1:CV300,46,FALSE)=0,0,HLOOKUP("SOT",A1:CV300,46,FALSE)/HLOOKUP("Shots",A1:CV300,46,FALSE))</f>
      </c>
      <c r="W46" s="8915">
        <f>IF(HLOOKUP("Shots",A1:CV300,46,FALSE)=0,0,HLOOKUP("Gs",A1:CV300,46,FALSE)/HLOOKUP("Shots",A1:CV300,46,FALSE))</f>
      </c>
      <c r="X46" t="n" s="8916">
        <v>0.0</v>
      </c>
      <c r="Y46" t="n" s="8917">
        <v>1.0</v>
      </c>
      <c r="Z46" t="n" s="8918">
        <v>0.0</v>
      </c>
      <c r="AA46" s="8919">
        <f>IF(HLOOKUP("KP",A1:CV300,46,FALSE)=0,0,HLOOKUP("As",A1:CV300,46,FALSE)/HLOOKUP("KP",A1:CV300,46,FALSE))</f>
      </c>
      <c r="AB46" t="n" s="8920">
        <v>4.4</v>
      </c>
      <c r="AC46" t="n" s="8921">
        <v>0.0</v>
      </c>
      <c r="AD46" t="n" s="8922">
        <v>0.0</v>
      </c>
      <c r="AE46" t="n" s="8923">
        <v>0.0</v>
      </c>
      <c r="AF46" t="n" s="8924">
        <v>0.0</v>
      </c>
      <c r="AG46" s="8925">
        <f>IF(HLOOKUP("BC",A1:CV300,46,FALSE)=0,0,HLOOKUP("Gs - BC",A1:CV300,46,FALSE)/HLOOKUP("BC",A1:CV300,46,FALSE))</f>
      </c>
      <c r="AH46" s="8926">
        <f>HLOOKUP("BC",A1:CV300,46,FALSE) - HLOOKUP("BC Miss",A1:CV300,46,FALSE)</f>
      </c>
      <c r="AI46" s="8927">
        <f>IF(HLOOKUP("Gs",A1:CV300,46,FALSE)=0,0,HLOOKUP("Gs - BC",A1:CV300,46,FALSE)/HLOOKUP("Gs",A1:CV300,46,FALSE))</f>
      </c>
      <c r="AJ46" t="n" s="8928">
        <v>0.0</v>
      </c>
      <c r="AK46" t="n" s="8929">
        <v>0.0</v>
      </c>
      <c r="AL46" s="8930">
        <f>HLOOKUP("BC",A1:CV300,46,FALSE) - (HLOOKUP("PK Gs",A1:CV300,46,FALSE) + HLOOKUP("PK Miss",A1:CV300,46,FALSE))</f>
      </c>
      <c r="AM46" s="8931">
        <f>HLOOKUP("BC Miss",A1:CV300,46,FALSE) - HLOOKUP("PK Miss",A1:CV300,46,FALSE)</f>
      </c>
      <c r="AN46" s="8932">
        <f>IF(HLOOKUP("BC - Open",A1:CV300,46,FALSE)=0,0,HLOOKUP("BC - Open Miss",A1:CV300,46,FALSE)/HLOOKUP("BC - Open",A1:CV300,46,FALSE))</f>
      </c>
      <c r="AO46" t="n" s="8933">
        <v>0.0</v>
      </c>
      <c r="AP46" s="8934">
        <f>IF(HLOOKUP("Gs",A1:CV300,46,FALSE)=0,0,HLOOKUP("GIB",A1:CV300,46,FALSE)/HLOOKUP("Gs",A1:CV300,46,FALSE))</f>
      </c>
      <c r="AQ46" t="n" s="8935">
        <v>0.0</v>
      </c>
      <c r="AR46" s="8936">
        <f>IF(HLOOKUP("Gs",A1:CV300,46,FALSE)=0,0,HLOOKUP("Gs - Open",A1:CV300,46,FALSE)/HLOOKUP("Gs",A1:CV300,46,FALSE))</f>
      </c>
      <c r="AS46" t="n" s="8937">
        <v>0.0</v>
      </c>
      <c r="AT46" t="n" s="8938">
        <v>0.03</v>
      </c>
      <c r="AU46" s="8939">
        <f>IF(HLOOKUP("Mins",A1:CV300,46,FALSE)=0,0,HLOOKUP("Pts",A1:CV300,46,FALSE)/HLOOKUP("Mins",A1:CV300,46,FALSE)* 90)</f>
      </c>
      <c r="AV46" s="8940">
        <f>IF(HLOOKUP("Apps",A1:CV300,46,FALSE)=0,0,HLOOKUP("Pts",A1:CV300,46,FALSE)/HLOOKUP("Apps",A1:CV300,46,FALSE)* 1)</f>
      </c>
      <c r="AW46" s="8941">
        <f>IF(HLOOKUP("Mins",A1:CV300,46,FALSE)=0,0,HLOOKUP("Gs",A1:CV300,46,FALSE)/HLOOKUP("Mins",A1:CV300,46,FALSE)* 90)</f>
      </c>
      <c r="AX46" s="8942">
        <f>IF(HLOOKUP("Mins",A1:CV300,46,FALSE)=0,0,HLOOKUP("Bonus",A1:CV300,46,FALSE)/HLOOKUP("Mins",A1:CV300,46,FALSE)* 90)</f>
      </c>
      <c r="AY46" s="8943">
        <f>IF(HLOOKUP("Mins",A1:CV300,46,FALSE)=0,0,HLOOKUP("BPS",A1:CV300,46,FALSE)/HLOOKUP("Mins",A1:CV300,46,FALSE)* 90)</f>
      </c>
      <c r="AZ46" s="8944">
        <f>IF(HLOOKUP("Mins",A1:CV300,46,FALSE)=0,0,HLOOKUP("Base BPS",A1:CV300,46,FALSE)/HLOOKUP("Mins",A1:CV300,46,FALSE)* 90)</f>
      </c>
      <c r="BA46" s="8945">
        <f>IF(HLOOKUP("Mins",A1:CV300,46,FALSE)=0,0,HLOOKUP("PenTchs",A1:CV300,46,FALSE)/HLOOKUP("Mins",A1:CV300,46,FALSE)* 90)</f>
      </c>
      <c r="BB46" s="8946">
        <f>IF(HLOOKUP("Mins",A1:CV300,46,FALSE)=0,0,HLOOKUP("Shots",A1:CV300,46,FALSE)/HLOOKUP("Mins",A1:CV300,46,FALSE)* 90)</f>
      </c>
      <c r="BC46" s="8947">
        <f>IF(HLOOKUP("Mins",A1:CV300,46,FALSE)=0,0,HLOOKUP("SIB",A1:CV300,46,FALSE)/HLOOKUP("Mins",A1:CV300,46,FALSE)* 90)</f>
      </c>
      <c r="BD46" s="8948">
        <f>IF(HLOOKUP("Mins",A1:CV300,46,FALSE)=0,0,HLOOKUP("S6YD",A1:CV300,46,FALSE)/HLOOKUP("Mins",A1:CV300,46,FALSE)* 90)</f>
      </c>
      <c r="BE46" s="8949">
        <f>IF(HLOOKUP("Mins",A1:CV300,46,FALSE)=0,0,HLOOKUP("Headers",A1:CV300,46,FALSE)/HLOOKUP("Mins",A1:CV300,46,FALSE)* 90)</f>
      </c>
      <c r="BF46" s="8950">
        <f>IF(HLOOKUP("Mins",A1:CV300,46,FALSE)=0,0,HLOOKUP("SOT",A1:CV300,46,FALSE)/HLOOKUP("Mins",A1:CV300,46,FALSE)* 90)</f>
      </c>
      <c r="BG46" s="8951">
        <f>IF(HLOOKUP("Mins",A1:CV300,46,FALSE)=0,0,HLOOKUP("As",A1:CV300,46,FALSE)/HLOOKUP("Mins",A1:CV300,46,FALSE)* 90)</f>
      </c>
      <c r="BH46" s="8952">
        <f>IF(HLOOKUP("Mins",A1:CV300,46,FALSE)=0,0,HLOOKUP("FPL As",A1:CV300,46,FALSE)/HLOOKUP("Mins",A1:CV300,46,FALSE)* 90)</f>
      </c>
      <c r="BI46" s="8953">
        <f>IF(HLOOKUP("Mins",A1:CV300,46,FALSE)=0,0,HLOOKUP("BC Created",A1:CV300,46,FALSE)/HLOOKUP("Mins",A1:CV300,46,FALSE)* 90)</f>
      </c>
      <c r="BJ46" s="8954">
        <f>IF(HLOOKUP("Mins",A1:CV300,46,FALSE)=0,0,HLOOKUP("KP",A1:CV300,46,FALSE)/HLOOKUP("Mins",A1:CV300,46,FALSE)* 90)</f>
      </c>
      <c r="BK46" s="8955">
        <f>IF(HLOOKUP("Mins",A1:CV300,46,FALSE)=0,0,HLOOKUP("BC",A1:CV300,46,FALSE)/HLOOKUP("Mins",A1:CV300,46,FALSE)* 90)</f>
      </c>
      <c r="BL46" s="8956">
        <f>IF(HLOOKUP("Mins",A1:CV300,46,FALSE)=0,0,HLOOKUP("BC Miss",A1:CV300,46,FALSE)/HLOOKUP("Mins",A1:CV300,46,FALSE)* 90)</f>
      </c>
      <c r="BM46" s="8957">
        <f>IF(HLOOKUP("Mins",A1:CV300,46,FALSE)=0,0,HLOOKUP("Gs - BC",A1:CV300,46,FALSE)/HLOOKUP("Mins",A1:CV300,46,FALSE)* 90)</f>
      </c>
      <c r="BN46" s="8958">
        <f>IF(HLOOKUP("Mins",A1:CV300,46,FALSE)=0,0,HLOOKUP("GIB",A1:CV300,46,FALSE)/HLOOKUP("Mins",A1:CV300,46,FALSE)* 90)</f>
      </c>
      <c r="BO46" s="8959">
        <f>IF(HLOOKUP("Mins",A1:CV300,46,FALSE)=0,0,HLOOKUP("Gs - Open",A1:CV300,46,FALSE)/HLOOKUP("Mins",A1:CV300,46,FALSE)* 90)</f>
      </c>
      <c r="BP46" s="8960">
        <f>IF(HLOOKUP("Mins",A1:CV300,46,FALSE)=0,0,HLOOKUP("ICT Index",A1:CV300,46,FALSE)/HLOOKUP("Mins",A1:CV300,46,FALSE)* 90)</f>
      </c>
      <c r="BQ46" s="8961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</c>
      <c r="BR46" s="8962">
        <f>0.0825*HLOOKUP("KP/90",A1:CV300,46,FALSE)</f>
      </c>
      <c r="BS46" s="8963">
        <f>6*HLOOKUP("xG/90",A1:CV300,46,FALSE)+3*HLOOKUP("xA/90",A1:CV300,46,FALSE)</f>
      </c>
      <c r="BT46" s="8964">
        <f>HLOOKUP("xPts/90",A1:CV300,46,FALSE)-(6*0.75*(HLOOKUP("PK Gs",A1:CV300,46,FALSE)+HLOOKUP("PK Miss",A1:CV300,46,FALSE))*90/HLOOKUP("Mins",A1:CV300,46,FALSE))</f>
      </c>
      <c r="BU46" s="8965">
        <f>IF(HLOOKUP("Mins",A1:CV300,46,FALSE)=0,0,HLOOKUP("fsXG",A1:CV300,46,FALSE)/HLOOKUP("Mins",A1:CV300,46,FALSE)* 90)</f>
      </c>
      <c r="BV46" s="8966">
        <f>IF(HLOOKUP("Mins",A1:CV300,46,FALSE)=0,0,HLOOKUP("fsXA",A1:CV300,46,FALSE)/HLOOKUP("Mins",A1:CV300,46,FALSE)* 90)</f>
      </c>
      <c r="BW46" s="8967">
        <f>6*HLOOKUP("fsXG/90",A1:CV300,46,FALSE)+3*HLOOKUP("fsXA/90",A1:CV300,46,FALSE)</f>
      </c>
      <c r="BX46" t="n" s="8968">
        <v>0.0</v>
      </c>
      <c r="BY46" t="n" s="8969">
        <v>0.0</v>
      </c>
      <c r="BZ46" s="8970">
        <f>6*HLOOKUP("uXG/90",A1:CV300,46,FALSE)+3*HLOOKUP("uXA/90",A1:CV300,46,FALSE)</f>
      </c>
    </row>
    <row r="47">
      <c r="A47" t="s" s="8971">
        <v>212</v>
      </c>
      <c r="B47" t="s" s="8972">
        <v>82</v>
      </c>
      <c r="C47" t="n" s="8973">
        <v>5.599999904632568</v>
      </c>
      <c r="D47" t="n" s="8974">
        <v>450.0</v>
      </c>
      <c r="E47" t="n" s="8975">
        <v>5.0</v>
      </c>
      <c r="F47" t="n" s="8976">
        <v>90.0</v>
      </c>
      <c r="G47" t="n" s="8977">
        <v>1.0</v>
      </c>
      <c r="H47" t="n" s="8978">
        <v>3.0</v>
      </c>
      <c r="I47" t="n" s="8979">
        <v>416.0</v>
      </c>
      <c r="J47" s="8980">
        <f>HLOOKUP("BPS",A1:CV300,47,FALSE)-((-6*HLOOKUP("OG",A1:CV300,47,FALSE))+(-6*HLOOKUP("PK Miss",A1:CV300,47,FALSE))+(9*HLOOKUP("FPL As",A1:CV300,47,FALSE))+(12*HLOOKUP("CS",A1:CV300,47,FALSE))+(12*HLOOKUP("Gs",A1:CV300,47,FALSE)))</f>
      </c>
      <c r="K47" t="n" s="8981">
        <v>0.0</v>
      </c>
      <c r="L47" t="n" s="8982">
        <v>8.0</v>
      </c>
      <c r="M47" t="n" s="8983">
        <v>9.0</v>
      </c>
      <c r="N47" t="n" s="8984">
        <v>3.0</v>
      </c>
      <c r="O47" t="n" s="8985">
        <v>3.0</v>
      </c>
      <c r="P47" s="8986">
        <f>IF(HLOOKUP("Shots",A1:CV300,47,FALSE)=0,0,HLOOKUP("SIB",A1:CV300,47,FALSE)/HLOOKUP("Shots",A1:CV300,47,FALSE))</f>
      </c>
      <c r="Q47" t="n" s="8987">
        <v>0.0</v>
      </c>
      <c r="R47" s="8988">
        <f>IF(HLOOKUP("Shots",A1:CV300,47,FALSE)=0,0,HLOOKUP("S6YD",A1:CV300,47,FALSE)/HLOOKUP("Shots",A1:CV300,47,FALSE))</f>
      </c>
      <c r="S47" t="n" s="8989">
        <v>0.0</v>
      </c>
      <c r="T47" s="8990">
        <f>IF(HLOOKUP("Shots",A1:CV300,47,FALSE)=0,0,HLOOKUP("Headers",A1:CV300,47,FALSE)/HLOOKUP("Shots",A1:CV300,47,FALSE))</f>
      </c>
      <c r="U47" t="n" s="8991">
        <v>2.0</v>
      </c>
      <c r="V47" s="8992">
        <f>IF(HLOOKUP("Shots",A1:CV300,47,FALSE)=0,0,HLOOKUP("SOT",A1:CV300,47,FALSE)/HLOOKUP("Shots",A1:CV300,47,FALSE))</f>
      </c>
      <c r="W47" s="8993">
        <f>IF(HLOOKUP("Shots",A1:CV300,47,FALSE)=0,0,HLOOKUP("Gs",A1:CV300,47,FALSE)/HLOOKUP("Shots",A1:CV300,47,FALSE))</f>
      </c>
      <c r="X47" t="n" s="8994">
        <v>0.0</v>
      </c>
      <c r="Y47" t="n" s="8995">
        <v>3.0</v>
      </c>
      <c r="Z47" t="n" s="8996">
        <v>3.0</v>
      </c>
      <c r="AA47" s="8997">
        <f>IF(HLOOKUP("KP",A1:CV300,47,FALSE)=0,0,HLOOKUP("As",A1:CV300,47,FALSE)/HLOOKUP("KP",A1:CV300,47,FALSE))</f>
      </c>
      <c r="AB47" t="n" s="8998">
        <v>22.4</v>
      </c>
      <c r="AC47" t="n" s="8999">
        <v>10.0</v>
      </c>
      <c r="AD47" t="n" s="9000">
        <v>0.0</v>
      </c>
      <c r="AE47" t="n" s="9001">
        <v>0.0</v>
      </c>
      <c r="AF47" t="n" s="9002">
        <v>0.0</v>
      </c>
      <c r="AG47" s="9003">
        <f>IF(HLOOKUP("BC",A1:CV300,47,FALSE)=0,0,HLOOKUP("Gs - BC",A1:CV300,47,FALSE)/HLOOKUP("BC",A1:CV300,47,FALSE))</f>
      </c>
      <c r="AH47" s="9004">
        <f>HLOOKUP("BC",A1:CV300,47,FALSE) - HLOOKUP("BC Miss",A1:CV300,47,FALSE)</f>
      </c>
      <c r="AI47" s="9005">
        <f>IF(HLOOKUP("Gs",A1:CV300,47,FALSE)=0,0,HLOOKUP("Gs - BC",A1:CV300,47,FALSE)/HLOOKUP("Gs",A1:CV300,47,FALSE))</f>
      </c>
      <c r="AJ47" t="n" s="9006">
        <v>0.0</v>
      </c>
      <c r="AK47" t="n" s="9007">
        <v>0.0</v>
      </c>
      <c r="AL47" s="9008">
        <f>HLOOKUP("BC",A1:CV300,47,FALSE) - (HLOOKUP("PK Gs",A1:CV300,47,FALSE) + HLOOKUP("PK Miss",A1:CV300,47,FALSE))</f>
      </c>
      <c r="AM47" s="9009">
        <f>HLOOKUP("BC Miss",A1:CV300,47,FALSE) - HLOOKUP("PK Miss",A1:CV300,47,FALSE)</f>
      </c>
      <c r="AN47" s="9010">
        <f>IF(HLOOKUP("BC - Open",A1:CV300,47,FALSE)=0,0,HLOOKUP("BC - Open Miss",A1:CV300,47,FALSE)/HLOOKUP("BC - Open",A1:CV300,47,FALSE))</f>
      </c>
      <c r="AO47" t="n" s="9011">
        <v>1.0</v>
      </c>
      <c r="AP47" s="9012">
        <f>IF(HLOOKUP("Gs",A1:CV300,47,FALSE)=0,0,HLOOKUP("GIB",A1:CV300,47,FALSE)/HLOOKUP("Gs",A1:CV300,47,FALSE))</f>
      </c>
      <c r="AQ47" t="n" s="9013">
        <v>1.0</v>
      </c>
      <c r="AR47" s="9014">
        <f>IF(HLOOKUP("Gs",A1:CV300,47,FALSE)=0,0,HLOOKUP("Gs - Open",A1:CV300,47,FALSE)/HLOOKUP("Gs",A1:CV300,47,FALSE))</f>
      </c>
      <c r="AS47" t="n" s="9015">
        <v>0.15</v>
      </c>
      <c r="AT47" t="n" s="9016">
        <v>0.3</v>
      </c>
      <c r="AU47" s="9017">
        <f>IF(HLOOKUP("Mins",A1:CV300,47,FALSE)=0,0,HLOOKUP("Pts",A1:CV300,47,FALSE)/HLOOKUP("Mins",A1:CV300,47,FALSE)* 90)</f>
      </c>
      <c r="AV47" s="9018">
        <f>IF(HLOOKUP("Apps",A1:CV300,47,FALSE)=0,0,HLOOKUP("Pts",A1:CV300,47,FALSE)/HLOOKUP("Apps",A1:CV300,47,FALSE)* 1)</f>
      </c>
      <c r="AW47" s="9019">
        <f>IF(HLOOKUP("Mins",A1:CV300,47,FALSE)=0,0,HLOOKUP("Gs",A1:CV300,47,FALSE)/HLOOKUP("Mins",A1:CV300,47,FALSE)* 90)</f>
      </c>
      <c r="AX47" s="9020">
        <f>IF(HLOOKUP("Mins",A1:CV300,47,FALSE)=0,0,HLOOKUP("Bonus",A1:CV300,47,FALSE)/HLOOKUP("Mins",A1:CV300,47,FALSE)* 90)</f>
      </c>
      <c r="AY47" s="9021">
        <f>IF(HLOOKUP("Mins",A1:CV300,47,FALSE)=0,0,HLOOKUP("BPS",A1:CV300,47,FALSE)/HLOOKUP("Mins",A1:CV300,47,FALSE)* 90)</f>
      </c>
      <c r="AZ47" s="9022">
        <f>IF(HLOOKUP("Mins",A1:CV300,47,FALSE)=0,0,HLOOKUP("Base BPS",A1:CV300,47,FALSE)/HLOOKUP("Mins",A1:CV300,47,FALSE)* 90)</f>
      </c>
      <c r="BA47" s="9023">
        <f>IF(HLOOKUP("Mins",A1:CV300,47,FALSE)=0,0,HLOOKUP("PenTchs",A1:CV300,47,FALSE)/HLOOKUP("Mins",A1:CV300,47,FALSE)* 90)</f>
      </c>
      <c r="BB47" s="9024">
        <f>IF(HLOOKUP("Mins",A1:CV300,47,FALSE)=0,0,HLOOKUP("Shots",A1:CV300,47,FALSE)/HLOOKUP("Mins",A1:CV300,47,FALSE)* 90)</f>
      </c>
      <c r="BC47" s="9025">
        <f>IF(HLOOKUP("Mins",A1:CV300,47,FALSE)=0,0,HLOOKUP("SIB",A1:CV300,47,FALSE)/HLOOKUP("Mins",A1:CV300,47,FALSE)* 90)</f>
      </c>
      <c r="BD47" s="9026">
        <f>IF(HLOOKUP("Mins",A1:CV300,47,FALSE)=0,0,HLOOKUP("S6YD",A1:CV300,47,FALSE)/HLOOKUP("Mins",A1:CV300,47,FALSE)* 90)</f>
      </c>
      <c r="BE47" s="9027">
        <f>IF(HLOOKUP("Mins",A1:CV300,47,FALSE)=0,0,HLOOKUP("Headers",A1:CV300,47,FALSE)/HLOOKUP("Mins",A1:CV300,47,FALSE)* 90)</f>
      </c>
      <c r="BF47" s="9028">
        <f>IF(HLOOKUP("Mins",A1:CV300,47,FALSE)=0,0,HLOOKUP("SOT",A1:CV300,47,FALSE)/HLOOKUP("Mins",A1:CV300,47,FALSE)* 90)</f>
      </c>
      <c r="BG47" s="9029">
        <f>IF(HLOOKUP("Mins",A1:CV300,47,FALSE)=0,0,HLOOKUP("As",A1:CV300,47,FALSE)/HLOOKUP("Mins",A1:CV300,47,FALSE)* 90)</f>
      </c>
      <c r="BH47" s="9030">
        <f>IF(HLOOKUP("Mins",A1:CV300,47,FALSE)=0,0,HLOOKUP("FPL As",A1:CV300,47,FALSE)/HLOOKUP("Mins",A1:CV300,47,FALSE)* 90)</f>
      </c>
      <c r="BI47" s="9031">
        <f>IF(HLOOKUP("Mins",A1:CV300,47,FALSE)=0,0,HLOOKUP("BC Created",A1:CV300,47,FALSE)/HLOOKUP("Mins",A1:CV300,47,FALSE)* 90)</f>
      </c>
      <c r="BJ47" s="9032">
        <f>IF(HLOOKUP("Mins",A1:CV300,47,FALSE)=0,0,HLOOKUP("KP",A1:CV300,47,FALSE)/HLOOKUP("Mins",A1:CV300,47,FALSE)* 90)</f>
      </c>
      <c r="BK47" s="9033">
        <f>IF(HLOOKUP("Mins",A1:CV300,47,FALSE)=0,0,HLOOKUP("BC",A1:CV300,47,FALSE)/HLOOKUP("Mins",A1:CV300,47,FALSE)* 90)</f>
      </c>
      <c r="BL47" s="9034">
        <f>IF(HLOOKUP("Mins",A1:CV300,47,FALSE)=0,0,HLOOKUP("BC Miss",A1:CV300,47,FALSE)/HLOOKUP("Mins",A1:CV300,47,FALSE)* 90)</f>
      </c>
      <c r="BM47" s="9035">
        <f>IF(HLOOKUP("Mins",A1:CV300,47,FALSE)=0,0,HLOOKUP("Gs - BC",A1:CV300,47,FALSE)/HLOOKUP("Mins",A1:CV300,47,FALSE)* 90)</f>
      </c>
      <c r="BN47" s="9036">
        <f>IF(HLOOKUP("Mins",A1:CV300,47,FALSE)=0,0,HLOOKUP("GIB",A1:CV300,47,FALSE)/HLOOKUP("Mins",A1:CV300,47,FALSE)* 90)</f>
      </c>
      <c r="BO47" s="9037">
        <f>IF(HLOOKUP("Mins",A1:CV300,47,FALSE)=0,0,HLOOKUP("Gs - Open",A1:CV300,47,FALSE)/HLOOKUP("Mins",A1:CV300,47,FALSE)* 90)</f>
      </c>
      <c r="BP47" s="9038">
        <f>IF(HLOOKUP("Mins",A1:CV300,47,FALSE)=0,0,HLOOKUP("ICT Index",A1:CV300,47,FALSE)/HLOOKUP("Mins",A1:CV300,47,FALSE)* 90)</f>
      </c>
      <c r="BQ47" s="9039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</c>
      <c r="BR47" s="9040">
        <f>0.0825*HLOOKUP("KP/90",A1:CV300,47,FALSE)</f>
      </c>
      <c r="BS47" s="9041">
        <f>6*HLOOKUP("xG/90",A1:CV300,47,FALSE)+3*HLOOKUP("xA/90",A1:CV300,47,FALSE)</f>
      </c>
      <c r="BT47" s="9042">
        <f>HLOOKUP("xPts/90",A1:CV300,47,FALSE)-(6*0.75*(HLOOKUP("PK Gs",A1:CV300,47,FALSE)+HLOOKUP("PK Miss",A1:CV300,47,FALSE))*90/HLOOKUP("Mins",A1:CV300,47,FALSE))</f>
      </c>
      <c r="BU47" s="9043">
        <f>IF(HLOOKUP("Mins",A1:CV300,47,FALSE)=0,0,HLOOKUP("fsXG",A1:CV300,47,FALSE)/HLOOKUP("Mins",A1:CV300,47,FALSE)* 90)</f>
      </c>
      <c r="BV47" s="9044">
        <f>IF(HLOOKUP("Mins",A1:CV300,47,FALSE)=0,0,HLOOKUP("fsXA",A1:CV300,47,FALSE)/HLOOKUP("Mins",A1:CV300,47,FALSE)* 90)</f>
      </c>
      <c r="BW47" s="9045">
        <f>6*HLOOKUP("fsXG/90",A1:CV300,47,FALSE)+3*HLOOKUP("fsXA/90",A1:CV300,47,FALSE)</f>
      </c>
      <c r="BX47" t="n" s="9046">
        <v>0.044940438121557236</v>
      </c>
      <c r="BY47" t="n" s="9047">
        <v>0.03875165060162544</v>
      </c>
      <c r="BZ47" s="9048">
        <f>6*HLOOKUP("uXG/90",A1:CV300,47,FALSE)+3*HLOOKUP("uXA/90",A1:CV300,47,FALSE)</f>
      </c>
    </row>
    <row r="48">
      <c r="A48" t="s" s="9049">
        <v>213</v>
      </c>
      <c r="B48" t="s" s="9050">
        <v>90</v>
      </c>
      <c r="C48" t="n" s="9051">
        <v>4.400000095367432</v>
      </c>
      <c r="D48" t="n" s="9052">
        <v>76.0</v>
      </c>
      <c r="E48" t="n" s="9053">
        <v>1.0</v>
      </c>
      <c r="F48" t="n" s="9054">
        <v>24.0</v>
      </c>
      <c r="G48" t="n" s="9055">
        <v>0.0</v>
      </c>
      <c r="H48" t="n" s="9056">
        <v>0.0</v>
      </c>
      <c r="I48" t="n" s="9057">
        <v>279.0</v>
      </c>
      <c r="J48" s="9058">
        <f>HLOOKUP("BPS",A1:CV300,48,FALSE)-((-6*HLOOKUP("OG",A1:CV300,48,FALSE))+(-6*HLOOKUP("PK Miss",A1:CV300,48,FALSE))+(9*HLOOKUP("FPL As",A1:CV300,48,FALSE))+(12*HLOOKUP("CS",A1:CV300,48,FALSE))+(12*HLOOKUP("Gs",A1:CV300,48,FALSE)))</f>
      </c>
      <c r="K48" t="n" s="9059">
        <v>0.0</v>
      </c>
      <c r="L48" t="n" s="9060">
        <v>2.0</v>
      </c>
      <c r="M48" t="n" s="9061">
        <v>0.0</v>
      </c>
      <c r="N48" t="n" s="9062">
        <v>0.0</v>
      </c>
      <c r="O48" t="n" s="9063">
        <v>0.0</v>
      </c>
      <c r="P48" s="9064">
        <f>IF(HLOOKUP("Shots",A1:CV300,48,FALSE)=0,0,HLOOKUP("SIB",A1:CV300,48,FALSE)/HLOOKUP("Shots",A1:CV300,48,FALSE))</f>
      </c>
      <c r="Q48" t="n" s="9065">
        <v>0.0</v>
      </c>
      <c r="R48" s="9066">
        <f>IF(HLOOKUP("Shots",A1:CV300,48,FALSE)=0,0,HLOOKUP("S6YD",A1:CV300,48,FALSE)/HLOOKUP("Shots",A1:CV300,48,FALSE))</f>
      </c>
      <c r="S48" t="n" s="9067">
        <v>0.0</v>
      </c>
      <c r="T48" s="9068">
        <f>IF(HLOOKUP("Shots",A1:CV300,48,FALSE)=0,0,HLOOKUP("Headers",A1:CV300,48,FALSE)/HLOOKUP("Shots",A1:CV300,48,FALSE))</f>
      </c>
      <c r="U48" t="n" s="9069">
        <v>0.0</v>
      </c>
      <c r="V48" s="9070">
        <f>IF(HLOOKUP("Shots",A1:CV300,48,FALSE)=0,0,HLOOKUP("SOT",A1:CV300,48,FALSE)/HLOOKUP("Shots",A1:CV300,48,FALSE))</f>
      </c>
      <c r="W48" s="9071">
        <f>IF(HLOOKUP("Shots",A1:CV300,48,FALSE)=0,0,HLOOKUP("Gs",A1:CV300,48,FALSE)/HLOOKUP("Shots",A1:CV300,48,FALSE))</f>
      </c>
      <c r="X48" t="n" s="9072">
        <v>0.0</v>
      </c>
      <c r="Y48" t="n" s="9073">
        <v>0.0</v>
      </c>
      <c r="Z48" t="n" s="9074">
        <v>0.0</v>
      </c>
      <c r="AA48" s="9075">
        <f>IF(HLOOKUP("KP",A1:CV300,48,FALSE)=0,0,HLOOKUP("As",A1:CV300,48,FALSE)/HLOOKUP("KP",A1:CV300,48,FALSE))</f>
      </c>
      <c r="AB48" t="n" s="9076">
        <v>1.1</v>
      </c>
      <c r="AC48" t="n" s="9077">
        <v>0.0</v>
      </c>
      <c r="AD48" t="n" s="9078">
        <v>0.0</v>
      </c>
      <c r="AE48" t="n" s="9079">
        <v>0.0</v>
      </c>
      <c r="AF48" t="n" s="9080">
        <v>0.0</v>
      </c>
      <c r="AG48" s="9081">
        <f>IF(HLOOKUP("BC",A1:CV300,48,FALSE)=0,0,HLOOKUP("Gs - BC",A1:CV300,48,FALSE)/HLOOKUP("BC",A1:CV300,48,FALSE))</f>
      </c>
      <c r="AH48" s="9082">
        <f>HLOOKUP("BC",A1:CV300,48,FALSE) - HLOOKUP("BC Miss",A1:CV300,48,FALSE)</f>
      </c>
      <c r="AI48" s="9083">
        <f>IF(HLOOKUP("Gs",A1:CV300,48,FALSE)=0,0,HLOOKUP("Gs - BC",A1:CV300,48,FALSE)/HLOOKUP("Gs",A1:CV300,48,FALSE))</f>
      </c>
      <c r="AJ48" t="n" s="9084">
        <v>0.0</v>
      </c>
      <c r="AK48" t="n" s="9085">
        <v>0.0</v>
      </c>
      <c r="AL48" s="9086">
        <f>HLOOKUP("BC",A1:CV300,48,FALSE) - (HLOOKUP("PK Gs",A1:CV300,48,FALSE) + HLOOKUP("PK Miss",A1:CV300,48,FALSE))</f>
      </c>
      <c r="AM48" s="9087">
        <f>HLOOKUP("BC Miss",A1:CV300,48,FALSE) - HLOOKUP("PK Miss",A1:CV300,48,FALSE)</f>
      </c>
      <c r="AN48" s="9088">
        <f>IF(HLOOKUP("BC - Open",A1:CV300,48,FALSE)=0,0,HLOOKUP("BC - Open Miss",A1:CV300,48,FALSE)/HLOOKUP("BC - Open",A1:CV300,48,FALSE))</f>
      </c>
      <c r="AO48" t="n" s="9089">
        <v>0.0</v>
      </c>
      <c r="AP48" s="9090">
        <f>IF(HLOOKUP("Gs",A1:CV300,48,FALSE)=0,0,HLOOKUP("GIB",A1:CV300,48,FALSE)/HLOOKUP("Gs",A1:CV300,48,FALSE))</f>
      </c>
      <c r="AQ48" t="n" s="9091">
        <v>0.0</v>
      </c>
      <c r="AR48" s="9092">
        <f>IF(HLOOKUP("Gs",A1:CV300,48,FALSE)=0,0,HLOOKUP("Gs - Open",A1:CV300,48,FALSE)/HLOOKUP("Gs",A1:CV300,48,FALSE))</f>
      </c>
      <c r="AS48" t="n" s="9093">
        <v>0.0</v>
      </c>
      <c r="AT48" t="n" s="9094">
        <v>0.01</v>
      </c>
      <c r="AU48" s="9095">
        <f>IF(HLOOKUP("Mins",A1:CV300,48,FALSE)=0,0,HLOOKUP("Pts",A1:CV300,48,FALSE)/HLOOKUP("Mins",A1:CV300,48,FALSE)* 90)</f>
      </c>
      <c r="AV48" s="9096">
        <f>IF(HLOOKUP("Apps",A1:CV300,48,FALSE)=0,0,HLOOKUP("Pts",A1:CV300,48,FALSE)/HLOOKUP("Apps",A1:CV300,48,FALSE)* 1)</f>
      </c>
      <c r="AW48" s="9097">
        <f>IF(HLOOKUP("Mins",A1:CV300,48,FALSE)=0,0,HLOOKUP("Gs",A1:CV300,48,FALSE)/HLOOKUP("Mins",A1:CV300,48,FALSE)* 90)</f>
      </c>
      <c r="AX48" s="9098">
        <f>IF(HLOOKUP("Mins",A1:CV300,48,FALSE)=0,0,HLOOKUP("Bonus",A1:CV300,48,FALSE)/HLOOKUP("Mins",A1:CV300,48,FALSE)* 90)</f>
      </c>
      <c r="AY48" s="9099">
        <f>IF(HLOOKUP("Mins",A1:CV300,48,FALSE)=0,0,HLOOKUP("BPS",A1:CV300,48,FALSE)/HLOOKUP("Mins",A1:CV300,48,FALSE)* 90)</f>
      </c>
      <c r="AZ48" s="9100">
        <f>IF(HLOOKUP("Mins",A1:CV300,48,FALSE)=0,0,HLOOKUP("Base BPS",A1:CV300,48,FALSE)/HLOOKUP("Mins",A1:CV300,48,FALSE)* 90)</f>
      </c>
      <c r="BA48" s="9101">
        <f>IF(HLOOKUP("Mins",A1:CV300,48,FALSE)=0,0,HLOOKUP("PenTchs",A1:CV300,48,FALSE)/HLOOKUP("Mins",A1:CV300,48,FALSE)* 90)</f>
      </c>
      <c r="BB48" s="9102">
        <f>IF(HLOOKUP("Mins",A1:CV300,48,FALSE)=0,0,HLOOKUP("Shots",A1:CV300,48,FALSE)/HLOOKUP("Mins",A1:CV300,48,FALSE)* 90)</f>
      </c>
      <c r="BC48" s="9103">
        <f>IF(HLOOKUP("Mins",A1:CV300,48,FALSE)=0,0,HLOOKUP("SIB",A1:CV300,48,FALSE)/HLOOKUP("Mins",A1:CV300,48,FALSE)* 90)</f>
      </c>
      <c r="BD48" s="9104">
        <f>IF(HLOOKUP("Mins",A1:CV300,48,FALSE)=0,0,HLOOKUP("S6YD",A1:CV300,48,FALSE)/HLOOKUP("Mins",A1:CV300,48,FALSE)* 90)</f>
      </c>
      <c r="BE48" s="9105">
        <f>IF(HLOOKUP("Mins",A1:CV300,48,FALSE)=0,0,HLOOKUP("Headers",A1:CV300,48,FALSE)/HLOOKUP("Mins",A1:CV300,48,FALSE)* 90)</f>
      </c>
      <c r="BF48" s="9106">
        <f>IF(HLOOKUP("Mins",A1:CV300,48,FALSE)=0,0,HLOOKUP("SOT",A1:CV300,48,FALSE)/HLOOKUP("Mins",A1:CV300,48,FALSE)* 90)</f>
      </c>
      <c r="BG48" s="9107">
        <f>IF(HLOOKUP("Mins",A1:CV300,48,FALSE)=0,0,HLOOKUP("As",A1:CV300,48,FALSE)/HLOOKUP("Mins",A1:CV300,48,FALSE)* 90)</f>
      </c>
      <c r="BH48" s="9108">
        <f>IF(HLOOKUP("Mins",A1:CV300,48,FALSE)=0,0,HLOOKUP("FPL As",A1:CV300,48,FALSE)/HLOOKUP("Mins",A1:CV300,48,FALSE)* 90)</f>
      </c>
      <c r="BI48" s="9109">
        <f>IF(HLOOKUP("Mins",A1:CV300,48,FALSE)=0,0,HLOOKUP("BC Created",A1:CV300,48,FALSE)/HLOOKUP("Mins",A1:CV300,48,FALSE)* 90)</f>
      </c>
      <c r="BJ48" s="9110">
        <f>IF(HLOOKUP("Mins",A1:CV300,48,FALSE)=0,0,HLOOKUP("KP",A1:CV300,48,FALSE)/HLOOKUP("Mins",A1:CV300,48,FALSE)* 90)</f>
      </c>
      <c r="BK48" s="9111">
        <f>IF(HLOOKUP("Mins",A1:CV300,48,FALSE)=0,0,HLOOKUP("BC",A1:CV300,48,FALSE)/HLOOKUP("Mins",A1:CV300,48,FALSE)* 90)</f>
      </c>
      <c r="BL48" s="9112">
        <f>IF(HLOOKUP("Mins",A1:CV300,48,FALSE)=0,0,HLOOKUP("BC Miss",A1:CV300,48,FALSE)/HLOOKUP("Mins",A1:CV300,48,FALSE)* 90)</f>
      </c>
      <c r="BM48" s="9113">
        <f>IF(HLOOKUP("Mins",A1:CV300,48,FALSE)=0,0,HLOOKUP("Gs - BC",A1:CV300,48,FALSE)/HLOOKUP("Mins",A1:CV300,48,FALSE)* 90)</f>
      </c>
      <c r="BN48" s="9114">
        <f>IF(HLOOKUP("Mins",A1:CV300,48,FALSE)=0,0,HLOOKUP("GIB",A1:CV300,48,FALSE)/HLOOKUP("Mins",A1:CV300,48,FALSE)* 90)</f>
      </c>
      <c r="BO48" s="9115">
        <f>IF(HLOOKUP("Mins",A1:CV300,48,FALSE)=0,0,HLOOKUP("Gs - Open",A1:CV300,48,FALSE)/HLOOKUP("Mins",A1:CV300,48,FALSE)* 90)</f>
      </c>
      <c r="BP48" s="9116">
        <f>IF(HLOOKUP("Mins",A1:CV300,48,FALSE)=0,0,HLOOKUP("ICT Index",A1:CV300,48,FALSE)/HLOOKUP("Mins",A1:CV300,48,FALSE)* 90)</f>
      </c>
      <c r="BQ48" s="9117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</c>
      <c r="BR48" s="9118">
        <f>0.0825*HLOOKUP("KP/90",A1:CV300,48,FALSE)</f>
      </c>
      <c r="BS48" s="9119">
        <f>6*HLOOKUP("xG/90",A1:CV300,48,FALSE)+3*HLOOKUP("xA/90",A1:CV300,48,FALSE)</f>
      </c>
      <c r="BT48" s="9120">
        <f>HLOOKUP("xPts/90",A1:CV300,48,FALSE)-(6*0.75*(HLOOKUP("PK Gs",A1:CV300,48,FALSE)+HLOOKUP("PK Miss",A1:CV300,48,FALSE))*90/HLOOKUP("Mins",A1:CV300,48,FALSE))</f>
      </c>
      <c r="BU48" s="9121">
        <f>IF(HLOOKUP("Mins",A1:CV300,48,FALSE)=0,0,HLOOKUP("fsXG",A1:CV300,48,FALSE)/HLOOKUP("Mins",A1:CV300,48,FALSE)* 90)</f>
      </c>
      <c r="BV48" s="9122">
        <f>IF(HLOOKUP("Mins",A1:CV300,48,FALSE)=0,0,HLOOKUP("fsXA",A1:CV300,48,FALSE)/HLOOKUP("Mins",A1:CV300,48,FALSE)* 90)</f>
      </c>
      <c r="BW48" s="9123">
        <f>6*HLOOKUP("fsXG/90",A1:CV300,48,FALSE)+3*HLOOKUP("fsXA/90",A1:CV300,48,FALSE)</f>
      </c>
      <c r="BX48" t="n" s="9124">
        <v>0.0</v>
      </c>
      <c r="BY48" t="n" s="9125">
        <v>0.0</v>
      </c>
      <c r="BZ48" s="9126">
        <f>6*HLOOKUP("uXG/90",A1:CV300,48,FALSE)+3*HLOOKUP("uXA/90",A1:CV300,48,FALSE)</f>
      </c>
    </row>
    <row r="49">
      <c r="A49" t="s" s="9127">
        <v>214</v>
      </c>
      <c r="B49" t="s" s="9128">
        <v>95</v>
      </c>
      <c r="C49" t="n" s="9129">
        <v>5.300000190734863</v>
      </c>
      <c r="D49" t="n" s="9130">
        <v>540.0</v>
      </c>
      <c r="E49" t="n" s="9131">
        <v>6.0</v>
      </c>
      <c r="F49" t="n" s="9132">
        <v>63.0</v>
      </c>
      <c r="G49" t="n" s="9133">
        <v>1.0</v>
      </c>
      <c r="H49" t="n" s="9134">
        <v>2.0</v>
      </c>
      <c r="I49" t="n" s="9135">
        <v>431.0</v>
      </c>
      <c r="J49" s="9136">
        <f>HLOOKUP("BPS",A1:CV300,49,FALSE)-((-6*HLOOKUP("OG",A1:CV300,49,FALSE))+(-6*HLOOKUP("PK Miss",A1:CV300,49,FALSE))+(9*HLOOKUP("FPL As",A1:CV300,49,FALSE))+(12*HLOOKUP("CS",A1:CV300,49,FALSE))+(12*HLOOKUP("Gs",A1:CV300,49,FALSE)))</f>
      </c>
      <c r="K49" t="n" s="9137">
        <v>1.0</v>
      </c>
      <c r="L49" t="n" s="9138">
        <v>4.0</v>
      </c>
      <c r="M49" t="n" s="9139">
        <v>3.0</v>
      </c>
      <c r="N49" t="n" s="9140">
        <v>2.0</v>
      </c>
      <c r="O49" t="n" s="9141">
        <v>2.0</v>
      </c>
      <c r="P49" s="9142">
        <f>IF(HLOOKUP("Shots",A1:CV300,49,FALSE)=0,0,HLOOKUP("SIB",A1:CV300,49,FALSE)/HLOOKUP("Shots",A1:CV300,49,FALSE))</f>
      </c>
      <c r="Q49" t="n" s="9143">
        <v>0.0</v>
      </c>
      <c r="R49" s="9144">
        <f>IF(HLOOKUP("Shots",A1:CV300,49,FALSE)=0,0,HLOOKUP("S6YD",A1:CV300,49,FALSE)/HLOOKUP("Shots",A1:CV300,49,FALSE))</f>
      </c>
      <c r="S49" t="n" s="9145">
        <v>1.0</v>
      </c>
      <c r="T49" s="9146">
        <f>IF(HLOOKUP("Shots",A1:CV300,49,FALSE)=0,0,HLOOKUP("Headers",A1:CV300,49,FALSE)/HLOOKUP("Shots",A1:CV300,49,FALSE))</f>
      </c>
      <c r="U49" t="n" s="9147">
        <v>1.0</v>
      </c>
      <c r="V49" s="9148">
        <f>IF(HLOOKUP("Shots",A1:CV300,49,FALSE)=0,0,HLOOKUP("SOT",A1:CV300,49,FALSE)/HLOOKUP("Shots",A1:CV300,49,FALSE))</f>
      </c>
      <c r="W49" s="9149">
        <f>IF(HLOOKUP("Shots",A1:CV300,49,FALSE)=0,0,HLOOKUP("Gs",A1:CV300,49,FALSE)/HLOOKUP("Shots",A1:CV300,49,FALSE))</f>
      </c>
      <c r="X49" t="n" s="9150">
        <v>0.0</v>
      </c>
      <c r="Y49" t="n" s="9151">
        <v>2.0</v>
      </c>
      <c r="Z49" t="n" s="9152">
        <v>2.0</v>
      </c>
      <c r="AA49" s="9153">
        <f>IF(HLOOKUP("KP",A1:CV300,49,FALSE)=0,0,HLOOKUP("As",A1:CV300,49,FALSE)/HLOOKUP("KP",A1:CV300,49,FALSE))</f>
      </c>
      <c r="AB49" t="n" s="9154">
        <v>23.7</v>
      </c>
      <c r="AC49" t="n" s="9155">
        <v>14.0</v>
      </c>
      <c r="AD49" t="n" s="9156">
        <v>0.0</v>
      </c>
      <c r="AE49" t="n" s="9157">
        <v>0.0</v>
      </c>
      <c r="AF49" t="n" s="9158">
        <v>0.0</v>
      </c>
      <c r="AG49" s="9159">
        <f>IF(HLOOKUP("BC",A1:CV300,49,FALSE)=0,0,HLOOKUP("Gs - BC",A1:CV300,49,FALSE)/HLOOKUP("BC",A1:CV300,49,FALSE))</f>
      </c>
      <c r="AH49" s="9160">
        <f>HLOOKUP("BC",A1:CV300,49,FALSE) - HLOOKUP("BC Miss",A1:CV300,49,FALSE)</f>
      </c>
      <c r="AI49" s="9161">
        <f>IF(HLOOKUP("Gs",A1:CV300,49,FALSE)=0,0,HLOOKUP("Gs - BC",A1:CV300,49,FALSE)/HLOOKUP("Gs",A1:CV300,49,FALSE))</f>
      </c>
      <c r="AJ49" t="n" s="9162">
        <v>0.0</v>
      </c>
      <c r="AK49" t="n" s="9163">
        <v>0.0</v>
      </c>
      <c r="AL49" s="9164">
        <f>HLOOKUP("BC",A1:CV300,49,FALSE) - (HLOOKUP("PK Gs",A1:CV300,49,FALSE) + HLOOKUP("PK Miss",A1:CV300,49,FALSE))</f>
      </c>
      <c r="AM49" s="9165">
        <f>HLOOKUP("BC Miss",A1:CV300,49,FALSE) - HLOOKUP("PK Miss",A1:CV300,49,FALSE)</f>
      </c>
      <c r="AN49" s="9166">
        <f>IF(HLOOKUP("BC - Open",A1:CV300,49,FALSE)=0,0,HLOOKUP("BC - Open Miss",A1:CV300,49,FALSE)/HLOOKUP("BC - Open",A1:CV300,49,FALSE))</f>
      </c>
      <c r="AO49" t="n" s="9167">
        <v>1.0</v>
      </c>
      <c r="AP49" s="9168">
        <f>IF(HLOOKUP("Gs",A1:CV300,49,FALSE)=0,0,HLOOKUP("GIB",A1:CV300,49,FALSE)/HLOOKUP("Gs",A1:CV300,49,FALSE))</f>
      </c>
      <c r="AQ49" t="n" s="9169">
        <v>0.0</v>
      </c>
      <c r="AR49" s="9170">
        <f>IF(HLOOKUP("Gs",A1:CV300,49,FALSE)=0,0,HLOOKUP("Gs - Open",A1:CV300,49,FALSE)/HLOOKUP("Gs",A1:CV300,49,FALSE))</f>
      </c>
      <c r="AS49" t="n" s="9171">
        <v>0.11</v>
      </c>
      <c r="AT49" t="n" s="9172">
        <v>0.54</v>
      </c>
      <c r="AU49" s="9173">
        <f>IF(HLOOKUP("Mins",A1:CV300,49,FALSE)=0,0,HLOOKUP("Pts",A1:CV300,49,FALSE)/HLOOKUP("Mins",A1:CV300,49,FALSE)* 90)</f>
      </c>
      <c r="AV49" s="9174">
        <f>IF(HLOOKUP("Apps",A1:CV300,49,FALSE)=0,0,HLOOKUP("Pts",A1:CV300,49,FALSE)/HLOOKUP("Apps",A1:CV300,49,FALSE)* 1)</f>
      </c>
      <c r="AW49" s="9175">
        <f>IF(HLOOKUP("Mins",A1:CV300,49,FALSE)=0,0,HLOOKUP("Gs",A1:CV300,49,FALSE)/HLOOKUP("Mins",A1:CV300,49,FALSE)* 90)</f>
      </c>
      <c r="AX49" s="9176">
        <f>IF(HLOOKUP("Mins",A1:CV300,49,FALSE)=0,0,HLOOKUP("Bonus",A1:CV300,49,FALSE)/HLOOKUP("Mins",A1:CV300,49,FALSE)* 90)</f>
      </c>
      <c r="AY49" s="9177">
        <f>IF(HLOOKUP("Mins",A1:CV300,49,FALSE)=0,0,HLOOKUP("BPS",A1:CV300,49,FALSE)/HLOOKUP("Mins",A1:CV300,49,FALSE)* 90)</f>
      </c>
      <c r="AZ49" s="9178">
        <f>IF(HLOOKUP("Mins",A1:CV300,49,FALSE)=0,0,HLOOKUP("Base BPS",A1:CV300,49,FALSE)/HLOOKUP("Mins",A1:CV300,49,FALSE)* 90)</f>
      </c>
      <c r="BA49" s="9179">
        <f>IF(HLOOKUP("Mins",A1:CV300,49,FALSE)=0,0,HLOOKUP("PenTchs",A1:CV300,49,FALSE)/HLOOKUP("Mins",A1:CV300,49,FALSE)* 90)</f>
      </c>
      <c r="BB49" s="9180">
        <f>IF(HLOOKUP("Mins",A1:CV300,49,FALSE)=0,0,HLOOKUP("Shots",A1:CV300,49,FALSE)/HLOOKUP("Mins",A1:CV300,49,FALSE)* 90)</f>
      </c>
      <c r="BC49" s="9181">
        <f>IF(HLOOKUP("Mins",A1:CV300,49,FALSE)=0,0,HLOOKUP("SIB",A1:CV300,49,FALSE)/HLOOKUP("Mins",A1:CV300,49,FALSE)* 90)</f>
      </c>
      <c r="BD49" s="9182">
        <f>IF(HLOOKUP("Mins",A1:CV300,49,FALSE)=0,0,HLOOKUP("S6YD",A1:CV300,49,FALSE)/HLOOKUP("Mins",A1:CV300,49,FALSE)* 90)</f>
      </c>
      <c r="BE49" s="9183">
        <f>IF(HLOOKUP("Mins",A1:CV300,49,FALSE)=0,0,HLOOKUP("Headers",A1:CV300,49,FALSE)/HLOOKUP("Mins",A1:CV300,49,FALSE)* 90)</f>
      </c>
      <c r="BF49" s="9184">
        <f>IF(HLOOKUP("Mins",A1:CV300,49,FALSE)=0,0,HLOOKUP("SOT",A1:CV300,49,FALSE)/HLOOKUP("Mins",A1:CV300,49,FALSE)* 90)</f>
      </c>
      <c r="BG49" s="9185">
        <f>IF(HLOOKUP("Mins",A1:CV300,49,FALSE)=0,0,HLOOKUP("As",A1:CV300,49,FALSE)/HLOOKUP("Mins",A1:CV300,49,FALSE)* 90)</f>
      </c>
      <c r="BH49" s="9186">
        <f>IF(HLOOKUP("Mins",A1:CV300,49,FALSE)=0,0,HLOOKUP("FPL As",A1:CV300,49,FALSE)/HLOOKUP("Mins",A1:CV300,49,FALSE)* 90)</f>
      </c>
      <c r="BI49" s="9187">
        <f>IF(HLOOKUP("Mins",A1:CV300,49,FALSE)=0,0,HLOOKUP("BC Created",A1:CV300,49,FALSE)/HLOOKUP("Mins",A1:CV300,49,FALSE)* 90)</f>
      </c>
      <c r="BJ49" s="9188">
        <f>IF(HLOOKUP("Mins",A1:CV300,49,FALSE)=0,0,HLOOKUP("KP",A1:CV300,49,FALSE)/HLOOKUP("Mins",A1:CV300,49,FALSE)* 90)</f>
      </c>
      <c r="BK49" s="9189">
        <f>IF(HLOOKUP("Mins",A1:CV300,49,FALSE)=0,0,HLOOKUP("BC",A1:CV300,49,FALSE)/HLOOKUP("Mins",A1:CV300,49,FALSE)* 90)</f>
      </c>
      <c r="BL49" s="9190">
        <f>IF(HLOOKUP("Mins",A1:CV300,49,FALSE)=0,0,HLOOKUP("BC Miss",A1:CV300,49,FALSE)/HLOOKUP("Mins",A1:CV300,49,FALSE)* 90)</f>
      </c>
      <c r="BM49" s="9191">
        <f>IF(HLOOKUP("Mins",A1:CV300,49,FALSE)=0,0,HLOOKUP("Gs - BC",A1:CV300,49,FALSE)/HLOOKUP("Mins",A1:CV300,49,FALSE)* 90)</f>
      </c>
      <c r="BN49" s="9192">
        <f>IF(HLOOKUP("Mins",A1:CV300,49,FALSE)=0,0,HLOOKUP("GIB",A1:CV300,49,FALSE)/HLOOKUP("Mins",A1:CV300,49,FALSE)* 90)</f>
      </c>
      <c r="BO49" s="9193">
        <f>IF(HLOOKUP("Mins",A1:CV300,49,FALSE)=0,0,HLOOKUP("Gs - Open",A1:CV300,49,FALSE)/HLOOKUP("Mins",A1:CV300,49,FALSE)* 90)</f>
      </c>
      <c r="BP49" s="9194">
        <f>IF(HLOOKUP("Mins",A1:CV300,49,FALSE)=0,0,HLOOKUP("ICT Index",A1:CV300,49,FALSE)/HLOOKUP("Mins",A1:CV300,49,FALSE)* 90)</f>
      </c>
      <c r="BQ49" s="9195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</c>
      <c r="BR49" s="9196">
        <f>0.0825*HLOOKUP("KP/90",A1:CV300,49,FALSE)</f>
      </c>
      <c r="BS49" s="9197">
        <f>6*HLOOKUP("xG/90",A1:CV300,49,FALSE)+3*HLOOKUP("xA/90",A1:CV300,49,FALSE)</f>
      </c>
      <c r="BT49" s="9198">
        <f>HLOOKUP("xPts/90",A1:CV300,49,FALSE)-(6*0.75*(HLOOKUP("PK Gs",A1:CV300,49,FALSE)+HLOOKUP("PK Miss",A1:CV300,49,FALSE))*90/HLOOKUP("Mins",A1:CV300,49,FALSE))</f>
      </c>
      <c r="BU49" s="9199">
        <f>IF(HLOOKUP("Mins",A1:CV300,49,FALSE)=0,0,HLOOKUP("fsXG",A1:CV300,49,FALSE)/HLOOKUP("Mins",A1:CV300,49,FALSE)* 90)</f>
      </c>
      <c r="BV49" s="9200">
        <f>IF(HLOOKUP("Mins",A1:CV300,49,FALSE)=0,0,HLOOKUP("fsXA",A1:CV300,49,FALSE)/HLOOKUP("Mins",A1:CV300,49,FALSE)* 90)</f>
      </c>
      <c r="BW49" s="9201">
        <f>6*HLOOKUP("fsXG/90",A1:CV300,49,FALSE)+3*HLOOKUP("fsXA/90",A1:CV300,49,FALSE)</f>
      </c>
      <c r="BX49" t="n" s="9202">
        <v>0.015286578796803951</v>
      </c>
      <c r="BY49" t="n" s="9203">
        <v>0.015063339844346046</v>
      </c>
      <c r="BZ49" s="9204">
        <f>6*HLOOKUP("uXG/90",A1:CV300,49,FALSE)+3*HLOOKUP("uXA/90",A1:CV300,49,FALSE)</f>
      </c>
    </row>
    <row r="50">
      <c r="A50" t="s" s="9205">
        <v>215</v>
      </c>
      <c r="B50" t="s" s="9206">
        <v>149</v>
      </c>
      <c r="C50" t="n" s="9207">
        <v>5.0</v>
      </c>
      <c r="D50" t="n" s="9208">
        <v>435.0</v>
      </c>
      <c r="E50" t="n" s="9209">
        <v>5.0</v>
      </c>
      <c r="F50" t="n" s="9210">
        <v>41.0</v>
      </c>
      <c r="G50" t="n" s="9211">
        <v>0.0</v>
      </c>
      <c r="H50" t="n" s="9212">
        <v>5.0</v>
      </c>
      <c r="I50" t="n" s="9213">
        <v>224.0</v>
      </c>
      <c r="J50" s="9214">
        <f>HLOOKUP("BPS",A1:CV300,50,FALSE)-((-6*HLOOKUP("OG",A1:CV300,50,FALSE))+(-6*HLOOKUP("PK Miss",A1:CV300,50,FALSE))+(9*HLOOKUP("FPL As",A1:CV300,50,FALSE))+(12*HLOOKUP("CS",A1:CV300,50,FALSE))+(12*HLOOKUP("Gs",A1:CV300,50,FALSE)))</f>
      </c>
      <c r="K50" t="n" s="9215">
        <v>0.0</v>
      </c>
      <c r="L50" t="n" s="9216">
        <v>3.0</v>
      </c>
      <c r="M50" t="n" s="9217">
        <v>10.0</v>
      </c>
      <c r="N50" t="n" s="9218">
        <v>7.0</v>
      </c>
      <c r="O50" t="n" s="9219">
        <v>3.0</v>
      </c>
      <c r="P50" s="9220">
        <f>IF(HLOOKUP("Shots",A1:CV300,50,FALSE)=0,0,HLOOKUP("SIB",A1:CV300,50,FALSE)/HLOOKUP("Shots",A1:CV300,50,FALSE))</f>
      </c>
      <c r="Q50" t="n" s="9221">
        <v>0.0</v>
      </c>
      <c r="R50" s="9222">
        <f>IF(HLOOKUP("Shots",A1:CV300,50,FALSE)=0,0,HLOOKUP("S6YD",A1:CV300,50,FALSE)/HLOOKUP("Shots",A1:CV300,50,FALSE))</f>
      </c>
      <c r="S50" t="n" s="9223">
        <v>1.0</v>
      </c>
      <c r="T50" s="9224">
        <f>IF(HLOOKUP("Shots",A1:CV300,50,FALSE)=0,0,HLOOKUP("Headers",A1:CV300,50,FALSE)/HLOOKUP("Shots",A1:CV300,50,FALSE))</f>
      </c>
      <c r="U50" t="n" s="9225">
        <v>1.0</v>
      </c>
      <c r="V50" s="9226">
        <f>IF(HLOOKUP("Shots",A1:CV300,50,FALSE)=0,0,HLOOKUP("SOT",A1:CV300,50,FALSE)/HLOOKUP("Shots",A1:CV300,50,FALSE))</f>
      </c>
      <c r="W50" s="9227">
        <f>IF(HLOOKUP("Shots",A1:CV300,50,FALSE)=0,0,HLOOKUP("Gs",A1:CV300,50,FALSE)/HLOOKUP("Shots",A1:CV300,50,FALSE))</f>
      </c>
      <c r="X50" t="n" s="9228">
        <v>1.0</v>
      </c>
      <c r="Y50" t="n" s="9229">
        <v>2.0</v>
      </c>
      <c r="Z50" t="n" s="9230">
        <v>7.0</v>
      </c>
      <c r="AA50" s="9231">
        <f>IF(HLOOKUP("KP",A1:CV300,50,FALSE)=0,0,HLOOKUP("As",A1:CV300,50,FALSE)/HLOOKUP("KP",A1:CV300,50,FALSE))</f>
      </c>
      <c r="AB50" t="n" s="9232">
        <v>29.2</v>
      </c>
      <c r="AC50" t="n" s="9233">
        <v>17.0</v>
      </c>
      <c r="AD50" t="n" s="9234">
        <v>1.0</v>
      </c>
      <c r="AE50" t="n" s="9235">
        <v>0.0</v>
      </c>
      <c r="AF50" t="n" s="9236">
        <v>0.0</v>
      </c>
      <c r="AG50" s="9237">
        <f>IF(HLOOKUP("BC",A1:CV300,50,FALSE)=0,0,HLOOKUP("Gs - BC",A1:CV300,50,FALSE)/HLOOKUP("BC",A1:CV300,50,FALSE))</f>
      </c>
      <c r="AH50" s="9238">
        <f>HLOOKUP("BC",A1:CV300,50,FALSE) - HLOOKUP("BC Miss",A1:CV300,50,FALSE)</f>
      </c>
      <c r="AI50" s="9239">
        <f>IF(HLOOKUP("Gs",A1:CV300,50,FALSE)=0,0,HLOOKUP("Gs - BC",A1:CV300,50,FALSE)/HLOOKUP("Gs",A1:CV300,50,FALSE))</f>
      </c>
      <c r="AJ50" t="n" s="9240">
        <v>0.0</v>
      </c>
      <c r="AK50" t="n" s="9241">
        <v>0.0</v>
      </c>
      <c r="AL50" s="9242">
        <f>HLOOKUP("BC",A1:CV300,50,FALSE) - (HLOOKUP("PK Gs",A1:CV300,50,FALSE) + HLOOKUP("PK Miss",A1:CV300,50,FALSE))</f>
      </c>
      <c r="AM50" s="9243">
        <f>HLOOKUP("BC Miss",A1:CV300,50,FALSE) - HLOOKUP("PK Miss",A1:CV300,50,FALSE)</f>
      </c>
      <c r="AN50" s="9244">
        <f>IF(HLOOKUP("BC - Open",A1:CV300,50,FALSE)=0,0,HLOOKUP("BC - Open Miss",A1:CV300,50,FALSE)/HLOOKUP("BC - Open",A1:CV300,50,FALSE))</f>
      </c>
      <c r="AO50" t="n" s="9245">
        <v>0.0</v>
      </c>
      <c r="AP50" s="9246">
        <f>IF(HLOOKUP("Gs",A1:CV300,50,FALSE)=0,0,HLOOKUP("GIB",A1:CV300,50,FALSE)/HLOOKUP("Gs",A1:CV300,50,FALSE))</f>
      </c>
      <c r="AQ50" t="n" s="9247">
        <v>0.0</v>
      </c>
      <c r="AR50" s="9248">
        <f>IF(HLOOKUP("Gs",A1:CV300,50,FALSE)=0,0,HLOOKUP("Gs - Open",A1:CV300,50,FALSE)/HLOOKUP("Gs",A1:CV300,50,FALSE))</f>
      </c>
      <c r="AS50" t="n" s="9249">
        <v>0.32</v>
      </c>
      <c r="AT50" t="n" s="9250">
        <v>0.35</v>
      </c>
      <c r="AU50" s="9251">
        <f>IF(HLOOKUP("Mins",A1:CV300,50,FALSE)=0,0,HLOOKUP("Pts",A1:CV300,50,FALSE)/HLOOKUP("Mins",A1:CV300,50,FALSE)* 90)</f>
      </c>
      <c r="AV50" s="9252">
        <f>IF(HLOOKUP("Apps",A1:CV300,50,FALSE)=0,0,HLOOKUP("Pts",A1:CV300,50,FALSE)/HLOOKUP("Apps",A1:CV300,50,FALSE)* 1)</f>
      </c>
      <c r="AW50" s="9253">
        <f>IF(HLOOKUP("Mins",A1:CV300,50,FALSE)=0,0,HLOOKUP("Gs",A1:CV300,50,FALSE)/HLOOKUP("Mins",A1:CV300,50,FALSE)* 90)</f>
      </c>
      <c r="AX50" s="9254">
        <f>IF(HLOOKUP("Mins",A1:CV300,50,FALSE)=0,0,HLOOKUP("Bonus",A1:CV300,50,FALSE)/HLOOKUP("Mins",A1:CV300,50,FALSE)* 90)</f>
      </c>
      <c r="AY50" s="9255">
        <f>IF(HLOOKUP("Mins",A1:CV300,50,FALSE)=0,0,HLOOKUP("BPS",A1:CV300,50,FALSE)/HLOOKUP("Mins",A1:CV300,50,FALSE)* 90)</f>
      </c>
      <c r="AZ50" s="9256">
        <f>IF(HLOOKUP("Mins",A1:CV300,50,FALSE)=0,0,HLOOKUP("Base BPS",A1:CV300,50,FALSE)/HLOOKUP("Mins",A1:CV300,50,FALSE)* 90)</f>
      </c>
      <c r="BA50" s="9257">
        <f>IF(HLOOKUP("Mins",A1:CV300,50,FALSE)=0,0,HLOOKUP("PenTchs",A1:CV300,50,FALSE)/HLOOKUP("Mins",A1:CV300,50,FALSE)* 90)</f>
      </c>
      <c r="BB50" s="9258">
        <f>IF(HLOOKUP("Mins",A1:CV300,50,FALSE)=0,0,HLOOKUP("Shots",A1:CV300,50,FALSE)/HLOOKUP("Mins",A1:CV300,50,FALSE)* 90)</f>
      </c>
      <c r="BC50" s="9259">
        <f>IF(HLOOKUP("Mins",A1:CV300,50,FALSE)=0,0,HLOOKUP("SIB",A1:CV300,50,FALSE)/HLOOKUP("Mins",A1:CV300,50,FALSE)* 90)</f>
      </c>
      <c r="BD50" s="9260">
        <f>IF(HLOOKUP("Mins",A1:CV300,50,FALSE)=0,0,HLOOKUP("S6YD",A1:CV300,50,FALSE)/HLOOKUP("Mins",A1:CV300,50,FALSE)* 90)</f>
      </c>
      <c r="BE50" s="9261">
        <f>IF(HLOOKUP("Mins",A1:CV300,50,FALSE)=0,0,HLOOKUP("Headers",A1:CV300,50,FALSE)/HLOOKUP("Mins",A1:CV300,50,FALSE)* 90)</f>
      </c>
      <c r="BF50" s="9262">
        <f>IF(HLOOKUP("Mins",A1:CV300,50,FALSE)=0,0,HLOOKUP("SOT",A1:CV300,50,FALSE)/HLOOKUP("Mins",A1:CV300,50,FALSE)* 90)</f>
      </c>
      <c r="BG50" s="9263">
        <f>IF(HLOOKUP("Mins",A1:CV300,50,FALSE)=0,0,HLOOKUP("As",A1:CV300,50,FALSE)/HLOOKUP("Mins",A1:CV300,50,FALSE)* 90)</f>
      </c>
      <c r="BH50" s="9264">
        <f>IF(HLOOKUP("Mins",A1:CV300,50,FALSE)=0,0,HLOOKUP("FPL As",A1:CV300,50,FALSE)/HLOOKUP("Mins",A1:CV300,50,FALSE)* 90)</f>
      </c>
      <c r="BI50" s="9265">
        <f>IF(HLOOKUP("Mins",A1:CV300,50,FALSE)=0,0,HLOOKUP("BC Created",A1:CV300,50,FALSE)/HLOOKUP("Mins",A1:CV300,50,FALSE)* 90)</f>
      </c>
      <c r="BJ50" s="9266">
        <f>IF(HLOOKUP("Mins",A1:CV300,50,FALSE)=0,0,HLOOKUP("KP",A1:CV300,50,FALSE)/HLOOKUP("Mins",A1:CV300,50,FALSE)* 90)</f>
      </c>
      <c r="BK50" s="9267">
        <f>IF(HLOOKUP("Mins",A1:CV300,50,FALSE)=0,0,HLOOKUP("BC",A1:CV300,50,FALSE)/HLOOKUP("Mins",A1:CV300,50,FALSE)* 90)</f>
      </c>
      <c r="BL50" s="9268">
        <f>IF(HLOOKUP("Mins",A1:CV300,50,FALSE)=0,0,HLOOKUP("BC Miss",A1:CV300,50,FALSE)/HLOOKUP("Mins",A1:CV300,50,FALSE)* 90)</f>
      </c>
      <c r="BM50" s="9269">
        <f>IF(HLOOKUP("Mins",A1:CV300,50,FALSE)=0,0,HLOOKUP("Gs - BC",A1:CV300,50,FALSE)/HLOOKUP("Mins",A1:CV300,50,FALSE)* 90)</f>
      </c>
      <c r="BN50" s="9270">
        <f>IF(HLOOKUP("Mins",A1:CV300,50,FALSE)=0,0,HLOOKUP("GIB",A1:CV300,50,FALSE)/HLOOKUP("Mins",A1:CV300,50,FALSE)* 90)</f>
      </c>
      <c r="BO50" s="9271">
        <f>IF(HLOOKUP("Mins",A1:CV300,50,FALSE)=0,0,HLOOKUP("Gs - Open",A1:CV300,50,FALSE)/HLOOKUP("Mins",A1:CV300,50,FALSE)* 90)</f>
      </c>
      <c r="BP50" s="9272">
        <f>IF(HLOOKUP("Mins",A1:CV300,50,FALSE)=0,0,HLOOKUP("ICT Index",A1:CV300,50,FALSE)/HLOOKUP("Mins",A1:CV300,50,FALSE)* 90)</f>
      </c>
      <c r="BQ50" s="9273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</c>
      <c r="BR50" s="9274">
        <f>0.0825*HLOOKUP("KP/90",A1:CV300,50,FALSE)</f>
      </c>
      <c r="BS50" s="9275">
        <f>6*HLOOKUP("xG/90",A1:CV300,50,FALSE)+3*HLOOKUP("xA/90",A1:CV300,50,FALSE)</f>
      </c>
      <c r="BT50" s="9276">
        <f>HLOOKUP("xPts/90",A1:CV300,50,FALSE)-(6*0.75*(HLOOKUP("PK Gs",A1:CV300,50,FALSE)+HLOOKUP("PK Miss",A1:CV300,50,FALSE))*90/HLOOKUP("Mins",A1:CV300,50,FALSE))</f>
      </c>
      <c r="BU50" s="9277">
        <f>IF(HLOOKUP("Mins",A1:CV300,50,FALSE)=0,0,HLOOKUP("fsXG",A1:CV300,50,FALSE)/HLOOKUP("Mins",A1:CV300,50,FALSE)* 90)</f>
      </c>
      <c r="BV50" s="9278">
        <f>IF(HLOOKUP("Mins",A1:CV300,50,FALSE)=0,0,HLOOKUP("fsXA",A1:CV300,50,FALSE)/HLOOKUP("Mins",A1:CV300,50,FALSE)* 90)</f>
      </c>
      <c r="BW50" s="9279">
        <f>6*HLOOKUP("fsXG/90",A1:CV300,50,FALSE)+3*HLOOKUP("fsXA/90",A1:CV300,50,FALSE)</f>
      </c>
      <c r="BX50" t="n" s="9280">
        <v>0.07384052872657776</v>
      </c>
      <c r="BY50" t="n" s="9281">
        <v>0.07923562079668045</v>
      </c>
      <c r="BZ50" s="9282">
        <f>6*HLOOKUP("uXG/90",A1:CV300,50,FALSE)+3*HLOOKUP("uXA/90",A1:CV300,50,FALSE)</f>
      </c>
    </row>
    <row r="51">
      <c r="A51" t="s" s="9283">
        <v>216</v>
      </c>
      <c r="B51" t="s" s="9284">
        <v>114</v>
      </c>
      <c r="C51" t="n" s="9285">
        <v>4.199999809265137</v>
      </c>
      <c r="D51" t="n" s="9286">
        <v>300.0</v>
      </c>
      <c r="E51" t="n" s="9287">
        <v>4.0</v>
      </c>
      <c r="F51" t="n" s="9288">
        <v>10.0</v>
      </c>
      <c r="G51" t="n" s="9289">
        <v>0.0</v>
      </c>
      <c r="H51" t="n" s="9290">
        <v>0.0</v>
      </c>
      <c r="I51" t="n" s="9291">
        <v>90.0</v>
      </c>
      <c r="J51" s="9292">
        <f>HLOOKUP("BPS",A1:CV300,51,FALSE)-((-6*HLOOKUP("OG",A1:CV300,51,FALSE))+(-6*HLOOKUP("PK Miss",A1:CV300,51,FALSE))+(9*HLOOKUP("FPL As",A1:CV300,51,FALSE))+(12*HLOOKUP("CS",A1:CV300,51,FALSE))+(12*HLOOKUP("Gs",A1:CV300,51,FALSE)))</f>
      </c>
      <c r="K51" t="n" s="9293">
        <v>0.0</v>
      </c>
      <c r="L51" t="n" s="9294">
        <v>0.0</v>
      </c>
      <c r="M51" t="n" s="9295">
        <v>2.0</v>
      </c>
      <c r="N51" t="n" s="9296">
        <v>0.0</v>
      </c>
      <c r="O51" t="n" s="9297">
        <v>0.0</v>
      </c>
      <c r="P51" s="9298">
        <f>IF(HLOOKUP("Shots",A1:CV300,51,FALSE)=0,0,HLOOKUP("SIB",A1:CV300,51,FALSE)/HLOOKUP("Shots",A1:CV300,51,FALSE))</f>
      </c>
      <c r="Q51" t="n" s="9299">
        <v>0.0</v>
      </c>
      <c r="R51" s="9300">
        <f>IF(HLOOKUP("Shots",A1:CV300,51,FALSE)=0,0,HLOOKUP("S6YD",A1:CV300,51,FALSE)/HLOOKUP("Shots",A1:CV300,51,FALSE))</f>
      </c>
      <c r="S51" t="n" s="9301">
        <v>0.0</v>
      </c>
      <c r="T51" s="9302">
        <f>IF(HLOOKUP("Shots",A1:CV300,51,FALSE)=0,0,HLOOKUP("Headers",A1:CV300,51,FALSE)/HLOOKUP("Shots",A1:CV300,51,FALSE))</f>
      </c>
      <c r="U51" t="n" s="9303">
        <v>0.0</v>
      </c>
      <c r="V51" s="9304">
        <f>IF(HLOOKUP("Shots",A1:CV300,51,FALSE)=0,0,HLOOKUP("SOT",A1:CV300,51,FALSE)/HLOOKUP("Shots",A1:CV300,51,FALSE))</f>
      </c>
      <c r="W51" s="9305">
        <f>IF(HLOOKUP("Shots",A1:CV300,51,FALSE)=0,0,HLOOKUP("Gs",A1:CV300,51,FALSE)/HLOOKUP("Shots",A1:CV300,51,FALSE))</f>
      </c>
      <c r="X51" t="n" s="9306">
        <v>0.0</v>
      </c>
      <c r="Y51" t="n" s="9307">
        <v>0.0</v>
      </c>
      <c r="Z51" t="n" s="9308">
        <v>2.0</v>
      </c>
      <c r="AA51" s="9309">
        <f>IF(HLOOKUP("KP",A1:CV300,51,FALSE)=0,0,HLOOKUP("As",A1:CV300,51,FALSE)/HLOOKUP("KP",A1:CV300,51,FALSE))</f>
      </c>
      <c r="AB51" t="n" s="9310">
        <v>8.8</v>
      </c>
      <c r="AC51" t="n" s="9311">
        <v>0.0</v>
      </c>
      <c r="AD51" t="n" s="9312">
        <v>1.0</v>
      </c>
      <c r="AE51" t="n" s="9313">
        <v>0.0</v>
      </c>
      <c r="AF51" t="n" s="9314">
        <v>0.0</v>
      </c>
      <c r="AG51" s="9315">
        <f>IF(HLOOKUP("BC",A1:CV300,51,FALSE)=0,0,HLOOKUP("Gs - BC",A1:CV300,51,FALSE)/HLOOKUP("BC",A1:CV300,51,FALSE))</f>
      </c>
      <c r="AH51" s="9316">
        <f>HLOOKUP("BC",A1:CV300,51,FALSE) - HLOOKUP("BC Miss",A1:CV300,51,FALSE)</f>
      </c>
      <c r="AI51" s="9317">
        <f>IF(HLOOKUP("Gs",A1:CV300,51,FALSE)=0,0,HLOOKUP("Gs - BC",A1:CV300,51,FALSE)/HLOOKUP("Gs",A1:CV300,51,FALSE))</f>
      </c>
      <c r="AJ51" t="n" s="9318">
        <v>0.0</v>
      </c>
      <c r="AK51" t="n" s="9319">
        <v>0.0</v>
      </c>
      <c r="AL51" s="9320">
        <f>HLOOKUP("BC",A1:CV300,51,FALSE) - (HLOOKUP("PK Gs",A1:CV300,51,FALSE) + HLOOKUP("PK Miss",A1:CV300,51,FALSE))</f>
      </c>
      <c r="AM51" s="9321">
        <f>HLOOKUP("BC Miss",A1:CV300,51,FALSE) - HLOOKUP("PK Miss",A1:CV300,51,FALSE)</f>
      </c>
      <c r="AN51" s="9322">
        <f>IF(HLOOKUP("BC - Open",A1:CV300,51,FALSE)=0,0,HLOOKUP("BC - Open Miss",A1:CV300,51,FALSE)/HLOOKUP("BC - Open",A1:CV300,51,FALSE))</f>
      </c>
      <c r="AO51" t="n" s="9323">
        <v>0.0</v>
      </c>
      <c r="AP51" s="9324">
        <f>IF(HLOOKUP("Gs",A1:CV300,51,FALSE)=0,0,HLOOKUP("GIB",A1:CV300,51,FALSE)/HLOOKUP("Gs",A1:CV300,51,FALSE))</f>
      </c>
      <c r="AQ51" t="n" s="9325">
        <v>0.0</v>
      </c>
      <c r="AR51" s="9326">
        <f>IF(HLOOKUP("Gs",A1:CV300,51,FALSE)=0,0,HLOOKUP("Gs - Open",A1:CV300,51,FALSE)/HLOOKUP("Gs",A1:CV300,51,FALSE))</f>
      </c>
      <c r="AS51" t="n" s="9327">
        <v>0.06</v>
      </c>
      <c r="AT51" t="n" s="9328">
        <v>0.12</v>
      </c>
      <c r="AU51" s="9329">
        <f>IF(HLOOKUP("Mins",A1:CV300,51,FALSE)=0,0,HLOOKUP("Pts",A1:CV300,51,FALSE)/HLOOKUP("Mins",A1:CV300,51,FALSE)* 90)</f>
      </c>
      <c r="AV51" s="9330">
        <f>IF(HLOOKUP("Apps",A1:CV300,51,FALSE)=0,0,HLOOKUP("Pts",A1:CV300,51,FALSE)/HLOOKUP("Apps",A1:CV300,51,FALSE)* 1)</f>
      </c>
      <c r="AW51" s="9331">
        <f>IF(HLOOKUP("Mins",A1:CV300,51,FALSE)=0,0,HLOOKUP("Gs",A1:CV300,51,FALSE)/HLOOKUP("Mins",A1:CV300,51,FALSE)* 90)</f>
      </c>
      <c r="AX51" s="9332">
        <f>IF(HLOOKUP("Mins",A1:CV300,51,FALSE)=0,0,HLOOKUP("Bonus",A1:CV300,51,FALSE)/HLOOKUP("Mins",A1:CV300,51,FALSE)* 90)</f>
      </c>
      <c r="AY51" s="9333">
        <f>IF(HLOOKUP("Mins",A1:CV300,51,FALSE)=0,0,HLOOKUP("BPS",A1:CV300,51,FALSE)/HLOOKUP("Mins",A1:CV300,51,FALSE)* 90)</f>
      </c>
      <c r="AZ51" s="9334">
        <f>IF(HLOOKUP("Mins",A1:CV300,51,FALSE)=0,0,HLOOKUP("Base BPS",A1:CV300,51,FALSE)/HLOOKUP("Mins",A1:CV300,51,FALSE)* 90)</f>
      </c>
      <c r="BA51" s="9335">
        <f>IF(HLOOKUP("Mins",A1:CV300,51,FALSE)=0,0,HLOOKUP("PenTchs",A1:CV300,51,FALSE)/HLOOKUP("Mins",A1:CV300,51,FALSE)* 90)</f>
      </c>
      <c r="BB51" s="9336">
        <f>IF(HLOOKUP("Mins",A1:CV300,51,FALSE)=0,0,HLOOKUP("Shots",A1:CV300,51,FALSE)/HLOOKUP("Mins",A1:CV300,51,FALSE)* 90)</f>
      </c>
      <c r="BC51" s="9337">
        <f>IF(HLOOKUP("Mins",A1:CV300,51,FALSE)=0,0,HLOOKUP("SIB",A1:CV300,51,FALSE)/HLOOKUP("Mins",A1:CV300,51,FALSE)* 90)</f>
      </c>
      <c r="BD51" s="9338">
        <f>IF(HLOOKUP("Mins",A1:CV300,51,FALSE)=0,0,HLOOKUP("S6YD",A1:CV300,51,FALSE)/HLOOKUP("Mins",A1:CV300,51,FALSE)* 90)</f>
      </c>
      <c r="BE51" s="9339">
        <f>IF(HLOOKUP("Mins",A1:CV300,51,FALSE)=0,0,HLOOKUP("Headers",A1:CV300,51,FALSE)/HLOOKUP("Mins",A1:CV300,51,FALSE)* 90)</f>
      </c>
      <c r="BF51" s="9340">
        <f>IF(HLOOKUP("Mins",A1:CV300,51,FALSE)=0,0,HLOOKUP("SOT",A1:CV300,51,FALSE)/HLOOKUP("Mins",A1:CV300,51,FALSE)* 90)</f>
      </c>
      <c r="BG51" s="9341">
        <f>IF(HLOOKUP("Mins",A1:CV300,51,FALSE)=0,0,HLOOKUP("As",A1:CV300,51,FALSE)/HLOOKUP("Mins",A1:CV300,51,FALSE)* 90)</f>
      </c>
      <c r="BH51" s="9342">
        <f>IF(HLOOKUP("Mins",A1:CV300,51,FALSE)=0,0,HLOOKUP("FPL As",A1:CV300,51,FALSE)/HLOOKUP("Mins",A1:CV300,51,FALSE)* 90)</f>
      </c>
      <c r="BI51" s="9343">
        <f>IF(HLOOKUP("Mins",A1:CV300,51,FALSE)=0,0,HLOOKUP("BC Created",A1:CV300,51,FALSE)/HLOOKUP("Mins",A1:CV300,51,FALSE)* 90)</f>
      </c>
      <c r="BJ51" s="9344">
        <f>IF(HLOOKUP("Mins",A1:CV300,51,FALSE)=0,0,HLOOKUP("KP",A1:CV300,51,FALSE)/HLOOKUP("Mins",A1:CV300,51,FALSE)* 90)</f>
      </c>
      <c r="BK51" s="9345">
        <f>IF(HLOOKUP("Mins",A1:CV300,51,FALSE)=0,0,HLOOKUP("BC",A1:CV300,51,FALSE)/HLOOKUP("Mins",A1:CV300,51,FALSE)* 90)</f>
      </c>
      <c r="BL51" s="9346">
        <f>IF(HLOOKUP("Mins",A1:CV300,51,FALSE)=0,0,HLOOKUP("BC Miss",A1:CV300,51,FALSE)/HLOOKUP("Mins",A1:CV300,51,FALSE)* 90)</f>
      </c>
      <c r="BM51" s="9347">
        <f>IF(HLOOKUP("Mins",A1:CV300,51,FALSE)=0,0,HLOOKUP("Gs - BC",A1:CV300,51,FALSE)/HLOOKUP("Mins",A1:CV300,51,FALSE)* 90)</f>
      </c>
      <c r="BN51" s="9348">
        <f>IF(HLOOKUP("Mins",A1:CV300,51,FALSE)=0,0,HLOOKUP("GIB",A1:CV300,51,FALSE)/HLOOKUP("Mins",A1:CV300,51,FALSE)* 90)</f>
      </c>
      <c r="BO51" s="9349">
        <f>IF(HLOOKUP("Mins",A1:CV300,51,FALSE)=0,0,HLOOKUP("Gs - Open",A1:CV300,51,FALSE)/HLOOKUP("Mins",A1:CV300,51,FALSE)* 90)</f>
      </c>
      <c r="BP51" s="9350">
        <f>IF(HLOOKUP("Mins",A1:CV300,51,FALSE)=0,0,HLOOKUP("ICT Index",A1:CV300,51,FALSE)/HLOOKUP("Mins",A1:CV300,51,FALSE)* 90)</f>
      </c>
      <c r="BQ51" s="9351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</c>
      <c r="BR51" s="9352">
        <f>0.0825*HLOOKUP("KP/90",A1:CV300,51,FALSE)</f>
      </c>
      <c r="BS51" s="9353">
        <f>6*HLOOKUP("xG/90",A1:CV300,51,FALSE)+3*HLOOKUP("xA/90",A1:CV300,51,FALSE)</f>
      </c>
      <c r="BT51" s="9354">
        <f>HLOOKUP("xPts/90",A1:CV300,51,FALSE)-(6*0.75*(HLOOKUP("PK Gs",A1:CV300,51,FALSE)+HLOOKUP("PK Miss",A1:CV300,51,FALSE))*90/HLOOKUP("Mins",A1:CV300,51,FALSE))</f>
      </c>
      <c r="BU51" s="9355">
        <f>IF(HLOOKUP("Mins",A1:CV300,51,FALSE)=0,0,HLOOKUP("fsXG",A1:CV300,51,FALSE)/HLOOKUP("Mins",A1:CV300,51,FALSE)* 90)</f>
      </c>
      <c r="BV51" s="9356">
        <f>IF(HLOOKUP("Mins",A1:CV300,51,FALSE)=0,0,HLOOKUP("fsXA",A1:CV300,51,FALSE)/HLOOKUP("Mins",A1:CV300,51,FALSE)* 90)</f>
      </c>
      <c r="BW51" s="9357">
        <f>6*HLOOKUP("fsXG/90",A1:CV300,51,FALSE)+3*HLOOKUP("fsXA/90",A1:CV300,51,FALSE)</f>
      </c>
      <c r="BX51" t="n" s="9358">
        <v>0.0</v>
      </c>
      <c r="BY51" t="n" s="9359">
        <v>0.15440014004707336</v>
      </c>
      <c r="BZ51" s="9360">
        <f>6*HLOOKUP("uXG/90",A1:CV300,51,FALSE)+3*HLOOKUP("uXA/90",A1:CV300,51,FALSE)</f>
      </c>
    </row>
    <row r="52">
      <c r="A52" t="s" s="9361">
        <v>217</v>
      </c>
      <c r="B52" t="s" s="9362">
        <v>90</v>
      </c>
      <c r="C52" t="n" s="9363">
        <v>4.400000095367432</v>
      </c>
      <c r="D52" t="n" s="9364">
        <v>477.0</v>
      </c>
      <c r="E52" t="n" s="9365">
        <v>6.0</v>
      </c>
      <c r="F52" t="n" s="9366">
        <v>32.0</v>
      </c>
      <c r="G52" t="n" s="9367">
        <v>0.0</v>
      </c>
      <c r="H52" t="n" s="9368">
        <v>2.0</v>
      </c>
      <c r="I52" t="n" s="9369">
        <v>201.0</v>
      </c>
      <c r="J52" s="9370">
        <f>HLOOKUP("BPS",A1:CV300,52,FALSE)-((-6*HLOOKUP("OG",A1:CV300,52,FALSE))+(-6*HLOOKUP("PK Miss",A1:CV300,52,FALSE))+(9*HLOOKUP("FPL As",A1:CV300,52,FALSE))+(12*HLOOKUP("CS",A1:CV300,52,FALSE))+(12*HLOOKUP("Gs",A1:CV300,52,FALSE)))</f>
      </c>
      <c r="K52" t="n" s="9371">
        <v>0.0</v>
      </c>
      <c r="L52" t="n" s="9372">
        <v>3.0</v>
      </c>
      <c r="M52" t="n" s="9373">
        <v>15.0</v>
      </c>
      <c r="N52" t="n" s="9374">
        <v>4.0</v>
      </c>
      <c r="O52" t="n" s="9375">
        <v>4.0</v>
      </c>
      <c r="P52" s="9376">
        <f>IF(HLOOKUP("Shots",A1:CV300,52,FALSE)=0,0,HLOOKUP("SIB",A1:CV300,52,FALSE)/HLOOKUP("Shots",A1:CV300,52,FALSE))</f>
      </c>
      <c r="Q52" t="n" s="9377">
        <v>1.0</v>
      </c>
      <c r="R52" s="9378">
        <f>IF(HLOOKUP("Shots",A1:CV300,52,FALSE)=0,0,HLOOKUP("S6YD",A1:CV300,52,FALSE)/HLOOKUP("Shots",A1:CV300,52,FALSE))</f>
      </c>
      <c r="S52" t="n" s="9379">
        <v>3.0</v>
      </c>
      <c r="T52" s="9380">
        <f>IF(HLOOKUP("Shots",A1:CV300,52,FALSE)=0,0,HLOOKUP("Headers",A1:CV300,52,FALSE)/HLOOKUP("Shots",A1:CV300,52,FALSE))</f>
      </c>
      <c r="U52" t="n" s="9381">
        <v>1.0</v>
      </c>
      <c r="V52" s="9382">
        <f>IF(HLOOKUP("Shots",A1:CV300,52,FALSE)=0,0,HLOOKUP("SOT",A1:CV300,52,FALSE)/HLOOKUP("Shots",A1:CV300,52,FALSE))</f>
      </c>
      <c r="W52" s="9383">
        <f>IF(HLOOKUP("Shots",A1:CV300,52,FALSE)=0,0,HLOOKUP("Gs",A1:CV300,52,FALSE)/HLOOKUP("Shots",A1:CV300,52,FALSE))</f>
      </c>
      <c r="X52" t="n" s="9384">
        <v>0.0</v>
      </c>
      <c r="Y52" t="n" s="9385">
        <v>0.0</v>
      </c>
      <c r="Z52" t="n" s="9386">
        <v>5.0</v>
      </c>
      <c r="AA52" s="9387">
        <f>IF(HLOOKUP("KP",A1:CV300,52,FALSE)=0,0,HLOOKUP("As",A1:CV300,52,FALSE)/HLOOKUP("KP",A1:CV300,52,FALSE))</f>
      </c>
      <c r="AB52" t="n" s="9388">
        <v>24.4</v>
      </c>
      <c r="AC52" t="n" s="9389">
        <v>0.0</v>
      </c>
      <c r="AD52" t="n" s="9390">
        <v>0.0</v>
      </c>
      <c r="AE52" t="n" s="9391">
        <v>1.0</v>
      </c>
      <c r="AF52" t="n" s="9392">
        <v>1.0</v>
      </c>
      <c r="AG52" s="9393">
        <f>IF(HLOOKUP("BC",A1:CV300,52,FALSE)=0,0,HLOOKUP("Gs - BC",A1:CV300,52,FALSE)/HLOOKUP("BC",A1:CV300,52,FALSE))</f>
      </c>
      <c r="AH52" s="9394">
        <f>HLOOKUP("BC",A1:CV300,52,FALSE) - HLOOKUP("BC Miss",A1:CV300,52,FALSE)</f>
      </c>
      <c r="AI52" s="9395">
        <f>IF(HLOOKUP("Gs",A1:CV300,52,FALSE)=0,0,HLOOKUP("Gs - BC",A1:CV300,52,FALSE)/HLOOKUP("Gs",A1:CV300,52,FALSE))</f>
      </c>
      <c r="AJ52" t="n" s="9396">
        <v>0.0</v>
      </c>
      <c r="AK52" t="n" s="9397">
        <v>0.0</v>
      </c>
      <c r="AL52" s="9398">
        <f>HLOOKUP("BC",A1:CV300,52,FALSE) - (HLOOKUP("PK Gs",A1:CV300,52,FALSE) + HLOOKUP("PK Miss",A1:CV300,52,FALSE))</f>
      </c>
      <c r="AM52" s="9399">
        <f>HLOOKUP("BC Miss",A1:CV300,52,FALSE) - HLOOKUP("PK Miss",A1:CV300,52,FALSE)</f>
      </c>
      <c r="AN52" s="9400">
        <f>IF(HLOOKUP("BC - Open",A1:CV300,52,FALSE)=0,0,HLOOKUP("BC - Open Miss",A1:CV300,52,FALSE)/HLOOKUP("BC - Open",A1:CV300,52,FALSE))</f>
      </c>
      <c r="AO52" t="n" s="9401">
        <v>0.0</v>
      </c>
      <c r="AP52" s="9402">
        <f>IF(HLOOKUP("Gs",A1:CV300,52,FALSE)=0,0,HLOOKUP("GIB",A1:CV300,52,FALSE)/HLOOKUP("Gs",A1:CV300,52,FALSE))</f>
      </c>
      <c r="AQ52" t="n" s="9403">
        <v>0.0</v>
      </c>
      <c r="AR52" s="9404">
        <f>IF(HLOOKUP("Gs",A1:CV300,52,FALSE)=0,0,HLOOKUP("Gs - Open",A1:CV300,52,FALSE)/HLOOKUP("Gs",A1:CV300,52,FALSE))</f>
      </c>
      <c r="AS52" t="n" s="9405">
        <v>0.37</v>
      </c>
      <c r="AT52" t="n" s="9406">
        <v>0.26</v>
      </c>
      <c r="AU52" s="9407">
        <f>IF(HLOOKUP("Mins",A1:CV300,52,FALSE)=0,0,HLOOKUP("Pts",A1:CV300,52,FALSE)/HLOOKUP("Mins",A1:CV300,52,FALSE)* 90)</f>
      </c>
      <c r="AV52" s="9408">
        <f>IF(HLOOKUP("Apps",A1:CV300,52,FALSE)=0,0,HLOOKUP("Pts",A1:CV300,52,FALSE)/HLOOKUP("Apps",A1:CV300,52,FALSE)* 1)</f>
      </c>
      <c r="AW52" s="9409">
        <f>IF(HLOOKUP("Mins",A1:CV300,52,FALSE)=0,0,HLOOKUP("Gs",A1:CV300,52,FALSE)/HLOOKUP("Mins",A1:CV300,52,FALSE)* 90)</f>
      </c>
      <c r="AX52" s="9410">
        <f>IF(HLOOKUP("Mins",A1:CV300,52,FALSE)=0,0,HLOOKUP("Bonus",A1:CV300,52,FALSE)/HLOOKUP("Mins",A1:CV300,52,FALSE)* 90)</f>
      </c>
      <c r="AY52" s="9411">
        <f>IF(HLOOKUP("Mins",A1:CV300,52,FALSE)=0,0,HLOOKUP("BPS",A1:CV300,52,FALSE)/HLOOKUP("Mins",A1:CV300,52,FALSE)* 90)</f>
      </c>
      <c r="AZ52" s="9412">
        <f>IF(HLOOKUP("Mins",A1:CV300,52,FALSE)=0,0,HLOOKUP("Base BPS",A1:CV300,52,FALSE)/HLOOKUP("Mins",A1:CV300,52,FALSE)* 90)</f>
      </c>
      <c r="BA52" s="9413">
        <f>IF(HLOOKUP("Mins",A1:CV300,52,FALSE)=0,0,HLOOKUP("PenTchs",A1:CV300,52,FALSE)/HLOOKUP("Mins",A1:CV300,52,FALSE)* 90)</f>
      </c>
      <c r="BB52" s="9414">
        <f>IF(HLOOKUP("Mins",A1:CV300,52,FALSE)=0,0,HLOOKUP("Shots",A1:CV300,52,FALSE)/HLOOKUP("Mins",A1:CV300,52,FALSE)* 90)</f>
      </c>
      <c r="BC52" s="9415">
        <f>IF(HLOOKUP("Mins",A1:CV300,52,FALSE)=0,0,HLOOKUP("SIB",A1:CV300,52,FALSE)/HLOOKUP("Mins",A1:CV300,52,FALSE)* 90)</f>
      </c>
      <c r="BD52" s="9416">
        <f>IF(HLOOKUP("Mins",A1:CV300,52,FALSE)=0,0,HLOOKUP("S6YD",A1:CV300,52,FALSE)/HLOOKUP("Mins",A1:CV300,52,FALSE)* 90)</f>
      </c>
      <c r="BE52" s="9417">
        <f>IF(HLOOKUP("Mins",A1:CV300,52,FALSE)=0,0,HLOOKUP("Headers",A1:CV300,52,FALSE)/HLOOKUP("Mins",A1:CV300,52,FALSE)* 90)</f>
      </c>
      <c r="BF52" s="9418">
        <f>IF(HLOOKUP("Mins",A1:CV300,52,FALSE)=0,0,HLOOKUP("SOT",A1:CV300,52,FALSE)/HLOOKUP("Mins",A1:CV300,52,FALSE)* 90)</f>
      </c>
      <c r="BG52" s="9419">
        <f>IF(HLOOKUP("Mins",A1:CV300,52,FALSE)=0,0,HLOOKUP("As",A1:CV300,52,FALSE)/HLOOKUP("Mins",A1:CV300,52,FALSE)* 90)</f>
      </c>
      <c r="BH52" s="9420">
        <f>IF(HLOOKUP("Mins",A1:CV300,52,FALSE)=0,0,HLOOKUP("FPL As",A1:CV300,52,FALSE)/HLOOKUP("Mins",A1:CV300,52,FALSE)* 90)</f>
      </c>
      <c r="BI52" s="9421">
        <f>IF(HLOOKUP("Mins",A1:CV300,52,FALSE)=0,0,HLOOKUP("BC Created",A1:CV300,52,FALSE)/HLOOKUP("Mins",A1:CV300,52,FALSE)* 90)</f>
      </c>
      <c r="BJ52" s="9422">
        <f>IF(HLOOKUP("Mins",A1:CV300,52,FALSE)=0,0,HLOOKUP("KP",A1:CV300,52,FALSE)/HLOOKUP("Mins",A1:CV300,52,FALSE)* 90)</f>
      </c>
      <c r="BK52" s="9423">
        <f>IF(HLOOKUP("Mins",A1:CV300,52,FALSE)=0,0,HLOOKUP("BC",A1:CV300,52,FALSE)/HLOOKUP("Mins",A1:CV300,52,FALSE)* 90)</f>
      </c>
      <c r="BL52" s="9424">
        <f>IF(HLOOKUP("Mins",A1:CV300,52,FALSE)=0,0,HLOOKUP("BC Miss",A1:CV300,52,FALSE)/HLOOKUP("Mins",A1:CV300,52,FALSE)* 90)</f>
      </c>
      <c r="BM52" s="9425">
        <f>IF(HLOOKUP("Mins",A1:CV300,52,FALSE)=0,0,HLOOKUP("Gs - BC",A1:CV300,52,FALSE)/HLOOKUP("Mins",A1:CV300,52,FALSE)* 90)</f>
      </c>
      <c r="BN52" s="9426">
        <f>IF(HLOOKUP("Mins",A1:CV300,52,FALSE)=0,0,HLOOKUP("GIB",A1:CV300,52,FALSE)/HLOOKUP("Mins",A1:CV300,52,FALSE)* 90)</f>
      </c>
      <c r="BO52" s="9427">
        <f>IF(HLOOKUP("Mins",A1:CV300,52,FALSE)=0,0,HLOOKUP("Gs - Open",A1:CV300,52,FALSE)/HLOOKUP("Mins",A1:CV300,52,FALSE)* 90)</f>
      </c>
      <c r="BP52" s="9428">
        <f>IF(HLOOKUP("Mins",A1:CV300,52,FALSE)=0,0,HLOOKUP("ICT Index",A1:CV300,52,FALSE)/HLOOKUP("Mins",A1:CV300,52,FALSE)* 90)</f>
      </c>
      <c r="BQ52" s="9429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</c>
      <c r="BR52" s="9430">
        <f>0.0825*HLOOKUP("KP/90",A1:CV300,52,FALSE)</f>
      </c>
      <c r="BS52" s="9431">
        <f>6*HLOOKUP("xG/90",A1:CV300,52,FALSE)+3*HLOOKUP("xA/90",A1:CV300,52,FALSE)</f>
      </c>
      <c r="BT52" s="9432">
        <f>HLOOKUP("xPts/90",A1:CV300,52,FALSE)-(6*0.75*(HLOOKUP("PK Gs",A1:CV300,52,FALSE)+HLOOKUP("PK Miss",A1:CV300,52,FALSE))*90/HLOOKUP("Mins",A1:CV300,52,FALSE))</f>
      </c>
      <c r="BU52" s="9433">
        <f>IF(HLOOKUP("Mins",A1:CV300,52,FALSE)=0,0,HLOOKUP("fsXG",A1:CV300,52,FALSE)/HLOOKUP("Mins",A1:CV300,52,FALSE)* 90)</f>
      </c>
      <c r="BV52" s="9434">
        <f>IF(HLOOKUP("Mins",A1:CV300,52,FALSE)=0,0,HLOOKUP("fsXA",A1:CV300,52,FALSE)/HLOOKUP("Mins",A1:CV300,52,FALSE)* 90)</f>
      </c>
      <c r="BW52" s="9435">
        <f>6*HLOOKUP("fsXG/90",A1:CV300,52,FALSE)+3*HLOOKUP("fsXA/90",A1:CV300,52,FALSE)</f>
      </c>
      <c r="BX52" t="n" s="9436">
        <v>0.12879906594753265</v>
      </c>
      <c r="BY52" t="n" s="9437">
        <v>0.051694534718990326</v>
      </c>
      <c r="BZ52" s="9438">
        <f>6*HLOOKUP("uXG/90",A1:CV300,52,FALSE)+3*HLOOKUP("uXA/90",A1:CV300,52,FALSE)</f>
      </c>
    </row>
    <row r="53">
      <c r="A53" t="s" s="9439">
        <v>218</v>
      </c>
      <c r="B53" t="s" s="9440">
        <v>109</v>
      </c>
      <c r="C53" t="n" s="9441">
        <v>4.800000190734863</v>
      </c>
      <c r="D53" t="n" s="9442">
        <v>180.0</v>
      </c>
      <c r="E53" t="n" s="9443">
        <v>2.0</v>
      </c>
      <c r="F53" t="n" s="9444">
        <v>33.0</v>
      </c>
      <c r="G53" t="n" s="9445">
        <v>0.0</v>
      </c>
      <c r="H53" t="n" s="9446">
        <v>0.0</v>
      </c>
      <c r="I53" t="n" s="9447">
        <v>167.0</v>
      </c>
      <c r="J53" s="9448">
        <f>HLOOKUP("BPS",A1:CV300,53,FALSE)-((-6*HLOOKUP("OG",A1:CV300,53,FALSE))+(-6*HLOOKUP("PK Miss",A1:CV300,53,FALSE))+(9*HLOOKUP("FPL As",A1:CV300,53,FALSE))+(12*HLOOKUP("CS",A1:CV300,53,FALSE))+(12*HLOOKUP("Gs",A1:CV300,53,FALSE)))</f>
      </c>
      <c r="K53" t="n" s="9449">
        <v>0.0</v>
      </c>
      <c r="L53" t="n" s="9450">
        <v>2.0</v>
      </c>
      <c r="M53" t="n" s="9451">
        <v>2.0</v>
      </c>
      <c r="N53" t="n" s="9452">
        <v>0.0</v>
      </c>
      <c r="O53" t="n" s="9453">
        <v>0.0</v>
      </c>
      <c r="P53" s="9454">
        <f>IF(HLOOKUP("Shots",A1:CV300,53,FALSE)=0,0,HLOOKUP("SIB",A1:CV300,53,FALSE)/HLOOKUP("Shots",A1:CV300,53,FALSE))</f>
      </c>
      <c r="Q53" t="n" s="9455">
        <v>0.0</v>
      </c>
      <c r="R53" s="9456">
        <f>IF(HLOOKUP("Shots",A1:CV300,53,FALSE)=0,0,HLOOKUP("S6YD",A1:CV300,53,FALSE)/HLOOKUP("Shots",A1:CV300,53,FALSE))</f>
      </c>
      <c r="S53" t="n" s="9457">
        <v>0.0</v>
      </c>
      <c r="T53" s="9458">
        <f>IF(HLOOKUP("Shots",A1:CV300,53,FALSE)=0,0,HLOOKUP("Headers",A1:CV300,53,FALSE)/HLOOKUP("Shots",A1:CV300,53,FALSE))</f>
      </c>
      <c r="U53" t="n" s="9459">
        <v>0.0</v>
      </c>
      <c r="V53" s="9460">
        <f>IF(HLOOKUP("Shots",A1:CV300,53,FALSE)=0,0,HLOOKUP("SOT",A1:CV300,53,FALSE)/HLOOKUP("Shots",A1:CV300,53,FALSE))</f>
      </c>
      <c r="W53" s="9461">
        <f>IF(HLOOKUP("Shots",A1:CV300,53,FALSE)=0,0,HLOOKUP("Gs",A1:CV300,53,FALSE)/HLOOKUP("Shots",A1:CV300,53,FALSE))</f>
      </c>
      <c r="X53" t="n" s="9462">
        <v>0.0</v>
      </c>
      <c r="Y53" t="n" s="9463">
        <v>0.0</v>
      </c>
      <c r="Z53" t="n" s="9464">
        <v>1.0</v>
      </c>
      <c r="AA53" s="9465">
        <f>IF(HLOOKUP("KP",A1:CV300,53,FALSE)=0,0,HLOOKUP("As",A1:CV300,53,FALSE)/HLOOKUP("KP",A1:CV300,53,FALSE))</f>
      </c>
      <c r="AB53" t="n" s="9466">
        <v>6.4</v>
      </c>
      <c r="AC53" t="n" s="9467">
        <v>0.0</v>
      </c>
      <c r="AD53" t="n" s="9468">
        <v>0.0</v>
      </c>
      <c r="AE53" t="n" s="9469">
        <v>0.0</v>
      </c>
      <c r="AF53" t="n" s="9470">
        <v>0.0</v>
      </c>
      <c r="AG53" s="9471">
        <f>IF(HLOOKUP("BC",A1:CV300,53,FALSE)=0,0,HLOOKUP("Gs - BC",A1:CV300,53,FALSE)/HLOOKUP("BC",A1:CV300,53,FALSE))</f>
      </c>
      <c r="AH53" s="9472">
        <f>HLOOKUP("BC",A1:CV300,53,FALSE) - HLOOKUP("BC Miss",A1:CV300,53,FALSE)</f>
      </c>
      <c r="AI53" s="9473">
        <f>IF(HLOOKUP("Gs",A1:CV300,53,FALSE)=0,0,HLOOKUP("Gs - BC",A1:CV300,53,FALSE)/HLOOKUP("Gs",A1:CV300,53,FALSE))</f>
      </c>
      <c r="AJ53" t="n" s="9474">
        <v>0.0</v>
      </c>
      <c r="AK53" t="n" s="9475">
        <v>0.0</v>
      </c>
      <c r="AL53" s="9476">
        <f>HLOOKUP("BC",A1:CV300,53,FALSE) - (HLOOKUP("PK Gs",A1:CV300,53,FALSE) + HLOOKUP("PK Miss",A1:CV300,53,FALSE))</f>
      </c>
      <c r="AM53" s="9477">
        <f>HLOOKUP("BC Miss",A1:CV300,53,FALSE) - HLOOKUP("PK Miss",A1:CV300,53,FALSE)</f>
      </c>
      <c r="AN53" s="9478">
        <f>IF(HLOOKUP("BC - Open",A1:CV300,53,FALSE)=0,0,HLOOKUP("BC - Open Miss",A1:CV300,53,FALSE)/HLOOKUP("BC - Open",A1:CV300,53,FALSE))</f>
      </c>
      <c r="AO53" t="n" s="9479">
        <v>0.0</v>
      </c>
      <c r="AP53" s="9480">
        <f>IF(HLOOKUP("Gs",A1:CV300,53,FALSE)=0,0,HLOOKUP("GIB",A1:CV300,53,FALSE)/HLOOKUP("Gs",A1:CV300,53,FALSE))</f>
      </c>
      <c r="AQ53" t="n" s="9481">
        <v>0.0</v>
      </c>
      <c r="AR53" s="9482">
        <f>IF(HLOOKUP("Gs",A1:CV300,53,FALSE)=0,0,HLOOKUP("Gs - Open",A1:CV300,53,FALSE)/HLOOKUP("Gs",A1:CV300,53,FALSE))</f>
      </c>
      <c r="AS53" t="n" s="9483">
        <v>0.0</v>
      </c>
      <c r="AT53" t="n" s="9484">
        <v>0.02</v>
      </c>
      <c r="AU53" s="9485">
        <f>IF(HLOOKUP("Mins",A1:CV300,53,FALSE)=0,0,HLOOKUP("Pts",A1:CV300,53,FALSE)/HLOOKUP("Mins",A1:CV300,53,FALSE)* 90)</f>
      </c>
      <c r="AV53" s="9486">
        <f>IF(HLOOKUP("Apps",A1:CV300,53,FALSE)=0,0,HLOOKUP("Pts",A1:CV300,53,FALSE)/HLOOKUP("Apps",A1:CV300,53,FALSE)* 1)</f>
      </c>
      <c r="AW53" s="9487">
        <f>IF(HLOOKUP("Mins",A1:CV300,53,FALSE)=0,0,HLOOKUP("Gs",A1:CV300,53,FALSE)/HLOOKUP("Mins",A1:CV300,53,FALSE)* 90)</f>
      </c>
      <c r="AX53" s="9488">
        <f>IF(HLOOKUP("Mins",A1:CV300,53,FALSE)=0,0,HLOOKUP("Bonus",A1:CV300,53,FALSE)/HLOOKUP("Mins",A1:CV300,53,FALSE)* 90)</f>
      </c>
      <c r="AY53" s="9489">
        <f>IF(HLOOKUP("Mins",A1:CV300,53,FALSE)=0,0,HLOOKUP("BPS",A1:CV300,53,FALSE)/HLOOKUP("Mins",A1:CV300,53,FALSE)* 90)</f>
      </c>
      <c r="AZ53" s="9490">
        <f>IF(HLOOKUP("Mins",A1:CV300,53,FALSE)=0,0,HLOOKUP("Base BPS",A1:CV300,53,FALSE)/HLOOKUP("Mins",A1:CV300,53,FALSE)* 90)</f>
      </c>
      <c r="BA53" s="9491">
        <f>IF(HLOOKUP("Mins",A1:CV300,53,FALSE)=0,0,HLOOKUP("PenTchs",A1:CV300,53,FALSE)/HLOOKUP("Mins",A1:CV300,53,FALSE)* 90)</f>
      </c>
      <c r="BB53" s="9492">
        <f>IF(HLOOKUP("Mins",A1:CV300,53,FALSE)=0,0,HLOOKUP("Shots",A1:CV300,53,FALSE)/HLOOKUP("Mins",A1:CV300,53,FALSE)* 90)</f>
      </c>
      <c r="BC53" s="9493">
        <f>IF(HLOOKUP("Mins",A1:CV300,53,FALSE)=0,0,HLOOKUP("SIB",A1:CV300,53,FALSE)/HLOOKUP("Mins",A1:CV300,53,FALSE)* 90)</f>
      </c>
      <c r="BD53" s="9494">
        <f>IF(HLOOKUP("Mins",A1:CV300,53,FALSE)=0,0,HLOOKUP("S6YD",A1:CV300,53,FALSE)/HLOOKUP("Mins",A1:CV300,53,FALSE)* 90)</f>
      </c>
      <c r="BE53" s="9495">
        <f>IF(HLOOKUP("Mins",A1:CV300,53,FALSE)=0,0,HLOOKUP("Headers",A1:CV300,53,FALSE)/HLOOKUP("Mins",A1:CV300,53,FALSE)* 90)</f>
      </c>
      <c r="BF53" s="9496">
        <f>IF(HLOOKUP("Mins",A1:CV300,53,FALSE)=0,0,HLOOKUP("SOT",A1:CV300,53,FALSE)/HLOOKUP("Mins",A1:CV300,53,FALSE)* 90)</f>
      </c>
      <c r="BG53" s="9497">
        <f>IF(HLOOKUP("Mins",A1:CV300,53,FALSE)=0,0,HLOOKUP("As",A1:CV300,53,FALSE)/HLOOKUP("Mins",A1:CV300,53,FALSE)* 90)</f>
      </c>
      <c r="BH53" s="9498">
        <f>IF(HLOOKUP("Mins",A1:CV300,53,FALSE)=0,0,HLOOKUP("FPL As",A1:CV300,53,FALSE)/HLOOKUP("Mins",A1:CV300,53,FALSE)* 90)</f>
      </c>
      <c r="BI53" s="9499">
        <f>IF(HLOOKUP("Mins",A1:CV300,53,FALSE)=0,0,HLOOKUP("BC Created",A1:CV300,53,FALSE)/HLOOKUP("Mins",A1:CV300,53,FALSE)* 90)</f>
      </c>
      <c r="BJ53" s="9500">
        <f>IF(HLOOKUP("Mins",A1:CV300,53,FALSE)=0,0,HLOOKUP("KP",A1:CV300,53,FALSE)/HLOOKUP("Mins",A1:CV300,53,FALSE)* 90)</f>
      </c>
      <c r="BK53" s="9501">
        <f>IF(HLOOKUP("Mins",A1:CV300,53,FALSE)=0,0,HLOOKUP("BC",A1:CV300,53,FALSE)/HLOOKUP("Mins",A1:CV300,53,FALSE)* 90)</f>
      </c>
      <c r="BL53" s="9502">
        <f>IF(HLOOKUP("Mins",A1:CV300,53,FALSE)=0,0,HLOOKUP("BC Miss",A1:CV300,53,FALSE)/HLOOKUP("Mins",A1:CV300,53,FALSE)* 90)</f>
      </c>
      <c r="BM53" s="9503">
        <f>IF(HLOOKUP("Mins",A1:CV300,53,FALSE)=0,0,HLOOKUP("Gs - BC",A1:CV300,53,FALSE)/HLOOKUP("Mins",A1:CV300,53,FALSE)* 90)</f>
      </c>
      <c r="BN53" s="9504">
        <f>IF(HLOOKUP("Mins",A1:CV300,53,FALSE)=0,0,HLOOKUP("GIB",A1:CV300,53,FALSE)/HLOOKUP("Mins",A1:CV300,53,FALSE)* 90)</f>
      </c>
      <c r="BO53" s="9505">
        <f>IF(HLOOKUP("Mins",A1:CV300,53,FALSE)=0,0,HLOOKUP("Gs - Open",A1:CV300,53,FALSE)/HLOOKUP("Mins",A1:CV300,53,FALSE)* 90)</f>
      </c>
      <c r="BP53" s="9506">
        <f>IF(HLOOKUP("Mins",A1:CV300,53,FALSE)=0,0,HLOOKUP("ICT Index",A1:CV300,53,FALSE)/HLOOKUP("Mins",A1:CV300,53,FALSE)* 90)</f>
      </c>
      <c r="BQ53" s="9507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</c>
      <c r="BR53" s="9508">
        <f>0.0825*HLOOKUP("KP/90",A1:CV300,53,FALSE)</f>
      </c>
      <c r="BS53" s="9509">
        <f>6*HLOOKUP("xG/90",A1:CV300,53,FALSE)+3*HLOOKUP("xA/90",A1:CV300,53,FALSE)</f>
      </c>
      <c r="BT53" s="9510">
        <f>HLOOKUP("xPts/90",A1:CV300,53,FALSE)-(6*0.75*(HLOOKUP("PK Gs",A1:CV300,53,FALSE)+HLOOKUP("PK Miss",A1:CV300,53,FALSE))*90/HLOOKUP("Mins",A1:CV300,53,FALSE))</f>
      </c>
      <c r="BU53" s="9511">
        <f>IF(HLOOKUP("Mins",A1:CV300,53,FALSE)=0,0,HLOOKUP("fsXG",A1:CV300,53,FALSE)/HLOOKUP("Mins",A1:CV300,53,FALSE)* 90)</f>
      </c>
      <c r="BV53" s="9512">
        <f>IF(HLOOKUP("Mins",A1:CV300,53,FALSE)=0,0,HLOOKUP("fsXA",A1:CV300,53,FALSE)/HLOOKUP("Mins",A1:CV300,53,FALSE)* 90)</f>
      </c>
      <c r="BW53" s="9513">
        <f>6*HLOOKUP("fsXG/90",A1:CV300,53,FALSE)+3*HLOOKUP("fsXA/90",A1:CV300,53,FALSE)</f>
      </c>
      <c r="BX53" t="n" s="9514">
        <v>0.0</v>
      </c>
      <c r="BY53" t="n" s="9515">
        <v>0.017330404371023178</v>
      </c>
      <c r="BZ53" s="9516">
        <f>6*HLOOKUP("uXG/90",A1:CV300,53,FALSE)+3*HLOOKUP("uXA/90",A1:CV300,53,FALSE)</f>
      </c>
    </row>
    <row r="54">
      <c r="A54" t="s" s="9517">
        <v>219</v>
      </c>
      <c r="B54" t="s" s="9518">
        <v>80</v>
      </c>
      <c r="C54" t="n" s="9519">
        <v>5.699999809265137</v>
      </c>
      <c r="D54" t="n" s="9520">
        <v>476.0</v>
      </c>
      <c r="E54" t="n" s="9521">
        <v>6.0</v>
      </c>
      <c r="F54" t="n" s="9522">
        <v>68.0</v>
      </c>
      <c r="G54" t="n" s="9523">
        <v>0.0</v>
      </c>
      <c r="H54" t="n" s="9524">
        <v>9.0</v>
      </c>
      <c r="I54" t="n" s="9525">
        <v>363.0</v>
      </c>
      <c r="J54" s="9526">
        <f>HLOOKUP("BPS",A1:CV300,54,FALSE)-((-6*HLOOKUP("OG",A1:CV300,54,FALSE))+(-6*HLOOKUP("PK Miss",A1:CV300,54,FALSE))+(9*HLOOKUP("FPL As",A1:CV300,54,FALSE))+(12*HLOOKUP("CS",A1:CV300,54,FALSE))+(12*HLOOKUP("Gs",A1:CV300,54,FALSE)))</f>
      </c>
      <c r="K54" t="n" s="9527">
        <v>0.0</v>
      </c>
      <c r="L54" t="n" s="9528">
        <v>5.0</v>
      </c>
      <c r="M54" t="n" s="9529">
        <v>3.0</v>
      </c>
      <c r="N54" t="n" s="9530">
        <v>4.0</v>
      </c>
      <c r="O54" t="n" s="9531">
        <v>2.0</v>
      </c>
      <c r="P54" s="9532">
        <f>IF(HLOOKUP("Shots",A1:CV300,54,FALSE)=0,0,HLOOKUP("SIB",A1:CV300,54,FALSE)/HLOOKUP("Shots",A1:CV300,54,FALSE))</f>
      </c>
      <c r="Q54" t="n" s="9533">
        <v>1.0</v>
      </c>
      <c r="R54" s="9534">
        <f>IF(HLOOKUP("Shots",A1:CV300,54,FALSE)=0,0,HLOOKUP("S6YD",A1:CV300,54,FALSE)/HLOOKUP("Shots",A1:CV300,54,FALSE))</f>
      </c>
      <c r="S54" t="n" s="9535">
        <v>1.0</v>
      </c>
      <c r="T54" s="9536">
        <f>IF(HLOOKUP("Shots",A1:CV300,54,FALSE)=0,0,HLOOKUP("Headers",A1:CV300,54,FALSE)/HLOOKUP("Shots",A1:CV300,54,FALSE))</f>
      </c>
      <c r="U54" t="n" s="9537">
        <v>0.0</v>
      </c>
      <c r="V54" s="9538">
        <f>IF(HLOOKUP("Shots",A1:CV300,54,FALSE)=0,0,HLOOKUP("SOT",A1:CV300,54,FALSE)/HLOOKUP("Shots",A1:CV300,54,FALSE))</f>
      </c>
      <c r="W54" s="9539">
        <f>IF(HLOOKUP("Shots",A1:CV300,54,FALSE)=0,0,HLOOKUP("Gs",A1:CV300,54,FALSE)/HLOOKUP("Shots",A1:CV300,54,FALSE))</f>
      </c>
      <c r="X54" t="n" s="9540">
        <v>0.0</v>
      </c>
      <c r="Y54" t="n" s="9541">
        <v>0.0</v>
      </c>
      <c r="Z54" t="n" s="9542">
        <v>1.0</v>
      </c>
      <c r="AA54" s="9543">
        <f>IF(HLOOKUP("KP",A1:CV300,54,FALSE)=0,0,HLOOKUP("As",A1:CV300,54,FALSE)/HLOOKUP("KP",A1:CV300,54,FALSE))</f>
      </c>
      <c r="AB54" t="n" s="9544">
        <v>14.0</v>
      </c>
      <c r="AC54" t="n" s="9545">
        <v>0.0</v>
      </c>
      <c r="AD54" t="n" s="9546">
        <v>1.0</v>
      </c>
      <c r="AE54" t="n" s="9547">
        <v>0.0</v>
      </c>
      <c r="AF54" t="n" s="9548">
        <v>0.0</v>
      </c>
      <c r="AG54" s="9549">
        <f>IF(HLOOKUP("BC",A1:CV300,54,FALSE)=0,0,HLOOKUP("Gs - BC",A1:CV300,54,FALSE)/HLOOKUP("BC",A1:CV300,54,FALSE))</f>
      </c>
      <c r="AH54" s="9550">
        <f>HLOOKUP("BC",A1:CV300,54,FALSE) - HLOOKUP("BC Miss",A1:CV300,54,FALSE)</f>
      </c>
      <c r="AI54" s="9551">
        <f>IF(HLOOKUP("Gs",A1:CV300,54,FALSE)=0,0,HLOOKUP("Gs - BC",A1:CV300,54,FALSE)/HLOOKUP("Gs",A1:CV300,54,FALSE))</f>
      </c>
      <c r="AJ54" t="n" s="9552">
        <v>0.0</v>
      </c>
      <c r="AK54" t="n" s="9553">
        <v>0.0</v>
      </c>
      <c r="AL54" s="9554">
        <f>HLOOKUP("BC",A1:CV300,54,FALSE) - (HLOOKUP("PK Gs",A1:CV300,54,FALSE) + HLOOKUP("PK Miss",A1:CV300,54,FALSE))</f>
      </c>
      <c r="AM54" s="9555">
        <f>HLOOKUP("BC Miss",A1:CV300,54,FALSE) - HLOOKUP("PK Miss",A1:CV300,54,FALSE)</f>
      </c>
      <c r="AN54" s="9556">
        <f>IF(HLOOKUP("BC - Open",A1:CV300,54,FALSE)=0,0,HLOOKUP("BC - Open Miss",A1:CV300,54,FALSE)/HLOOKUP("BC - Open",A1:CV300,54,FALSE))</f>
      </c>
      <c r="AO54" t="n" s="9557">
        <v>0.0</v>
      </c>
      <c r="AP54" s="9558">
        <f>IF(HLOOKUP("Gs",A1:CV300,54,FALSE)=0,0,HLOOKUP("GIB",A1:CV300,54,FALSE)/HLOOKUP("Gs",A1:CV300,54,FALSE))</f>
      </c>
      <c r="AQ54" t="n" s="9559">
        <v>0.0</v>
      </c>
      <c r="AR54" s="9560">
        <f>IF(HLOOKUP("Gs",A1:CV300,54,FALSE)=0,0,HLOOKUP("Gs - Open",A1:CV300,54,FALSE)/HLOOKUP("Gs",A1:CV300,54,FALSE))</f>
      </c>
      <c r="AS54" t="n" s="9561">
        <v>0.13</v>
      </c>
      <c r="AT54" t="n" s="9562">
        <v>0.19</v>
      </c>
      <c r="AU54" s="9563">
        <f>IF(HLOOKUP("Mins",A1:CV300,54,FALSE)=0,0,HLOOKUP("Pts",A1:CV300,54,FALSE)/HLOOKUP("Mins",A1:CV300,54,FALSE)* 90)</f>
      </c>
      <c r="AV54" s="9564">
        <f>IF(HLOOKUP("Apps",A1:CV300,54,FALSE)=0,0,HLOOKUP("Pts",A1:CV300,54,FALSE)/HLOOKUP("Apps",A1:CV300,54,FALSE)* 1)</f>
      </c>
      <c r="AW54" s="9565">
        <f>IF(HLOOKUP("Mins",A1:CV300,54,FALSE)=0,0,HLOOKUP("Gs",A1:CV300,54,FALSE)/HLOOKUP("Mins",A1:CV300,54,FALSE)* 90)</f>
      </c>
      <c r="AX54" s="9566">
        <f>IF(HLOOKUP("Mins",A1:CV300,54,FALSE)=0,0,HLOOKUP("Bonus",A1:CV300,54,FALSE)/HLOOKUP("Mins",A1:CV300,54,FALSE)* 90)</f>
      </c>
      <c r="AY54" s="9567">
        <f>IF(HLOOKUP("Mins",A1:CV300,54,FALSE)=0,0,HLOOKUP("BPS",A1:CV300,54,FALSE)/HLOOKUP("Mins",A1:CV300,54,FALSE)* 90)</f>
      </c>
      <c r="AZ54" s="9568">
        <f>IF(HLOOKUP("Mins",A1:CV300,54,FALSE)=0,0,HLOOKUP("Base BPS",A1:CV300,54,FALSE)/HLOOKUP("Mins",A1:CV300,54,FALSE)* 90)</f>
      </c>
      <c r="BA54" s="9569">
        <f>IF(HLOOKUP("Mins",A1:CV300,54,FALSE)=0,0,HLOOKUP("PenTchs",A1:CV300,54,FALSE)/HLOOKUP("Mins",A1:CV300,54,FALSE)* 90)</f>
      </c>
      <c r="BB54" s="9570">
        <f>IF(HLOOKUP("Mins",A1:CV300,54,FALSE)=0,0,HLOOKUP("Shots",A1:CV300,54,FALSE)/HLOOKUP("Mins",A1:CV300,54,FALSE)* 90)</f>
      </c>
      <c r="BC54" s="9571">
        <f>IF(HLOOKUP("Mins",A1:CV300,54,FALSE)=0,0,HLOOKUP("SIB",A1:CV300,54,FALSE)/HLOOKUP("Mins",A1:CV300,54,FALSE)* 90)</f>
      </c>
      <c r="BD54" s="9572">
        <f>IF(HLOOKUP("Mins",A1:CV300,54,FALSE)=0,0,HLOOKUP("S6YD",A1:CV300,54,FALSE)/HLOOKUP("Mins",A1:CV300,54,FALSE)* 90)</f>
      </c>
      <c r="BE54" s="9573">
        <f>IF(HLOOKUP("Mins",A1:CV300,54,FALSE)=0,0,HLOOKUP("Headers",A1:CV300,54,FALSE)/HLOOKUP("Mins",A1:CV300,54,FALSE)* 90)</f>
      </c>
      <c r="BF54" s="9574">
        <f>IF(HLOOKUP("Mins",A1:CV300,54,FALSE)=0,0,HLOOKUP("SOT",A1:CV300,54,FALSE)/HLOOKUP("Mins",A1:CV300,54,FALSE)* 90)</f>
      </c>
      <c r="BG54" s="9575">
        <f>IF(HLOOKUP("Mins",A1:CV300,54,FALSE)=0,0,HLOOKUP("As",A1:CV300,54,FALSE)/HLOOKUP("Mins",A1:CV300,54,FALSE)* 90)</f>
      </c>
      <c r="BH54" s="9576">
        <f>IF(HLOOKUP("Mins",A1:CV300,54,FALSE)=0,0,HLOOKUP("FPL As",A1:CV300,54,FALSE)/HLOOKUP("Mins",A1:CV300,54,FALSE)* 90)</f>
      </c>
      <c r="BI54" s="9577">
        <f>IF(HLOOKUP("Mins",A1:CV300,54,FALSE)=0,0,HLOOKUP("BC Created",A1:CV300,54,FALSE)/HLOOKUP("Mins",A1:CV300,54,FALSE)* 90)</f>
      </c>
      <c r="BJ54" s="9578">
        <f>IF(HLOOKUP("Mins",A1:CV300,54,FALSE)=0,0,HLOOKUP("KP",A1:CV300,54,FALSE)/HLOOKUP("Mins",A1:CV300,54,FALSE)* 90)</f>
      </c>
      <c r="BK54" s="9579">
        <f>IF(HLOOKUP("Mins",A1:CV300,54,FALSE)=0,0,HLOOKUP("BC",A1:CV300,54,FALSE)/HLOOKUP("Mins",A1:CV300,54,FALSE)* 90)</f>
      </c>
      <c r="BL54" s="9580">
        <f>IF(HLOOKUP("Mins",A1:CV300,54,FALSE)=0,0,HLOOKUP("BC Miss",A1:CV300,54,FALSE)/HLOOKUP("Mins",A1:CV300,54,FALSE)* 90)</f>
      </c>
      <c r="BM54" s="9581">
        <f>IF(HLOOKUP("Mins",A1:CV300,54,FALSE)=0,0,HLOOKUP("Gs - BC",A1:CV300,54,FALSE)/HLOOKUP("Mins",A1:CV300,54,FALSE)* 90)</f>
      </c>
      <c r="BN54" s="9582">
        <f>IF(HLOOKUP("Mins",A1:CV300,54,FALSE)=0,0,HLOOKUP("GIB",A1:CV300,54,FALSE)/HLOOKUP("Mins",A1:CV300,54,FALSE)* 90)</f>
      </c>
      <c r="BO54" s="9583">
        <f>IF(HLOOKUP("Mins",A1:CV300,54,FALSE)=0,0,HLOOKUP("Gs - Open",A1:CV300,54,FALSE)/HLOOKUP("Mins",A1:CV300,54,FALSE)* 90)</f>
      </c>
      <c r="BP54" s="9584">
        <f>IF(HLOOKUP("Mins",A1:CV300,54,FALSE)=0,0,HLOOKUP("ICT Index",A1:CV300,54,FALSE)/HLOOKUP("Mins",A1:CV300,54,FALSE)* 90)</f>
      </c>
      <c r="BQ54" s="9585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</c>
      <c r="BR54" s="9586">
        <f>0.0825*HLOOKUP("KP/90",A1:CV300,54,FALSE)</f>
      </c>
      <c r="BS54" s="9587">
        <f>6*HLOOKUP("xG/90",A1:CV300,54,FALSE)+3*HLOOKUP("xA/90",A1:CV300,54,FALSE)</f>
      </c>
      <c r="BT54" s="9588">
        <f>HLOOKUP("xPts/90",A1:CV300,54,FALSE)-(6*0.75*(HLOOKUP("PK Gs",A1:CV300,54,FALSE)+HLOOKUP("PK Miss",A1:CV300,54,FALSE))*90/HLOOKUP("Mins",A1:CV300,54,FALSE))</f>
      </c>
      <c r="BU54" s="9589">
        <f>IF(HLOOKUP("Mins",A1:CV300,54,FALSE)=0,0,HLOOKUP("fsXG",A1:CV300,54,FALSE)/HLOOKUP("Mins",A1:CV300,54,FALSE)* 90)</f>
      </c>
      <c r="BV54" s="9590">
        <f>IF(HLOOKUP("Mins",A1:CV300,54,FALSE)=0,0,HLOOKUP("fsXA",A1:CV300,54,FALSE)/HLOOKUP("Mins",A1:CV300,54,FALSE)* 90)</f>
      </c>
      <c r="BW54" s="9591">
        <f>6*HLOOKUP("fsXG/90",A1:CV300,54,FALSE)+3*HLOOKUP("fsXA/90",A1:CV300,54,FALSE)</f>
      </c>
      <c r="BX54" t="n" s="9592">
        <v>0.032029613852500916</v>
      </c>
      <c r="BY54" t="n" s="9593">
        <v>0.05770709738135338</v>
      </c>
      <c r="BZ54" s="9594">
        <f>6*HLOOKUP("uXG/90",A1:CV300,54,FALSE)+3*HLOOKUP("uXA/90",A1:CV300,54,FALSE)</f>
      </c>
    </row>
    <row r="55">
      <c r="A55" t="s" s="9595">
        <v>220</v>
      </c>
      <c r="B55" t="s" s="9596">
        <v>100</v>
      </c>
      <c r="C55" t="n" s="9597">
        <v>4.400000095367432</v>
      </c>
      <c r="D55" t="n" s="9598">
        <v>73.0</v>
      </c>
      <c r="E55" t="n" s="9599">
        <v>1.0</v>
      </c>
      <c r="F55" t="n" s="9600">
        <v>6.0</v>
      </c>
      <c r="G55" t="n" s="9601">
        <v>0.0</v>
      </c>
      <c r="H55" t="n" s="9602">
        <v>0.0</v>
      </c>
      <c r="I55" t="n" s="9603">
        <v>53.0</v>
      </c>
      <c r="J55" s="9604">
        <f>HLOOKUP("BPS",A1:CV300,55,FALSE)-((-6*HLOOKUP("OG",A1:CV300,55,FALSE))+(-6*HLOOKUP("PK Miss",A1:CV300,55,FALSE))+(9*HLOOKUP("FPL As",A1:CV300,55,FALSE))+(12*HLOOKUP("CS",A1:CV300,55,FALSE))+(12*HLOOKUP("Gs",A1:CV300,55,FALSE)))</f>
      </c>
      <c r="K55" t="n" s="9605">
        <v>0.0</v>
      </c>
      <c r="L55" t="n" s="9606">
        <v>0.0</v>
      </c>
      <c r="M55" t="n" s="9607">
        <v>0.0</v>
      </c>
      <c r="N55" t="n" s="9608">
        <v>0.0</v>
      </c>
      <c r="O55" t="n" s="9609">
        <v>0.0</v>
      </c>
      <c r="P55" s="9610">
        <f>IF(HLOOKUP("Shots",A1:CV300,55,FALSE)=0,0,HLOOKUP("SIB",A1:CV300,55,FALSE)/HLOOKUP("Shots",A1:CV300,55,FALSE))</f>
      </c>
      <c r="Q55" t="n" s="9611">
        <v>0.0</v>
      </c>
      <c r="R55" s="9612">
        <f>IF(HLOOKUP("Shots",A1:CV300,55,FALSE)=0,0,HLOOKUP("S6YD",A1:CV300,55,FALSE)/HLOOKUP("Shots",A1:CV300,55,FALSE))</f>
      </c>
      <c r="S55" t="n" s="9613">
        <v>0.0</v>
      </c>
      <c r="T55" s="9614">
        <f>IF(HLOOKUP("Shots",A1:CV300,55,FALSE)=0,0,HLOOKUP("Headers",A1:CV300,55,FALSE)/HLOOKUP("Shots",A1:CV300,55,FALSE))</f>
      </c>
      <c r="U55" t="n" s="9615">
        <v>0.0</v>
      </c>
      <c r="V55" s="9616">
        <f>IF(HLOOKUP("Shots",A1:CV300,55,FALSE)=0,0,HLOOKUP("SOT",A1:CV300,55,FALSE)/HLOOKUP("Shots",A1:CV300,55,FALSE))</f>
      </c>
      <c r="W55" s="9617">
        <f>IF(HLOOKUP("Shots",A1:CV300,55,FALSE)=0,0,HLOOKUP("Gs",A1:CV300,55,FALSE)/HLOOKUP("Shots",A1:CV300,55,FALSE))</f>
      </c>
      <c r="X55" t="n" s="9618">
        <v>0.0</v>
      </c>
      <c r="Y55" t="n" s="9619">
        <v>0.0</v>
      </c>
      <c r="Z55" t="n" s="9620">
        <v>0.0</v>
      </c>
      <c r="AA55" s="9621">
        <f>IF(HLOOKUP("KP",A1:CV300,55,FALSE)=0,0,HLOOKUP("As",A1:CV300,55,FALSE)/HLOOKUP("KP",A1:CV300,55,FALSE))</f>
      </c>
      <c r="AB55" t="n" s="9622">
        <v>1.3</v>
      </c>
      <c r="AC55" t="n" s="9623">
        <v>0.0</v>
      </c>
      <c r="AD55" t="n" s="9624">
        <v>0.0</v>
      </c>
      <c r="AE55" t="n" s="9625">
        <v>0.0</v>
      </c>
      <c r="AF55" t="n" s="9626">
        <v>0.0</v>
      </c>
      <c r="AG55" s="9627">
        <f>IF(HLOOKUP("BC",A1:CV300,55,FALSE)=0,0,HLOOKUP("Gs - BC",A1:CV300,55,FALSE)/HLOOKUP("BC",A1:CV300,55,FALSE))</f>
      </c>
      <c r="AH55" s="9628">
        <f>HLOOKUP("BC",A1:CV300,55,FALSE) - HLOOKUP("BC Miss",A1:CV300,55,FALSE)</f>
      </c>
      <c r="AI55" s="9629">
        <f>IF(HLOOKUP("Gs",A1:CV300,55,FALSE)=0,0,HLOOKUP("Gs - BC",A1:CV300,55,FALSE)/HLOOKUP("Gs",A1:CV300,55,FALSE))</f>
      </c>
      <c r="AJ55" t="n" s="9630">
        <v>0.0</v>
      </c>
      <c r="AK55" t="n" s="9631">
        <v>0.0</v>
      </c>
      <c r="AL55" s="9632">
        <f>HLOOKUP("BC",A1:CV300,55,FALSE) - (HLOOKUP("PK Gs",A1:CV300,55,FALSE) + HLOOKUP("PK Miss",A1:CV300,55,FALSE))</f>
      </c>
      <c r="AM55" s="9633">
        <f>HLOOKUP("BC Miss",A1:CV300,55,FALSE) - HLOOKUP("PK Miss",A1:CV300,55,FALSE)</f>
      </c>
      <c r="AN55" s="9634">
        <f>IF(HLOOKUP("BC - Open",A1:CV300,55,FALSE)=0,0,HLOOKUP("BC - Open Miss",A1:CV300,55,FALSE)/HLOOKUP("BC - Open",A1:CV300,55,FALSE))</f>
      </c>
      <c r="AO55" t="n" s="9635">
        <v>0.0</v>
      </c>
      <c r="AP55" s="9636">
        <f>IF(HLOOKUP("Gs",A1:CV300,55,FALSE)=0,0,HLOOKUP("GIB",A1:CV300,55,FALSE)/HLOOKUP("Gs",A1:CV300,55,FALSE))</f>
      </c>
      <c r="AQ55" t="n" s="9637">
        <v>0.0</v>
      </c>
      <c r="AR55" s="9638">
        <f>IF(HLOOKUP("Gs",A1:CV300,55,FALSE)=0,0,HLOOKUP("Gs - Open",A1:CV300,55,FALSE)/HLOOKUP("Gs",A1:CV300,55,FALSE))</f>
      </c>
      <c r="AS55" t="n" s="9639">
        <v>0.0</v>
      </c>
      <c r="AT55" t="n" s="9640">
        <v>0.01</v>
      </c>
      <c r="AU55" s="9641">
        <f>IF(HLOOKUP("Mins",A1:CV300,55,FALSE)=0,0,HLOOKUP("Pts",A1:CV300,55,FALSE)/HLOOKUP("Mins",A1:CV300,55,FALSE)* 90)</f>
      </c>
      <c r="AV55" s="9642">
        <f>IF(HLOOKUP("Apps",A1:CV300,55,FALSE)=0,0,HLOOKUP("Pts",A1:CV300,55,FALSE)/HLOOKUP("Apps",A1:CV300,55,FALSE)* 1)</f>
      </c>
      <c r="AW55" s="9643">
        <f>IF(HLOOKUP("Mins",A1:CV300,55,FALSE)=0,0,HLOOKUP("Gs",A1:CV300,55,FALSE)/HLOOKUP("Mins",A1:CV300,55,FALSE)* 90)</f>
      </c>
      <c r="AX55" s="9644">
        <f>IF(HLOOKUP("Mins",A1:CV300,55,FALSE)=0,0,HLOOKUP("Bonus",A1:CV300,55,FALSE)/HLOOKUP("Mins",A1:CV300,55,FALSE)* 90)</f>
      </c>
      <c r="AY55" s="9645">
        <f>IF(HLOOKUP("Mins",A1:CV300,55,FALSE)=0,0,HLOOKUP("BPS",A1:CV300,55,FALSE)/HLOOKUP("Mins",A1:CV300,55,FALSE)* 90)</f>
      </c>
      <c r="AZ55" s="9646">
        <f>IF(HLOOKUP("Mins",A1:CV300,55,FALSE)=0,0,HLOOKUP("Base BPS",A1:CV300,55,FALSE)/HLOOKUP("Mins",A1:CV300,55,FALSE)* 90)</f>
      </c>
      <c r="BA55" s="9647">
        <f>IF(HLOOKUP("Mins",A1:CV300,55,FALSE)=0,0,HLOOKUP("PenTchs",A1:CV300,55,FALSE)/HLOOKUP("Mins",A1:CV300,55,FALSE)* 90)</f>
      </c>
      <c r="BB55" s="9648">
        <f>IF(HLOOKUP("Mins",A1:CV300,55,FALSE)=0,0,HLOOKUP("Shots",A1:CV300,55,FALSE)/HLOOKUP("Mins",A1:CV300,55,FALSE)* 90)</f>
      </c>
      <c r="BC55" s="9649">
        <f>IF(HLOOKUP("Mins",A1:CV300,55,FALSE)=0,0,HLOOKUP("SIB",A1:CV300,55,FALSE)/HLOOKUP("Mins",A1:CV300,55,FALSE)* 90)</f>
      </c>
      <c r="BD55" s="9650">
        <f>IF(HLOOKUP("Mins",A1:CV300,55,FALSE)=0,0,HLOOKUP("S6YD",A1:CV300,55,FALSE)/HLOOKUP("Mins",A1:CV300,55,FALSE)* 90)</f>
      </c>
      <c r="BE55" s="9651">
        <f>IF(HLOOKUP("Mins",A1:CV300,55,FALSE)=0,0,HLOOKUP("Headers",A1:CV300,55,FALSE)/HLOOKUP("Mins",A1:CV300,55,FALSE)* 90)</f>
      </c>
      <c r="BF55" s="9652">
        <f>IF(HLOOKUP("Mins",A1:CV300,55,FALSE)=0,0,HLOOKUP("SOT",A1:CV300,55,FALSE)/HLOOKUP("Mins",A1:CV300,55,FALSE)* 90)</f>
      </c>
      <c r="BG55" s="9653">
        <f>IF(HLOOKUP("Mins",A1:CV300,55,FALSE)=0,0,HLOOKUP("As",A1:CV300,55,FALSE)/HLOOKUP("Mins",A1:CV300,55,FALSE)* 90)</f>
      </c>
      <c r="BH55" s="9654">
        <f>IF(HLOOKUP("Mins",A1:CV300,55,FALSE)=0,0,HLOOKUP("FPL As",A1:CV300,55,FALSE)/HLOOKUP("Mins",A1:CV300,55,FALSE)* 90)</f>
      </c>
      <c r="BI55" s="9655">
        <f>IF(HLOOKUP("Mins",A1:CV300,55,FALSE)=0,0,HLOOKUP("BC Created",A1:CV300,55,FALSE)/HLOOKUP("Mins",A1:CV300,55,FALSE)* 90)</f>
      </c>
      <c r="BJ55" s="9656">
        <f>IF(HLOOKUP("Mins",A1:CV300,55,FALSE)=0,0,HLOOKUP("KP",A1:CV300,55,FALSE)/HLOOKUP("Mins",A1:CV300,55,FALSE)* 90)</f>
      </c>
      <c r="BK55" s="9657">
        <f>IF(HLOOKUP("Mins",A1:CV300,55,FALSE)=0,0,HLOOKUP("BC",A1:CV300,55,FALSE)/HLOOKUP("Mins",A1:CV300,55,FALSE)* 90)</f>
      </c>
      <c r="BL55" s="9658">
        <f>IF(HLOOKUP("Mins",A1:CV300,55,FALSE)=0,0,HLOOKUP("BC Miss",A1:CV300,55,FALSE)/HLOOKUP("Mins",A1:CV300,55,FALSE)* 90)</f>
      </c>
      <c r="BM55" s="9659">
        <f>IF(HLOOKUP("Mins",A1:CV300,55,FALSE)=0,0,HLOOKUP("Gs - BC",A1:CV300,55,FALSE)/HLOOKUP("Mins",A1:CV300,55,FALSE)* 90)</f>
      </c>
      <c r="BN55" s="9660">
        <f>IF(HLOOKUP("Mins",A1:CV300,55,FALSE)=0,0,HLOOKUP("GIB",A1:CV300,55,FALSE)/HLOOKUP("Mins",A1:CV300,55,FALSE)* 90)</f>
      </c>
      <c r="BO55" s="9661">
        <f>IF(HLOOKUP("Mins",A1:CV300,55,FALSE)=0,0,HLOOKUP("Gs - Open",A1:CV300,55,FALSE)/HLOOKUP("Mins",A1:CV300,55,FALSE)* 90)</f>
      </c>
      <c r="BP55" s="9662">
        <f>IF(HLOOKUP("Mins",A1:CV300,55,FALSE)=0,0,HLOOKUP("ICT Index",A1:CV300,55,FALSE)/HLOOKUP("Mins",A1:CV300,55,FALSE)* 90)</f>
      </c>
      <c r="BQ55" s="9663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</c>
      <c r="BR55" s="9664">
        <f>0.0825*HLOOKUP("KP/90",A1:CV300,55,FALSE)</f>
      </c>
      <c r="BS55" s="9665">
        <f>6*HLOOKUP("xG/90",A1:CV300,55,FALSE)+3*HLOOKUP("xA/90",A1:CV300,55,FALSE)</f>
      </c>
      <c r="BT55" s="9666">
        <f>HLOOKUP("xPts/90",A1:CV300,55,FALSE)-(6*0.75*(HLOOKUP("PK Gs",A1:CV300,55,FALSE)+HLOOKUP("PK Miss",A1:CV300,55,FALSE))*90/HLOOKUP("Mins",A1:CV300,55,FALSE))</f>
      </c>
      <c r="BU55" s="9667">
        <f>IF(HLOOKUP("Mins",A1:CV300,55,FALSE)=0,0,HLOOKUP("fsXG",A1:CV300,55,FALSE)/HLOOKUP("Mins",A1:CV300,55,FALSE)* 90)</f>
      </c>
      <c r="BV55" s="9668">
        <f>IF(HLOOKUP("Mins",A1:CV300,55,FALSE)=0,0,HLOOKUP("fsXA",A1:CV300,55,FALSE)/HLOOKUP("Mins",A1:CV300,55,FALSE)* 90)</f>
      </c>
      <c r="BW55" s="9669">
        <f>6*HLOOKUP("fsXG/90",A1:CV300,55,FALSE)+3*HLOOKUP("fsXA/90",A1:CV300,55,FALSE)</f>
      </c>
      <c r="BX55" t="n" s="9670">
        <v>0.0</v>
      </c>
      <c r="BY55" t="n" s="9671">
        <v>0.0</v>
      </c>
      <c r="BZ55" s="9672">
        <f>6*HLOOKUP("uXG/90",A1:CV300,55,FALSE)+3*HLOOKUP("uXA/90",A1:CV300,55,FALSE)</f>
      </c>
    </row>
    <row r="56">
      <c r="A56" t="s" s="9673">
        <v>221</v>
      </c>
      <c r="B56" t="s" s="9674">
        <v>149</v>
      </c>
      <c r="C56" t="n" s="9675">
        <v>6.0</v>
      </c>
      <c r="D56" t="n" s="9676">
        <v>540.0</v>
      </c>
      <c r="E56" t="n" s="9677">
        <v>6.0</v>
      </c>
      <c r="F56" t="n" s="9678">
        <v>37.0</v>
      </c>
      <c r="G56" t="n" s="9679">
        <v>2.0</v>
      </c>
      <c r="H56" t="n" s="9680">
        <v>3.0</v>
      </c>
      <c r="I56" t="n" s="9681">
        <v>196.0</v>
      </c>
      <c r="J56" s="9682">
        <f>HLOOKUP("BPS",A1:CV300,56,FALSE)-((-6*HLOOKUP("OG",A1:CV300,56,FALSE))+(-6*HLOOKUP("PK Miss",A1:CV300,56,FALSE))+(9*HLOOKUP("FPL As",A1:CV300,56,FALSE))+(12*HLOOKUP("CS",A1:CV300,56,FALSE))+(12*HLOOKUP("Gs",A1:CV300,56,FALSE)))</f>
      </c>
      <c r="K56" t="n" s="9683">
        <v>0.0</v>
      </c>
      <c r="L56" t="n" s="9684">
        <v>2.0</v>
      </c>
      <c r="M56" t="n" s="9685">
        <v>7.0</v>
      </c>
      <c r="N56" t="n" s="9686">
        <v>6.0</v>
      </c>
      <c r="O56" t="n" s="9687">
        <v>5.0</v>
      </c>
      <c r="P56" s="9688">
        <f>IF(HLOOKUP("Shots",A1:CV300,56,FALSE)=0,0,HLOOKUP("SIB",A1:CV300,56,FALSE)/HLOOKUP("Shots",A1:CV300,56,FALSE))</f>
      </c>
      <c r="Q56" t="n" s="9689">
        <v>2.0</v>
      </c>
      <c r="R56" s="9690">
        <f>IF(HLOOKUP("Shots",A1:CV300,56,FALSE)=0,0,HLOOKUP("S6YD",A1:CV300,56,FALSE)/HLOOKUP("Shots",A1:CV300,56,FALSE))</f>
      </c>
      <c r="S56" t="n" s="9691">
        <v>4.0</v>
      </c>
      <c r="T56" s="9692">
        <f>IF(HLOOKUP("Shots",A1:CV300,56,FALSE)=0,0,HLOOKUP("Headers",A1:CV300,56,FALSE)/HLOOKUP("Shots",A1:CV300,56,FALSE))</f>
      </c>
      <c r="U56" t="n" s="9693">
        <v>3.0</v>
      </c>
      <c r="V56" s="9694">
        <f>IF(HLOOKUP("Shots",A1:CV300,56,FALSE)=0,0,HLOOKUP("SOT",A1:CV300,56,FALSE)/HLOOKUP("Shots",A1:CV300,56,FALSE))</f>
      </c>
      <c r="W56" s="9695">
        <f>IF(HLOOKUP("Shots",A1:CV300,56,FALSE)=0,0,HLOOKUP("Gs",A1:CV300,56,FALSE)/HLOOKUP("Shots",A1:CV300,56,FALSE))</f>
      </c>
      <c r="X56" t="n" s="9696">
        <v>0.0</v>
      </c>
      <c r="Y56" t="n" s="9697">
        <v>0.0</v>
      </c>
      <c r="Z56" t="n" s="9698">
        <v>1.0</v>
      </c>
      <c r="AA56" s="9699">
        <f>IF(HLOOKUP("KP",A1:CV300,56,FALSE)=0,0,HLOOKUP("As",A1:CV300,56,FALSE)/HLOOKUP("KP",A1:CV300,56,FALSE))</f>
      </c>
      <c r="AB56" t="n" s="9700">
        <v>32.4</v>
      </c>
      <c r="AC56" t="n" s="9701">
        <v>25.0</v>
      </c>
      <c r="AD56" t="n" s="9702">
        <v>1.0</v>
      </c>
      <c r="AE56" t="n" s="9703">
        <v>1.0</v>
      </c>
      <c r="AF56" t="n" s="9704">
        <v>0.0</v>
      </c>
      <c r="AG56" s="9705">
        <f>IF(HLOOKUP("BC",A1:CV300,56,FALSE)=0,0,HLOOKUP("Gs - BC",A1:CV300,56,FALSE)/HLOOKUP("BC",A1:CV300,56,FALSE))</f>
      </c>
      <c r="AH56" s="9706">
        <f>HLOOKUP("BC",A1:CV300,56,FALSE) - HLOOKUP("BC Miss",A1:CV300,56,FALSE)</f>
      </c>
      <c r="AI56" s="9707">
        <f>IF(HLOOKUP("Gs",A1:CV300,56,FALSE)=0,0,HLOOKUP("Gs - BC",A1:CV300,56,FALSE)/HLOOKUP("Gs",A1:CV300,56,FALSE))</f>
      </c>
      <c r="AJ56" t="n" s="9708">
        <v>0.0</v>
      </c>
      <c r="AK56" t="n" s="9709">
        <v>0.0</v>
      </c>
      <c r="AL56" s="9710">
        <f>HLOOKUP("BC",A1:CV300,56,FALSE) - (HLOOKUP("PK Gs",A1:CV300,56,FALSE) + HLOOKUP("PK Miss",A1:CV300,56,FALSE))</f>
      </c>
      <c r="AM56" s="9711">
        <f>HLOOKUP("BC Miss",A1:CV300,56,FALSE) - HLOOKUP("PK Miss",A1:CV300,56,FALSE)</f>
      </c>
      <c r="AN56" s="9712">
        <f>IF(HLOOKUP("BC - Open",A1:CV300,56,FALSE)=0,0,HLOOKUP("BC - Open Miss",A1:CV300,56,FALSE)/HLOOKUP("BC - Open",A1:CV300,56,FALSE))</f>
      </c>
      <c r="AO56" t="n" s="9713">
        <v>2.0</v>
      </c>
      <c r="AP56" s="9714">
        <f>IF(HLOOKUP("Gs",A1:CV300,56,FALSE)=0,0,HLOOKUP("GIB",A1:CV300,56,FALSE)/HLOOKUP("Gs",A1:CV300,56,FALSE))</f>
      </c>
      <c r="AQ56" t="n" s="9715">
        <v>0.0</v>
      </c>
      <c r="AR56" s="9716">
        <f>IF(HLOOKUP("Gs",A1:CV300,56,FALSE)=0,0,HLOOKUP("Gs - Open",A1:CV300,56,FALSE)/HLOOKUP("Gs",A1:CV300,56,FALSE))</f>
      </c>
      <c r="AS56" t="n" s="9717">
        <v>0.54</v>
      </c>
      <c r="AT56" t="n" s="9718">
        <v>0.19</v>
      </c>
      <c r="AU56" s="9719">
        <f>IF(HLOOKUP("Mins",A1:CV300,56,FALSE)=0,0,HLOOKUP("Pts",A1:CV300,56,FALSE)/HLOOKUP("Mins",A1:CV300,56,FALSE)* 90)</f>
      </c>
      <c r="AV56" s="9720">
        <f>IF(HLOOKUP("Apps",A1:CV300,56,FALSE)=0,0,HLOOKUP("Pts",A1:CV300,56,FALSE)/HLOOKUP("Apps",A1:CV300,56,FALSE)* 1)</f>
      </c>
      <c r="AW56" s="9721">
        <f>IF(HLOOKUP("Mins",A1:CV300,56,FALSE)=0,0,HLOOKUP("Gs",A1:CV300,56,FALSE)/HLOOKUP("Mins",A1:CV300,56,FALSE)* 90)</f>
      </c>
      <c r="AX56" s="9722">
        <f>IF(HLOOKUP("Mins",A1:CV300,56,FALSE)=0,0,HLOOKUP("Bonus",A1:CV300,56,FALSE)/HLOOKUP("Mins",A1:CV300,56,FALSE)* 90)</f>
      </c>
      <c r="AY56" s="9723">
        <f>IF(HLOOKUP("Mins",A1:CV300,56,FALSE)=0,0,HLOOKUP("BPS",A1:CV300,56,FALSE)/HLOOKUP("Mins",A1:CV300,56,FALSE)* 90)</f>
      </c>
      <c r="AZ56" s="9724">
        <f>IF(HLOOKUP("Mins",A1:CV300,56,FALSE)=0,0,HLOOKUP("Base BPS",A1:CV300,56,FALSE)/HLOOKUP("Mins",A1:CV300,56,FALSE)* 90)</f>
      </c>
      <c r="BA56" s="9725">
        <f>IF(HLOOKUP("Mins",A1:CV300,56,FALSE)=0,0,HLOOKUP("PenTchs",A1:CV300,56,FALSE)/HLOOKUP("Mins",A1:CV300,56,FALSE)* 90)</f>
      </c>
      <c r="BB56" s="9726">
        <f>IF(HLOOKUP("Mins",A1:CV300,56,FALSE)=0,0,HLOOKUP("Shots",A1:CV300,56,FALSE)/HLOOKUP("Mins",A1:CV300,56,FALSE)* 90)</f>
      </c>
      <c r="BC56" s="9727">
        <f>IF(HLOOKUP("Mins",A1:CV300,56,FALSE)=0,0,HLOOKUP("SIB",A1:CV300,56,FALSE)/HLOOKUP("Mins",A1:CV300,56,FALSE)* 90)</f>
      </c>
      <c r="BD56" s="9728">
        <f>IF(HLOOKUP("Mins",A1:CV300,56,FALSE)=0,0,HLOOKUP("S6YD",A1:CV300,56,FALSE)/HLOOKUP("Mins",A1:CV300,56,FALSE)* 90)</f>
      </c>
      <c r="BE56" s="9729">
        <f>IF(HLOOKUP("Mins",A1:CV300,56,FALSE)=0,0,HLOOKUP("Headers",A1:CV300,56,FALSE)/HLOOKUP("Mins",A1:CV300,56,FALSE)* 90)</f>
      </c>
      <c r="BF56" s="9730">
        <f>IF(HLOOKUP("Mins",A1:CV300,56,FALSE)=0,0,HLOOKUP("SOT",A1:CV300,56,FALSE)/HLOOKUP("Mins",A1:CV300,56,FALSE)* 90)</f>
      </c>
      <c r="BG56" s="9731">
        <f>IF(HLOOKUP("Mins",A1:CV300,56,FALSE)=0,0,HLOOKUP("As",A1:CV300,56,FALSE)/HLOOKUP("Mins",A1:CV300,56,FALSE)* 90)</f>
      </c>
      <c r="BH56" s="9732">
        <f>IF(HLOOKUP("Mins",A1:CV300,56,FALSE)=0,0,HLOOKUP("FPL As",A1:CV300,56,FALSE)/HLOOKUP("Mins",A1:CV300,56,FALSE)* 90)</f>
      </c>
      <c r="BI56" s="9733">
        <f>IF(HLOOKUP("Mins",A1:CV300,56,FALSE)=0,0,HLOOKUP("BC Created",A1:CV300,56,FALSE)/HLOOKUP("Mins",A1:CV300,56,FALSE)* 90)</f>
      </c>
      <c r="BJ56" s="9734">
        <f>IF(HLOOKUP("Mins",A1:CV300,56,FALSE)=0,0,HLOOKUP("KP",A1:CV300,56,FALSE)/HLOOKUP("Mins",A1:CV300,56,FALSE)* 90)</f>
      </c>
      <c r="BK56" s="9735">
        <f>IF(HLOOKUP("Mins",A1:CV300,56,FALSE)=0,0,HLOOKUP("BC",A1:CV300,56,FALSE)/HLOOKUP("Mins",A1:CV300,56,FALSE)* 90)</f>
      </c>
      <c r="BL56" s="9736">
        <f>IF(HLOOKUP("Mins",A1:CV300,56,FALSE)=0,0,HLOOKUP("BC Miss",A1:CV300,56,FALSE)/HLOOKUP("Mins",A1:CV300,56,FALSE)* 90)</f>
      </c>
      <c r="BM56" s="9737">
        <f>IF(HLOOKUP("Mins",A1:CV300,56,FALSE)=0,0,HLOOKUP("Gs - BC",A1:CV300,56,FALSE)/HLOOKUP("Mins",A1:CV300,56,FALSE)* 90)</f>
      </c>
      <c r="BN56" s="9738">
        <f>IF(HLOOKUP("Mins",A1:CV300,56,FALSE)=0,0,HLOOKUP("GIB",A1:CV300,56,FALSE)/HLOOKUP("Mins",A1:CV300,56,FALSE)* 90)</f>
      </c>
      <c r="BO56" s="9739">
        <f>IF(HLOOKUP("Mins",A1:CV300,56,FALSE)=0,0,HLOOKUP("Gs - Open",A1:CV300,56,FALSE)/HLOOKUP("Mins",A1:CV300,56,FALSE)* 90)</f>
      </c>
      <c r="BP56" s="9740">
        <f>IF(HLOOKUP("Mins",A1:CV300,56,FALSE)=0,0,HLOOKUP("ICT Index",A1:CV300,56,FALSE)/HLOOKUP("Mins",A1:CV300,56,FALSE)* 90)</f>
      </c>
      <c r="BQ56" s="9741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</c>
      <c r="BR56" s="9742">
        <f>0.0825*HLOOKUP("KP/90",A1:CV300,56,FALSE)</f>
      </c>
      <c r="BS56" s="9743">
        <f>6*HLOOKUP("xG/90",A1:CV300,56,FALSE)+3*HLOOKUP("xA/90",A1:CV300,56,FALSE)</f>
      </c>
      <c r="BT56" s="9744">
        <f>HLOOKUP("xPts/90",A1:CV300,56,FALSE)-(6*0.75*(HLOOKUP("PK Gs",A1:CV300,56,FALSE)+HLOOKUP("PK Miss",A1:CV300,56,FALSE))*90/HLOOKUP("Mins",A1:CV300,56,FALSE))</f>
      </c>
      <c r="BU56" s="9745">
        <f>IF(HLOOKUP("Mins",A1:CV300,56,FALSE)=0,0,HLOOKUP("fsXG",A1:CV300,56,FALSE)/HLOOKUP("Mins",A1:CV300,56,FALSE)* 90)</f>
      </c>
      <c r="BV56" s="9746">
        <f>IF(HLOOKUP("Mins",A1:CV300,56,FALSE)=0,0,HLOOKUP("fsXA",A1:CV300,56,FALSE)/HLOOKUP("Mins",A1:CV300,56,FALSE)* 90)</f>
      </c>
      <c r="BW56" s="9747">
        <f>6*HLOOKUP("fsXG/90",A1:CV300,56,FALSE)+3*HLOOKUP("fsXA/90",A1:CV300,56,FALSE)</f>
      </c>
      <c r="BX56" t="n" s="9748">
        <v>0.10880960524082184</v>
      </c>
      <c r="BY56" t="n" s="9749">
        <v>0.06305649876594543</v>
      </c>
      <c r="BZ56" s="9750">
        <f>6*HLOOKUP("uXG/90",A1:CV300,56,FALSE)+3*HLOOKUP("uXA/90",A1:CV300,56,FALSE)</f>
      </c>
    </row>
    <row r="57">
      <c r="A57" t="s" s="9751">
        <v>222</v>
      </c>
      <c r="B57" t="s" s="9752">
        <v>82</v>
      </c>
      <c r="C57" t="n" s="9753">
        <v>4.300000190734863</v>
      </c>
      <c r="D57" t="n" s="9754">
        <v>180.0</v>
      </c>
      <c r="E57" t="n" s="9755">
        <v>2.0</v>
      </c>
      <c r="F57" t="n" s="9756">
        <v>22.0</v>
      </c>
      <c r="G57" t="n" s="9757">
        <v>0.0</v>
      </c>
      <c r="H57" t="n" s="9758">
        <v>2.0</v>
      </c>
      <c r="I57" t="n" s="9759">
        <v>101.0</v>
      </c>
      <c r="J57" s="9760">
        <f>HLOOKUP("BPS",A1:CV300,57,FALSE)-((-6*HLOOKUP("OG",A1:CV300,57,FALSE))+(-6*HLOOKUP("PK Miss",A1:CV300,57,FALSE))+(9*HLOOKUP("FPL As",A1:CV300,57,FALSE))+(12*HLOOKUP("CS",A1:CV300,57,FALSE))+(12*HLOOKUP("Gs",A1:CV300,57,FALSE)))</f>
      </c>
      <c r="K57" t="n" s="9761">
        <v>0.0</v>
      </c>
      <c r="L57" t="n" s="9762">
        <v>2.0</v>
      </c>
      <c r="M57" t="n" s="9763">
        <v>0.0</v>
      </c>
      <c r="N57" t="n" s="9764">
        <v>1.0</v>
      </c>
      <c r="O57" t="n" s="9765">
        <v>0.0</v>
      </c>
      <c r="P57" s="9766">
        <f>IF(HLOOKUP("Shots",A1:CV300,57,FALSE)=0,0,HLOOKUP("SIB",A1:CV300,57,FALSE)/HLOOKUP("Shots",A1:CV300,57,FALSE))</f>
      </c>
      <c r="Q57" t="n" s="9767">
        <v>0.0</v>
      </c>
      <c r="R57" s="9768">
        <f>IF(HLOOKUP("Shots",A1:CV300,57,FALSE)=0,0,HLOOKUP("S6YD",A1:CV300,57,FALSE)/HLOOKUP("Shots",A1:CV300,57,FALSE))</f>
      </c>
      <c r="S57" t="n" s="9769">
        <v>0.0</v>
      </c>
      <c r="T57" s="9770">
        <f>IF(HLOOKUP("Shots",A1:CV300,57,FALSE)=0,0,HLOOKUP("Headers",A1:CV300,57,FALSE)/HLOOKUP("Shots",A1:CV300,57,FALSE))</f>
      </c>
      <c r="U57" t="n" s="9771">
        <v>0.0</v>
      </c>
      <c r="V57" s="9772">
        <f>IF(HLOOKUP("Shots",A1:CV300,57,FALSE)=0,0,HLOOKUP("SOT",A1:CV300,57,FALSE)/HLOOKUP("Shots",A1:CV300,57,FALSE))</f>
      </c>
      <c r="W57" s="9773">
        <f>IF(HLOOKUP("Shots",A1:CV300,57,FALSE)=0,0,HLOOKUP("Gs",A1:CV300,57,FALSE)/HLOOKUP("Shots",A1:CV300,57,FALSE))</f>
      </c>
      <c r="X57" t="n" s="9774">
        <v>0.0</v>
      </c>
      <c r="Y57" t="n" s="9775">
        <v>0.0</v>
      </c>
      <c r="Z57" t="n" s="9776">
        <v>0.0</v>
      </c>
      <c r="AA57" s="9777">
        <f>IF(HLOOKUP("KP",A1:CV300,57,FALSE)=0,0,HLOOKUP("As",A1:CV300,57,FALSE)/HLOOKUP("KP",A1:CV300,57,FALSE))</f>
      </c>
      <c r="AB57" t="n" s="9778">
        <v>6.2</v>
      </c>
      <c r="AC57" t="n" s="9779">
        <v>0.0</v>
      </c>
      <c r="AD57" t="n" s="9780">
        <v>0.0</v>
      </c>
      <c r="AE57" t="n" s="9781">
        <v>0.0</v>
      </c>
      <c r="AF57" t="n" s="9782">
        <v>0.0</v>
      </c>
      <c r="AG57" s="9783">
        <f>IF(HLOOKUP("BC",A1:CV300,57,FALSE)=0,0,HLOOKUP("Gs - BC",A1:CV300,57,FALSE)/HLOOKUP("BC",A1:CV300,57,FALSE))</f>
      </c>
      <c r="AH57" s="9784">
        <f>HLOOKUP("BC",A1:CV300,57,FALSE) - HLOOKUP("BC Miss",A1:CV300,57,FALSE)</f>
      </c>
      <c r="AI57" s="9785">
        <f>IF(HLOOKUP("Gs",A1:CV300,57,FALSE)=0,0,HLOOKUP("Gs - BC",A1:CV300,57,FALSE)/HLOOKUP("Gs",A1:CV300,57,FALSE))</f>
      </c>
      <c r="AJ57" t="n" s="9786">
        <v>0.0</v>
      </c>
      <c r="AK57" t="n" s="9787">
        <v>0.0</v>
      </c>
      <c r="AL57" s="9788">
        <f>HLOOKUP("BC",A1:CV300,57,FALSE) - (HLOOKUP("PK Gs",A1:CV300,57,FALSE) + HLOOKUP("PK Miss",A1:CV300,57,FALSE))</f>
      </c>
      <c r="AM57" s="9789">
        <f>HLOOKUP("BC Miss",A1:CV300,57,FALSE) - HLOOKUP("PK Miss",A1:CV300,57,FALSE)</f>
      </c>
      <c r="AN57" s="9790">
        <f>IF(HLOOKUP("BC - Open",A1:CV300,57,FALSE)=0,0,HLOOKUP("BC - Open Miss",A1:CV300,57,FALSE)/HLOOKUP("BC - Open",A1:CV300,57,FALSE))</f>
      </c>
      <c r="AO57" t="n" s="9791">
        <v>0.0</v>
      </c>
      <c r="AP57" s="9792">
        <f>IF(HLOOKUP("Gs",A1:CV300,57,FALSE)=0,0,HLOOKUP("GIB",A1:CV300,57,FALSE)/HLOOKUP("Gs",A1:CV300,57,FALSE))</f>
      </c>
      <c r="AQ57" t="n" s="9793">
        <v>0.0</v>
      </c>
      <c r="AR57" s="9794">
        <f>IF(HLOOKUP("Gs",A1:CV300,57,FALSE)=0,0,HLOOKUP("Gs - Open",A1:CV300,57,FALSE)/HLOOKUP("Gs",A1:CV300,57,FALSE))</f>
      </c>
      <c r="AS57" t="n" s="9795">
        <v>0.03</v>
      </c>
      <c r="AT57" t="n" s="9796">
        <v>0.13</v>
      </c>
      <c r="AU57" s="9797">
        <f>IF(HLOOKUP("Mins",A1:CV300,57,FALSE)=0,0,HLOOKUP("Pts",A1:CV300,57,FALSE)/HLOOKUP("Mins",A1:CV300,57,FALSE)* 90)</f>
      </c>
      <c r="AV57" s="9798">
        <f>IF(HLOOKUP("Apps",A1:CV300,57,FALSE)=0,0,HLOOKUP("Pts",A1:CV300,57,FALSE)/HLOOKUP("Apps",A1:CV300,57,FALSE)* 1)</f>
      </c>
      <c r="AW57" s="9799">
        <f>IF(HLOOKUP("Mins",A1:CV300,57,FALSE)=0,0,HLOOKUP("Gs",A1:CV300,57,FALSE)/HLOOKUP("Mins",A1:CV300,57,FALSE)* 90)</f>
      </c>
      <c r="AX57" s="9800">
        <f>IF(HLOOKUP("Mins",A1:CV300,57,FALSE)=0,0,HLOOKUP("Bonus",A1:CV300,57,FALSE)/HLOOKUP("Mins",A1:CV300,57,FALSE)* 90)</f>
      </c>
      <c r="AY57" s="9801">
        <f>IF(HLOOKUP("Mins",A1:CV300,57,FALSE)=0,0,HLOOKUP("BPS",A1:CV300,57,FALSE)/HLOOKUP("Mins",A1:CV300,57,FALSE)* 90)</f>
      </c>
      <c r="AZ57" s="9802">
        <f>IF(HLOOKUP("Mins",A1:CV300,57,FALSE)=0,0,HLOOKUP("Base BPS",A1:CV300,57,FALSE)/HLOOKUP("Mins",A1:CV300,57,FALSE)* 90)</f>
      </c>
      <c r="BA57" s="9803">
        <f>IF(HLOOKUP("Mins",A1:CV300,57,FALSE)=0,0,HLOOKUP("PenTchs",A1:CV300,57,FALSE)/HLOOKUP("Mins",A1:CV300,57,FALSE)* 90)</f>
      </c>
      <c r="BB57" s="9804">
        <f>IF(HLOOKUP("Mins",A1:CV300,57,FALSE)=0,0,HLOOKUP("Shots",A1:CV300,57,FALSE)/HLOOKUP("Mins",A1:CV300,57,FALSE)* 90)</f>
      </c>
      <c r="BC57" s="9805">
        <f>IF(HLOOKUP("Mins",A1:CV300,57,FALSE)=0,0,HLOOKUP("SIB",A1:CV300,57,FALSE)/HLOOKUP("Mins",A1:CV300,57,FALSE)* 90)</f>
      </c>
      <c r="BD57" s="9806">
        <f>IF(HLOOKUP("Mins",A1:CV300,57,FALSE)=0,0,HLOOKUP("S6YD",A1:CV300,57,FALSE)/HLOOKUP("Mins",A1:CV300,57,FALSE)* 90)</f>
      </c>
      <c r="BE57" s="9807">
        <f>IF(HLOOKUP("Mins",A1:CV300,57,FALSE)=0,0,HLOOKUP("Headers",A1:CV300,57,FALSE)/HLOOKUP("Mins",A1:CV300,57,FALSE)* 90)</f>
      </c>
      <c r="BF57" s="9808">
        <f>IF(HLOOKUP("Mins",A1:CV300,57,FALSE)=0,0,HLOOKUP("SOT",A1:CV300,57,FALSE)/HLOOKUP("Mins",A1:CV300,57,FALSE)* 90)</f>
      </c>
      <c r="BG57" s="9809">
        <f>IF(HLOOKUP("Mins",A1:CV300,57,FALSE)=0,0,HLOOKUP("As",A1:CV300,57,FALSE)/HLOOKUP("Mins",A1:CV300,57,FALSE)* 90)</f>
      </c>
      <c r="BH57" s="9810">
        <f>IF(HLOOKUP("Mins",A1:CV300,57,FALSE)=0,0,HLOOKUP("FPL As",A1:CV300,57,FALSE)/HLOOKUP("Mins",A1:CV300,57,FALSE)* 90)</f>
      </c>
      <c r="BI57" s="9811">
        <f>IF(HLOOKUP("Mins",A1:CV300,57,FALSE)=0,0,HLOOKUP("BC Created",A1:CV300,57,FALSE)/HLOOKUP("Mins",A1:CV300,57,FALSE)* 90)</f>
      </c>
      <c r="BJ57" s="9812">
        <f>IF(HLOOKUP("Mins",A1:CV300,57,FALSE)=0,0,HLOOKUP("KP",A1:CV300,57,FALSE)/HLOOKUP("Mins",A1:CV300,57,FALSE)* 90)</f>
      </c>
      <c r="BK57" s="9813">
        <f>IF(HLOOKUP("Mins",A1:CV300,57,FALSE)=0,0,HLOOKUP("BC",A1:CV300,57,FALSE)/HLOOKUP("Mins",A1:CV300,57,FALSE)* 90)</f>
      </c>
      <c r="BL57" s="9814">
        <f>IF(HLOOKUP("Mins",A1:CV300,57,FALSE)=0,0,HLOOKUP("BC Miss",A1:CV300,57,FALSE)/HLOOKUP("Mins",A1:CV300,57,FALSE)* 90)</f>
      </c>
      <c r="BM57" s="9815">
        <f>IF(HLOOKUP("Mins",A1:CV300,57,FALSE)=0,0,HLOOKUP("Gs - BC",A1:CV300,57,FALSE)/HLOOKUP("Mins",A1:CV300,57,FALSE)* 90)</f>
      </c>
      <c r="BN57" s="9816">
        <f>IF(HLOOKUP("Mins",A1:CV300,57,FALSE)=0,0,HLOOKUP("GIB",A1:CV300,57,FALSE)/HLOOKUP("Mins",A1:CV300,57,FALSE)* 90)</f>
      </c>
      <c r="BO57" s="9817">
        <f>IF(HLOOKUP("Mins",A1:CV300,57,FALSE)=0,0,HLOOKUP("Gs - Open",A1:CV300,57,FALSE)/HLOOKUP("Mins",A1:CV300,57,FALSE)* 90)</f>
      </c>
      <c r="BP57" s="9818">
        <f>IF(HLOOKUP("Mins",A1:CV300,57,FALSE)=0,0,HLOOKUP("ICT Index",A1:CV300,57,FALSE)/HLOOKUP("Mins",A1:CV300,57,FALSE)* 90)</f>
      </c>
      <c r="BQ57" s="9819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</c>
      <c r="BR57" s="9820">
        <f>0.0825*HLOOKUP("KP/90",A1:CV300,57,FALSE)</f>
      </c>
      <c r="BS57" s="9821">
        <f>6*HLOOKUP("xG/90",A1:CV300,57,FALSE)+3*HLOOKUP("xA/90",A1:CV300,57,FALSE)</f>
      </c>
      <c r="BT57" s="9822">
        <f>HLOOKUP("xPts/90",A1:CV300,57,FALSE)-(6*0.75*(HLOOKUP("PK Gs",A1:CV300,57,FALSE)+HLOOKUP("PK Miss",A1:CV300,57,FALSE))*90/HLOOKUP("Mins",A1:CV300,57,FALSE))</f>
      </c>
      <c r="BU57" s="9823">
        <f>IF(HLOOKUP("Mins",A1:CV300,57,FALSE)=0,0,HLOOKUP("fsXG",A1:CV300,57,FALSE)/HLOOKUP("Mins",A1:CV300,57,FALSE)* 90)</f>
      </c>
      <c r="BV57" s="9824">
        <f>IF(HLOOKUP("Mins",A1:CV300,57,FALSE)=0,0,HLOOKUP("fsXA",A1:CV300,57,FALSE)/HLOOKUP("Mins",A1:CV300,57,FALSE)* 90)</f>
      </c>
      <c r="BW57" s="9825">
        <f>6*HLOOKUP("fsXG/90",A1:CV300,57,FALSE)+3*HLOOKUP("fsXA/90",A1:CV300,57,FALSE)</f>
      </c>
      <c r="BX57" t="n" s="9826">
        <v>0.014563702046871185</v>
      </c>
      <c r="BY57" t="n" s="9827">
        <v>0.0</v>
      </c>
      <c r="BZ57" s="9828">
        <f>6*HLOOKUP("uXG/90",A1:CV300,57,FALSE)+3*HLOOKUP("uXA/90",A1:CV300,57,FALSE)</f>
      </c>
    </row>
    <row r="58">
      <c r="A58" t="s" s="9829">
        <v>223</v>
      </c>
      <c r="B58" t="s" s="9830">
        <v>105</v>
      </c>
      <c r="C58" t="n" s="9831">
        <v>4.5</v>
      </c>
      <c r="D58" t="n" s="9832">
        <v>102.0</v>
      </c>
      <c r="E58" t="n" s="9833">
        <v>2.0</v>
      </c>
      <c r="F58" t="n" s="9834">
        <v>11.0</v>
      </c>
      <c r="G58" t="n" s="9835">
        <v>0.0</v>
      </c>
      <c r="H58" t="n" s="9836">
        <v>0.0</v>
      </c>
      <c r="I58" t="n" s="9837">
        <v>59.0</v>
      </c>
      <c r="J58" s="9838">
        <f>HLOOKUP("BPS",A1:CV300,58,FALSE)-((-6*HLOOKUP("OG",A1:CV300,58,FALSE))+(-6*HLOOKUP("PK Miss",A1:CV300,58,FALSE))+(9*HLOOKUP("FPL As",A1:CV300,58,FALSE))+(12*HLOOKUP("CS",A1:CV300,58,FALSE))+(12*HLOOKUP("Gs",A1:CV300,58,FALSE)))</f>
      </c>
      <c r="K58" t="n" s="9839">
        <v>0.0</v>
      </c>
      <c r="L58" t="n" s="9840">
        <v>1.0</v>
      </c>
      <c r="M58" t="n" s="9841">
        <v>0.0</v>
      </c>
      <c r="N58" t="n" s="9842">
        <v>0.0</v>
      </c>
      <c r="O58" t="n" s="9843">
        <v>0.0</v>
      </c>
      <c r="P58" s="9844">
        <f>IF(HLOOKUP("Shots",A1:CV300,58,FALSE)=0,0,HLOOKUP("SIB",A1:CV300,58,FALSE)/HLOOKUP("Shots",A1:CV300,58,FALSE))</f>
      </c>
      <c r="Q58" t="n" s="9845">
        <v>0.0</v>
      </c>
      <c r="R58" s="9846">
        <f>IF(HLOOKUP("Shots",A1:CV300,58,FALSE)=0,0,HLOOKUP("S6YD",A1:CV300,58,FALSE)/HLOOKUP("Shots",A1:CV300,58,FALSE))</f>
      </c>
      <c r="S58" t="n" s="9847">
        <v>0.0</v>
      </c>
      <c r="T58" s="9848">
        <f>IF(HLOOKUP("Shots",A1:CV300,58,FALSE)=0,0,HLOOKUP("Headers",A1:CV300,58,FALSE)/HLOOKUP("Shots",A1:CV300,58,FALSE))</f>
      </c>
      <c r="U58" t="n" s="9849">
        <v>0.0</v>
      </c>
      <c r="V58" s="9850">
        <f>IF(HLOOKUP("Shots",A1:CV300,58,FALSE)=0,0,HLOOKUP("SOT",A1:CV300,58,FALSE)/HLOOKUP("Shots",A1:CV300,58,FALSE))</f>
      </c>
      <c r="W58" s="9851">
        <f>IF(HLOOKUP("Shots",A1:CV300,58,FALSE)=0,0,HLOOKUP("Gs",A1:CV300,58,FALSE)/HLOOKUP("Shots",A1:CV300,58,FALSE))</f>
      </c>
      <c r="X58" t="n" s="9852">
        <v>0.0</v>
      </c>
      <c r="Y58" t="n" s="9853">
        <v>0.0</v>
      </c>
      <c r="Z58" t="n" s="9854">
        <v>0.0</v>
      </c>
      <c r="AA58" s="9855">
        <f>IF(HLOOKUP("KP",A1:CV300,58,FALSE)=0,0,HLOOKUP("As",A1:CV300,58,FALSE)/HLOOKUP("KP",A1:CV300,58,FALSE))</f>
      </c>
      <c r="AB58" t="n" s="9856">
        <v>2.4</v>
      </c>
      <c r="AC58" t="n" s="9857">
        <v>0.0</v>
      </c>
      <c r="AD58" t="n" s="9858">
        <v>0.0</v>
      </c>
      <c r="AE58" t="n" s="9859">
        <v>0.0</v>
      </c>
      <c r="AF58" t="n" s="9860">
        <v>0.0</v>
      </c>
      <c r="AG58" s="9861">
        <f>IF(HLOOKUP("BC",A1:CV300,58,FALSE)=0,0,HLOOKUP("Gs - BC",A1:CV300,58,FALSE)/HLOOKUP("BC",A1:CV300,58,FALSE))</f>
      </c>
      <c r="AH58" s="9862">
        <f>HLOOKUP("BC",A1:CV300,58,FALSE) - HLOOKUP("BC Miss",A1:CV300,58,FALSE)</f>
      </c>
      <c r="AI58" s="9863">
        <f>IF(HLOOKUP("Gs",A1:CV300,58,FALSE)=0,0,HLOOKUP("Gs - BC",A1:CV300,58,FALSE)/HLOOKUP("Gs",A1:CV300,58,FALSE))</f>
      </c>
      <c r="AJ58" t="n" s="9864">
        <v>0.0</v>
      </c>
      <c r="AK58" t="n" s="9865">
        <v>0.0</v>
      </c>
      <c r="AL58" s="9866">
        <f>HLOOKUP("BC",A1:CV300,58,FALSE) - (HLOOKUP("PK Gs",A1:CV300,58,FALSE) + HLOOKUP("PK Miss",A1:CV300,58,FALSE))</f>
      </c>
      <c r="AM58" s="9867">
        <f>HLOOKUP("BC Miss",A1:CV300,58,FALSE) - HLOOKUP("PK Miss",A1:CV300,58,FALSE)</f>
      </c>
      <c r="AN58" s="9868">
        <f>IF(HLOOKUP("BC - Open",A1:CV300,58,FALSE)=0,0,HLOOKUP("BC - Open Miss",A1:CV300,58,FALSE)/HLOOKUP("BC - Open",A1:CV300,58,FALSE))</f>
      </c>
      <c r="AO58" t="n" s="9869">
        <v>0.0</v>
      </c>
      <c r="AP58" s="9870">
        <f>IF(HLOOKUP("Gs",A1:CV300,58,FALSE)=0,0,HLOOKUP("GIB",A1:CV300,58,FALSE)/HLOOKUP("Gs",A1:CV300,58,FALSE))</f>
      </c>
      <c r="AQ58" t="n" s="9871">
        <v>0.0</v>
      </c>
      <c r="AR58" s="9872">
        <f>IF(HLOOKUP("Gs",A1:CV300,58,FALSE)=0,0,HLOOKUP("Gs - Open",A1:CV300,58,FALSE)/HLOOKUP("Gs",A1:CV300,58,FALSE))</f>
      </c>
      <c r="AS58" t="n" s="9873">
        <v>0.0</v>
      </c>
      <c r="AT58" t="n" s="9874">
        <v>0.01</v>
      </c>
      <c r="AU58" s="9875">
        <f>IF(HLOOKUP("Mins",A1:CV300,58,FALSE)=0,0,HLOOKUP("Pts",A1:CV300,58,FALSE)/HLOOKUP("Mins",A1:CV300,58,FALSE)* 90)</f>
      </c>
      <c r="AV58" s="9876">
        <f>IF(HLOOKUP("Apps",A1:CV300,58,FALSE)=0,0,HLOOKUP("Pts",A1:CV300,58,FALSE)/HLOOKUP("Apps",A1:CV300,58,FALSE)* 1)</f>
      </c>
      <c r="AW58" s="9877">
        <f>IF(HLOOKUP("Mins",A1:CV300,58,FALSE)=0,0,HLOOKUP("Gs",A1:CV300,58,FALSE)/HLOOKUP("Mins",A1:CV300,58,FALSE)* 90)</f>
      </c>
      <c r="AX58" s="9878">
        <f>IF(HLOOKUP("Mins",A1:CV300,58,FALSE)=0,0,HLOOKUP("Bonus",A1:CV300,58,FALSE)/HLOOKUP("Mins",A1:CV300,58,FALSE)* 90)</f>
      </c>
      <c r="AY58" s="9879">
        <f>IF(HLOOKUP("Mins",A1:CV300,58,FALSE)=0,0,HLOOKUP("BPS",A1:CV300,58,FALSE)/HLOOKUP("Mins",A1:CV300,58,FALSE)* 90)</f>
      </c>
      <c r="AZ58" s="9880">
        <f>IF(HLOOKUP("Mins",A1:CV300,58,FALSE)=0,0,HLOOKUP("Base BPS",A1:CV300,58,FALSE)/HLOOKUP("Mins",A1:CV300,58,FALSE)* 90)</f>
      </c>
      <c r="BA58" s="9881">
        <f>IF(HLOOKUP("Mins",A1:CV300,58,FALSE)=0,0,HLOOKUP("PenTchs",A1:CV300,58,FALSE)/HLOOKUP("Mins",A1:CV300,58,FALSE)* 90)</f>
      </c>
      <c r="BB58" s="9882">
        <f>IF(HLOOKUP("Mins",A1:CV300,58,FALSE)=0,0,HLOOKUP("Shots",A1:CV300,58,FALSE)/HLOOKUP("Mins",A1:CV300,58,FALSE)* 90)</f>
      </c>
      <c r="BC58" s="9883">
        <f>IF(HLOOKUP("Mins",A1:CV300,58,FALSE)=0,0,HLOOKUP("SIB",A1:CV300,58,FALSE)/HLOOKUP("Mins",A1:CV300,58,FALSE)* 90)</f>
      </c>
      <c r="BD58" s="9884">
        <f>IF(HLOOKUP("Mins",A1:CV300,58,FALSE)=0,0,HLOOKUP("S6YD",A1:CV300,58,FALSE)/HLOOKUP("Mins",A1:CV300,58,FALSE)* 90)</f>
      </c>
      <c r="BE58" s="9885">
        <f>IF(HLOOKUP("Mins",A1:CV300,58,FALSE)=0,0,HLOOKUP("Headers",A1:CV300,58,FALSE)/HLOOKUP("Mins",A1:CV300,58,FALSE)* 90)</f>
      </c>
      <c r="BF58" s="9886">
        <f>IF(HLOOKUP("Mins",A1:CV300,58,FALSE)=0,0,HLOOKUP("SOT",A1:CV300,58,FALSE)/HLOOKUP("Mins",A1:CV300,58,FALSE)* 90)</f>
      </c>
      <c r="BG58" s="9887">
        <f>IF(HLOOKUP("Mins",A1:CV300,58,FALSE)=0,0,HLOOKUP("As",A1:CV300,58,FALSE)/HLOOKUP("Mins",A1:CV300,58,FALSE)* 90)</f>
      </c>
      <c r="BH58" s="9888">
        <f>IF(HLOOKUP("Mins",A1:CV300,58,FALSE)=0,0,HLOOKUP("FPL As",A1:CV300,58,FALSE)/HLOOKUP("Mins",A1:CV300,58,FALSE)* 90)</f>
      </c>
      <c r="BI58" s="9889">
        <f>IF(HLOOKUP("Mins",A1:CV300,58,FALSE)=0,0,HLOOKUP("BC Created",A1:CV300,58,FALSE)/HLOOKUP("Mins",A1:CV300,58,FALSE)* 90)</f>
      </c>
      <c r="BJ58" s="9890">
        <f>IF(HLOOKUP("Mins",A1:CV300,58,FALSE)=0,0,HLOOKUP("KP",A1:CV300,58,FALSE)/HLOOKUP("Mins",A1:CV300,58,FALSE)* 90)</f>
      </c>
      <c r="BK58" s="9891">
        <f>IF(HLOOKUP("Mins",A1:CV300,58,FALSE)=0,0,HLOOKUP("BC",A1:CV300,58,FALSE)/HLOOKUP("Mins",A1:CV300,58,FALSE)* 90)</f>
      </c>
      <c r="BL58" s="9892">
        <f>IF(HLOOKUP("Mins",A1:CV300,58,FALSE)=0,0,HLOOKUP("BC Miss",A1:CV300,58,FALSE)/HLOOKUP("Mins",A1:CV300,58,FALSE)* 90)</f>
      </c>
      <c r="BM58" s="9893">
        <f>IF(HLOOKUP("Mins",A1:CV300,58,FALSE)=0,0,HLOOKUP("Gs - BC",A1:CV300,58,FALSE)/HLOOKUP("Mins",A1:CV300,58,FALSE)* 90)</f>
      </c>
      <c r="BN58" s="9894">
        <f>IF(HLOOKUP("Mins",A1:CV300,58,FALSE)=0,0,HLOOKUP("GIB",A1:CV300,58,FALSE)/HLOOKUP("Mins",A1:CV300,58,FALSE)* 90)</f>
      </c>
      <c r="BO58" s="9895">
        <f>IF(HLOOKUP("Mins",A1:CV300,58,FALSE)=0,0,HLOOKUP("Gs - Open",A1:CV300,58,FALSE)/HLOOKUP("Mins",A1:CV300,58,FALSE)* 90)</f>
      </c>
      <c r="BP58" s="9896">
        <f>IF(HLOOKUP("Mins",A1:CV300,58,FALSE)=0,0,HLOOKUP("ICT Index",A1:CV300,58,FALSE)/HLOOKUP("Mins",A1:CV300,58,FALSE)* 90)</f>
      </c>
      <c r="BQ58" s="9897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</c>
      <c r="BR58" s="9898">
        <f>0.0825*HLOOKUP("KP/90",A1:CV300,58,FALSE)</f>
      </c>
      <c r="BS58" s="9899">
        <f>6*HLOOKUP("xG/90",A1:CV300,58,FALSE)+3*HLOOKUP("xA/90",A1:CV300,58,FALSE)</f>
      </c>
      <c r="BT58" s="9900">
        <f>HLOOKUP("xPts/90",A1:CV300,58,FALSE)-(6*0.75*(HLOOKUP("PK Gs",A1:CV300,58,FALSE)+HLOOKUP("PK Miss",A1:CV300,58,FALSE))*90/HLOOKUP("Mins",A1:CV300,58,FALSE))</f>
      </c>
      <c r="BU58" s="9901">
        <f>IF(HLOOKUP("Mins",A1:CV300,58,FALSE)=0,0,HLOOKUP("fsXG",A1:CV300,58,FALSE)/HLOOKUP("Mins",A1:CV300,58,FALSE)* 90)</f>
      </c>
      <c r="BV58" s="9902">
        <f>IF(HLOOKUP("Mins",A1:CV300,58,FALSE)=0,0,HLOOKUP("fsXA",A1:CV300,58,FALSE)/HLOOKUP("Mins",A1:CV300,58,FALSE)* 90)</f>
      </c>
      <c r="BW58" s="9903">
        <f>6*HLOOKUP("fsXG/90",A1:CV300,58,FALSE)+3*HLOOKUP("fsXA/90",A1:CV300,58,FALSE)</f>
      </c>
      <c r="BX58" t="n" s="9904">
        <v>0.0</v>
      </c>
      <c r="BY58" t="n" s="9905">
        <v>0.0</v>
      </c>
      <c r="BZ58" s="9906">
        <f>6*HLOOKUP("uXG/90",A1:CV300,58,FALSE)+3*HLOOKUP("uXA/90",A1:CV300,58,FALSE)</f>
      </c>
    </row>
    <row r="59">
      <c r="A59" t="s" s="9907">
        <v>224</v>
      </c>
      <c r="B59" t="s" s="9908">
        <v>122</v>
      </c>
      <c r="C59" t="n" s="9909">
        <v>4.900000095367432</v>
      </c>
      <c r="D59" t="n" s="9910">
        <v>6.0</v>
      </c>
      <c r="E59" t="n" s="9911">
        <v>3.0</v>
      </c>
      <c r="F59" t="n" s="9912">
        <v>4.0</v>
      </c>
      <c r="G59" t="n" s="9913">
        <v>0.0</v>
      </c>
      <c r="H59" t="n" s="9914">
        <v>0.0</v>
      </c>
      <c r="I59" t="n" s="9915">
        <v>10.0</v>
      </c>
      <c r="J59" s="9916">
        <f>HLOOKUP("BPS",A1:CV300,59,FALSE)-((-6*HLOOKUP("OG",A1:CV300,59,FALSE))+(-6*HLOOKUP("PK Miss",A1:CV300,59,FALSE))+(9*HLOOKUP("FPL As",A1:CV300,59,FALSE))+(12*HLOOKUP("CS",A1:CV300,59,FALSE))+(12*HLOOKUP("Gs",A1:CV300,59,FALSE)))</f>
      </c>
      <c r="K59" t="n" s="9917">
        <v>0.0</v>
      </c>
      <c r="L59" t="n" s="9918">
        <v>0.0</v>
      </c>
      <c r="M59" t="n" s="9919">
        <v>2.0</v>
      </c>
      <c r="N59" t="n" s="9920">
        <v>1.0</v>
      </c>
      <c r="O59" t="n" s="9921">
        <v>1.0</v>
      </c>
      <c r="P59" s="9922">
        <f>IF(HLOOKUP("Shots",A1:CV300,59,FALSE)=0,0,HLOOKUP("SIB",A1:CV300,59,FALSE)/HLOOKUP("Shots",A1:CV300,59,FALSE))</f>
      </c>
      <c r="Q59" t="n" s="9923">
        <v>0.0</v>
      </c>
      <c r="R59" s="9924">
        <f>IF(HLOOKUP("Shots",A1:CV300,59,FALSE)=0,0,HLOOKUP("S6YD",A1:CV300,59,FALSE)/HLOOKUP("Shots",A1:CV300,59,FALSE))</f>
      </c>
      <c r="S59" t="n" s="9925">
        <v>1.0</v>
      </c>
      <c r="T59" s="9926">
        <f>IF(HLOOKUP("Shots",A1:CV300,59,FALSE)=0,0,HLOOKUP("Headers",A1:CV300,59,FALSE)/HLOOKUP("Shots",A1:CV300,59,FALSE))</f>
      </c>
      <c r="U59" t="n" s="9927">
        <v>0.0</v>
      </c>
      <c r="V59" s="9928">
        <f>IF(HLOOKUP("Shots",A1:CV300,59,FALSE)=0,0,HLOOKUP("SOT",A1:CV300,59,FALSE)/HLOOKUP("Shots",A1:CV300,59,FALSE))</f>
      </c>
      <c r="W59" s="9929">
        <f>IF(HLOOKUP("Shots",A1:CV300,59,FALSE)=0,0,HLOOKUP("Gs",A1:CV300,59,FALSE)/HLOOKUP("Shots",A1:CV300,59,FALSE))</f>
      </c>
      <c r="X59" t="n" s="9930">
        <v>0.0</v>
      </c>
      <c r="Y59" t="n" s="9931">
        <v>0.0</v>
      </c>
      <c r="Z59" t="n" s="9932">
        <v>0.0</v>
      </c>
      <c r="AA59" s="9933">
        <f>IF(HLOOKUP("KP",A1:CV300,59,FALSE)=0,0,HLOOKUP("As",A1:CV300,59,FALSE)/HLOOKUP("KP",A1:CV300,59,FALSE))</f>
      </c>
      <c r="AB59" t="n" s="9934">
        <v>0.8</v>
      </c>
      <c r="AC59" t="n" s="9935">
        <v>0.0</v>
      </c>
      <c r="AD59" t="n" s="9936">
        <v>0.0</v>
      </c>
      <c r="AE59" t="n" s="9937">
        <v>1.0</v>
      </c>
      <c r="AF59" t="n" s="9938">
        <v>1.0</v>
      </c>
      <c r="AG59" s="9939">
        <f>IF(HLOOKUP("BC",A1:CV300,59,FALSE)=0,0,HLOOKUP("Gs - BC",A1:CV300,59,FALSE)/HLOOKUP("BC",A1:CV300,59,FALSE))</f>
      </c>
      <c r="AH59" s="9940">
        <f>HLOOKUP("BC",A1:CV300,59,FALSE) - HLOOKUP("BC Miss",A1:CV300,59,FALSE)</f>
      </c>
      <c r="AI59" s="9941">
        <f>IF(HLOOKUP("Gs",A1:CV300,59,FALSE)=0,0,HLOOKUP("Gs - BC",A1:CV300,59,FALSE)/HLOOKUP("Gs",A1:CV300,59,FALSE))</f>
      </c>
      <c r="AJ59" t="n" s="9942">
        <v>0.0</v>
      </c>
      <c r="AK59" t="n" s="9943">
        <v>0.0</v>
      </c>
      <c r="AL59" s="9944">
        <f>HLOOKUP("BC",A1:CV300,59,FALSE) - (HLOOKUP("PK Gs",A1:CV300,59,FALSE) + HLOOKUP("PK Miss",A1:CV300,59,FALSE))</f>
      </c>
      <c r="AM59" s="9945">
        <f>HLOOKUP("BC Miss",A1:CV300,59,FALSE) - HLOOKUP("PK Miss",A1:CV300,59,FALSE)</f>
      </c>
      <c r="AN59" s="9946">
        <f>IF(HLOOKUP("BC - Open",A1:CV300,59,FALSE)=0,0,HLOOKUP("BC - Open Miss",A1:CV300,59,FALSE)/HLOOKUP("BC - Open",A1:CV300,59,FALSE))</f>
      </c>
      <c r="AO59" t="n" s="9947">
        <v>0.0</v>
      </c>
      <c r="AP59" s="9948">
        <f>IF(HLOOKUP("Gs",A1:CV300,59,FALSE)=0,0,HLOOKUP("GIB",A1:CV300,59,FALSE)/HLOOKUP("Gs",A1:CV300,59,FALSE))</f>
      </c>
      <c r="AQ59" t="n" s="9949">
        <v>0.0</v>
      </c>
      <c r="AR59" s="9950">
        <f>IF(HLOOKUP("Gs",A1:CV300,59,FALSE)=0,0,HLOOKUP("Gs - Open",A1:CV300,59,FALSE)/HLOOKUP("Gs",A1:CV300,59,FALSE))</f>
      </c>
      <c r="AS59" t="n" s="9951">
        <v>0.29</v>
      </c>
      <c r="AT59" t="n" s="9952">
        <v>0.01</v>
      </c>
      <c r="AU59" s="9953">
        <f>IF(HLOOKUP("Mins",A1:CV300,59,FALSE)=0,0,HLOOKUP("Pts",A1:CV300,59,FALSE)/HLOOKUP("Mins",A1:CV300,59,FALSE)* 90)</f>
      </c>
      <c r="AV59" s="9954">
        <f>IF(HLOOKUP("Apps",A1:CV300,59,FALSE)=0,0,HLOOKUP("Pts",A1:CV300,59,FALSE)/HLOOKUP("Apps",A1:CV300,59,FALSE)* 1)</f>
      </c>
      <c r="AW59" s="9955">
        <f>IF(HLOOKUP("Mins",A1:CV300,59,FALSE)=0,0,HLOOKUP("Gs",A1:CV300,59,FALSE)/HLOOKUP("Mins",A1:CV300,59,FALSE)* 90)</f>
      </c>
      <c r="AX59" s="9956">
        <f>IF(HLOOKUP("Mins",A1:CV300,59,FALSE)=0,0,HLOOKUP("Bonus",A1:CV300,59,FALSE)/HLOOKUP("Mins",A1:CV300,59,FALSE)* 90)</f>
      </c>
      <c r="AY59" s="9957">
        <f>IF(HLOOKUP("Mins",A1:CV300,59,FALSE)=0,0,HLOOKUP("BPS",A1:CV300,59,FALSE)/HLOOKUP("Mins",A1:CV300,59,FALSE)* 90)</f>
      </c>
      <c r="AZ59" s="9958">
        <f>IF(HLOOKUP("Mins",A1:CV300,59,FALSE)=0,0,HLOOKUP("Base BPS",A1:CV300,59,FALSE)/HLOOKUP("Mins",A1:CV300,59,FALSE)* 90)</f>
      </c>
      <c r="BA59" s="9959">
        <f>IF(HLOOKUP("Mins",A1:CV300,59,FALSE)=0,0,HLOOKUP("PenTchs",A1:CV300,59,FALSE)/HLOOKUP("Mins",A1:CV300,59,FALSE)* 90)</f>
      </c>
      <c r="BB59" s="9960">
        <f>IF(HLOOKUP("Mins",A1:CV300,59,FALSE)=0,0,HLOOKUP("Shots",A1:CV300,59,FALSE)/HLOOKUP("Mins",A1:CV300,59,FALSE)* 90)</f>
      </c>
      <c r="BC59" s="9961">
        <f>IF(HLOOKUP("Mins",A1:CV300,59,FALSE)=0,0,HLOOKUP("SIB",A1:CV300,59,FALSE)/HLOOKUP("Mins",A1:CV300,59,FALSE)* 90)</f>
      </c>
      <c r="BD59" s="9962">
        <f>IF(HLOOKUP("Mins",A1:CV300,59,FALSE)=0,0,HLOOKUP("S6YD",A1:CV300,59,FALSE)/HLOOKUP("Mins",A1:CV300,59,FALSE)* 90)</f>
      </c>
      <c r="BE59" s="9963">
        <f>IF(HLOOKUP("Mins",A1:CV300,59,FALSE)=0,0,HLOOKUP("Headers",A1:CV300,59,FALSE)/HLOOKUP("Mins",A1:CV300,59,FALSE)* 90)</f>
      </c>
      <c r="BF59" s="9964">
        <f>IF(HLOOKUP("Mins",A1:CV300,59,FALSE)=0,0,HLOOKUP("SOT",A1:CV300,59,FALSE)/HLOOKUP("Mins",A1:CV300,59,FALSE)* 90)</f>
      </c>
      <c r="BG59" s="9965">
        <f>IF(HLOOKUP("Mins",A1:CV300,59,FALSE)=0,0,HLOOKUP("As",A1:CV300,59,FALSE)/HLOOKUP("Mins",A1:CV300,59,FALSE)* 90)</f>
      </c>
      <c r="BH59" s="9966">
        <f>IF(HLOOKUP("Mins",A1:CV300,59,FALSE)=0,0,HLOOKUP("FPL As",A1:CV300,59,FALSE)/HLOOKUP("Mins",A1:CV300,59,FALSE)* 90)</f>
      </c>
      <c r="BI59" s="9967">
        <f>IF(HLOOKUP("Mins",A1:CV300,59,FALSE)=0,0,HLOOKUP("BC Created",A1:CV300,59,FALSE)/HLOOKUP("Mins",A1:CV300,59,FALSE)* 90)</f>
      </c>
      <c r="BJ59" s="9968">
        <f>IF(HLOOKUP("Mins",A1:CV300,59,FALSE)=0,0,HLOOKUP("KP",A1:CV300,59,FALSE)/HLOOKUP("Mins",A1:CV300,59,FALSE)* 90)</f>
      </c>
      <c r="BK59" s="9969">
        <f>IF(HLOOKUP("Mins",A1:CV300,59,FALSE)=0,0,HLOOKUP("BC",A1:CV300,59,FALSE)/HLOOKUP("Mins",A1:CV300,59,FALSE)* 90)</f>
      </c>
      <c r="BL59" s="9970">
        <f>IF(HLOOKUP("Mins",A1:CV300,59,FALSE)=0,0,HLOOKUP("BC Miss",A1:CV300,59,FALSE)/HLOOKUP("Mins",A1:CV300,59,FALSE)* 90)</f>
      </c>
      <c r="BM59" s="9971">
        <f>IF(HLOOKUP("Mins",A1:CV300,59,FALSE)=0,0,HLOOKUP("Gs - BC",A1:CV300,59,FALSE)/HLOOKUP("Mins",A1:CV300,59,FALSE)* 90)</f>
      </c>
      <c r="BN59" s="9972">
        <f>IF(HLOOKUP("Mins",A1:CV300,59,FALSE)=0,0,HLOOKUP("GIB",A1:CV300,59,FALSE)/HLOOKUP("Mins",A1:CV300,59,FALSE)* 90)</f>
      </c>
      <c r="BO59" s="9973">
        <f>IF(HLOOKUP("Mins",A1:CV300,59,FALSE)=0,0,HLOOKUP("Gs - Open",A1:CV300,59,FALSE)/HLOOKUP("Mins",A1:CV300,59,FALSE)* 90)</f>
      </c>
      <c r="BP59" s="9974">
        <f>IF(HLOOKUP("Mins",A1:CV300,59,FALSE)=0,0,HLOOKUP("ICT Index",A1:CV300,59,FALSE)/HLOOKUP("Mins",A1:CV300,59,FALSE)* 90)</f>
      </c>
      <c r="BQ59" s="9975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</c>
      <c r="BR59" s="9976">
        <f>0.0825*HLOOKUP("KP/90",A1:CV300,59,FALSE)</f>
      </c>
      <c r="BS59" s="9977">
        <f>6*HLOOKUP("xG/90",A1:CV300,59,FALSE)+3*HLOOKUP("xA/90",A1:CV300,59,FALSE)</f>
      </c>
      <c r="BT59" s="9978">
        <f>HLOOKUP("xPts/90",A1:CV300,59,FALSE)-(6*0.75*(HLOOKUP("PK Gs",A1:CV300,59,FALSE)+HLOOKUP("PK Miss",A1:CV300,59,FALSE))*90/HLOOKUP("Mins",A1:CV300,59,FALSE))</f>
      </c>
      <c r="BU59" s="9979">
        <f>IF(HLOOKUP("Mins",A1:CV300,59,FALSE)=0,0,HLOOKUP("fsXG",A1:CV300,59,FALSE)/HLOOKUP("Mins",A1:CV300,59,FALSE)* 90)</f>
      </c>
      <c r="BV59" s="9980">
        <f>IF(HLOOKUP("Mins",A1:CV300,59,FALSE)=0,0,HLOOKUP("fsXA",A1:CV300,59,FALSE)/HLOOKUP("Mins",A1:CV300,59,FALSE)* 90)</f>
      </c>
      <c r="BW59" s="9981">
        <f>6*HLOOKUP("fsXG/90",A1:CV300,59,FALSE)+3*HLOOKUP("fsXA/90",A1:CV300,59,FALSE)</f>
      </c>
      <c r="BX59" t="n" s="9982">
        <v>10.431242942810059</v>
      </c>
      <c r="BY59" t="n" s="9983">
        <v>0.0</v>
      </c>
      <c r="BZ59" s="9984">
        <f>6*HLOOKUP("uXG/90",A1:CV300,59,FALSE)+3*HLOOKUP("uXA/90",A1:CV300,59,FALSE)</f>
      </c>
    </row>
    <row r="60">
      <c r="A60" t="s" s="9985">
        <v>225</v>
      </c>
      <c r="B60" t="s" s="9986">
        <v>100</v>
      </c>
      <c r="C60" t="n" s="9987">
        <v>4.599999904632568</v>
      </c>
      <c r="D60" t="n" s="9988">
        <v>180.0</v>
      </c>
      <c r="E60" t="n" s="9989">
        <v>2.0</v>
      </c>
      <c r="F60" t="n" s="9990">
        <v>38.0</v>
      </c>
      <c r="G60" t="n" s="9991">
        <v>0.0</v>
      </c>
      <c r="H60" t="n" s="9992">
        <v>6.0</v>
      </c>
      <c r="I60" t="n" s="9993">
        <v>214.0</v>
      </c>
      <c r="J60" s="9994">
        <f>HLOOKUP("BPS",A1:CV300,60,FALSE)-((-6*HLOOKUP("OG",A1:CV300,60,FALSE))+(-6*HLOOKUP("PK Miss",A1:CV300,60,FALSE))+(9*HLOOKUP("FPL As",A1:CV300,60,FALSE))+(12*HLOOKUP("CS",A1:CV300,60,FALSE))+(12*HLOOKUP("Gs",A1:CV300,60,FALSE)))</f>
      </c>
      <c r="K60" t="n" s="9995">
        <v>0.0</v>
      </c>
      <c r="L60" t="n" s="9996">
        <v>3.0</v>
      </c>
      <c r="M60" t="n" s="9997">
        <v>1.0</v>
      </c>
      <c r="N60" t="n" s="9998">
        <v>1.0</v>
      </c>
      <c r="O60" t="n" s="9999">
        <v>1.0</v>
      </c>
      <c r="P60" s="10000">
        <f>IF(HLOOKUP("Shots",A1:CV300,60,FALSE)=0,0,HLOOKUP("SIB",A1:CV300,60,FALSE)/HLOOKUP("Shots",A1:CV300,60,FALSE))</f>
      </c>
      <c r="Q60" t="n" s="10001">
        <v>1.0</v>
      </c>
      <c r="R60" s="10002">
        <f>IF(HLOOKUP("Shots",A1:CV300,60,FALSE)=0,0,HLOOKUP("S6YD",A1:CV300,60,FALSE)/HLOOKUP("Shots",A1:CV300,60,FALSE))</f>
      </c>
      <c r="S60" t="n" s="10003">
        <v>0.0</v>
      </c>
      <c r="T60" s="10004">
        <f>IF(HLOOKUP("Shots",A1:CV300,60,FALSE)=0,0,HLOOKUP("Headers",A1:CV300,60,FALSE)/HLOOKUP("Shots",A1:CV300,60,FALSE))</f>
      </c>
      <c r="U60" t="n" s="10005">
        <v>0.0</v>
      </c>
      <c r="V60" s="10006">
        <f>IF(HLOOKUP("Shots",A1:CV300,60,FALSE)=0,0,HLOOKUP("SOT",A1:CV300,60,FALSE)/HLOOKUP("Shots",A1:CV300,60,FALSE))</f>
      </c>
      <c r="W60" s="10007">
        <f>IF(HLOOKUP("Shots",A1:CV300,60,FALSE)=0,0,HLOOKUP("Gs",A1:CV300,60,FALSE)/HLOOKUP("Shots",A1:CV300,60,FALSE))</f>
      </c>
      <c r="X60" t="n" s="10008">
        <v>0.0</v>
      </c>
      <c r="Y60" t="n" s="10009">
        <v>0.0</v>
      </c>
      <c r="Z60" t="n" s="10010">
        <v>0.0</v>
      </c>
      <c r="AA60" s="10011">
        <f>IF(HLOOKUP("KP",A1:CV300,60,FALSE)=0,0,HLOOKUP("As",A1:CV300,60,FALSE)/HLOOKUP("KP",A1:CV300,60,FALSE))</f>
      </c>
      <c r="AB60" t="n" s="10012">
        <v>3.0</v>
      </c>
      <c r="AC60" t="n" s="10013">
        <v>0.0</v>
      </c>
      <c r="AD60" t="n" s="10014">
        <v>0.0</v>
      </c>
      <c r="AE60" t="n" s="10015">
        <v>0.0</v>
      </c>
      <c r="AF60" t="n" s="10016">
        <v>0.0</v>
      </c>
      <c r="AG60" s="10017">
        <f>IF(HLOOKUP("BC",A1:CV300,60,FALSE)=0,0,HLOOKUP("Gs - BC",A1:CV300,60,FALSE)/HLOOKUP("BC",A1:CV300,60,FALSE))</f>
      </c>
      <c r="AH60" s="10018">
        <f>HLOOKUP("BC",A1:CV300,60,FALSE) - HLOOKUP("BC Miss",A1:CV300,60,FALSE)</f>
      </c>
      <c r="AI60" s="10019">
        <f>IF(HLOOKUP("Gs",A1:CV300,60,FALSE)=0,0,HLOOKUP("Gs - BC",A1:CV300,60,FALSE)/HLOOKUP("Gs",A1:CV300,60,FALSE))</f>
      </c>
      <c r="AJ60" t="n" s="10020">
        <v>0.0</v>
      </c>
      <c r="AK60" t="n" s="10021">
        <v>0.0</v>
      </c>
      <c r="AL60" s="10022">
        <f>HLOOKUP("BC",A1:CV300,60,FALSE) - (HLOOKUP("PK Gs",A1:CV300,60,FALSE) + HLOOKUP("PK Miss",A1:CV300,60,FALSE))</f>
      </c>
      <c r="AM60" s="10023">
        <f>HLOOKUP("BC Miss",A1:CV300,60,FALSE) - HLOOKUP("PK Miss",A1:CV300,60,FALSE)</f>
      </c>
      <c r="AN60" s="10024">
        <f>IF(HLOOKUP("BC - Open",A1:CV300,60,FALSE)=0,0,HLOOKUP("BC - Open Miss",A1:CV300,60,FALSE)/HLOOKUP("BC - Open",A1:CV300,60,FALSE))</f>
      </c>
      <c r="AO60" t="n" s="10025">
        <v>0.0</v>
      </c>
      <c r="AP60" s="10026">
        <f>IF(HLOOKUP("Gs",A1:CV300,60,FALSE)=0,0,HLOOKUP("GIB",A1:CV300,60,FALSE)/HLOOKUP("Gs",A1:CV300,60,FALSE))</f>
      </c>
      <c r="AQ60" t="n" s="10027">
        <v>0.0</v>
      </c>
      <c r="AR60" s="10028">
        <f>IF(HLOOKUP("Gs",A1:CV300,60,FALSE)=0,0,HLOOKUP("Gs - Open",A1:CV300,60,FALSE)/HLOOKUP("Gs",A1:CV300,60,FALSE))</f>
      </c>
      <c r="AS60" t="n" s="10029">
        <v>0.28</v>
      </c>
      <c r="AT60" t="n" s="10030">
        <v>0.02</v>
      </c>
      <c r="AU60" s="10031">
        <f>IF(HLOOKUP("Mins",A1:CV300,60,FALSE)=0,0,HLOOKUP("Pts",A1:CV300,60,FALSE)/HLOOKUP("Mins",A1:CV300,60,FALSE)* 90)</f>
      </c>
      <c r="AV60" s="10032">
        <f>IF(HLOOKUP("Apps",A1:CV300,60,FALSE)=0,0,HLOOKUP("Pts",A1:CV300,60,FALSE)/HLOOKUP("Apps",A1:CV300,60,FALSE)* 1)</f>
      </c>
      <c r="AW60" s="10033">
        <f>IF(HLOOKUP("Mins",A1:CV300,60,FALSE)=0,0,HLOOKUP("Gs",A1:CV300,60,FALSE)/HLOOKUP("Mins",A1:CV300,60,FALSE)* 90)</f>
      </c>
      <c r="AX60" s="10034">
        <f>IF(HLOOKUP("Mins",A1:CV300,60,FALSE)=0,0,HLOOKUP("Bonus",A1:CV300,60,FALSE)/HLOOKUP("Mins",A1:CV300,60,FALSE)* 90)</f>
      </c>
      <c r="AY60" s="10035">
        <f>IF(HLOOKUP("Mins",A1:CV300,60,FALSE)=0,0,HLOOKUP("BPS",A1:CV300,60,FALSE)/HLOOKUP("Mins",A1:CV300,60,FALSE)* 90)</f>
      </c>
      <c r="AZ60" s="10036">
        <f>IF(HLOOKUP("Mins",A1:CV300,60,FALSE)=0,0,HLOOKUP("Base BPS",A1:CV300,60,FALSE)/HLOOKUP("Mins",A1:CV300,60,FALSE)* 90)</f>
      </c>
      <c r="BA60" s="10037">
        <f>IF(HLOOKUP("Mins",A1:CV300,60,FALSE)=0,0,HLOOKUP("PenTchs",A1:CV300,60,FALSE)/HLOOKUP("Mins",A1:CV300,60,FALSE)* 90)</f>
      </c>
      <c r="BB60" s="10038">
        <f>IF(HLOOKUP("Mins",A1:CV300,60,FALSE)=0,0,HLOOKUP("Shots",A1:CV300,60,FALSE)/HLOOKUP("Mins",A1:CV300,60,FALSE)* 90)</f>
      </c>
      <c r="BC60" s="10039">
        <f>IF(HLOOKUP("Mins",A1:CV300,60,FALSE)=0,0,HLOOKUP("SIB",A1:CV300,60,FALSE)/HLOOKUP("Mins",A1:CV300,60,FALSE)* 90)</f>
      </c>
      <c r="BD60" s="10040">
        <f>IF(HLOOKUP("Mins",A1:CV300,60,FALSE)=0,0,HLOOKUP("S6YD",A1:CV300,60,FALSE)/HLOOKUP("Mins",A1:CV300,60,FALSE)* 90)</f>
      </c>
      <c r="BE60" s="10041">
        <f>IF(HLOOKUP("Mins",A1:CV300,60,FALSE)=0,0,HLOOKUP("Headers",A1:CV300,60,FALSE)/HLOOKUP("Mins",A1:CV300,60,FALSE)* 90)</f>
      </c>
      <c r="BF60" s="10042">
        <f>IF(HLOOKUP("Mins",A1:CV300,60,FALSE)=0,0,HLOOKUP("SOT",A1:CV300,60,FALSE)/HLOOKUP("Mins",A1:CV300,60,FALSE)* 90)</f>
      </c>
      <c r="BG60" s="10043">
        <f>IF(HLOOKUP("Mins",A1:CV300,60,FALSE)=0,0,HLOOKUP("As",A1:CV300,60,FALSE)/HLOOKUP("Mins",A1:CV300,60,FALSE)* 90)</f>
      </c>
      <c r="BH60" s="10044">
        <f>IF(HLOOKUP("Mins",A1:CV300,60,FALSE)=0,0,HLOOKUP("FPL As",A1:CV300,60,FALSE)/HLOOKUP("Mins",A1:CV300,60,FALSE)* 90)</f>
      </c>
      <c r="BI60" s="10045">
        <f>IF(HLOOKUP("Mins",A1:CV300,60,FALSE)=0,0,HLOOKUP("BC Created",A1:CV300,60,FALSE)/HLOOKUP("Mins",A1:CV300,60,FALSE)* 90)</f>
      </c>
      <c r="BJ60" s="10046">
        <f>IF(HLOOKUP("Mins",A1:CV300,60,FALSE)=0,0,HLOOKUP("KP",A1:CV300,60,FALSE)/HLOOKUP("Mins",A1:CV300,60,FALSE)* 90)</f>
      </c>
      <c r="BK60" s="10047">
        <f>IF(HLOOKUP("Mins",A1:CV300,60,FALSE)=0,0,HLOOKUP("BC",A1:CV300,60,FALSE)/HLOOKUP("Mins",A1:CV300,60,FALSE)* 90)</f>
      </c>
      <c r="BL60" s="10048">
        <f>IF(HLOOKUP("Mins",A1:CV300,60,FALSE)=0,0,HLOOKUP("BC Miss",A1:CV300,60,FALSE)/HLOOKUP("Mins",A1:CV300,60,FALSE)* 90)</f>
      </c>
      <c r="BM60" s="10049">
        <f>IF(HLOOKUP("Mins",A1:CV300,60,FALSE)=0,0,HLOOKUP("Gs - BC",A1:CV300,60,FALSE)/HLOOKUP("Mins",A1:CV300,60,FALSE)* 90)</f>
      </c>
      <c r="BN60" s="10050">
        <f>IF(HLOOKUP("Mins",A1:CV300,60,FALSE)=0,0,HLOOKUP("GIB",A1:CV300,60,FALSE)/HLOOKUP("Mins",A1:CV300,60,FALSE)* 90)</f>
      </c>
      <c r="BO60" s="10051">
        <f>IF(HLOOKUP("Mins",A1:CV300,60,FALSE)=0,0,HLOOKUP("Gs - Open",A1:CV300,60,FALSE)/HLOOKUP("Mins",A1:CV300,60,FALSE)* 90)</f>
      </c>
      <c r="BP60" s="10052">
        <f>IF(HLOOKUP("Mins",A1:CV300,60,FALSE)=0,0,HLOOKUP("ICT Index",A1:CV300,60,FALSE)/HLOOKUP("Mins",A1:CV300,60,FALSE)* 90)</f>
      </c>
      <c r="BQ60" s="10053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</c>
      <c r="BR60" s="10054">
        <f>0.0825*HLOOKUP("KP/90",A1:CV300,60,FALSE)</f>
      </c>
      <c r="BS60" s="10055">
        <f>6*HLOOKUP("xG/90",A1:CV300,60,FALSE)+3*HLOOKUP("xA/90",A1:CV300,60,FALSE)</f>
      </c>
      <c r="BT60" s="10056">
        <f>HLOOKUP("xPts/90",A1:CV300,60,FALSE)-(6*0.75*(HLOOKUP("PK Gs",A1:CV300,60,FALSE)+HLOOKUP("PK Miss",A1:CV300,60,FALSE))*90/HLOOKUP("Mins",A1:CV300,60,FALSE))</f>
      </c>
      <c r="BU60" s="10057">
        <f>IF(HLOOKUP("Mins",A1:CV300,60,FALSE)=0,0,HLOOKUP("fsXG",A1:CV300,60,FALSE)/HLOOKUP("Mins",A1:CV300,60,FALSE)* 90)</f>
      </c>
      <c r="BV60" s="10058">
        <f>IF(HLOOKUP("Mins",A1:CV300,60,FALSE)=0,0,HLOOKUP("fsXA",A1:CV300,60,FALSE)/HLOOKUP("Mins",A1:CV300,60,FALSE)* 90)</f>
      </c>
      <c r="BW60" s="10059">
        <f>6*HLOOKUP("fsXG/90",A1:CV300,60,FALSE)+3*HLOOKUP("fsXA/90",A1:CV300,60,FALSE)</f>
      </c>
      <c r="BX60" t="n" s="10060">
        <v>0.0722476989030838</v>
      </c>
      <c r="BY60" t="n" s="10061">
        <v>0.0</v>
      </c>
      <c r="BZ60" s="10062">
        <f>6*HLOOKUP("uXG/90",A1:CV300,60,FALSE)+3*HLOOKUP("uXA/90",A1:CV300,60,FALSE)</f>
      </c>
    </row>
    <row r="61">
      <c r="A61" t="s" s="10063">
        <v>226</v>
      </c>
      <c r="B61" t="s" s="10064">
        <v>134</v>
      </c>
      <c r="C61" t="n" s="10065">
        <v>5.300000190734863</v>
      </c>
      <c r="D61" t="n" s="10066">
        <v>630.0</v>
      </c>
      <c r="E61" t="n" s="10067">
        <v>7.0</v>
      </c>
      <c r="F61" t="n" s="10068">
        <v>73.0</v>
      </c>
      <c r="G61" t="n" s="10069">
        <v>0.0</v>
      </c>
      <c r="H61" t="n" s="10070">
        <v>7.0</v>
      </c>
      <c r="I61" t="n" s="10071">
        <v>303.0</v>
      </c>
      <c r="J61" s="10072">
        <f>HLOOKUP("BPS",A1:CV300,61,FALSE)-((-6*HLOOKUP("OG",A1:CV300,61,FALSE))+(-6*HLOOKUP("PK Miss",A1:CV300,61,FALSE))+(9*HLOOKUP("FPL As",A1:CV300,61,FALSE))+(12*HLOOKUP("CS",A1:CV300,61,FALSE))+(12*HLOOKUP("Gs",A1:CV300,61,FALSE)))</f>
      </c>
      <c r="K61" t="n" s="10073">
        <v>0.0</v>
      </c>
      <c r="L61" t="n" s="10074">
        <v>10.0</v>
      </c>
      <c r="M61" t="n" s="10075">
        <v>0.0</v>
      </c>
      <c r="N61" t="n" s="10076">
        <v>0.0</v>
      </c>
      <c r="O61" t="n" s="10077">
        <v>0.0</v>
      </c>
      <c r="P61" s="10078">
        <f>IF(HLOOKUP("Shots",A1:CV300,61,FALSE)=0,0,HLOOKUP("SIB",A1:CV300,61,FALSE)/HLOOKUP("Shots",A1:CV300,61,FALSE))</f>
      </c>
      <c r="Q61" t="n" s="10079">
        <v>0.0</v>
      </c>
      <c r="R61" s="10080">
        <f>IF(HLOOKUP("Shots",A1:CV300,61,FALSE)=0,0,HLOOKUP("S6YD",A1:CV300,61,FALSE)/HLOOKUP("Shots",A1:CV300,61,FALSE))</f>
      </c>
      <c r="S61" t="n" s="10081">
        <v>0.0</v>
      </c>
      <c r="T61" s="10082">
        <f>IF(HLOOKUP("Shots",A1:CV300,61,FALSE)=0,0,HLOOKUP("Headers",A1:CV300,61,FALSE)/HLOOKUP("Shots",A1:CV300,61,FALSE))</f>
      </c>
      <c r="U61" t="n" s="10083">
        <v>0.0</v>
      </c>
      <c r="V61" s="10084">
        <f>IF(HLOOKUP("Shots",A1:CV300,61,FALSE)=0,0,HLOOKUP("SOT",A1:CV300,61,FALSE)/HLOOKUP("Shots",A1:CV300,61,FALSE))</f>
      </c>
      <c r="W61" s="10085">
        <f>IF(HLOOKUP("Shots",A1:CV300,61,FALSE)=0,0,HLOOKUP("Gs",A1:CV300,61,FALSE)/HLOOKUP("Shots",A1:CV300,61,FALSE))</f>
      </c>
      <c r="X61" t="n" s="10086">
        <v>0.0</v>
      </c>
      <c r="Y61" t="n" s="10087">
        <v>0.0</v>
      </c>
      <c r="Z61" t="n" s="10088">
        <v>0.0</v>
      </c>
      <c r="AA61" s="10089">
        <f>IF(HLOOKUP("KP",A1:CV300,61,FALSE)=0,0,HLOOKUP("As",A1:CV300,61,FALSE)/HLOOKUP("KP",A1:CV300,61,FALSE))</f>
      </c>
      <c r="AB61" t="n" s="10090">
        <v>12.9</v>
      </c>
      <c r="AC61" t="n" s="10091">
        <v>0.0</v>
      </c>
      <c r="AD61" t="n" s="10092">
        <v>0.0</v>
      </c>
      <c r="AE61" t="n" s="10093">
        <v>0.0</v>
      </c>
      <c r="AF61" t="n" s="10094">
        <v>0.0</v>
      </c>
      <c r="AG61" s="10095">
        <f>IF(HLOOKUP("BC",A1:CV300,61,FALSE)=0,0,HLOOKUP("Gs - BC",A1:CV300,61,FALSE)/HLOOKUP("BC",A1:CV300,61,FALSE))</f>
      </c>
      <c r="AH61" s="10096">
        <f>HLOOKUP("BC",A1:CV300,61,FALSE) - HLOOKUP("BC Miss",A1:CV300,61,FALSE)</f>
      </c>
      <c r="AI61" s="10097">
        <f>IF(HLOOKUP("Gs",A1:CV300,61,FALSE)=0,0,HLOOKUP("Gs - BC",A1:CV300,61,FALSE)/HLOOKUP("Gs",A1:CV300,61,FALSE))</f>
      </c>
      <c r="AJ61" t="n" s="10098">
        <v>0.0</v>
      </c>
      <c r="AK61" t="n" s="10099">
        <v>0.0</v>
      </c>
      <c r="AL61" s="10100">
        <f>HLOOKUP("BC",A1:CV300,61,FALSE) - (HLOOKUP("PK Gs",A1:CV300,61,FALSE) + HLOOKUP("PK Miss",A1:CV300,61,FALSE))</f>
      </c>
      <c r="AM61" s="10101">
        <f>HLOOKUP("BC Miss",A1:CV300,61,FALSE) - HLOOKUP("PK Miss",A1:CV300,61,FALSE)</f>
      </c>
      <c r="AN61" s="10102">
        <f>IF(HLOOKUP("BC - Open",A1:CV300,61,FALSE)=0,0,HLOOKUP("BC - Open Miss",A1:CV300,61,FALSE)/HLOOKUP("BC - Open",A1:CV300,61,FALSE))</f>
      </c>
      <c r="AO61" t="n" s="10103">
        <v>0.0</v>
      </c>
      <c r="AP61" s="10104">
        <f>IF(HLOOKUP("Gs",A1:CV300,61,FALSE)=0,0,HLOOKUP("GIB",A1:CV300,61,FALSE)/HLOOKUP("Gs",A1:CV300,61,FALSE))</f>
      </c>
      <c r="AQ61" t="n" s="10105">
        <v>0.0</v>
      </c>
      <c r="AR61" s="10106">
        <f>IF(HLOOKUP("Gs",A1:CV300,61,FALSE)=0,0,HLOOKUP("Gs - Open",A1:CV300,61,FALSE)/HLOOKUP("Gs",A1:CV300,61,FALSE))</f>
      </c>
      <c r="AS61" t="n" s="10107">
        <v>0.0</v>
      </c>
      <c r="AT61" t="n" s="10108">
        <v>0.05</v>
      </c>
      <c r="AU61" s="10109">
        <f>IF(HLOOKUP("Mins",A1:CV300,61,FALSE)=0,0,HLOOKUP("Pts",A1:CV300,61,FALSE)/HLOOKUP("Mins",A1:CV300,61,FALSE)* 90)</f>
      </c>
      <c r="AV61" s="10110">
        <f>IF(HLOOKUP("Apps",A1:CV300,61,FALSE)=0,0,HLOOKUP("Pts",A1:CV300,61,FALSE)/HLOOKUP("Apps",A1:CV300,61,FALSE)* 1)</f>
      </c>
      <c r="AW61" s="10111">
        <f>IF(HLOOKUP("Mins",A1:CV300,61,FALSE)=0,0,HLOOKUP("Gs",A1:CV300,61,FALSE)/HLOOKUP("Mins",A1:CV300,61,FALSE)* 90)</f>
      </c>
      <c r="AX61" s="10112">
        <f>IF(HLOOKUP("Mins",A1:CV300,61,FALSE)=0,0,HLOOKUP("Bonus",A1:CV300,61,FALSE)/HLOOKUP("Mins",A1:CV300,61,FALSE)* 90)</f>
      </c>
      <c r="AY61" s="10113">
        <f>IF(HLOOKUP("Mins",A1:CV300,61,FALSE)=0,0,HLOOKUP("BPS",A1:CV300,61,FALSE)/HLOOKUP("Mins",A1:CV300,61,FALSE)* 90)</f>
      </c>
      <c r="AZ61" s="10114">
        <f>IF(HLOOKUP("Mins",A1:CV300,61,FALSE)=0,0,HLOOKUP("Base BPS",A1:CV300,61,FALSE)/HLOOKUP("Mins",A1:CV300,61,FALSE)* 90)</f>
      </c>
      <c r="BA61" s="10115">
        <f>IF(HLOOKUP("Mins",A1:CV300,61,FALSE)=0,0,HLOOKUP("PenTchs",A1:CV300,61,FALSE)/HLOOKUP("Mins",A1:CV300,61,FALSE)* 90)</f>
      </c>
      <c r="BB61" s="10116">
        <f>IF(HLOOKUP("Mins",A1:CV300,61,FALSE)=0,0,HLOOKUP("Shots",A1:CV300,61,FALSE)/HLOOKUP("Mins",A1:CV300,61,FALSE)* 90)</f>
      </c>
      <c r="BC61" s="10117">
        <f>IF(HLOOKUP("Mins",A1:CV300,61,FALSE)=0,0,HLOOKUP("SIB",A1:CV300,61,FALSE)/HLOOKUP("Mins",A1:CV300,61,FALSE)* 90)</f>
      </c>
      <c r="BD61" s="10118">
        <f>IF(HLOOKUP("Mins",A1:CV300,61,FALSE)=0,0,HLOOKUP("S6YD",A1:CV300,61,FALSE)/HLOOKUP("Mins",A1:CV300,61,FALSE)* 90)</f>
      </c>
      <c r="BE61" s="10119">
        <f>IF(HLOOKUP("Mins",A1:CV300,61,FALSE)=0,0,HLOOKUP("Headers",A1:CV300,61,FALSE)/HLOOKUP("Mins",A1:CV300,61,FALSE)* 90)</f>
      </c>
      <c r="BF61" s="10120">
        <f>IF(HLOOKUP("Mins",A1:CV300,61,FALSE)=0,0,HLOOKUP("SOT",A1:CV300,61,FALSE)/HLOOKUP("Mins",A1:CV300,61,FALSE)* 90)</f>
      </c>
      <c r="BG61" s="10121">
        <f>IF(HLOOKUP("Mins",A1:CV300,61,FALSE)=0,0,HLOOKUP("As",A1:CV300,61,FALSE)/HLOOKUP("Mins",A1:CV300,61,FALSE)* 90)</f>
      </c>
      <c r="BH61" s="10122">
        <f>IF(HLOOKUP("Mins",A1:CV300,61,FALSE)=0,0,HLOOKUP("FPL As",A1:CV300,61,FALSE)/HLOOKUP("Mins",A1:CV300,61,FALSE)* 90)</f>
      </c>
      <c r="BI61" s="10123">
        <f>IF(HLOOKUP("Mins",A1:CV300,61,FALSE)=0,0,HLOOKUP("BC Created",A1:CV300,61,FALSE)/HLOOKUP("Mins",A1:CV300,61,FALSE)* 90)</f>
      </c>
      <c r="BJ61" s="10124">
        <f>IF(HLOOKUP("Mins",A1:CV300,61,FALSE)=0,0,HLOOKUP("KP",A1:CV300,61,FALSE)/HLOOKUP("Mins",A1:CV300,61,FALSE)* 90)</f>
      </c>
      <c r="BK61" s="10125">
        <f>IF(HLOOKUP("Mins",A1:CV300,61,FALSE)=0,0,HLOOKUP("BC",A1:CV300,61,FALSE)/HLOOKUP("Mins",A1:CV300,61,FALSE)* 90)</f>
      </c>
      <c r="BL61" s="10126">
        <f>IF(HLOOKUP("Mins",A1:CV300,61,FALSE)=0,0,HLOOKUP("BC Miss",A1:CV300,61,FALSE)/HLOOKUP("Mins",A1:CV300,61,FALSE)* 90)</f>
      </c>
      <c r="BM61" s="10127">
        <f>IF(HLOOKUP("Mins",A1:CV300,61,FALSE)=0,0,HLOOKUP("Gs - BC",A1:CV300,61,FALSE)/HLOOKUP("Mins",A1:CV300,61,FALSE)* 90)</f>
      </c>
      <c r="BN61" s="10128">
        <f>IF(HLOOKUP("Mins",A1:CV300,61,FALSE)=0,0,HLOOKUP("GIB",A1:CV300,61,FALSE)/HLOOKUP("Mins",A1:CV300,61,FALSE)* 90)</f>
      </c>
      <c r="BO61" s="10129">
        <f>IF(HLOOKUP("Mins",A1:CV300,61,FALSE)=0,0,HLOOKUP("Gs - Open",A1:CV300,61,FALSE)/HLOOKUP("Mins",A1:CV300,61,FALSE)* 90)</f>
      </c>
      <c r="BP61" s="10130">
        <f>IF(HLOOKUP("Mins",A1:CV300,61,FALSE)=0,0,HLOOKUP("ICT Index",A1:CV300,61,FALSE)/HLOOKUP("Mins",A1:CV300,61,FALSE)* 90)</f>
      </c>
      <c r="BQ61" s="10131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</c>
      <c r="BR61" s="10132">
        <f>0.0825*HLOOKUP("KP/90",A1:CV300,61,FALSE)</f>
      </c>
      <c r="BS61" s="10133">
        <f>6*HLOOKUP("xG/90",A1:CV300,61,FALSE)+3*HLOOKUP("xA/90",A1:CV300,61,FALSE)</f>
      </c>
      <c r="BT61" s="10134">
        <f>HLOOKUP("xPts/90",A1:CV300,61,FALSE)-(6*0.75*(HLOOKUP("PK Gs",A1:CV300,61,FALSE)+HLOOKUP("PK Miss",A1:CV300,61,FALSE))*90/HLOOKUP("Mins",A1:CV300,61,FALSE))</f>
      </c>
      <c r="BU61" s="10135">
        <f>IF(HLOOKUP("Mins",A1:CV300,61,FALSE)=0,0,HLOOKUP("fsXG",A1:CV300,61,FALSE)/HLOOKUP("Mins",A1:CV300,61,FALSE)* 90)</f>
      </c>
      <c r="BV61" s="10136">
        <f>IF(HLOOKUP("Mins",A1:CV300,61,FALSE)=0,0,HLOOKUP("fsXA",A1:CV300,61,FALSE)/HLOOKUP("Mins",A1:CV300,61,FALSE)* 90)</f>
      </c>
      <c r="BW61" s="10137">
        <f>6*HLOOKUP("fsXG/90",A1:CV300,61,FALSE)+3*HLOOKUP("fsXA/90",A1:CV300,61,FALSE)</f>
      </c>
      <c r="BX61" t="n" s="10138">
        <v>0.0</v>
      </c>
      <c r="BY61" t="n" s="10139">
        <v>0.0</v>
      </c>
      <c r="BZ61" s="10140">
        <f>6*HLOOKUP("uXG/90",A1:CV300,61,FALSE)+3*HLOOKUP("uXA/90",A1:CV300,61,FALSE)</f>
      </c>
    </row>
    <row r="62">
      <c r="A62" t="s" s="10141">
        <v>227</v>
      </c>
      <c r="B62" t="s" s="10142">
        <v>107</v>
      </c>
      <c r="C62" t="n" s="10143">
        <v>4.300000190734863</v>
      </c>
      <c r="D62" t="n" s="10144">
        <v>325.0</v>
      </c>
      <c r="E62" t="n" s="10145">
        <v>4.0</v>
      </c>
      <c r="F62" t="n" s="10146">
        <v>64.0</v>
      </c>
      <c r="G62" t="n" s="10147">
        <v>0.0</v>
      </c>
      <c r="H62" t="n" s="10148">
        <v>4.0</v>
      </c>
      <c r="I62" t="n" s="10149">
        <v>288.0</v>
      </c>
      <c r="J62" s="10150">
        <f>HLOOKUP("BPS",A1:CV300,62,FALSE)-((-6*HLOOKUP("OG",A1:CV300,62,FALSE))+(-6*HLOOKUP("PK Miss",A1:CV300,62,FALSE))+(9*HLOOKUP("FPL As",A1:CV300,62,FALSE))+(12*HLOOKUP("CS",A1:CV300,62,FALSE))+(12*HLOOKUP("Gs",A1:CV300,62,FALSE)))</f>
      </c>
      <c r="K62" t="n" s="10151">
        <v>0.0</v>
      </c>
      <c r="L62" t="n" s="10152">
        <v>6.0</v>
      </c>
      <c r="M62" t="n" s="10153">
        <v>0.0</v>
      </c>
      <c r="N62" t="n" s="10154">
        <v>0.0</v>
      </c>
      <c r="O62" t="n" s="10155">
        <v>0.0</v>
      </c>
      <c r="P62" s="10156">
        <f>IF(HLOOKUP("Shots",A1:CV300,62,FALSE)=0,0,HLOOKUP("SIB",A1:CV300,62,FALSE)/HLOOKUP("Shots",A1:CV300,62,FALSE))</f>
      </c>
      <c r="Q62" t="n" s="10157">
        <v>0.0</v>
      </c>
      <c r="R62" s="10158">
        <f>IF(HLOOKUP("Shots",A1:CV300,62,FALSE)=0,0,HLOOKUP("S6YD",A1:CV300,62,FALSE)/HLOOKUP("Shots",A1:CV300,62,FALSE))</f>
      </c>
      <c r="S62" t="n" s="10159">
        <v>0.0</v>
      </c>
      <c r="T62" s="10160">
        <f>IF(HLOOKUP("Shots",A1:CV300,62,FALSE)=0,0,HLOOKUP("Headers",A1:CV300,62,FALSE)/HLOOKUP("Shots",A1:CV300,62,FALSE))</f>
      </c>
      <c r="U62" t="n" s="10161">
        <v>0.0</v>
      </c>
      <c r="V62" s="10162">
        <f>IF(HLOOKUP("Shots",A1:CV300,62,FALSE)=0,0,HLOOKUP("SOT",A1:CV300,62,FALSE)/HLOOKUP("Shots",A1:CV300,62,FALSE))</f>
      </c>
      <c r="W62" s="10163">
        <f>IF(HLOOKUP("Shots",A1:CV300,62,FALSE)=0,0,HLOOKUP("Gs",A1:CV300,62,FALSE)/HLOOKUP("Shots",A1:CV300,62,FALSE))</f>
      </c>
      <c r="X62" t="n" s="10164">
        <v>0.0</v>
      </c>
      <c r="Y62" t="n" s="10165">
        <v>1.0</v>
      </c>
      <c r="Z62" t="n" s="10166">
        <v>1.0</v>
      </c>
      <c r="AA62" s="10167">
        <f>IF(HLOOKUP("KP",A1:CV300,62,FALSE)=0,0,HLOOKUP("As",A1:CV300,62,FALSE)/HLOOKUP("KP",A1:CV300,62,FALSE))</f>
      </c>
      <c r="AB62" t="n" s="10168">
        <v>6.8</v>
      </c>
      <c r="AC62" t="n" s="10169">
        <v>0.0</v>
      </c>
      <c r="AD62" t="n" s="10170">
        <v>0.0</v>
      </c>
      <c r="AE62" t="n" s="10171">
        <v>0.0</v>
      </c>
      <c r="AF62" t="n" s="10172">
        <v>0.0</v>
      </c>
      <c r="AG62" s="10173">
        <f>IF(HLOOKUP("BC",A1:CV300,62,FALSE)=0,0,HLOOKUP("Gs - BC",A1:CV300,62,FALSE)/HLOOKUP("BC",A1:CV300,62,FALSE))</f>
      </c>
      <c r="AH62" s="10174">
        <f>HLOOKUP("BC",A1:CV300,62,FALSE) - HLOOKUP("BC Miss",A1:CV300,62,FALSE)</f>
      </c>
      <c r="AI62" s="10175">
        <f>IF(HLOOKUP("Gs",A1:CV300,62,FALSE)=0,0,HLOOKUP("Gs - BC",A1:CV300,62,FALSE)/HLOOKUP("Gs",A1:CV300,62,FALSE))</f>
      </c>
      <c r="AJ62" t="n" s="10176">
        <v>0.0</v>
      </c>
      <c r="AK62" t="n" s="10177">
        <v>0.0</v>
      </c>
      <c r="AL62" s="10178">
        <f>HLOOKUP("BC",A1:CV300,62,FALSE) - (HLOOKUP("PK Gs",A1:CV300,62,FALSE) + HLOOKUP("PK Miss",A1:CV300,62,FALSE))</f>
      </c>
      <c r="AM62" s="10179">
        <f>HLOOKUP("BC Miss",A1:CV300,62,FALSE) - HLOOKUP("PK Miss",A1:CV300,62,FALSE)</f>
      </c>
      <c r="AN62" s="10180">
        <f>IF(HLOOKUP("BC - Open",A1:CV300,62,FALSE)=0,0,HLOOKUP("BC - Open Miss",A1:CV300,62,FALSE)/HLOOKUP("BC - Open",A1:CV300,62,FALSE))</f>
      </c>
      <c r="AO62" t="n" s="10181">
        <v>0.0</v>
      </c>
      <c r="AP62" s="10182">
        <f>IF(HLOOKUP("Gs",A1:CV300,62,FALSE)=0,0,HLOOKUP("GIB",A1:CV300,62,FALSE)/HLOOKUP("Gs",A1:CV300,62,FALSE))</f>
      </c>
      <c r="AQ62" t="n" s="10183">
        <v>0.0</v>
      </c>
      <c r="AR62" s="10184">
        <f>IF(HLOOKUP("Gs",A1:CV300,62,FALSE)=0,0,HLOOKUP("Gs - Open",A1:CV300,62,FALSE)/HLOOKUP("Gs",A1:CV300,62,FALSE))</f>
      </c>
      <c r="AS62" t="n" s="10185">
        <v>0.0</v>
      </c>
      <c r="AT62" t="n" s="10186">
        <v>0.08</v>
      </c>
      <c r="AU62" s="10187">
        <f>IF(HLOOKUP("Mins",A1:CV300,62,FALSE)=0,0,HLOOKUP("Pts",A1:CV300,62,FALSE)/HLOOKUP("Mins",A1:CV300,62,FALSE)* 90)</f>
      </c>
      <c r="AV62" s="10188">
        <f>IF(HLOOKUP("Apps",A1:CV300,62,FALSE)=0,0,HLOOKUP("Pts",A1:CV300,62,FALSE)/HLOOKUP("Apps",A1:CV300,62,FALSE)* 1)</f>
      </c>
      <c r="AW62" s="10189">
        <f>IF(HLOOKUP("Mins",A1:CV300,62,FALSE)=0,0,HLOOKUP("Gs",A1:CV300,62,FALSE)/HLOOKUP("Mins",A1:CV300,62,FALSE)* 90)</f>
      </c>
      <c r="AX62" s="10190">
        <f>IF(HLOOKUP("Mins",A1:CV300,62,FALSE)=0,0,HLOOKUP("Bonus",A1:CV300,62,FALSE)/HLOOKUP("Mins",A1:CV300,62,FALSE)* 90)</f>
      </c>
      <c r="AY62" s="10191">
        <f>IF(HLOOKUP("Mins",A1:CV300,62,FALSE)=0,0,HLOOKUP("BPS",A1:CV300,62,FALSE)/HLOOKUP("Mins",A1:CV300,62,FALSE)* 90)</f>
      </c>
      <c r="AZ62" s="10192">
        <f>IF(HLOOKUP("Mins",A1:CV300,62,FALSE)=0,0,HLOOKUP("Base BPS",A1:CV300,62,FALSE)/HLOOKUP("Mins",A1:CV300,62,FALSE)* 90)</f>
      </c>
      <c r="BA62" s="10193">
        <f>IF(HLOOKUP("Mins",A1:CV300,62,FALSE)=0,0,HLOOKUP("PenTchs",A1:CV300,62,FALSE)/HLOOKUP("Mins",A1:CV300,62,FALSE)* 90)</f>
      </c>
      <c r="BB62" s="10194">
        <f>IF(HLOOKUP("Mins",A1:CV300,62,FALSE)=0,0,HLOOKUP("Shots",A1:CV300,62,FALSE)/HLOOKUP("Mins",A1:CV300,62,FALSE)* 90)</f>
      </c>
      <c r="BC62" s="10195">
        <f>IF(HLOOKUP("Mins",A1:CV300,62,FALSE)=0,0,HLOOKUP("SIB",A1:CV300,62,FALSE)/HLOOKUP("Mins",A1:CV300,62,FALSE)* 90)</f>
      </c>
      <c r="BD62" s="10196">
        <f>IF(HLOOKUP("Mins",A1:CV300,62,FALSE)=0,0,HLOOKUP("S6YD",A1:CV300,62,FALSE)/HLOOKUP("Mins",A1:CV300,62,FALSE)* 90)</f>
      </c>
      <c r="BE62" s="10197">
        <f>IF(HLOOKUP("Mins",A1:CV300,62,FALSE)=0,0,HLOOKUP("Headers",A1:CV300,62,FALSE)/HLOOKUP("Mins",A1:CV300,62,FALSE)* 90)</f>
      </c>
      <c r="BF62" s="10198">
        <f>IF(HLOOKUP("Mins",A1:CV300,62,FALSE)=0,0,HLOOKUP("SOT",A1:CV300,62,FALSE)/HLOOKUP("Mins",A1:CV300,62,FALSE)* 90)</f>
      </c>
      <c r="BG62" s="10199">
        <f>IF(HLOOKUP("Mins",A1:CV300,62,FALSE)=0,0,HLOOKUP("As",A1:CV300,62,FALSE)/HLOOKUP("Mins",A1:CV300,62,FALSE)* 90)</f>
      </c>
      <c r="BH62" s="10200">
        <f>IF(HLOOKUP("Mins",A1:CV300,62,FALSE)=0,0,HLOOKUP("FPL As",A1:CV300,62,FALSE)/HLOOKUP("Mins",A1:CV300,62,FALSE)* 90)</f>
      </c>
      <c r="BI62" s="10201">
        <f>IF(HLOOKUP("Mins",A1:CV300,62,FALSE)=0,0,HLOOKUP("BC Created",A1:CV300,62,FALSE)/HLOOKUP("Mins",A1:CV300,62,FALSE)* 90)</f>
      </c>
      <c r="BJ62" s="10202">
        <f>IF(HLOOKUP("Mins",A1:CV300,62,FALSE)=0,0,HLOOKUP("KP",A1:CV300,62,FALSE)/HLOOKUP("Mins",A1:CV300,62,FALSE)* 90)</f>
      </c>
      <c r="BK62" s="10203">
        <f>IF(HLOOKUP("Mins",A1:CV300,62,FALSE)=0,0,HLOOKUP("BC",A1:CV300,62,FALSE)/HLOOKUP("Mins",A1:CV300,62,FALSE)* 90)</f>
      </c>
      <c r="BL62" s="10204">
        <f>IF(HLOOKUP("Mins",A1:CV300,62,FALSE)=0,0,HLOOKUP("BC Miss",A1:CV300,62,FALSE)/HLOOKUP("Mins",A1:CV300,62,FALSE)* 90)</f>
      </c>
      <c r="BM62" s="10205">
        <f>IF(HLOOKUP("Mins",A1:CV300,62,FALSE)=0,0,HLOOKUP("Gs - BC",A1:CV300,62,FALSE)/HLOOKUP("Mins",A1:CV300,62,FALSE)* 90)</f>
      </c>
      <c r="BN62" s="10206">
        <f>IF(HLOOKUP("Mins",A1:CV300,62,FALSE)=0,0,HLOOKUP("GIB",A1:CV300,62,FALSE)/HLOOKUP("Mins",A1:CV300,62,FALSE)* 90)</f>
      </c>
      <c r="BO62" s="10207">
        <f>IF(HLOOKUP("Mins",A1:CV300,62,FALSE)=0,0,HLOOKUP("Gs - Open",A1:CV300,62,FALSE)/HLOOKUP("Mins",A1:CV300,62,FALSE)* 90)</f>
      </c>
      <c r="BP62" s="10208">
        <f>IF(HLOOKUP("Mins",A1:CV300,62,FALSE)=0,0,HLOOKUP("ICT Index",A1:CV300,62,FALSE)/HLOOKUP("Mins",A1:CV300,62,FALSE)* 90)</f>
      </c>
      <c r="BQ62" s="10209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</c>
      <c r="BR62" s="10210">
        <f>0.0825*HLOOKUP("KP/90",A1:CV300,62,FALSE)</f>
      </c>
      <c r="BS62" s="10211">
        <f>6*HLOOKUP("xG/90",A1:CV300,62,FALSE)+3*HLOOKUP("xA/90",A1:CV300,62,FALSE)</f>
      </c>
      <c r="BT62" s="10212">
        <f>HLOOKUP("xPts/90",A1:CV300,62,FALSE)-(6*0.75*(HLOOKUP("PK Gs",A1:CV300,62,FALSE)+HLOOKUP("PK Miss",A1:CV300,62,FALSE))*90/HLOOKUP("Mins",A1:CV300,62,FALSE))</f>
      </c>
      <c r="BU62" s="10213">
        <f>IF(HLOOKUP("Mins",A1:CV300,62,FALSE)=0,0,HLOOKUP("fsXG",A1:CV300,62,FALSE)/HLOOKUP("Mins",A1:CV300,62,FALSE)* 90)</f>
      </c>
      <c r="BV62" s="10214">
        <f>IF(HLOOKUP("Mins",A1:CV300,62,FALSE)=0,0,HLOOKUP("fsXA",A1:CV300,62,FALSE)/HLOOKUP("Mins",A1:CV300,62,FALSE)* 90)</f>
      </c>
      <c r="BW62" s="10215">
        <f>6*HLOOKUP("fsXG/90",A1:CV300,62,FALSE)+3*HLOOKUP("fsXA/90",A1:CV300,62,FALSE)</f>
      </c>
      <c r="BX62" t="n" s="10216">
        <v>0.0</v>
      </c>
      <c r="BY62" t="n" s="10217">
        <v>0.01742352731525898</v>
      </c>
      <c r="BZ62" s="10218">
        <f>6*HLOOKUP("uXG/90",A1:CV300,62,FALSE)+3*HLOOKUP("uXA/90",A1:CV300,62,FALSE)</f>
      </c>
    </row>
    <row r="63">
      <c r="A63" t="s" s="10219">
        <v>228</v>
      </c>
      <c r="B63" t="s" s="10220">
        <v>149</v>
      </c>
      <c r="C63" t="n" s="10221">
        <v>4.900000095367432</v>
      </c>
      <c r="D63" t="n" s="10222">
        <v>405.0</v>
      </c>
      <c r="E63" t="n" s="10223">
        <v>5.0</v>
      </c>
      <c r="F63" t="n" s="10224">
        <v>21.0</v>
      </c>
      <c r="G63" t="n" s="10225">
        <v>0.0</v>
      </c>
      <c r="H63" t="n" s="10226">
        <v>0.0</v>
      </c>
      <c r="I63" t="n" s="10227">
        <v>190.0</v>
      </c>
      <c r="J63" s="10228">
        <f>HLOOKUP("BPS",A1:CV300,63,FALSE)-((-6*HLOOKUP("OG",A1:CV300,63,FALSE))+(-6*HLOOKUP("PK Miss",A1:CV300,63,FALSE))+(9*HLOOKUP("FPL As",A1:CV300,63,FALSE))+(12*HLOOKUP("CS",A1:CV300,63,FALSE))+(12*HLOOKUP("Gs",A1:CV300,63,FALSE)))</f>
      </c>
      <c r="K63" t="n" s="10229">
        <v>0.0</v>
      </c>
      <c r="L63" t="n" s="10230">
        <v>2.0</v>
      </c>
      <c r="M63" t="n" s="10231">
        <v>3.0</v>
      </c>
      <c r="N63" t="n" s="10232">
        <v>2.0</v>
      </c>
      <c r="O63" t="n" s="10233">
        <v>2.0</v>
      </c>
      <c r="P63" s="10234">
        <f>IF(HLOOKUP("Shots",A1:CV300,63,FALSE)=0,0,HLOOKUP("SIB",A1:CV300,63,FALSE)/HLOOKUP("Shots",A1:CV300,63,FALSE))</f>
      </c>
      <c r="Q63" t="n" s="10235">
        <v>1.0</v>
      </c>
      <c r="R63" s="10236">
        <f>IF(HLOOKUP("Shots",A1:CV300,63,FALSE)=0,0,HLOOKUP("S6YD",A1:CV300,63,FALSE)/HLOOKUP("Shots",A1:CV300,63,FALSE))</f>
      </c>
      <c r="S63" t="n" s="10237">
        <v>2.0</v>
      </c>
      <c r="T63" s="10238">
        <f>IF(HLOOKUP("Shots",A1:CV300,63,FALSE)=0,0,HLOOKUP("Headers",A1:CV300,63,FALSE)/HLOOKUP("Shots",A1:CV300,63,FALSE))</f>
      </c>
      <c r="U63" t="n" s="10239">
        <v>0.0</v>
      </c>
      <c r="V63" s="10240">
        <f>IF(HLOOKUP("Shots",A1:CV300,63,FALSE)=0,0,HLOOKUP("SOT",A1:CV300,63,FALSE)/HLOOKUP("Shots",A1:CV300,63,FALSE))</f>
      </c>
      <c r="W63" s="10241">
        <f>IF(HLOOKUP("Shots",A1:CV300,63,FALSE)=0,0,HLOOKUP("Gs",A1:CV300,63,FALSE)/HLOOKUP("Shots",A1:CV300,63,FALSE))</f>
      </c>
      <c r="X63" t="n" s="10242">
        <v>0.0</v>
      </c>
      <c r="Y63" t="n" s="10243">
        <v>0.0</v>
      </c>
      <c r="Z63" t="n" s="10244">
        <v>1.0</v>
      </c>
      <c r="AA63" s="10245">
        <f>IF(HLOOKUP("KP",A1:CV300,63,FALSE)=0,0,HLOOKUP("As",A1:CV300,63,FALSE)/HLOOKUP("KP",A1:CV300,63,FALSE))</f>
      </c>
      <c r="AB63" t="n" s="10246">
        <v>9.4</v>
      </c>
      <c r="AC63" t="n" s="10247">
        <v>0.0</v>
      </c>
      <c r="AD63" t="n" s="10248">
        <v>0.0</v>
      </c>
      <c r="AE63" t="n" s="10249">
        <v>0.0</v>
      </c>
      <c r="AF63" t="n" s="10250">
        <v>0.0</v>
      </c>
      <c r="AG63" s="10251">
        <f>IF(HLOOKUP("BC",A1:CV300,63,FALSE)=0,0,HLOOKUP("Gs - BC",A1:CV300,63,FALSE)/HLOOKUP("BC",A1:CV300,63,FALSE))</f>
      </c>
      <c r="AH63" s="10252">
        <f>HLOOKUP("BC",A1:CV300,63,FALSE) - HLOOKUP("BC Miss",A1:CV300,63,FALSE)</f>
      </c>
      <c r="AI63" s="10253">
        <f>IF(HLOOKUP("Gs",A1:CV300,63,FALSE)=0,0,HLOOKUP("Gs - BC",A1:CV300,63,FALSE)/HLOOKUP("Gs",A1:CV300,63,FALSE))</f>
      </c>
      <c r="AJ63" t="n" s="10254">
        <v>0.0</v>
      </c>
      <c r="AK63" t="n" s="10255">
        <v>0.0</v>
      </c>
      <c r="AL63" s="10256">
        <f>HLOOKUP("BC",A1:CV300,63,FALSE) - (HLOOKUP("PK Gs",A1:CV300,63,FALSE) + HLOOKUP("PK Miss",A1:CV300,63,FALSE))</f>
      </c>
      <c r="AM63" s="10257">
        <f>HLOOKUP("BC Miss",A1:CV300,63,FALSE) - HLOOKUP("PK Miss",A1:CV300,63,FALSE)</f>
      </c>
      <c r="AN63" s="10258">
        <f>IF(HLOOKUP("BC - Open",A1:CV300,63,FALSE)=0,0,HLOOKUP("BC - Open Miss",A1:CV300,63,FALSE)/HLOOKUP("BC - Open",A1:CV300,63,FALSE))</f>
      </c>
      <c r="AO63" t="n" s="10259">
        <v>0.0</v>
      </c>
      <c r="AP63" s="10260">
        <f>IF(HLOOKUP("Gs",A1:CV300,63,FALSE)=0,0,HLOOKUP("GIB",A1:CV300,63,FALSE)/HLOOKUP("Gs",A1:CV300,63,FALSE))</f>
      </c>
      <c r="AQ63" t="n" s="10261">
        <v>0.0</v>
      </c>
      <c r="AR63" s="10262">
        <f>IF(HLOOKUP("Gs",A1:CV300,63,FALSE)=0,0,HLOOKUP("Gs - Open",A1:CV300,63,FALSE)/HLOOKUP("Gs",A1:CV300,63,FALSE))</f>
      </c>
      <c r="AS63" t="n" s="10263">
        <v>0.19</v>
      </c>
      <c r="AT63" t="n" s="10264">
        <v>0.1</v>
      </c>
      <c r="AU63" s="10265">
        <f>IF(HLOOKUP("Mins",A1:CV300,63,FALSE)=0,0,HLOOKUP("Pts",A1:CV300,63,FALSE)/HLOOKUP("Mins",A1:CV300,63,FALSE)* 90)</f>
      </c>
      <c r="AV63" s="10266">
        <f>IF(HLOOKUP("Apps",A1:CV300,63,FALSE)=0,0,HLOOKUP("Pts",A1:CV300,63,FALSE)/HLOOKUP("Apps",A1:CV300,63,FALSE)* 1)</f>
      </c>
      <c r="AW63" s="10267">
        <f>IF(HLOOKUP("Mins",A1:CV300,63,FALSE)=0,0,HLOOKUP("Gs",A1:CV300,63,FALSE)/HLOOKUP("Mins",A1:CV300,63,FALSE)* 90)</f>
      </c>
      <c r="AX63" s="10268">
        <f>IF(HLOOKUP("Mins",A1:CV300,63,FALSE)=0,0,HLOOKUP("Bonus",A1:CV300,63,FALSE)/HLOOKUP("Mins",A1:CV300,63,FALSE)* 90)</f>
      </c>
      <c r="AY63" s="10269">
        <f>IF(HLOOKUP("Mins",A1:CV300,63,FALSE)=0,0,HLOOKUP("BPS",A1:CV300,63,FALSE)/HLOOKUP("Mins",A1:CV300,63,FALSE)* 90)</f>
      </c>
      <c r="AZ63" s="10270">
        <f>IF(HLOOKUP("Mins",A1:CV300,63,FALSE)=0,0,HLOOKUP("Base BPS",A1:CV300,63,FALSE)/HLOOKUP("Mins",A1:CV300,63,FALSE)* 90)</f>
      </c>
      <c r="BA63" s="10271">
        <f>IF(HLOOKUP("Mins",A1:CV300,63,FALSE)=0,0,HLOOKUP("PenTchs",A1:CV300,63,FALSE)/HLOOKUP("Mins",A1:CV300,63,FALSE)* 90)</f>
      </c>
      <c r="BB63" s="10272">
        <f>IF(HLOOKUP("Mins",A1:CV300,63,FALSE)=0,0,HLOOKUP("Shots",A1:CV300,63,FALSE)/HLOOKUP("Mins",A1:CV300,63,FALSE)* 90)</f>
      </c>
      <c r="BC63" s="10273">
        <f>IF(HLOOKUP("Mins",A1:CV300,63,FALSE)=0,0,HLOOKUP("SIB",A1:CV300,63,FALSE)/HLOOKUP("Mins",A1:CV300,63,FALSE)* 90)</f>
      </c>
      <c r="BD63" s="10274">
        <f>IF(HLOOKUP("Mins",A1:CV300,63,FALSE)=0,0,HLOOKUP("S6YD",A1:CV300,63,FALSE)/HLOOKUP("Mins",A1:CV300,63,FALSE)* 90)</f>
      </c>
      <c r="BE63" s="10275">
        <f>IF(HLOOKUP("Mins",A1:CV300,63,FALSE)=0,0,HLOOKUP("Headers",A1:CV300,63,FALSE)/HLOOKUP("Mins",A1:CV300,63,FALSE)* 90)</f>
      </c>
      <c r="BF63" s="10276">
        <f>IF(HLOOKUP("Mins",A1:CV300,63,FALSE)=0,0,HLOOKUP("SOT",A1:CV300,63,FALSE)/HLOOKUP("Mins",A1:CV300,63,FALSE)* 90)</f>
      </c>
      <c r="BG63" s="10277">
        <f>IF(HLOOKUP("Mins",A1:CV300,63,FALSE)=0,0,HLOOKUP("As",A1:CV300,63,FALSE)/HLOOKUP("Mins",A1:CV300,63,FALSE)* 90)</f>
      </c>
      <c r="BH63" s="10278">
        <f>IF(HLOOKUP("Mins",A1:CV300,63,FALSE)=0,0,HLOOKUP("FPL As",A1:CV300,63,FALSE)/HLOOKUP("Mins",A1:CV300,63,FALSE)* 90)</f>
      </c>
      <c r="BI63" s="10279">
        <f>IF(HLOOKUP("Mins",A1:CV300,63,FALSE)=0,0,HLOOKUP("BC Created",A1:CV300,63,FALSE)/HLOOKUP("Mins",A1:CV300,63,FALSE)* 90)</f>
      </c>
      <c r="BJ63" s="10280">
        <f>IF(HLOOKUP("Mins",A1:CV300,63,FALSE)=0,0,HLOOKUP("KP",A1:CV300,63,FALSE)/HLOOKUP("Mins",A1:CV300,63,FALSE)* 90)</f>
      </c>
      <c r="BK63" s="10281">
        <f>IF(HLOOKUP("Mins",A1:CV300,63,FALSE)=0,0,HLOOKUP("BC",A1:CV300,63,FALSE)/HLOOKUP("Mins",A1:CV300,63,FALSE)* 90)</f>
      </c>
      <c r="BL63" s="10282">
        <f>IF(HLOOKUP("Mins",A1:CV300,63,FALSE)=0,0,HLOOKUP("BC Miss",A1:CV300,63,FALSE)/HLOOKUP("Mins",A1:CV300,63,FALSE)* 90)</f>
      </c>
      <c r="BM63" s="10283">
        <f>IF(HLOOKUP("Mins",A1:CV300,63,FALSE)=0,0,HLOOKUP("Gs - BC",A1:CV300,63,FALSE)/HLOOKUP("Mins",A1:CV300,63,FALSE)* 90)</f>
      </c>
      <c r="BN63" s="10284">
        <f>IF(HLOOKUP("Mins",A1:CV300,63,FALSE)=0,0,HLOOKUP("GIB",A1:CV300,63,FALSE)/HLOOKUP("Mins",A1:CV300,63,FALSE)* 90)</f>
      </c>
      <c r="BO63" s="10285">
        <f>IF(HLOOKUP("Mins",A1:CV300,63,FALSE)=0,0,HLOOKUP("Gs - Open",A1:CV300,63,FALSE)/HLOOKUP("Mins",A1:CV300,63,FALSE)* 90)</f>
      </c>
      <c r="BP63" s="10286">
        <f>IF(HLOOKUP("Mins",A1:CV300,63,FALSE)=0,0,HLOOKUP("ICT Index",A1:CV300,63,FALSE)/HLOOKUP("Mins",A1:CV300,63,FALSE)* 90)</f>
      </c>
      <c r="BQ63" s="10287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</c>
      <c r="BR63" s="10288">
        <f>0.0825*HLOOKUP("KP/90",A1:CV300,63,FALSE)</f>
      </c>
      <c r="BS63" s="10289">
        <f>6*HLOOKUP("xG/90",A1:CV300,63,FALSE)+3*HLOOKUP("xA/90",A1:CV300,63,FALSE)</f>
      </c>
      <c r="BT63" s="10290">
        <f>HLOOKUP("xPts/90",A1:CV300,63,FALSE)-(6*0.75*(HLOOKUP("PK Gs",A1:CV300,63,FALSE)+HLOOKUP("PK Miss",A1:CV300,63,FALSE))*90/HLOOKUP("Mins",A1:CV300,63,FALSE))</f>
      </c>
      <c r="BU63" s="10291">
        <f>IF(HLOOKUP("Mins",A1:CV300,63,FALSE)=0,0,HLOOKUP("fsXG",A1:CV300,63,FALSE)/HLOOKUP("Mins",A1:CV300,63,FALSE)* 90)</f>
      </c>
      <c r="BV63" s="10292">
        <f>IF(HLOOKUP("Mins",A1:CV300,63,FALSE)=0,0,HLOOKUP("fsXA",A1:CV300,63,FALSE)/HLOOKUP("Mins",A1:CV300,63,FALSE)* 90)</f>
      </c>
      <c r="BW63" s="10293">
        <f>6*HLOOKUP("fsXG/90",A1:CV300,63,FALSE)+3*HLOOKUP("fsXA/90",A1:CV300,63,FALSE)</f>
      </c>
      <c r="BX63" t="n" s="10294">
        <v>0.031030012294650078</v>
      </c>
      <c r="BY63" t="n" s="10295">
        <v>0.011780496686697006</v>
      </c>
      <c r="BZ63" s="10296">
        <f>6*HLOOKUP("uXG/90",A1:CV300,63,FALSE)+3*HLOOKUP("uXA/90",A1:CV300,63,FALSE)</f>
      </c>
    </row>
    <row r="64">
      <c r="A64" t="s" s="10297">
        <v>229</v>
      </c>
      <c r="B64" t="s" s="10298">
        <v>92</v>
      </c>
      <c r="C64" t="n" s="10299">
        <v>4.300000190734863</v>
      </c>
      <c r="D64" t="n" s="10300">
        <v>405.0</v>
      </c>
      <c r="E64" t="n" s="10301">
        <v>5.0</v>
      </c>
      <c r="F64" t="n" s="10302">
        <v>61.0</v>
      </c>
      <c r="G64" t="n" s="10303">
        <v>0.0</v>
      </c>
      <c r="H64" t="n" s="10304">
        <v>5.0</v>
      </c>
      <c r="I64" t="n" s="10305">
        <v>335.0</v>
      </c>
      <c r="J64" s="10306">
        <f>HLOOKUP("BPS",A1:CV300,64,FALSE)-((-6*HLOOKUP("OG",A1:CV300,64,FALSE))+(-6*HLOOKUP("PK Miss",A1:CV300,64,FALSE))+(9*HLOOKUP("FPL As",A1:CV300,64,FALSE))+(12*HLOOKUP("CS",A1:CV300,64,FALSE))+(12*HLOOKUP("Gs",A1:CV300,64,FALSE)))</f>
      </c>
      <c r="K64" t="n" s="10307">
        <v>0.0</v>
      </c>
      <c r="L64" t="n" s="10308">
        <v>5.0</v>
      </c>
      <c r="M64" t="n" s="10309">
        <v>3.0</v>
      </c>
      <c r="N64" t="n" s="10310">
        <v>2.0</v>
      </c>
      <c r="O64" t="n" s="10311">
        <v>2.0</v>
      </c>
      <c r="P64" s="10312">
        <f>IF(HLOOKUP("Shots",A1:CV300,64,FALSE)=0,0,HLOOKUP("SIB",A1:CV300,64,FALSE)/HLOOKUP("Shots",A1:CV300,64,FALSE))</f>
      </c>
      <c r="Q64" t="n" s="10313">
        <v>0.0</v>
      </c>
      <c r="R64" s="10314">
        <f>IF(HLOOKUP("Shots",A1:CV300,64,FALSE)=0,0,HLOOKUP("S6YD",A1:CV300,64,FALSE)/HLOOKUP("Shots",A1:CV300,64,FALSE))</f>
      </c>
      <c r="S64" t="n" s="10315">
        <v>0.0</v>
      </c>
      <c r="T64" s="10316">
        <f>IF(HLOOKUP("Shots",A1:CV300,64,FALSE)=0,0,HLOOKUP("Headers",A1:CV300,64,FALSE)/HLOOKUP("Shots",A1:CV300,64,FALSE))</f>
      </c>
      <c r="U64" t="n" s="10317">
        <v>1.0</v>
      </c>
      <c r="V64" s="10318">
        <f>IF(HLOOKUP("Shots",A1:CV300,64,FALSE)=0,0,HLOOKUP("SOT",A1:CV300,64,FALSE)/HLOOKUP("Shots",A1:CV300,64,FALSE))</f>
      </c>
      <c r="W64" s="10319">
        <f>IF(HLOOKUP("Shots",A1:CV300,64,FALSE)=0,0,HLOOKUP("Gs",A1:CV300,64,FALSE)/HLOOKUP("Shots",A1:CV300,64,FALSE))</f>
      </c>
      <c r="X64" t="n" s="10320">
        <v>0.0</v>
      </c>
      <c r="Y64" t="n" s="10321">
        <v>3.0</v>
      </c>
      <c r="Z64" t="n" s="10322">
        <v>2.0</v>
      </c>
      <c r="AA64" s="10323">
        <f>IF(HLOOKUP("KP",A1:CV300,64,FALSE)=0,0,HLOOKUP("As",A1:CV300,64,FALSE)/HLOOKUP("KP",A1:CV300,64,FALSE))</f>
      </c>
      <c r="AB64" t="n" s="10324">
        <v>14.7</v>
      </c>
      <c r="AC64" t="n" s="10325">
        <v>17.0</v>
      </c>
      <c r="AD64" t="n" s="10326">
        <v>0.0</v>
      </c>
      <c r="AE64" t="n" s="10327">
        <v>0.0</v>
      </c>
      <c r="AF64" t="n" s="10328">
        <v>0.0</v>
      </c>
      <c r="AG64" s="10329">
        <f>IF(HLOOKUP("BC",A1:CV300,64,FALSE)=0,0,HLOOKUP("Gs - BC",A1:CV300,64,FALSE)/HLOOKUP("BC",A1:CV300,64,FALSE))</f>
      </c>
      <c r="AH64" s="10330">
        <f>HLOOKUP("BC",A1:CV300,64,FALSE) - HLOOKUP("BC Miss",A1:CV300,64,FALSE)</f>
      </c>
      <c r="AI64" s="10331">
        <f>IF(HLOOKUP("Gs",A1:CV300,64,FALSE)=0,0,HLOOKUP("Gs - BC",A1:CV300,64,FALSE)/HLOOKUP("Gs",A1:CV300,64,FALSE))</f>
      </c>
      <c r="AJ64" t="n" s="10332">
        <v>0.0</v>
      </c>
      <c r="AK64" t="n" s="10333">
        <v>0.0</v>
      </c>
      <c r="AL64" s="10334">
        <f>HLOOKUP("BC",A1:CV300,64,FALSE) - (HLOOKUP("PK Gs",A1:CV300,64,FALSE) + HLOOKUP("PK Miss",A1:CV300,64,FALSE))</f>
      </c>
      <c r="AM64" s="10335">
        <f>HLOOKUP("BC Miss",A1:CV300,64,FALSE) - HLOOKUP("PK Miss",A1:CV300,64,FALSE)</f>
      </c>
      <c r="AN64" s="10336">
        <f>IF(HLOOKUP("BC - Open",A1:CV300,64,FALSE)=0,0,HLOOKUP("BC - Open Miss",A1:CV300,64,FALSE)/HLOOKUP("BC - Open",A1:CV300,64,FALSE))</f>
      </c>
      <c r="AO64" t="n" s="10337">
        <v>0.0</v>
      </c>
      <c r="AP64" s="10338">
        <f>IF(HLOOKUP("Gs",A1:CV300,64,FALSE)=0,0,HLOOKUP("GIB",A1:CV300,64,FALSE)/HLOOKUP("Gs",A1:CV300,64,FALSE))</f>
      </c>
      <c r="AQ64" t="n" s="10339">
        <v>0.0</v>
      </c>
      <c r="AR64" s="10340">
        <f>IF(HLOOKUP("Gs",A1:CV300,64,FALSE)=0,0,HLOOKUP("Gs - Open",A1:CV300,64,FALSE)/HLOOKUP("Gs",A1:CV300,64,FALSE))</f>
      </c>
      <c r="AS64" t="n" s="10341">
        <v>0.14</v>
      </c>
      <c r="AT64" t="n" s="10342">
        <v>0.45</v>
      </c>
      <c r="AU64" s="10343">
        <f>IF(HLOOKUP("Mins",A1:CV300,64,FALSE)=0,0,HLOOKUP("Pts",A1:CV300,64,FALSE)/HLOOKUP("Mins",A1:CV300,64,FALSE)* 90)</f>
      </c>
      <c r="AV64" s="10344">
        <f>IF(HLOOKUP("Apps",A1:CV300,64,FALSE)=0,0,HLOOKUP("Pts",A1:CV300,64,FALSE)/HLOOKUP("Apps",A1:CV300,64,FALSE)* 1)</f>
      </c>
      <c r="AW64" s="10345">
        <f>IF(HLOOKUP("Mins",A1:CV300,64,FALSE)=0,0,HLOOKUP("Gs",A1:CV300,64,FALSE)/HLOOKUP("Mins",A1:CV300,64,FALSE)* 90)</f>
      </c>
      <c r="AX64" s="10346">
        <f>IF(HLOOKUP("Mins",A1:CV300,64,FALSE)=0,0,HLOOKUP("Bonus",A1:CV300,64,FALSE)/HLOOKUP("Mins",A1:CV300,64,FALSE)* 90)</f>
      </c>
      <c r="AY64" s="10347">
        <f>IF(HLOOKUP("Mins",A1:CV300,64,FALSE)=0,0,HLOOKUP("BPS",A1:CV300,64,FALSE)/HLOOKUP("Mins",A1:CV300,64,FALSE)* 90)</f>
      </c>
      <c r="AZ64" s="10348">
        <f>IF(HLOOKUP("Mins",A1:CV300,64,FALSE)=0,0,HLOOKUP("Base BPS",A1:CV300,64,FALSE)/HLOOKUP("Mins",A1:CV300,64,FALSE)* 90)</f>
      </c>
      <c r="BA64" s="10349">
        <f>IF(HLOOKUP("Mins",A1:CV300,64,FALSE)=0,0,HLOOKUP("PenTchs",A1:CV300,64,FALSE)/HLOOKUP("Mins",A1:CV300,64,FALSE)* 90)</f>
      </c>
      <c r="BB64" s="10350">
        <f>IF(HLOOKUP("Mins",A1:CV300,64,FALSE)=0,0,HLOOKUP("Shots",A1:CV300,64,FALSE)/HLOOKUP("Mins",A1:CV300,64,FALSE)* 90)</f>
      </c>
      <c r="BC64" s="10351">
        <f>IF(HLOOKUP("Mins",A1:CV300,64,FALSE)=0,0,HLOOKUP("SIB",A1:CV300,64,FALSE)/HLOOKUP("Mins",A1:CV300,64,FALSE)* 90)</f>
      </c>
      <c r="BD64" s="10352">
        <f>IF(HLOOKUP("Mins",A1:CV300,64,FALSE)=0,0,HLOOKUP("S6YD",A1:CV300,64,FALSE)/HLOOKUP("Mins",A1:CV300,64,FALSE)* 90)</f>
      </c>
      <c r="BE64" s="10353">
        <f>IF(HLOOKUP("Mins",A1:CV300,64,FALSE)=0,0,HLOOKUP("Headers",A1:CV300,64,FALSE)/HLOOKUP("Mins",A1:CV300,64,FALSE)* 90)</f>
      </c>
      <c r="BF64" s="10354">
        <f>IF(HLOOKUP("Mins",A1:CV300,64,FALSE)=0,0,HLOOKUP("SOT",A1:CV300,64,FALSE)/HLOOKUP("Mins",A1:CV300,64,FALSE)* 90)</f>
      </c>
      <c r="BG64" s="10355">
        <f>IF(HLOOKUP("Mins",A1:CV300,64,FALSE)=0,0,HLOOKUP("As",A1:CV300,64,FALSE)/HLOOKUP("Mins",A1:CV300,64,FALSE)* 90)</f>
      </c>
      <c r="BH64" s="10356">
        <f>IF(HLOOKUP("Mins",A1:CV300,64,FALSE)=0,0,HLOOKUP("FPL As",A1:CV300,64,FALSE)/HLOOKUP("Mins",A1:CV300,64,FALSE)* 90)</f>
      </c>
      <c r="BI64" s="10357">
        <f>IF(HLOOKUP("Mins",A1:CV300,64,FALSE)=0,0,HLOOKUP("BC Created",A1:CV300,64,FALSE)/HLOOKUP("Mins",A1:CV300,64,FALSE)* 90)</f>
      </c>
      <c r="BJ64" s="10358">
        <f>IF(HLOOKUP("Mins",A1:CV300,64,FALSE)=0,0,HLOOKUP("KP",A1:CV300,64,FALSE)/HLOOKUP("Mins",A1:CV300,64,FALSE)* 90)</f>
      </c>
      <c r="BK64" s="10359">
        <f>IF(HLOOKUP("Mins",A1:CV300,64,FALSE)=0,0,HLOOKUP("BC",A1:CV300,64,FALSE)/HLOOKUP("Mins",A1:CV300,64,FALSE)* 90)</f>
      </c>
      <c r="BL64" s="10360">
        <f>IF(HLOOKUP("Mins",A1:CV300,64,FALSE)=0,0,HLOOKUP("BC Miss",A1:CV300,64,FALSE)/HLOOKUP("Mins",A1:CV300,64,FALSE)* 90)</f>
      </c>
      <c r="BM64" s="10361">
        <f>IF(HLOOKUP("Mins",A1:CV300,64,FALSE)=0,0,HLOOKUP("Gs - BC",A1:CV300,64,FALSE)/HLOOKUP("Mins",A1:CV300,64,FALSE)* 90)</f>
      </c>
      <c r="BN64" s="10362">
        <f>IF(HLOOKUP("Mins",A1:CV300,64,FALSE)=0,0,HLOOKUP("GIB",A1:CV300,64,FALSE)/HLOOKUP("Mins",A1:CV300,64,FALSE)* 90)</f>
      </c>
      <c r="BO64" s="10363">
        <f>IF(HLOOKUP("Mins",A1:CV300,64,FALSE)=0,0,HLOOKUP("Gs - Open",A1:CV300,64,FALSE)/HLOOKUP("Mins",A1:CV300,64,FALSE)* 90)</f>
      </c>
      <c r="BP64" s="10364">
        <f>IF(HLOOKUP("Mins",A1:CV300,64,FALSE)=0,0,HLOOKUP("ICT Index",A1:CV300,64,FALSE)/HLOOKUP("Mins",A1:CV300,64,FALSE)* 90)</f>
      </c>
      <c r="BQ64" s="10365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</c>
      <c r="BR64" s="10366">
        <f>0.0825*HLOOKUP("KP/90",A1:CV300,64,FALSE)</f>
      </c>
      <c r="BS64" s="10367">
        <f>6*HLOOKUP("xG/90",A1:CV300,64,FALSE)+3*HLOOKUP("xA/90",A1:CV300,64,FALSE)</f>
      </c>
      <c r="BT64" s="10368">
        <f>HLOOKUP("xPts/90",A1:CV300,64,FALSE)-(6*0.75*(HLOOKUP("PK Gs",A1:CV300,64,FALSE)+HLOOKUP("PK Miss",A1:CV300,64,FALSE))*90/HLOOKUP("Mins",A1:CV300,64,FALSE))</f>
      </c>
      <c r="BU64" s="10369">
        <f>IF(HLOOKUP("Mins",A1:CV300,64,FALSE)=0,0,HLOOKUP("fsXG",A1:CV300,64,FALSE)/HLOOKUP("Mins",A1:CV300,64,FALSE)* 90)</f>
      </c>
      <c r="BV64" s="10370">
        <f>IF(HLOOKUP("Mins",A1:CV300,64,FALSE)=0,0,HLOOKUP("fsXA",A1:CV300,64,FALSE)/HLOOKUP("Mins",A1:CV300,64,FALSE)* 90)</f>
      </c>
      <c r="BW64" s="10371">
        <f>6*HLOOKUP("fsXG/90",A1:CV300,64,FALSE)+3*HLOOKUP("fsXA/90",A1:CV300,64,FALSE)</f>
      </c>
      <c r="BX64" t="n" s="10372">
        <v>0.02997642010450363</v>
      </c>
      <c r="BY64" t="n" s="10373">
        <v>0.02968740649521351</v>
      </c>
      <c r="BZ64" s="10374">
        <f>6*HLOOKUP("uXG/90",A1:CV300,64,FALSE)+3*HLOOKUP("uXA/90",A1:CV300,64,FALSE)</f>
      </c>
    </row>
    <row r="65">
      <c r="A65" t="s" s="10375">
        <v>230</v>
      </c>
      <c r="B65" t="s" s="10376">
        <v>80</v>
      </c>
      <c r="C65" t="n" s="10377">
        <v>4.599999904632568</v>
      </c>
      <c r="D65" t="n" s="10378">
        <v>270.0</v>
      </c>
      <c r="E65" t="n" s="10379">
        <v>3.0</v>
      </c>
      <c r="F65" t="n" s="10380">
        <v>36.0</v>
      </c>
      <c r="G65" t="n" s="10381">
        <v>0.0</v>
      </c>
      <c r="H65" t="n" s="10382">
        <v>3.0</v>
      </c>
      <c r="I65" t="n" s="10383">
        <v>216.0</v>
      </c>
      <c r="J65" s="10384">
        <f>HLOOKUP("BPS",A1:CV300,65,FALSE)-((-6*HLOOKUP("OG",A1:CV300,65,FALSE))+(-6*HLOOKUP("PK Miss",A1:CV300,65,FALSE))+(9*HLOOKUP("FPL As",A1:CV300,65,FALSE))+(12*HLOOKUP("CS",A1:CV300,65,FALSE))+(12*HLOOKUP("Gs",A1:CV300,65,FALSE)))</f>
      </c>
      <c r="K65" t="n" s="10385">
        <v>0.0</v>
      </c>
      <c r="L65" t="n" s="10386">
        <v>3.0</v>
      </c>
      <c r="M65" t="n" s="10387">
        <v>1.0</v>
      </c>
      <c r="N65" t="n" s="10388">
        <v>0.0</v>
      </c>
      <c r="O65" t="n" s="10389">
        <v>0.0</v>
      </c>
      <c r="P65" s="10390">
        <f>IF(HLOOKUP("Shots",A1:CV300,65,FALSE)=0,0,HLOOKUP("SIB",A1:CV300,65,FALSE)/HLOOKUP("Shots",A1:CV300,65,FALSE))</f>
      </c>
      <c r="Q65" t="n" s="10391">
        <v>0.0</v>
      </c>
      <c r="R65" s="10392">
        <f>IF(HLOOKUP("Shots",A1:CV300,65,FALSE)=0,0,HLOOKUP("S6YD",A1:CV300,65,FALSE)/HLOOKUP("Shots",A1:CV300,65,FALSE))</f>
      </c>
      <c r="S65" t="n" s="10393">
        <v>0.0</v>
      </c>
      <c r="T65" s="10394">
        <f>IF(HLOOKUP("Shots",A1:CV300,65,FALSE)=0,0,HLOOKUP("Headers",A1:CV300,65,FALSE)/HLOOKUP("Shots",A1:CV300,65,FALSE))</f>
      </c>
      <c r="U65" t="n" s="10395">
        <v>0.0</v>
      </c>
      <c r="V65" s="10396">
        <f>IF(HLOOKUP("Shots",A1:CV300,65,FALSE)=0,0,HLOOKUP("SOT",A1:CV300,65,FALSE)/HLOOKUP("Shots",A1:CV300,65,FALSE))</f>
      </c>
      <c r="W65" s="10397">
        <f>IF(HLOOKUP("Shots",A1:CV300,65,FALSE)=0,0,HLOOKUP("Gs",A1:CV300,65,FALSE)/HLOOKUP("Shots",A1:CV300,65,FALSE))</f>
      </c>
      <c r="X65" t="n" s="10398">
        <v>0.0</v>
      </c>
      <c r="Y65" t="n" s="10399">
        <v>2.0</v>
      </c>
      <c r="Z65" t="n" s="10400">
        <v>0.0</v>
      </c>
      <c r="AA65" s="10401">
        <f>IF(HLOOKUP("KP",A1:CV300,65,FALSE)=0,0,HLOOKUP("As",A1:CV300,65,FALSE)/HLOOKUP("KP",A1:CV300,65,FALSE))</f>
      </c>
      <c r="AB65" t="n" s="10402">
        <v>6.0</v>
      </c>
      <c r="AC65" t="n" s="10403">
        <v>0.0</v>
      </c>
      <c r="AD65" t="n" s="10404">
        <v>0.0</v>
      </c>
      <c r="AE65" t="n" s="10405">
        <v>0.0</v>
      </c>
      <c r="AF65" t="n" s="10406">
        <v>0.0</v>
      </c>
      <c r="AG65" s="10407">
        <f>IF(HLOOKUP("BC",A1:CV300,65,FALSE)=0,0,HLOOKUP("Gs - BC",A1:CV300,65,FALSE)/HLOOKUP("BC",A1:CV300,65,FALSE))</f>
      </c>
      <c r="AH65" s="10408">
        <f>HLOOKUP("BC",A1:CV300,65,FALSE) - HLOOKUP("BC Miss",A1:CV300,65,FALSE)</f>
      </c>
      <c r="AI65" s="10409">
        <f>IF(HLOOKUP("Gs",A1:CV300,65,FALSE)=0,0,HLOOKUP("Gs - BC",A1:CV300,65,FALSE)/HLOOKUP("Gs",A1:CV300,65,FALSE))</f>
      </c>
      <c r="AJ65" t="n" s="10410">
        <v>0.0</v>
      </c>
      <c r="AK65" t="n" s="10411">
        <v>0.0</v>
      </c>
      <c r="AL65" s="10412">
        <f>HLOOKUP("BC",A1:CV300,65,FALSE) - (HLOOKUP("PK Gs",A1:CV300,65,FALSE) + HLOOKUP("PK Miss",A1:CV300,65,FALSE))</f>
      </c>
      <c r="AM65" s="10413">
        <f>HLOOKUP("BC Miss",A1:CV300,65,FALSE) - HLOOKUP("PK Miss",A1:CV300,65,FALSE)</f>
      </c>
      <c r="AN65" s="10414">
        <f>IF(HLOOKUP("BC - Open",A1:CV300,65,FALSE)=0,0,HLOOKUP("BC - Open Miss",A1:CV300,65,FALSE)/HLOOKUP("BC - Open",A1:CV300,65,FALSE))</f>
      </c>
      <c r="AO65" t="n" s="10415">
        <v>0.0</v>
      </c>
      <c r="AP65" s="10416">
        <f>IF(HLOOKUP("Gs",A1:CV300,65,FALSE)=0,0,HLOOKUP("GIB",A1:CV300,65,FALSE)/HLOOKUP("Gs",A1:CV300,65,FALSE))</f>
      </c>
      <c r="AQ65" t="n" s="10417">
        <v>0.0</v>
      </c>
      <c r="AR65" s="10418">
        <f>IF(HLOOKUP("Gs",A1:CV300,65,FALSE)=0,0,HLOOKUP("Gs - Open",A1:CV300,65,FALSE)/HLOOKUP("Gs",A1:CV300,65,FALSE))</f>
      </c>
      <c r="AS65" t="n" s="10419">
        <v>0.0</v>
      </c>
      <c r="AT65" t="n" s="10420">
        <v>0.03</v>
      </c>
      <c r="AU65" s="10421">
        <f>IF(HLOOKUP("Mins",A1:CV300,65,FALSE)=0,0,HLOOKUP("Pts",A1:CV300,65,FALSE)/HLOOKUP("Mins",A1:CV300,65,FALSE)* 90)</f>
      </c>
      <c r="AV65" s="10422">
        <f>IF(HLOOKUP("Apps",A1:CV300,65,FALSE)=0,0,HLOOKUP("Pts",A1:CV300,65,FALSE)/HLOOKUP("Apps",A1:CV300,65,FALSE)* 1)</f>
      </c>
      <c r="AW65" s="10423">
        <f>IF(HLOOKUP("Mins",A1:CV300,65,FALSE)=0,0,HLOOKUP("Gs",A1:CV300,65,FALSE)/HLOOKUP("Mins",A1:CV300,65,FALSE)* 90)</f>
      </c>
      <c r="AX65" s="10424">
        <f>IF(HLOOKUP("Mins",A1:CV300,65,FALSE)=0,0,HLOOKUP("Bonus",A1:CV300,65,FALSE)/HLOOKUP("Mins",A1:CV300,65,FALSE)* 90)</f>
      </c>
      <c r="AY65" s="10425">
        <f>IF(HLOOKUP("Mins",A1:CV300,65,FALSE)=0,0,HLOOKUP("BPS",A1:CV300,65,FALSE)/HLOOKUP("Mins",A1:CV300,65,FALSE)* 90)</f>
      </c>
      <c r="AZ65" s="10426">
        <f>IF(HLOOKUP("Mins",A1:CV300,65,FALSE)=0,0,HLOOKUP("Base BPS",A1:CV300,65,FALSE)/HLOOKUP("Mins",A1:CV300,65,FALSE)* 90)</f>
      </c>
      <c r="BA65" s="10427">
        <f>IF(HLOOKUP("Mins",A1:CV300,65,FALSE)=0,0,HLOOKUP("PenTchs",A1:CV300,65,FALSE)/HLOOKUP("Mins",A1:CV300,65,FALSE)* 90)</f>
      </c>
      <c r="BB65" s="10428">
        <f>IF(HLOOKUP("Mins",A1:CV300,65,FALSE)=0,0,HLOOKUP("Shots",A1:CV300,65,FALSE)/HLOOKUP("Mins",A1:CV300,65,FALSE)* 90)</f>
      </c>
      <c r="BC65" s="10429">
        <f>IF(HLOOKUP("Mins",A1:CV300,65,FALSE)=0,0,HLOOKUP("SIB",A1:CV300,65,FALSE)/HLOOKUP("Mins",A1:CV300,65,FALSE)* 90)</f>
      </c>
      <c r="BD65" s="10430">
        <f>IF(HLOOKUP("Mins",A1:CV300,65,FALSE)=0,0,HLOOKUP("S6YD",A1:CV300,65,FALSE)/HLOOKUP("Mins",A1:CV300,65,FALSE)* 90)</f>
      </c>
      <c r="BE65" s="10431">
        <f>IF(HLOOKUP("Mins",A1:CV300,65,FALSE)=0,0,HLOOKUP("Headers",A1:CV300,65,FALSE)/HLOOKUP("Mins",A1:CV300,65,FALSE)* 90)</f>
      </c>
      <c r="BF65" s="10432">
        <f>IF(HLOOKUP("Mins",A1:CV300,65,FALSE)=0,0,HLOOKUP("SOT",A1:CV300,65,FALSE)/HLOOKUP("Mins",A1:CV300,65,FALSE)* 90)</f>
      </c>
      <c r="BG65" s="10433">
        <f>IF(HLOOKUP("Mins",A1:CV300,65,FALSE)=0,0,HLOOKUP("As",A1:CV300,65,FALSE)/HLOOKUP("Mins",A1:CV300,65,FALSE)* 90)</f>
      </c>
      <c r="BH65" s="10434">
        <f>IF(HLOOKUP("Mins",A1:CV300,65,FALSE)=0,0,HLOOKUP("FPL As",A1:CV300,65,FALSE)/HLOOKUP("Mins",A1:CV300,65,FALSE)* 90)</f>
      </c>
      <c r="BI65" s="10435">
        <f>IF(HLOOKUP("Mins",A1:CV300,65,FALSE)=0,0,HLOOKUP("BC Created",A1:CV300,65,FALSE)/HLOOKUP("Mins",A1:CV300,65,FALSE)* 90)</f>
      </c>
      <c r="BJ65" s="10436">
        <f>IF(HLOOKUP("Mins",A1:CV300,65,FALSE)=0,0,HLOOKUP("KP",A1:CV300,65,FALSE)/HLOOKUP("Mins",A1:CV300,65,FALSE)* 90)</f>
      </c>
      <c r="BK65" s="10437">
        <f>IF(HLOOKUP("Mins",A1:CV300,65,FALSE)=0,0,HLOOKUP("BC",A1:CV300,65,FALSE)/HLOOKUP("Mins",A1:CV300,65,FALSE)* 90)</f>
      </c>
      <c r="BL65" s="10438">
        <f>IF(HLOOKUP("Mins",A1:CV300,65,FALSE)=0,0,HLOOKUP("BC Miss",A1:CV300,65,FALSE)/HLOOKUP("Mins",A1:CV300,65,FALSE)* 90)</f>
      </c>
      <c r="BM65" s="10439">
        <f>IF(HLOOKUP("Mins",A1:CV300,65,FALSE)=0,0,HLOOKUP("Gs - BC",A1:CV300,65,FALSE)/HLOOKUP("Mins",A1:CV300,65,FALSE)* 90)</f>
      </c>
      <c r="BN65" s="10440">
        <f>IF(HLOOKUP("Mins",A1:CV300,65,FALSE)=0,0,HLOOKUP("GIB",A1:CV300,65,FALSE)/HLOOKUP("Mins",A1:CV300,65,FALSE)* 90)</f>
      </c>
      <c r="BO65" s="10441">
        <f>IF(HLOOKUP("Mins",A1:CV300,65,FALSE)=0,0,HLOOKUP("Gs - Open",A1:CV300,65,FALSE)/HLOOKUP("Mins",A1:CV300,65,FALSE)* 90)</f>
      </c>
      <c r="BP65" s="10442">
        <f>IF(HLOOKUP("Mins",A1:CV300,65,FALSE)=0,0,HLOOKUP("ICT Index",A1:CV300,65,FALSE)/HLOOKUP("Mins",A1:CV300,65,FALSE)* 90)</f>
      </c>
      <c r="BQ65" s="10443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</c>
      <c r="BR65" s="10444">
        <f>0.0825*HLOOKUP("KP/90",A1:CV300,65,FALSE)</f>
      </c>
      <c r="BS65" s="10445">
        <f>6*HLOOKUP("xG/90",A1:CV300,65,FALSE)+3*HLOOKUP("xA/90",A1:CV300,65,FALSE)</f>
      </c>
      <c r="BT65" s="10446">
        <f>HLOOKUP("xPts/90",A1:CV300,65,FALSE)-(6*0.75*(HLOOKUP("PK Gs",A1:CV300,65,FALSE)+HLOOKUP("PK Miss",A1:CV300,65,FALSE))*90/HLOOKUP("Mins",A1:CV300,65,FALSE))</f>
      </c>
      <c r="BU65" s="10447">
        <f>IF(HLOOKUP("Mins",A1:CV300,65,FALSE)=0,0,HLOOKUP("fsXG",A1:CV300,65,FALSE)/HLOOKUP("Mins",A1:CV300,65,FALSE)* 90)</f>
      </c>
      <c r="BV65" s="10448">
        <f>IF(HLOOKUP("Mins",A1:CV300,65,FALSE)=0,0,HLOOKUP("fsXA",A1:CV300,65,FALSE)/HLOOKUP("Mins",A1:CV300,65,FALSE)* 90)</f>
      </c>
      <c r="BW65" s="10449">
        <f>6*HLOOKUP("fsXG/90",A1:CV300,65,FALSE)+3*HLOOKUP("fsXA/90",A1:CV300,65,FALSE)</f>
      </c>
      <c r="BX65" t="n" s="10450">
        <v>0.0</v>
      </c>
      <c r="BY65" t="n" s="10451">
        <v>0.0</v>
      </c>
      <c r="BZ65" s="10452">
        <f>6*HLOOKUP("uXG/90",A1:CV300,65,FALSE)+3*HLOOKUP("uXA/90",A1:CV300,65,FALSE)</f>
      </c>
    </row>
    <row r="66">
      <c r="A66" t="s" s="10453">
        <v>231</v>
      </c>
      <c r="B66" t="s" s="10454">
        <v>82</v>
      </c>
      <c r="C66" t="n" s="10455">
        <v>4.099999904632568</v>
      </c>
      <c r="D66" t="n" s="10456">
        <v>14.0</v>
      </c>
      <c r="E66" t="n" s="10457">
        <v>3.0</v>
      </c>
      <c r="F66" t="n" s="10458">
        <v>9.0</v>
      </c>
      <c r="G66" t="n" s="10459">
        <v>0.0</v>
      </c>
      <c r="H66" t="n" s="10460">
        <v>0.0</v>
      </c>
      <c r="I66" t="n" s="10461">
        <v>35.0</v>
      </c>
      <c r="J66" s="10462">
        <f>HLOOKUP("BPS",A1:CV300,66,FALSE)-((-6*HLOOKUP("OG",A1:CV300,66,FALSE))+(-6*HLOOKUP("PK Miss",A1:CV300,66,FALSE))+(9*HLOOKUP("FPL As",A1:CV300,66,FALSE))+(12*HLOOKUP("CS",A1:CV300,66,FALSE))+(12*HLOOKUP("Gs",A1:CV300,66,FALSE)))</f>
      </c>
      <c r="K66" t="n" s="10463">
        <v>0.0</v>
      </c>
      <c r="L66" t="n" s="10464">
        <v>0.0</v>
      </c>
      <c r="M66" t="n" s="10465">
        <v>0.0</v>
      </c>
      <c r="N66" t="n" s="10466">
        <v>0.0</v>
      </c>
      <c r="O66" t="n" s="10467">
        <v>0.0</v>
      </c>
      <c r="P66" s="10468">
        <f>IF(HLOOKUP("Shots",A1:CV300,66,FALSE)=0,0,HLOOKUP("SIB",A1:CV300,66,FALSE)/HLOOKUP("Shots",A1:CV300,66,FALSE))</f>
      </c>
      <c r="Q66" t="n" s="10469">
        <v>0.0</v>
      </c>
      <c r="R66" s="10470">
        <f>IF(HLOOKUP("Shots",A1:CV300,66,FALSE)=0,0,HLOOKUP("S6YD",A1:CV300,66,FALSE)/HLOOKUP("Shots",A1:CV300,66,FALSE))</f>
      </c>
      <c r="S66" t="n" s="10471">
        <v>0.0</v>
      </c>
      <c r="T66" s="10472">
        <f>IF(HLOOKUP("Shots",A1:CV300,66,FALSE)=0,0,HLOOKUP("Headers",A1:CV300,66,FALSE)/HLOOKUP("Shots",A1:CV300,66,FALSE))</f>
      </c>
      <c r="U66" t="n" s="10473">
        <v>0.0</v>
      </c>
      <c r="V66" s="10474">
        <f>IF(HLOOKUP("Shots",A1:CV300,66,FALSE)=0,0,HLOOKUP("SOT",A1:CV300,66,FALSE)/HLOOKUP("Shots",A1:CV300,66,FALSE))</f>
      </c>
      <c r="W66" s="10475">
        <f>IF(HLOOKUP("Shots",A1:CV300,66,FALSE)=0,0,HLOOKUP("Gs",A1:CV300,66,FALSE)/HLOOKUP("Shots",A1:CV300,66,FALSE))</f>
      </c>
      <c r="X66" t="n" s="10476">
        <v>0.0</v>
      </c>
      <c r="Y66" t="n" s="10477">
        <v>0.0</v>
      </c>
      <c r="Z66" t="n" s="10478">
        <v>0.0</v>
      </c>
      <c r="AA66" s="10479">
        <f>IF(HLOOKUP("KP",A1:CV300,66,FALSE)=0,0,HLOOKUP("As",A1:CV300,66,FALSE)/HLOOKUP("KP",A1:CV300,66,FALSE))</f>
      </c>
      <c r="AB66" t="n" s="10480">
        <v>0.5</v>
      </c>
      <c r="AC66" t="n" s="10481">
        <v>0.0</v>
      </c>
      <c r="AD66" t="n" s="10482">
        <v>0.0</v>
      </c>
      <c r="AE66" t="n" s="10483">
        <v>0.0</v>
      </c>
      <c r="AF66" t="n" s="10484">
        <v>0.0</v>
      </c>
      <c r="AG66" s="10485">
        <f>IF(HLOOKUP("BC",A1:CV300,66,FALSE)=0,0,HLOOKUP("Gs - BC",A1:CV300,66,FALSE)/HLOOKUP("BC",A1:CV300,66,FALSE))</f>
      </c>
      <c r="AH66" s="10486">
        <f>HLOOKUP("BC",A1:CV300,66,FALSE) - HLOOKUP("BC Miss",A1:CV300,66,FALSE)</f>
      </c>
      <c r="AI66" s="10487">
        <f>IF(HLOOKUP("Gs",A1:CV300,66,FALSE)=0,0,HLOOKUP("Gs - BC",A1:CV300,66,FALSE)/HLOOKUP("Gs",A1:CV300,66,FALSE))</f>
      </c>
      <c r="AJ66" t="n" s="10488">
        <v>0.0</v>
      </c>
      <c r="AK66" t="n" s="10489">
        <v>0.0</v>
      </c>
      <c r="AL66" s="10490">
        <f>HLOOKUP("BC",A1:CV300,66,FALSE) - (HLOOKUP("PK Gs",A1:CV300,66,FALSE) + HLOOKUP("PK Miss",A1:CV300,66,FALSE))</f>
      </c>
      <c r="AM66" s="10491">
        <f>HLOOKUP("BC Miss",A1:CV300,66,FALSE) - HLOOKUP("PK Miss",A1:CV300,66,FALSE)</f>
      </c>
      <c r="AN66" s="10492">
        <f>IF(HLOOKUP("BC - Open",A1:CV300,66,FALSE)=0,0,HLOOKUP("BC - Open Miss",A1:CV300,66,FALSE)/HLOOKUP("BC - Open",A1:CV300,66,FALSE))</f>
      </c>
      <c r="AO66" t="n" s="10493">
        <v>0.0</v>
      </c>
      <c r="AP66" s="10494">
        <f>IF(HLOOKUP("Gs",A1:CV300,66,FALSE)=0,0,HLOOKUP("GIB",A1:CV300,66,FALSE)/HLOOKUP("Gs",A1:CV300,66,FALSE))</f>
      </c>
      <c r="AQ66" t="n" s="10495">
        <v>0.0</v>
      </c>
      <c r="AR66" s="10496">
        <f>IF(HLOOKUP("Gs",A1:CV300,66,FALSE)=0,0,HLOOKUP("Gs - Open",A1:CV300,66,FALSE)/HLOOKUP("Gs",A1:CV300,66,FALSE))</f>
      </c>
      <c r="AS66" t="n" s="10497">
        <v>0.0</v>
      </c>
      <c r="AT66" t="n" s="10498">
        <v>0.0</v>
      </c>
      <c r="AU66" s="10499">
        <f>IF(HLOOKUP("Mins",A1:CV300,66,FALSE)=0,0,HLOOKUP("Pts",A1:CV300,66,FALSE)/HLOOKUP("Mins",A1:CV300,66,FALSE)* 90)</f>
      </c>
      <c r="AV66" s="10500">
        <f>IF(HLOOKUP("Apps",A1:CV300,66,FALSE)=0,0,HLOOKUP("Pts",A1:CV300,66,FALSE)/HLOOKUP("Apps",A1:CV300,66,FALSE)* 1)</f>
      </c>
      <c r="AW66" s="10501">
        <f>IF(HLOOKUP("Mins",A1:CV300,66,FALSE)=0,0,HLOOKUP("Gs",A1:CV300,66,FALSE)/HLOOKUP("Mins",A1:CV300,66,FALSE)* 90)</f>
      </c>
      <c r="AX66" s="10502">
        <f>IF(HLOOKUP("Mins",A1:CV300,66,FALSE)=0,0,HLOOKUP("Bonus",A1:CV300,66,FALSE)/HLOOKUP("Mins",A1:CV300,66,FALSE)* 90)</f>
      </c>
      <c r="AY66" s="10503">
        <f>IF(HLOOKUP("Mins",A1:CV300,66,FALSE)=0,0,HLOOKUP("BPS",A1:CV300,66,FALSE)/HLOOKUP("Mins",A1:CV300,66,FALSE)* 90)</f>
      </c>
      <c r="AZ66" s="10504">
        <f>IF(HLOOKUP("Mins",A1:CV300,66,FALSE)=0,0,HLOOKUP("Base BPS",A1:CV300,66,FALSE)/HLOOKUP("Mins",A1:CV300,66,FALSE)* 90)</f>
      </c>
      <c r="BA66" s="10505">
        <f>IF(HLOOKUP("Mins",A1:CV300,66,FALSE)=0,0,HLOOKUP("PenTchs",A1:CV300,66,FALSE)/HLOOKUP("Mins",A1:CV300,66,FALSE)* 90)</f>
      </c>
      <c r="BB66" s="10506">
        <f>IF(HLOOKUP("Mins",A1:CV300,66,FALSE)=0,0,HLOOKUP("Shots",A1:CV300,66,FALSE)/HLOOKUP("Mins",A1:CV300,66,FALSE)* 90)</f>
      </c>
      <c r="BC66" s="10507">
        <f>IF(HLOOKUP("Mins",A1:CV300,66,FALSE)=0,0,HLOOKUP("SIB",A1:CV300,66,FALSE)/HLOOKUP("Mins",A1:CV300,66,FALSE)* 90)</f>
      </c>
      <c r="BD66" s="10508">
        <f>IF(HLOOKUP("Mins",A1:CV300,66,FALSE)=0,0,HLOOKUP("S6YD",A1:CV300,66,FALSE)/HLOOKUP("Mins",A1:CV300,66,FALSE)* 90)</f>
      </c>
      <c r="BE66" s="10509">
        <f>IF(HLOOKUP("Mins",A1:CV300,66,FALSE)=0,0,HLOOKUP("Headers",A1:CV300,66,FALSE)/HLOOKUP("Mins",A1:CV300,66,FALSE)* 90)</f>
      </c>
      <c r="BF66" s="10510">
        <f>IF(HLOOKUP("Mins",A1:CV300,66,FALSE)=0,0,HLOOKUP("SOT",A1:CV300,66,FALSE)/HLOOKUP("Mins",A1:CV300,66,FALSE)* 90)</f>
      </c>
      <c r="BG66" s="10511">
        <f>IF(HLOOKUP("Mins",A1:CV300,66,FALSE)=0,0,HLOOKUP("As",A1:CV300,66,FALSE)/HLOOKUP("Mins",A1:CV300,66,FALSE)* 90)</f>
      </c>
      <c r="BH66" s="10512">
        <f>IF(HLOOKUP("Mins",A1:CV300,66,FALSE)=0,0,HLOOKUP("FPL As",A1:CV300,66,FALSE)/HLOOKUP("Mins",A1:CV300,66,FALSE)* 90)</f>
      </c>
      <c r="BI66" s="10513">
        <f>IF(HLOOKUP("Mins",A1:CV300,66,FALSE)=0,0,HLOOKUP("BC Created",A1:CV300,66,FALSE)/HLOOKUP("Mins",A1:CV300,66,FALSE)* 90)</f>
      </c>
      <c r="BJ66" s="10514">
        <f>IF(HLOOKUP("Mins",A1:CV300,66,FALSE)=0,0,HLOOKUP("KP",A1:CV300,66,FALSE)/HLOOKUP("Mins",A1:CV300,66,FALSE)* 90)</f>
      </c>
      <c r="BK66" s="10515">
        <f>IF(HLOOKUP("Mins",A1:CV300,66,FALSE)=0,0,HLOOKUP("BC",A1:CV300,66,FALSE)/HLOOKUP("Mins",A1:CV300,66,FALSE)* 90)</f>
      </c>
      <c r="BL66" s="10516">
        <f>IF(HLOOKUP("Mins",A1:CV300,66,FALSE)=0,0,HLOOKUP("BC Miss",A1:CV300,66,FALSE)/HLOOKUP("Mins",A1:CV300,66,FALSE)* 90)</f>
      </c>
      <c r="BM66" s="10517">
        <f>IF(HLOOKUP("Mins",A1:CV300,66,FALSE)=0,0,HLOOKUP("Gs - BC",A1:CV300,66,FALSE)/HLOOKUP("Mins",A1:CV300,66,FALSE)* 90)</f>
      </c>
      <c r="BN66" s="10518">
        <f>IF(HLOOKUP("Mins",A1:CV300,66,FALSE)=0,0,HLOOKUP("GIB",A1:CV300,66,FALSE)/HLOOKUP("Mins",A1:CV300,66,FALSE)* 90)</f>
      </c>
      <c r="BO66" s="10519">
        <f>IF(HLOOKUP("Mins",A1:CV300,66,FALSE)=0,0,HLOOKUP("Gs - Open",A1:CV300,66,FALSE)/HLOOKUP("Mins",A1:CV300,66,FALSE)* 90)</f>
      </c>
      <c r="BP66" s="10520">
        <f>IF(HLOOKUP("Mins",A1:CV300,66,FALSE)=0,0,HLOOKUP("ICT Index",A1:CV300,66,FALSE)/HLOOKUP("Mins",A1:CV300,66,FALSE)* 90)</f>
      </c>
      <c r="BQ66" s="10521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</c>
      <c r="BR66" s="10522">
        <f>0.0825*HLOOKUP("KP/90",A1:CV300,66,FALSE)</f>
      </c>
      <c r="BS66" s="10523">
        <f>6*HLOOKUP("xG/90",A1:CV300,66,FALSE)+3*HLOOKUP("xA/90",A1:CV300,66,FALSE)</f>
      </c>
      <c r="BT66" s="10524">
        <f>HLOOKUP("xPts/90",A1:CV300,66,FALSE)-(6*0.75*(HLOOKUP("PK Gs",A1:CV300,66,FALSE)+HLOOKUP("PK Miss",A1:CV300,66,FALSE))*90/HLOOKUP("Mins",A1:CV300,66,FALSE))</f>
      </c>
      <c r="BU66" s="10525">
        <f>IF(HLOOKUP("Mins",A1:CV300,66,FALSE)=0,0,HLOOKUP("fsXG",A1:CV300,66,FALSE)/HLOOKUP("Mins",A1:CV300,66,FALSE)* 90)</f>
      </c>
      <c r="BV66" s="10526">
        <f>IF(HLOOKUP("Mins",A1:CV300,66,FALSE)=0,0,HLOOKUP("fsXA",A1:CV300,66,FALSE)/HLOOKUP("Mins",A1:CV300,66,FALSE)* 90)</f>
      </c>
      <c r="BW66" s="10527">
        <f>6*HLOOKUP("fsXG/90",A1:CV300,66,FALSE)+3*HLOOKUP("fsXA/90",A1:CV300,66,FALSE)</f>
      </c>
      <c r="BX66" t="n" s="10528">
        <v>0.0</v>
      </c>
      <c r="BY66" t="n" s="10529">
        <v>0.0</v>
      </c>
      <c r="BZ66" s="10530">
        <f>6*HLOOKUP("uXG/90",A1:CV300,66,FALSE)+3*HLOOKUP("uXA/90",A1:CV300,66,FALSE)</f>
      </c>
    </row>
    <row r="67">
      <c r="A67" t="s" s="10531">
        <v>232</v>
      </c>
      <c r="B67" t="s" s="10532">
        <v>95</v>
      </c>
      <c r="C67" t="n" s="10533">
        <v>5.0</v>
      </c>
      <c r="D67" t="n" s="10534">
        <v>540.0</v>
      </c>
      <c r="E67" t="n" s="10535">
        <v>6.0</v>
      </c>
      <c r="F67" t="n" s="10536">
        <v>76.0</v>
      </c>
      <c r="G67" t="n" s="10537">
        <v>0.0</v>
      </c>
      <c r="H67" t="n" s="10538">
        <v>11.0</v>
      </c>
      <c r="I67" t="n" s="10539">
        <v>432.0</v>
      </c>
      <c r="J67" s="10540">
        <f>HLOOKUP("BPS",A1:CV300,67,FALSE)-((-6*HLOOKUP("OG",A1:CV300,67,FALSE))+(-6*HLOOKUP("PK Miss",A1:CV300,67,FALSE))+(9*HLOOKUP("FPL As",A1:CV300,67,FALSE))+(12*HLOOKUP("CS",A1:CV300,67,FALSE))+(12*HLOOKUP("Gs",A1:CV300,67,FALSE)))</f>
      </c>
      <c r="K67" t="n" s="10541">
        <v>1.0</v>
      </c>
      <c r="L67" t="n" s="10542">
        <v>5.0</v>
      </c>
      <c r="M67" t="n" s="10543">
        <v>11.0</v>
      </c>
      <c r="N67" t="n" s="10544">
        <v>3.0</v>
      </c>
      <c r="O67" t="n" s="10545">
        <v>2.0</v>
      </c>
      <c r="P67" s="10546">
        <f>IF(HLOOKUP("Shots",A1:CV300,67,FALSE)=0,0,HLOOKUP("SIB",A1:CV300,67,FALSE)/HLOOKUP("Shots",A1:CV300,67,FALSE))</f>
      </c>
      <c r="Q67" t="n" s="10547">
        <v>0.0</v>
      </c>
      <c r="R67" s="10548">
        <f>IF(HLOOKUP("Shots",A1:CV300,67,FALSE)=0,0,HLOOKUP("S6YD",A1:CV300,67,FALSE)/HLOOKUP("Shots",A1:CV300,67,FALSE))</f>
      </c>
      <c r="S67" t="n" s="10549">
        <v>0.0</v>
      </c>
      <c r="T67" s="10550">
        <f>IF(HLOOKUP("Shots",A1:CV300,67,FALSE)=0,0,HLOOKUP("Headers",A1:CV300,67,FALSE)/HLOOKUP("Shots",A1:CV300,67,FALSE))</f>
      </c>
      <c r="U67" t="n" s="10551">
        <v>1.0</v>
      </c>
      <c r="V67" s="10552">
        <f>IF(HLOOKUP("Shots",A1:CV300,67,FALSE)=0,0,HLOOKUP("SOT",A1:CV300,67,FALSE)/HLOOKUP("Shots",A1:CV300,67,FALSE))</f>
      </c>
      <c r="W67" s="10553">
        <f>IF(HLOOKUP("Shots",A1:CV300,67,FALSE)=0,0,HLOOKUP("Gs",A1:CV300,67,FALSE)/HLOOKUP("Shots",A1:CV300,67,FALSE))</f>
      </c>
      <c r="X67" t="n" s="10554">
        <v>1.0</v>
      </c>
      <c r="Y67" t="n" s="10555">
        <v>6.0</v>
      </c>
      <c r="Z67" t="n" s="10556">
        <v>10.0</v>
      </c>
      <c r="AA67" s="10557">
        <f>IF(HLOOKUP("KP",A1:CV300,67,FALSE)=0,0,HLOOKUP("As",A1:CV300,67,FALSE)/HLOOKUP("KP",A1:CV300,67,FALSE))</f>
      </c>
      <c r="AB67" t="n" s="10558">
        <v>36.9</v>
      </c>
      <c r="AC67" t="n" s="10559">
        <v>14.0</v>
      </c>
      <c r="AD67" t="n" s="10560">
        <v>2.0</v>
      </c>
      <c r="AE67" t="n" s="10561">
        <v>0.0</v>
      </c>
      <c r="AF67" t="n" s="10562">
        <v>0.0</v>
      </c>
      <c r="AG67" s="10563">
        <f>IF(HLOOKUP("BC",A1:CV300,67,FALSE)=0,0,HLOOKUP("Gs - BC",A1:CV300,67,FALSE)/HLOOKUP("BC",A1:CV300,67,FALSE))</f>
      </c>
      <c r="AH67" s="10564">
        <f>HLOOKUP("BC",A1:CV300,67,FALSE) - HLOOKUP("BC Miss",A1:CV300,67,FALSE)</f>
      </c>
      <c r="AI67" s="10565">
        <f>IF(HLOOKUP("Gs",A1:CV300,67,FALSE)=0,0,HLOOKUP("Gs - BC",A1:CV300,67,FALSE)/HLOOKUP("Gs",A1:CV300,67,FALSE))</f>
      </c>
      <c r="AJ67" t="n" s="10566">
        <v>0.0</v>
      </c>
      <c r="AK67" t="n" s="10567">
        <v>0.0</v>
      </c>
      <c r="AL67" s="10568">
        <f>HLOOKUP("BC",A1:CV300,67,FALSE) - (HLOOKUP("PK Gs",A1:CV300,67,FALSE) + HLOOKUP("PK Miss",A1:CV300,67,FALSE))</f>
      </c>
      <c r="AM67" s="10569">
        <f>HLOOKUP("BC Miss",A1:CV300,67,FALSE) - HLOOKUP("PK Miss",A1:CV300,67,FALSE)</f>
      </c>
      <c r="AN67" s="10570">
        <f>IF(HLOOKUP("BC - Open",A1:CV300,67,FALSE)=0,0,HLOOKUP("BC - Open Miss",A1:CV300,67,FALSE)/HLOOKUP("BC - Open",A1:CV300,67,FALSE))</f>
      </c>
      <c r="AO67" t="n" s="10571">
        <v>0.0</v>
      </c>
      <c r="AP67" s="10572">
        <f>IF(HLOOKUP("Gs",A1:CV300,67,FALSE)=0,0,HLOOKUP("GIB",A1:CV300,67,FALSE)/HLOOKUP("Gs",A1:CV300,67,FALSE))</f>
      </c>
      <c r="AQ67" t="n" s="10573">
        <v>0.0</v>
      </c>
      <c r="AR67" s="10574">
        <f>IF(HLOOKUP("Gs",A1:CV300,67,FALSE)=0,0,HLOOKUP("Gs - Open",A1:CV300,67,FALSE)/HLOOKUP("Gs",A1:CV300,67,FALSE))</f>
      </c>
      <c r="AS67" t="n" s="10575">
        <v>0.14</v>
      </c>
      <c r="AT67" t="n" s="10576">
        <v>1.52</v>
      </c>
      <c r="AU67" s="10577">
        <f>IF(HLOOKUP("Mins",A1:CV300,67,FALSE)=0,0,HLOOKUP("Pts",A1:CV300,67,FALSE)/HLOOKUP("Mins",A1:CV300,67,FALSE)* 90)</f>
      </c>
      <c r="AV67" s="10578">
        <f>IF(HLOOKUP("Apps",A1:CV300,67,FALSE)=0,0,HLOOKUP("Pts",A1:CV300,67,FALSE)/HLOOKUP("Apps",A1:CV300,67,FALSE)* 1)</f>
      </c>
      <c r="AW67" s="10579">
        <f>IF(HLOOKUP("Mins",A1:CV300,67,FALSE)=0,0,HLOOKUP("Gs",A1:CV300,67,FALSE)/HLOOKUP("Mins",A1:CV300,67,FALSE)* 90)</f>
      </c>
      <c r="AX67" s="10580">
        <f>IF(HLOOKUP("Mins",A1:CV300,67,FALSE)=0,0,HLOOKUP("Bonus",A1:CV300,67,FALSE)/HLOOKUP("Mins",A1:CV300,67,FALSE)* 90)</f>
      </c>
      <c r="AY67" s="10581">
        <f>IF(HLOOKUP("Mins",A1:CV300,67,FALSE)=0,0,HLOOKUP("BPS",A1:CV300,67,FALSE)/HLOOKUP("Mins",A1:CV300,67,FALSE)* 90)</f>
      </c>
      <c r="AZ67" s="10582">
        <f>IF(HLOOKUP("Mins",A1:CV300,67,FALSE)=0,0,HLOOKUP("Base BPS",A1:CV300,67,FALSE)/HLOOKUP("Mins",A1:CV300,67,FALSE)* 90)</f>
      </c>
      <c r="BA67" s="10583">
        <f>IF(HLOOKUP("Mins",A1:CV300,67,FALSE)=0,0,HLOOKUP("PenTchs",A1:CV300,67,FALSE)/HLOOKUP("Mins",A1:CV300,67,FALSE)* 90)</f>
      </c>
      <c r="BB67" s="10584">
        <f>IF(HLOOKUP("Mins",A1:CV300,67,FALSE)=0,0,HLOOKUP("Shots",A1:CV300,67,FALSE)/HLOOKUP("Mins",A1:CV300,67,FALSE)* 90)</f>
      </c>
      <c r="BC67" s="10585">
        <f>IF(HLOOKUP("Mins",A1:CV300,67,FALSE)=0,0,HLOOKUP("SIB",A1:CV300,67,FALSE)/HLOOKUP("Mins",A1:CV300,67,FALSE)* 90)</f>
      </c>
      <c r="BD67" s="10586">
        <f>IF(HLOOKUP("Mins",A1:CV300,67,FALSE)=0,0,HLOOKUP("S6YD",A1:CV300,67,FALSE)/HLOOKUP("Mins",A1:CV300,67,FALSE)* 90)</f>
      </c>
      <c r="BE67" s="10587">
        <f>IF(HLOOKUP("Mins",A1:CV300,67,FALSE)=0,0,HLOOKUP("Headers",A1:CV300,67,FALSE)/HLOOKUP("Mins",A1:CV300,67,FALSE)* 90)</f>
      </c>
      <c r="BF67" s="10588">
        <f>IF(HLOOKUP("Mins",A1:CV300,67,FALSE)=0,0,HLOOKUP("SOT",A1:CV300,67,FALSE)/HLOOKUP("Mins",A1:CV300,67,FALSE)* 90)</f>
      </c>
      <c r="BG67" s="10589">
        <f>IF(HLOOKUP("Mins",A1:CV300,67,FALSE)=0,0,HLOOKUP("As",A1:CV300,67,FALSE)/HLOOKUP("Mins",A1:CV300,67,FALSE)* 90)</f>
      </c>
      <c r="BH67" s="10590">
        <f>IF(HLOOKUP("Mins",A1:CV300,67,FALSE)=0,0,HLOOKUP("FPL As",A1:CV300,67,FALSE)/HLOOKUP("Mins",A1:CV300,67,FALSE)* 90)</f>
      </c>
      <c r="BI67" s="10591">
        <f>IF(HLOOKUP("Mins",A1:CV300,67,FALSE)=0,0,HLOOKUP("BC Created",A1:CV300,67,FALSE)/HLOOKUP("Mins",A1:CV300,67,FALSE)* 90)</f>
      </c>
      <c r="BJ67" s="10592">
        <f>IF(HLOOKUP("Mins",A1:CV300,67,FALSE)=0,0,HLOOKUP("KP",A1:CV300,67,FALSE)/HLOOKUP("Mins",A1:CV300,67,FALSE)* 90)</f>
      </c>
      <c r="BK67" s="10593">
        <f>IF(HLOOKUP("Mins",A1:CV300,67,FALSE)=0,0,HLOOKUP("BC",A1:CV300,67,FALSE)/HLOOKUP("Mins",A1:CV300,67,FALSE)* 90)</f>
      </c>
      <c r="BL67" s="10594">
        <f>IF(HLOOKUP("Mins",A1:CV300,67,FALSE)=0,0,HLOOKUP("BC Miss",A1:CV300,67,FALSE)/HLOOKUP("Mins",A1:CV300,67,FALSE)* 90)</f>
      </c>
      <c r="BM67" s="10595">
        <f>IF(HLOOKUP("Mins",A1:CV300,67,FALSE)=0,0,HLOOKUP("Gs - BC",A1:CV300,67,FALSE)/HLOOKUP("Mins",A1:CV300,67,FALSE)* 90)</f>
      </c>
      <c r="BN67" s="10596">
        <f>IF(HLOOKUP("Mins",A1:CV300,67,FALSE)=0,0,HLOOKUP("GIB",A1:CV300,67,FALSE)/HLOOKUP("Mins",A1:CV300,67,FALSE)* 90)</f>
      </c>
      <c r="BO67" s="10597">
        <f>IF(HLOOKUP("Mins",A1:CV300,67,FALSE)=0,0,HLOOKUP("Gs - Open",A1:CV300,67,FALSE)/HLOOKUP("Mins",A1:CV300,67,FALSE)* 90)</f>
      </c>
      <c r="BP67" s="10598">
        <f>IF(HLOOKUP("Mins",A1:CV300,67,FALSE)=0,0,HLOOKUP("ICT Index",A1:CV300,67,FALSE)/HLOOKUP("Mins",A1:CV300,67,FALSE)* 90)</f>
      </c>
      <c r="BQ67" s="10599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</c>
      <c r="BR67" s="10600">
        <f>0.0825*HLOOKUP("KP/90",A1:CV300,67,FALSE)</f>
      </c>
      <c r="BS67" s="10601">
        <f>6*HLOOKUP("xG/90",A1:CV300,67,FALSE)+3*HLOOKUP("xA/90",A1:CV300,67,FALSE)</f>
      </c>
      <c r="BT67" s="10602">
        <f>HLOOKUP("xPts/90",A1:CV300,67,FALSE)-(6*0.75*(HLOOKUP("PK Gs",A1:CV300,67,FALSE)+HLOOKUP("PK Miss",A1:CV300,67,FALSE))*90/HLOOKUP("Mins",A1:CV300,67,FALSE))</f>
      </c>
      <c r="BU67" s="10603">
        <f>IF(HLOOKUP("Mins",A1:CV300,67,FALSE)=0,0,HLOOKUP("fsXG",A1:CV300,67,FALSE)/HLOOKUP("Mins",A1:CV300,67,FALSE)* 90)</f>
      </c>
      <c r="BV67" s="10604">
        <f>IF(HLOOKUP("Mins",A1:CV300,67,FALSE)=0,0,HLOOKUP("fsXA",A1:CV300,67,FALSE)/HLOOKUP("Mins",A1:CV300,67,FALSE)* 90)</f>
      </c>
      <c r="BW67" s="10605">
        <f>6*HLOOKUP("fsXG/90",A1:CV300,67,FALSE)+3*HLOOKUP("fsXA/90",A1:CV300,67,FALSE)</f>
      </c>
      <c r="BX67" t="n" s="10606">
        <v>0.020059678703546524</v>
      </c>
      <c r="BY67" t="n" s="10607">
        <v>0.2708767354488373</v>
      </c>
      <c r="BZ67" s="10608">
        <f>6*HLOOKUP("uXG/90",A1:CV300,67,FALSE)+3*HLOOKUP("uXA/90",A1:CV300,67,FALSE)</f>
      </c>
    </row>
    <row r="68">
      <c r="A68" t="s" s="10609">
        <v>233</v>
      </c>
      <c r="B68" t="s" s="10610">
        <v>100</v>
      </c>
      <c r="C68" t="n" s="10611">
        <v>4.400000095367432</v>
      </c>
      <c r="D68" t="n" s="10612">
        <v>540.0</v>
      </c>
      <c r="E68" t="n" s="10613">
        <v>6.0</v>
      </c>
      <c r="F68" t="n" s="10614">
        <v>56.0</v>
      </c>
      <c r="G68" t="n" s="10615">
        <v>0.0</v>
      </c>
      <c r="H68" t="n" s="10616">
        <v>6.0</v>
      </c>
      <c r="I68" t="n" s="10617">
        <v>278.0</v>
      </c>
      <c r="J68" s="10618">
        <f>HLOOKUP("BPS",A1:CV300,68,FALSE)-((-6*HLOOKUP("OG",A1:CV300,68,FALSE))+(-6*HLOOKUP("PK Miss",A1:CV300,68,FALSE))+(9*HLOOKUP("FPL As",A1:CV300,68,FALSE))+(12*HLOOKUP("CS",A1:CV300,68,FALSE))+(12*HLOOKUP("Gs",A1:CV300,68,FALSE)))</f>
      </c>
      <c r="K68" t="n" s="10619">
        <v>0.0</v>
      </c>
      <c r="L68" t="n" s="10620">
        <v>3.0</v>
      </c>
      <c r="M68" t="n" s="10621">
        <v>7.0</v>
      </c>
      <c r="N68" t="n" s="10622">
        <v>3.0</v>
      </c>
      <c r="O68" t="n" s="10623">
        <v>3.0</v>
      </c>
      <c r="P68" s="10624">
        <f>IF(HLOOKUP("Shots",A1:CV300,68,FALSE)=0,0,HLOOKUP("SIB",A1:CV300,68,FALSE)/HLOOKUP("Shots",A1:CV300,68,FALSE))</f>
      </c>
      <c r="Q68" t="n" s="10625">
        <v>1.0</v>
      </c>
      <c r="R68" s="10626">
        <f>IF(HLOOKUP("Shots",A1:CV300,68,FALSE)=0,0,HLOOKUP("S6YD",A1:CV300,68,FALSE)/HLOOKUP("Shots",A1:CV300,68,FALSE))</f>
      </c>
      <c r="S68" t="n" s="10627">
        <v>2.0</v>
      </c>
      <c r="T68" s="10628">
        <f>IF(HLOOKUP("Shots",A1:CV300,68,FALSE)=0,0,HLOOKUP("Headers",A1:CV300,68,FALSE)/HLOOKUP("Shots",A1:CV300,68,FALSE))</f>
      </c>
      <c r="U68" t="n" s="10629">
        <v>0.0</v>
      </c>
      <c r="V68" s="10630">
        <f>IF(HLOOKUP("Shots",A1:CV300,68,FALSE)=0,0,HLOOKUP("SOT",A1:CV300,68,FALSE)/HLOOKUP("Shots",A1:CV300,68,FALSE))</f>
      </c>
      <c r="W68" s="10631">
        <f>IF(HLOOKUP("Shots",A1:CV300,68,FALSE)=0,0,HLOOKUP("Gs",A1:CV300,68,FALSE)/HLOOKUP("Shots",A1:CV300,68,FALSE))</f>
      </c>
      <c r="X68" t="n" s="10632">
        <v>2.0</v>
      </c>
      <c r="Y68" t="n" s="10633">
        <v>3.0</v>
      </c>
      <c r="Z68" t="n" s="10634">
        <v>3.0</v>
      </c>
      <c r="AA68" s="10635">
        <f>IF(HLOOKUP("KP",A1:CV300,68,FALSE)=0,0,HLOOKUP("As",A1:CV300,68,FALSE)/HLOOKUP("KP",A1:CV300,68,FALSE))</f>
      </c>
      <c r="AB68" t="n" s="10636">
        <v>18.6</v>
      </c>
      <c r="AC68" t="n" s="10637">
        <v>25.0</v>
      </c>
      <c r="AD68" t="n" s="10638">
        <v>1.0</v>
      </c>
      <c r="AE68" t="n" s="10639">
        <v>1.0</v>
      </c>
      <c r="AF68" t="n" s="10640">
        <v>1.0</v>
      </c>
      <c r="AG68" s="10641">
        <f>IF(HLOOKUP("BC",A1:CV300,68,FALSE)=0,0,HLOOKUP("Gs - BC",A1:CV300,68,FALSE)/HLOOKUP("BC",A1:CV300,68,FALSE))</f>
      </c>
      <c r="AH68" s="10642">
        <f>HLOOKUP("BC",A1:CV300,68,FALSE) - HLOOKUP("BC Miss",A1:CV300,68,FALSE)</f>
      </c>
      <c r="AI68" s="10643">
        <f>IF(HLOOKUP("Gs",A1:CV300,68,FALSE)=0,0,HLOOKUP("Gs - BC",A1:CV300,68,FALSE)/HLOOKUP("Gs",A1:CV300,68,FALSE))</f>
      </c>
      <c r="AJ68" t="n" s="10644">
        <v>0.0</v>
      </c>
      <c r="AK68" t="n" s="10645">
        <v>0.0</v>
      </c>
      <c r="AL68" s="10646">
        <f>HLOOKUP("BC",A1:CV300,68,FALSE) - (HLOOKUP("PK Gs",A1:CV300,68,FALSE) + HLOOKUP("PK Miss",A1:CV300,68,FALSE))</f>
      </c>
      <c r="AM68" s="10647">
        <f>HLOOKUP("BC Miss",A1:CV300,68,FALSE) - HLOOKUP("PK Miss",A1:CV300,68,FALSE)</f>
      </c>
      <c r="AN68" s="10648">
        <f>IF(HLOOKUP("BC - Open",A1:CV300,68,FALSE)=0,0,HLOOKUP("BC - Open Miss",A1:CV300,68,FALSE)/HLOOKUP("BC - Open",A1:CV300,68,FALSE))</f>
      </c>
      <c r="AO68" t="n" s="10649">
        <v>0.0</v>
      </c>
      <c r="AP68" s="10650">
        <f>IF(HLOOKUP("Gs",A1:CV300,68,FALSE)=0,0,HLOOKUP("GIB",A1:CV300,68,FALSE)/HLOOKUP("Gs",A1:CV300,68,FALSE))</f>
      </c>
      <c r="AQ68" t="n" s="10651">
        <v>0.0</v>
      </c>
      <c r="AR68" s="10652">
        <f>IF(HLOOKUP("Gs",A1:CV300,68,FALSE)=0,0,HLOOKUP("Gs - Open",A1:CV300,68,FALSE)/HLOOKUP("Gs",A1:CV300,68,FALSE))</f>
      </c>
      <c r="AS68" t="n" s="10653">
        <v>0.68</v>
      </c>
      <c r="AT68" t="n" s="10654">
        <v>0.18</v>
      </c>
      <c r="AU68" s="10655">
        <f>IF(HLOOKUP("Mins",A1:CV300,68,FALSE)=0,0,HLOOKUP("Pts",A1:CV300,68,FALSE)/HLOOKUP("Mins",A1:CV300,68,FALSE)* 90)</f>
      </c>
      <c r="AV68" s="10656">
        <f>IF(HLOOKUP("Apps",A1:CV300,68,FALSE)=0,0,HLOOKUP("Pts",A1:CV300,68,FALSE)/HLOOKUP("Apps",A1:CV300,68,FALSE)* 1)</f>
      </c>
      <c r="AW68" s="10657">
        <f>IF(HLOOKUP("Mins",A1:CV300,68,FALSE)=0,0,HLOOKUP("Gs",A1:CV300,68,FALSE)/HLOOKUP("Mins",A1:CV300,68,FALSE)* 90)</f>
      </c>
      <c r="AX68" s="10658">
        <f>IF(HLOOKUP("Mins",A1:CV300,68,FALSE)=0,0,HLOOKUP("Bonus",A1:CV300,68,FALSE)/HLOOKUP("Mins",A1:CV300,68,FALSE)* 90)</f>
      </c>
      <c r="AY68" s="10659">
        <f>IF(HLOOKUP("Mins",A1:CV300,68,FALSE)=0,0,HLOOKUP("BPS",A1:CV300,68,FALSE)/HLOOKUP("Mins",A1:CV300,68,FALSE)* 90)</f>
      </c>
      <c r="AZ68" s="10660">
        <f>IF(HLOOKUP("Mins",A1:CV300,68,FALSE)=0,0,HLOOKUP("Base BPS",A1:CV300,68,FALSE)/HLOOKUP("Mins",A1:CV300,68,FALSE)* 90)</f>
      </c>
      <c r="BA68" s="10661">
        <f>IF(HLOOKUP("Mins",A1:CV300,68,FALSE)=0,0,HLOOKUP("PenTchs",A1:CV300,68,FALSE)/HLOOKUP("Mins",A1:CV300,68,FALSE)* 90)</f>
      </c>
      <c r="BB68" s="10662">
        <f>IF(HLOOKUP("Mins",A1:CV300,68,FALSE)=0,0,HLOOKUP("Shots",A1:CV300,68,FALSE)/HLOOKUP("Mins",A1:CV300,68,FALSE)* 90)</f>
      </c>
      <c r="BC68" s="10663">
        <f>IF(HLOOKUP("Mins",A1:CV300,68,FALSE)=0,0,HLOOKUP("SIB",A1:CV300,68,FALSE)/HLOOKUP("Mins",A1:CV300,68,FALSE)* 90)</f>
      </c>
      <c r="BD68" s="10664">
        <f>IF(HLOOKUP("Mins",A1:CV300,68,FALSE)=0,0,HLOOKUP("S6YD",A1:CV300,68,FALSE)/HLOOKUP("Mins",A1:CV300,68,FALSE)* 90)</f>
      </c>
      <c r="BE68" s="10665">
        <f>IF(HLOOKUP("Mins",A1:CV300,68,FALSE)=0,0,HLOOKUP("Headers",A1:CV300,68,FALSE)/HLOOKUP("Mins",A1:CV300,68,FALSE)* 90)</f>
      </c>
      <c r="BF68" s="10666">
        <f>IF(HLOOKUP("Mins",A1:CV300,68,FALSE)=0,0,HLOOKUP("SOT",A1:CV300,68,FALSE)/HLOOKUP("Mins",A1:CV300,68,FALSE)* 90)</f>
      </c>
      <c r="BG68" s="10667">
        <f>IF(HLOOKUP("Mins",A1:CV300,68,FALSE)=0,0,HLOOKUP("As",A1:CV300,68,FALSE)/HLOOKUP("Mins",A1:CV300,68,FALSE)* 90)</f>
      </c>
      <c r="BH68" s="10668">
        <f>IF(HLOOKUP("Mins",A1:CV300,68,FALSE)=0,0,HLOOKUP("FPL As",A1:CV300,68,FALSE)/HLOOKUP("Mins",A1:CV300,68,FALSE)* 90)</f>
      </c>
      <c r="BI68" s="10669">
        <f>IF(HLOOKUP("Mins",A1:CV300,68,FALSE)=0,0,HLOOKUP("BC Created",A1:CV300,68,FALSE)/HLOOKUP("Mins",A1:CV300,68,FALSE)* 90)</f>
      </c>
      <c r="BJ68" s="10670">
        <f>IF(HLOOKUP("Mins",A1:CV300,68,FALSE)=0,0,HLOOKUP("KP",A1:CV300,68,FALSE)/HLOOKUP("Mins",A1:CV300,68,FALSE)* 90)</f>
      </c>
      <c r="BK68" s="10671">
        <f>IF(HLOOKUP("Mins",A1:CV300,68,FALSE)=0,0,HLOOKUP("BC",A1:CV300,68,FALSE)/HLOOKUP("Mins",A1:CV300,68,FALSE)* 90)</f>
      </c>
      <c r="BL68" s="10672">
        <f>IF(HLOOKUP("Mins",A1:CV300,68,FALSE)=0,0,HLOOKUP("BC Miss",A1:CV300,68,FALSE)/HLOOKUP("Mins",A1:CV300,68,FALSE)* 90)</f>
      </c>
      <c r="BM68" s="10673">
        <f>IF(HLOOKUP("Mins",A1:CV300,68,FALSE)=0,0,HLOOKUP("Gs - BC",A1:CV300,68,FALSE)/HLOOKUP("Mins",A1:CV300,68,FALSE)* 90)</f>
      </c>
      <c r="BN68" s="10674">
        <f>IF(HLOOKUP("Mins",A1:CV300,68,FALSE)=0,0,HLOOKUP("GIB",A1:CV300,68,FALSE)/HLOOKUP("Mins",A1:CV300,68,FALSE)* 90)</f>
      </c>
      <c r="BO68" s="10675">
        <f>IF(HLOOKUP("Mins",A1:CV300,68,FALSE)=0,0,HLOOKUP("Gs - Open",A1:CV300,68,FALSE)/HLOOKUP("Mins",A1:CV300,68,FALSE)* 90)</f>
      </c>
      <c r="BP68" s="10676">
        <f>IF(HLOOKUP("Mins",A1:CV300,68,FALSE)=0,0,HLOOKUP("ICT Index",A1:CV300,68,FALSE)/HLOOKUP("Mins",A1:CV300,68,FALSE)* 90)</f>
      </c>
      <c r="BQ68" s="10677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</c>
      <c r="BR68" s="10678">
        <f>0.0825*HLOOKUP("KP/90",A1:CV300,68,FALSE)</f>
      </c>
      <c r="BS68" s="10679">
        <f>6*HLOOKUP("xG/90",A1:CV300,68,FALSE)+3*HLOOKUP("xA/90",A1:CV300,68,FALSE)</f>
      </c>
      <c r="BT68" s="10680">
        <f>HLOOKUP("xPts/90",A1:CV300,68,FALSE)-(6*0.75*(HLOOKUP("PK Gs",A1:CV300,68,FALSE)+HLOOKUP("PK Miss",A1:CV300,68,FALSE))*90/HLOOKUP("Mins",A1:CV300,68,FALSE))</f>
      </c>
      <c r="BU68" s="10681">
        <f>IF(HLOOKUP("Mins",A1:CV300,68,FALSE)=0,0,HLOOKUP("fsXG",A1:CV300,68,FALSE)/HLOOKUP("Mins",A1:CV300,68,FALSE)* 90)</f>
      </c>
      <c r="BV68" s="10682">
        <f>IF(HLOOKUP("Mins",A1:CV300,68,FALSE)=0,0,HLOOKUP("fsXA",A1:CV300,68,FALSE)/HLOOKUP("Mins",A1:CV300,68,FALSE)* 90)</f>
      </c>
      <c r="BW68" s="10683">
        <f>6*HLOOKUP("fsXG/90",A1:CV300,68,FALSE)+3*HLOOKUP("fsXA/90",A1:CV300,68,FALSE)</f>
      </c>
      <c r="BX68" t="n" s="10684">
        <v>0.11753806471824646</v>
      </c>
      <c r="BY68" t="n" s="10685">
        <v>0.08808199316263199</v>
      </c>
      <c r="BZ68" s="10686">
        <f>6*HLOOKUP("uXG/90",A1:CV300,68,FALSE)+3*HLOOKUP("uXA/90",A1:CV300,68,FALSE)</f>
      </c>
    </row>
    <row r="69">
      <c r="A69" t="s" s="10687">
        <v>234</v>
      </c>
      <c r="B69" t="s" s="10688">
        <v>116</v>
      </c>
      <c r="C69" t="n" s="10689">
        <v>4.300000190734863</v>
      </c>
      <c r="D69" t="n" s="10690">
        <v>467.0</v>
      </c>
      <c r="E69" t="n" s="10691">
        <v>6.0</v>
      </c>
      <c r="F69" t="n" s="10692">
        <v>38.0</v>
      </c>
      <c r="G69" t="n" s="10693">
        <v>1.0</v>
      </c>
      <c r="H69" t="n" s="10694">
        <v>1.0</v>
      </c>
      <c r="I69" t="n" s="10695">
        <v>175.0</v>
      </c>
      <c r="J69" s="10696">
        <f>HLOOKUP("BPS",A1:CV300,69,FALSE)-((-6*HLOOKUP("OG",A1:CV300,69,FALSE))+(-6*HLOOKUP("PK Miss",A1:CV300,69,FALSE))+(9*HLOOKUP("FPL As",A1:CV300,69,FALSE))+(12*HLOOKUP("CS",A1:CV300,69,FALSE))+(12*HLOOKUP("Gs",A1:CV300,69,FALSE)))</f>
      </c>
      <c r="K69" t="n" s="10697">
        <v>0.0</v>
      </c>
      <c r="L69" t="n" s="10698">
        <v>4.0</v>
      </c>
      <c r="M69" t="n" s="10699">
        <v>6.0</v>
      </c>
      <c r="N69" t="n" s="10700">
        <v>3.0</v>
      </c>
      <c r="O69" t="n" s="10701">
        <v>3.0</v>
      </c>
      <c r="P69" s="10702">
        <f>IF(HLOOKUP("Shots",A1:CV300,69,FALSE)=0,0,HLOOKUP("SIB",A1:CV300,69,FALSE)/HLOOKUP("Shots",A1:CV300,69,FALSE))</f>
      </c>
      <c r="Q69" t="n" s="10703">
        <v>0.0</v>
      </c>
      <c r="R69" s="10704">
        <f>IF(HLOOKUP("Shots",A1:CV300,69,FALSE)=0,0,HLOOKUP("S6YD",A1:CV300,69,FALSE)/HLOOKUP("Shots",A1:CV300,69,FALSE))</f>
      </c>
      <c r="S69" t="n" s="10705">
        <v>1.0</v>
      </c>
      <c r="T69" s="10706">
        <f>IF(HLOOKUP("Shots",A1:CV300,69,FALSE)=0,0,HLOOKUP("Headers",A1:CV300,69,FALSE)/HLOOKUP("Shots",A1:CV300,69,FALSE))</f>
      </c>
      <c r="U69" t="n" s="10707">
        <v>1.0</v>
      </c>
      <c r="V69" s="10708">
        <f>IF(HLOOKUP("Shots",A1:CV300,69,FALSE)=0,0,HLOOKUP("SOT",A1:CV300,69,FALSE)/HLOOKUP("Shots",A1:CV300,69,FALSE))</f>
      </c>
      <c r="W69" s="10709">
        <f>IF(HLOOKUP("Shots",A1:CV300,69,FALSE)=0,0,HLOOKUP("Gs",A1:CV300,69,FALSE)/HLOOKUP("Shots",A1:CV300,69,FALSE))</f>
      </c>
      <c r="X69" t="n" s="10710">
        <v>0.0</v>
      </c>
      <c r="Y69" t="n" s="10711">
        <v>0.0</v>
      </c>
      <c r="Z69" t="n" s="10712">
        <v>2.0</v>
      </c>
      <c r="AA69" s="10713">
        <f>IF(HLOOKUP("KP",A1:CV300,69,FALSE)=0,0,HLOOKUP("As",A1:CV300,69,FALSE)/HLOOKUP("KP",A1:CV300,69,FALSE))</f>
      </c>
      <c r="AB69" t="n" s="10714">
        <v>22.1</v>
      </c>
      <c r="AC69" t="n" s="10715">
        <v>14.0</v>
      </c>
      <c r="AD69" t="n" s="10716">
        <v>0.0</v>
      </c>
      <c r="AE69" t="n" s="10717">
        <v>0.0</v>
      </c>
      <c r="AF69" t="n" s="10718">
        <v>0.0</v>
      </c>
      <c r="AG69" s="10719">
        <f>IF(HLOOKUP("BC",A1:CV300,69,FALSE)=0,0,HLOOKUP("Gs - BC",A1:CV300,69,FALSE)/HLOOKUP("BC",A1:CV300,69,FALSE))</f>
      </c>
      <c r="AH69" s="10720">
        <f>HLOOKUP("BC",A1:CV300,69,FALSE) - HLOOKUP("BC Miss",A1:CV300,69,FALSE)</f>
      </c>
      <c r="AI69" s="10721">
        <f>IF(HLOOKUP("Gs",A1:CV300,69,FALSE)=0,0,HLOOKUP("Gs - BC",A1:CV300,69,FALSE)/HLOOKUP("Gs",A1:CV300,69,FALSE))</f>
      </c>
      <c r="AJ69" t="n" s="10722">
        <v>0.0</v>
      </c>
      <c r="AK69" t="n" s="10723">
        <v>0.0</v>
      </c>
      <c r="AL69" s="10724">
        <f>HLOOKUP("BC",A1:CV300,69,FALSE) - (HLOOKUP("PK Gs",A1:CV300,69,FALSE) + HLOOKUP("PK Miss",A1:CV300,69,FALSE))</f>
      </c>
      <c r="AM69" s="10725">
        <f>HLOOKUP("BC Miss",A1:CV300,69,FALSE) - HLOOKUP("PK Miss",A1:CV300,69,FALSE)</f>
      </c>
      <c r="AN69" s="10726">
        <f>IF(HLOOKUP("BC - Open",A1:CV300,69,FALSE)=0,0,HLOOKUP("BC - Open Miss",A1:CV300,69,FALSE)/HLOOKUP("BC - Open",A1:CV300,69,FALSE))</f>
      </c>
      <c r="AO69" t="n" s="10727">
        <v>1.0</v>
      </c>
      <c r="AP69" s="10728">
        <f>IF(HLOOKUP("Gs",A1:CV300,69,FALSE)=0,0,HLOOKUP("GIB",A1:CV300,69,FALSE)/HLOOKUP("Gs",A1:CV300,69,FALSE))</f>
      </c>
      <c r="AQ69" t="n" s="10729">
        <v>1.0</v>
      </c>
      <c r="AR69" s="10730">
        <f>IF(HLOOKUP("Gs",A1:CV300,69,FALSE)=0,0,HLOOKUP("Gs - Open",A1:CV300,69,FALSE)/HLOOKUP("Gs",A1:CV300,69,FALSE))</f>
      </c>
      <c r="AS69" t="n" s="10731">
        <v>0.19</v>
      </c>
      <c r="AT69" t="n" s="10732">
        <v>0.22</v>
      </c>
      <c r="AU69" s="10733">
        <f>IF(HLOOKUP("Mins",A1:CV300,69,FALSE)=0,0,HLOOKUP("Pts",A1:CV300,69,FALSE)/HLOOKUP("Mins",A1:CV300,69,FALSE)* 90)</f>
      </c>
      <c r="AV69" s="10734">
        <f>IF(HLOOKUP("Apps",A1:CV300,69,FALSE)=0,0,HLOOKUP("Pts",A1:CV300,69,FALSE)/HLOOKUP("Apps",A1:CV300,69,FALSE)* 1)</f>
      </c>
      <c r="AW69" s="10735">
        <f>IF(HLOOKUP("Mins",A1:CV300,69,FALSE)=0,0,HLOOKUP("Gs",A1:CV300,69,FALSE)/HLOOKUP("Mins",A1:CV300,69,FALSE)* 90)</f>
      </c>
      <c r="AX69" s="10736">
        <f>IF(HLOOKUP("Mins",A1:CV300,69,FALSE)=0,0,HLOOKUP("Bonus",A1:CV300,69,FALSE)/HLOOKUP("Mins",A1:CV300,69,FALSE)* 90)</f>
      </c>
      <c r="AY69" s="10737">
        <f>IF(HLOOKUP("Mins",A1:CV300,69,FALSE)=0,0,HLOOKUP("BPS",A1:CV300,69,FALSE)/HLOOKUP("Mins",A1:CV300,69,FALSE)* 90)</f>
      </c>
      <c r="AZ69" s="10738">
        <f>IF(HLOOKUP("Mins",A1:CV300,69,FALSE)=0,0,HLOOKUP("Base BPS",A1:CV300,69,FALSE)/HLOOKUP("Mins",A1:CV300,69,FALSE)* 90)</f>
      </c>
      <c r="BA69" s="10739">
        <f>IF(HLOOKUP("Mins",A1:CV300,69,FALSE)=0,0,HLOOKUP("PenTchs",A1:CV300,69,FALSE)/HLOOKUP("Mins",A1:CV300,69,FALSE)* 90)</f>
      </c>
      <c r="BB69" s="10740">
        <f>IF(HLOOKUP("Mins",A1:CV300,69,FALSE)=0,0,HLOOKUP("Shots",A1:CV300,69,FALSE)/HLOOKUP("Mins",A1:CV300,69,FALSE)* 90)</f>
      </c>
      <c r="BC69" s="10741">
        <f>IF(HLOOKUP("Mins",A1:CV300,69,FALSE)=0,0,HLOOKUP("SIB",A1:CV300,69,FALSE)/HLOOKUP("Mins",A1:CV300,69,FALSE)* 90)</f>
      </c>
      <c r="BD69" s="10742">
        <f>IF(HLOOKUP("Mins",A1:CV300,69,FALSE)=0,0,HLOOKUP("S6YD",A1:CV300,69,FALSE)/HLOOKUP("Mins",A1:CV300,69,FALSE)* 90)</f>
      </c>
      <c r="BE69" s="10743">
        <f>IF(HLOOKUP("Mins",A1:CV300,69,FALSE)=0,0,HLOOKUP("Headers",A1:CV300,69,FALSE)/HLOOKUP("Mins",A1:CV300,69,FALSE)* 90)</f>
      </c>
      <c r="BF69" s="10744">
        <f>IF(HLOOKUP("Mins",A1:CV300,69,FALSE)=0,0,HLOOKUP("SOT",A1:CV300,69,FALSE)/HLOOKUP("Mins",A1:CV300,69,FALSE)* 90)</f>
      </c>
      <c r="BG69" s="10745">
        <f>IF(HLOOKUP("Mins",A1:CV300,69,FALSE)=0,0,HLOOKUP("As",A1:CV300,69,FALSE)/HLOOKUP("Mins",A1:CV300,69,FALSE)* 90)</f>
      </c>
      <c r="BH69" s="10746">
        <f>IF(HLOOKUP("Mins",A1:CV300,69,FALSE)=0,0,HLOOKUP("FPL As",A1:CV300,69,FALSE)/HLOOKUP("Mins",A1:CV300,69,FALSE)* 90)</f>
      </c>
      <c r="BI69" s="10747">
        <f>IF(HLOOKUP("Mins",A1:CV300,69,FALSE)=0,0,HLOOKUP("BC Created",A1:CV300,69,FALSE)/HLOOKUP("Mins",A1:CV300,69,FALSE)* 90)</f>
      </c>
      <c r="BJ69" s="10748">
        <f>IF(HLOOKUP("Mins",A1:CV300,69,FALSE)=0,0,HLOOKUP("KP",A1:CV300,69,FALSE)/HLOOKUP("Mins",A1:CV300,69,FALSE)* 90)</f>
      </c>
      <c r="BK69" s="10749">
        <f>IF(HLOOKUP("Mins",A1:CV300,69,FALSE)=0,0,HLOOKUP("BC",A1:CV300,69,FALSE)/HLOOKUP("Mins",A1:CV300,69,FALSE)* 90)</f>
      </c>
      <c r="BL69" s="10750">
        <f>IF(HLOOKUP("Mins",A1:CV300,69,FALSE)=0,0,HLOOKUP("BC Miss",A1:CV300,69,FALSE)/HLOOKUP("Mins",A1:CV300,69,FALSE)* 90)</f>
      </c>
      <c r="BM69" s="10751">
        <f>IF(HLOOKUP("Mins",A1:CV300,69,FALSE)=0,0,HLOOKUP("Gs - BC",A1:CV300,69,FALSE)/HLOOKUP("Mins",A1:CV300,69,FALSE)* 90)</f>
      </c>
      <c r="BN69" s="10752">
        <f>IF(HLOOKUP("Mins",A1:CV300,69,FALSE)=0,0,HLOOKUP("GIB",A1:CV300,69,FALSE)/HLOOKUP("Mins",A1:CV300,69,FALSE)* 90)</f>
      </c>
      <c r="BO69" s="10753">
        <f>IF(HLOOKUP("Mins",A1:CV300,69,FALSE)=0,0,HLOOKUP("Gs - Open",A1:CV300,69,FALSE)/HLOOKUP("Mins",A1:CV300,69,FALSE)* 90)</f>
      </c>
      <c r="BP69" s="10754">
        <f>IF(HLOOKUP("Mins",A1:CV300,69,FALSE)=0,0,HLOOKUP("ICT Index",A1:CV300,69,FALSE)/HLOOKUP("Mins",A1:CV300,69,FALSE)* 90)</f>
      </c>
      <c r="BQ69" s="10755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</c>
      <c r="BR69" s="10756">
        <f>0.0825*HLOOKUP("KP/90",A1:CV300,69,FALSE)</f>
      </c>
      <c r="BS69" s="10757">
        <f>6*HLOOKUP("xG/90",A1:CV300,69,FALSE)+3*HLOOKUP("xA/90",A1:CV300,69,FALSE)</f>
      </c>
      <c r="BT69" s="10758">
        <f>HLOOKUP("xPts/90",A1:CV300,69,FALSE)-(6*0.75*(HLOOKUP("PK Gs",A1:CV300,69,FALSE)+HLOOKUP("PK Miss",A1:CV300,69,FALSE))*90/HLOOKUP("Mins",A1:CV300,69,FALSE))</f>
      </c>
      <c r="BU69" s="10759">
        <f>IF(HLOOKUP("Mins",A1:CV300,69,FALSE)=0,0,HLOOKUP("fsXG",A1:CV300,69,FALSE)/HLOOKUP("Mins",A1:CV300,69,FALSE)* 90)</f>
      </c>
      <c r="BV69" s="10760">
        <f>IF(HLOOKUP("Mins",A1:CV300,69,FALSE)=0,0,HLOOKUP("fsXA",A1:CV300,69,FALSE)/HLOOKUP("Mins",A1:CV300,69,FALSE)* 90)</f>
      </c>
      <c r="BW69" s="10761">
        <f>6*HLOOKUP("fsXG/90",A1:CV300,69,FALSE)+3*HLOOKUP("fsXA/90",A1:CV300,69,FALSE)</f>
      </c>
      <c r="BX69" t="n" s="10762">
        <v>0.028958242386579514</v>
      </c>
      <c r="BY69" t="n" s="10763">
        <v>0.023549310863018036</v>
      </c>
      <c r="BZ69" s="10764">
        <f>6*HLOOKUP("uXG/90",A1:CV300,69,FALSE)+3*HLOOKUP("uXA/90",A1:CV300,69,FALSE)</f>
      </c>
    </row>
    <row r="70">
      <c r="A70" t="s" s="10765">
        <v>235</v>
      </c>
      <c r="B70" t="s" s="10766">
        <v>118</v>
      </c>
      <c r="C70" t="n" s="10767">
        <v>4.5</v>
      </c>
      <c r="D70" t="n" s="10768">
        <v>454.0</v>
      </c>
      <c r="E70" t="n" s="10769">
        <v>6.0</v>
      </c>
      <c r="F70" t="n" s="10770">
        <v>53.0</v>
      </c>
      <c r="G70" t="n" s="10771">
        <v>0.0</v>
      </c>
      <c r="H70" t="n" s="10772">
        <v>5.0</v>
      </c>
      <c r="I70" t="n" s="10773">
        <v>303.0</v>
      </c>
      <c r="J70" s="10774">
        <f>HLOOKUP("BPS",A1:CV300,70,FALSE)-((-6*HLOOKUP("OG",A1:CV300,70,FALSE))+(-6*HLOOKUP("PK Miss",A1:CV300,70,FALSE))+(9*HLOOKUP("FPL As",A1:CV300,70,FALSE))+(12*HLOOKUP("CS",A1:CV300,70,FALSE))+(12*HLOOKUP("Gs",A1:CV300,70,FALSE)))</f>
      </c>
      <c r="K70" t="n" s="10775">
        <v>0.0</v>
      </c>
      <c r="L70" t="n" s="10776">
        <v>3.0</v>
      </c>
      <c r="M70" t="n" s="10777">
        <v>4.0</v>
      </c>
      <c r="N70" t="n" s="10778">
        <v>2.0</v>
      </c>
      <c r="O70" t="n" s="10779">
        <v>1.0</v>
      </c>
      <c r="P70" s="10780">
        <f>IF(HLOOKUP("Shots",A1:CV300,70,FALSE)=0,0,HLOOKUP("SIB",A1:CV300,70,FALSE)/HLOOKUP("Shots",A1:CV300,70,FALSE))</f>
      </c>
      <c r="Q70" t="n" s="10781">
        <v>1.0</v>
      </c>
      <c r="R70" s="10782">
        <f>IF(HLOOKUP("Shots",A1:CV300,70,FALSE)=0,0,HLOOKUP("S6YD",A1:CV300,70,FALSE)/HLOOKUP("Shots",A1:CV300,70,FALSE))</f>
      </c>
      <c r="S70" t="n" s="10783">
        <v>0.0</v>
      </c>
      <c r="T70" s="10784">
        <f>IF(HLOOKUP("Shots",A1:CV300,70,FALSE)=0,0,HLOOKUP("Headers",A1:CV300,70,FALSE)/HLOOKUP("Shots",A1:CV300,70,FALSE))</f>
      </c>
      <c r="U70" t="n" s="10785">
        <v>2.0</v>
      </c>
      <c r="V70" s="10786">
        <f>IF(HLOOKUP("Shots",A1:CV300,70,FALSE)=0,0,HLOOKUP("SOT",A1:CV300,70,FALSE)/HLOOKUP("Shots",A1:CV300,70,FALSE))</f>
      </c>
      <c r="W70" s="10787">
        <f>IF(HLOOKUP("Shots",A1:CV300,70,FALSE)=0,0,HLOOKUP("Gs",A1:CV300,70,FALSE)/HLOOKUP("Shots",A1:CV300,70,FALSE))</f>
      </c>
      <c r="X70" t="n" s="10788">
        <v>1.0</v>
      </c>
      <c r="Y70" t="n" s="10789">
        <v>4.0</v>
      </c>
      <c r="Z70" t="n" s="10790">
        <v>1.0</v>
      </c>
      <c r="AA70" s="10791">
        <f>IF(HLOOKUP("KP",A1:CV300,70,FALSE)=0,0,HLOOKUP("As",A1:CV300,70,FALSE)/HLOOKUP("KP",A1:CV300,70,FALSE))</f>
      </c>
      <c r="AB70" t="n" s="10792">
        <v>19.2</v>
      </c>
      <c r="AC70" t="n" s="10793">
        <v>22.0</v>
      </c>
      <c r="AD70" t="n" s="10794">
        <v>1.0</v>
      </c>
      <c r="AE70" t="n" s="10795">
        <v>0.0</v>
      </c>
      <c r="AF70" t="n" s="10796">
        <v>0.0</v>
      </c>
      <c r="AG70" s="10797">
        <f>IF(HLOOKUP("BC",A1:CV300,70,FALSE)=0,0,HLOOKUP("Gs - BC",A1:CV300,70,FALSE)/HLOOKUP("BC",A1:CV300,70,FALSE))</f>
      </c>
      <c r="AH70" s="10798">
        <f>HLOOKUP("BC",A1:CV300,70,FALSE) - HLOOKUP("BC Miss",A1:CV300,70,FALSE)</f>
      </c>
      <c r="AI70" s="10799">
        <f>IF(HLOOKUP("Gs",A1:CV300,70,FALSE)=0,0,HLOOKUP("Gs - BC",A1:CV300,70,FALSE)/HLOOKUP("Gs",A1:CV300,70,FALSE))</f>
      </c>
      <c r="AJ70" t="n" s="10800">
        <v>0.0</v>
      </c>
      <c r="AK70" t="n" s="10801">
        <v>0.0</v>
      </c>
      <c r="AL70" s="10802">
        <f>HLOOKUP("BC",A1:CV300,70,FALSE) - (HLOOKUP("PK Gs",A1:CV300,70,FALSE) + HLOOKUP("PK Miss",A1:CV300,70,FALSE))</f>
      </c>
      <c r="AM70" s="10803">
        <f>HLOOKUP("BC Miss",A1:CV300,70,FALSE) - HLOOKUP("PK Miss",A1:CV300,70,FALSE)</f>
      </c>
      <c r="AN70" s="10804">
        <f>IF(HLOOKUP("BC - Open",A1:CV300,70,FALSE)=0,0,HLOOKUP("BC - Open Miss",A1:CV300,70,FALSE)/HLOOKUP("BC - Open",A1:CV300,70,FALSE))</f>
      </c>
      <c r="AO70" t="n" s="10805">
        <v>0.0</v>
      </c>
      <c r="AP70" s="10806">
        <f>IF(HLOOKUP("Gs",A1:CV300,70,FALSE)=0,0,HLOOKUP("GIB",A1:CV300,70,FALSE)/HLOOKUP("Gs",A1:CV300,70,FALSE))</f>
      </c>
      <c r="AQ70" t="n" s="10807">
        <v>0.0</v>
      </c>
      <c r="AR70" s="10808">
        <f>IF(HLOOKUP("Gs",A1:CV300,70,FALSE)=0,0,HLOOKUP("Gs - Open",A1:CV300,70,FALSE)/HLOOKUP("Gs",A1:CV300,70,FALSE))</f>
      </c>
      <c r="AS70" t="n" s="10809">
        <v>0.66</v>
      </c>
      <c r="AT70" t="n" s="10810">
        <v>0.41</v>
      </c>
      <c r="AU70" s="10811">
        <f>IF(HLOOKUP("Mins",A1:CV300,70,FALSE)=0,0,HLOOKUP("Pts",A1:CV300,70,FALSE)/HLOOKUP("Mins",A1:CV300,70,FALSE)* 90)</f>
      </c>
      <c r="AV70" s="10812">
        <f>IF(HLOOKUP("Apps",A1:CV300,70,FALSE)=0,0,HLOOKUP("Pts",A1:CV300,70,FALSE)/HLOOKUP("Apps",A1:CV300,70,FALSE)* 1)</f>
      </c>
      <c r="AW70" s="10813">
        <f>IF(HLOOKUP("Mins",A1:CV300,70,FALSE)=0,0,HLOOKUP("Gs",A1:CV300,70,FALSE)/HLOOKUP("Mins",A1:CV300,70,FALSE)* 90)</f>
      </c>
      <c r="AX70" s="10814">
        <f>IF(HLOOKUP("Mins",A1:CV300,70,FALSE)=0,0,HLOOKUP("Bonus",A1:CV300,70,FALSE)/HLOOKUP("Mins",A1:CV300,70,FALSE)* 90)</f>
      </c>
      <c r="AY70" s="10815">
        <f>IF(HLOOKUP("Mins",A1:CV300,70,FALSE)=0,0,HLOOKUP("BPS",A1:CV300,70,FALSE)/HLOOKUP("Mins",A1:CV300,70,FALSE)* 90)</f>
      </c>
      <c r="AZ70" s="10816">
        <f>IF(HLOOKUP("Mins",A1:CV300,70,FALSE)=0,0,HLOOKUP("Base BPS",A1:CV300,70,FALSE)/HLOOKUP("Mins",A1:CV300,70,FALSE)* 90)</f>
      </c>
      <c r="BA70" s="10817">
        <f>IF(HLOOKUP("Mins",A1:CV300,70,FALSE)=0,0,HLOOKUP("PenTchs",A1:CV300,70,FALSE)/HLOOKUP("Mins",A1:CV300,70,FALSE)* 90)</f>
      </c>
      <c r="BB70" s="10818">
        <f>IF(HLOOKUP("Mins",A1:CV300,70,FALSE)=0,0,HLOOKUP("Shots",A1:CV300,70,FALSE)/HLOOKUP("Mins",A1:CV300,70,FALSE)* 90)</f>
      </c>
      <c r="BC70" s="10819">
        <f>IF(HLOOKUP("Mins",A1:CV300,70,FALSE)=0,0,HLOOKUP("SIB",A1:CV300,70,FALSE)/HLOOKUP("Mins",A1:CV300,70,FALSE)* 90)</f>
      </c>
      <c r="BD70" s="10820">
        <f>IF(HLOOKUP("Mins",A1:CV300,70,FALSE)=0,0,HLOOKUP("S6YD",A1:CV300,70,FALSE)/HLOOKUP("Mins",A1:CV300,70,FALSE)* 90)</f>
      </c>
      <c r="BE70" s="10821">
        <f>IF(HLOOKUP("Mins",A1:CV300,70,FALSE)=0,0,HLOOKUP("Headers",A1:CV300,70,FALSE)/HLOOKUP("Mins",A1:CV300,70,FALSE)* 90)</f>
      </c>
      <c r="BF70" s="10822">
        <f>IF(HLOOKUP("Mins",A1:CV300,70,FALSE)=0,0,HLOOKUP("SOT",A1:CV300,70,FALSE)/HLOOKUP("Mins",A1:CV300,70,FALSE)* 90)</f>
      </c>
      <c r="BG70" s="10823">
        <f>IF(HLOOKUP("Mins",A1:CV300,70,FALSE)=0,0,HLOOKUP("As",A1:CV300,70,FALSE)/HLOOKUP("Mins",A1:CV300,70,FALSE)* 90)</f>
      </c>
      <c r="BH70" s="10824">
        <f>IF(HLOOKUP("Mins",A1:CV300,70,FALSE)=0,0,HLOOKUP("FPL As",A1:CV300,70,FALSE)/HLOOKUP("Mins",A1:CV300,70,FALSE)* 90)</f>
      </c>
      <c r="BI70" s="10825">
        <f>IF(HLOOKUP("Mins",A1:CV300,70,FALSE)=0,0,HLOOKUP("BC Created",A1:CV300,70,FALSE)/HLOOKUP("Mins",A1:CV300,70,FALSE)* 90)</f>
      </c>
      <c r="BJ70" s="10826">
        <f>IF(HLOOKUP("Mins",A1:CV300,70,FALSE)=0,0,HLOOKUP("KP",A1:CV300,70,FALSE)/HLOOKUP("Mins",A1:CV300,70,FALSE)* 90)</f>
      </c>
      <c r="BK70" s="10827">
        <f>IF(HLOOKUP("Mins",A1:CV300,70,FALSE)=0,0,HLOOKUP("BC",A1:CV300,70,FALSE)/HLOOKUP("Mins",A1:CV300,70,FALSE)* 90)</f>
      </c>
      <c r="BL70" s="10828">
        <f>IF(HLOOKUP("Mins",A1:CV300,70,FALSE)=0,0,HLOOKUP("BC Miss",A1:CV300,70,FALSE)/HLOOKUP("Mins",A1:CV300,70,FALSE)* 90)</f>
      </c>
      <c r="BM70" s="10829">
        <f>IF(HLOOKUP("Mins",A1:CV300,70,FALSE)=0,0,HLOOKUP("Gs - BC",A1:CV300,70,FALSE)/HLOOKUP("Mins",A1:CV300,70,FALSE)* 90)</f>
      </c>
      <c r="BN70" s="10830">
        <f>IF(HLOOKUP("Mins",A1:CV300,70,FALSE)=0,0,HLOOKUP("GIB",A1:CV300,70,FALSE)/HLOOKUP("Mins",A1:CV300,70,FALSE)* 90)</f>
      </c>
      <c r="BO70" s="10831">
        <f>IF(HLOOKUP("Mins",A1:CV300,70,FALSE)=0,0,HLOOKUP("Gs - Open",A1:CV300,70,FALSE)/HLOOKUP("Mins",A1:CV300,70,FALSE)* 90)</f>
      </c>
      <c r="BP70" s="10832">
        <f>IF(HLOOKUP("Mins",A1:CV300,70,FALSE)=0,0,HLOOKUP("ICT Index",A1:CV300,70,FALSE)/HLOOKUP("Mins",A1:CV300,70,FALSE)* 90)</f>
      </c>
      <c r="BQ70" s="10833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</c>
      <c r="BR70" s="10834">
        <f>0.0825*HLOOKUP("KP/90",A1:CV300,70,FALSE)</f>
      </c>
      <c r="BS70" s="10835">
        <f>6*HLOOKUP("xG/90",A1:CV300,70,FALSE)+3*HLOOKUP("xA/90",A1:CV300,70,FALSE)</f>
      </c>
      <c r="BT70" s="10836">
        <f>HLOOKUP("xPts/90",A1:CV300,70,FALSE)-(6*0.75*(HLOOKUP("PK Gs",A1:CV300,70,FALSE)+HLOOKUP("PK Miss",A1:CV300,70,FALSE))*90/HLOOKUP("Mins",A1:CV300,70,FALSE))</f>
      </c>
      <c r="BU70" s="10837">
        <f>IF(HLOOKUP("Mins",A1:CV300,70,FALSE)=0,0,HLOOKUP("fsXG",A1:CV300,70,FALSE)/HLOOKUP("Mins",A1:CV300,70,FALSE)* 90)</f>
      </c>
      <c r="BV70" s="10838">
        <f>IF(HLOOKUP("Mins",A1:CV300,70,FALSE)=0,0,HLOOKUP("fsXA",A1:CV300,70,FALSE)/HLOOKUP("Mins",A1:CV300,70,FALSE)* 90)</f>
      </c>
      <c r="BW70" s="10839">
        <f>6*HLOOKUP("fsXG/90",A1:CV300,70,FALSE)+3*HLOOKUP("fsXA/90",A1:CV300,70,FALSE)</f>
      </c>
      <c r="BX70" t="n" s="10840">
        <v>0.033287402242422104</v>
      </c>
      <c r="BY70" t="n" s="10841">
        <v>0.08384746313095093</v>
      </c>
      <c r="BZ70" s="10842">
        <f>6*HLOOKUP("uXG/90",A1:CV300,70,FALSE)+3*HLOOKUP("uXA/90",A1:CV300,70,FALSE)</f>
      </c>
    </row>
    <row r="71">
      <c r="A71" t="s" s="10843">
        <v>236</v>
      </c>
      <c r="B71" t="s" s="10844">
        <v>109</v>
      </c>
      <c r="C71" t="n" s="10845">
        <v>4.300000190734863</v>
      </c>
      <c r="D71" t="n" s="10846">
        <v>398.0</v>
      </c>
      <c r="E71" t="n" s="10847">
        <v>5.0</v>
      </c>
      <c r="F71" t="n" s="10848">
        <v>17.0</v>
      </c>
      <c r="G71" t="n" s="10849">
        <v>0.0</v>
      </c>
      <c r="H71" t="n" s="10850">
        <v>3.0</v>
      </c>
      <c r="I71" t="n" s="10851">
        <v>99.0</v>
      </c>
      <c r="J71" s="10852">
        <f>HLOOKUP("BPS",A1:CV300,71,FALSE)-((-6*HLOOKUP("OG",A1:CV300,71,FALSE))+(-6*HLOOKUP("PK Miss",A1:CV300,71,FALSE))+(9*HLOOKUP("FPL As",A1:CV300,71,FALSE))+(12*HLOOKUP("CS",A1:CV300,71,FALSE))+(12*HLOOKUP("Gs",A1:CV300,71,FALSE)))</f>
      </c>
      <c r="K71" t="n" s="10853">
        <v>0.0</v>
      </c>
      <c r="L71" t="n" s="10854">
        <v>1.0</v>
      </c>
      <c r="M71" t="n" s="10855">
        <v>8.0</v>
      </c>
      <c r="N71" t="n" s="10856">
        <v>5.0</v>
      </c>
      <c r="O71" t="n" s="10857">
        <v>4.0</v>
      </c>
      <c r="P71" s="10858">
        <f>IF(HLOOKUP("Shots",A1:CV300,71,FALSE)=0,0,HLOOKUP("SIB",A1:CV300,71,FALSE)/HLOOKUP("Shots",A1:CV300,71,FALSE))</f>
      </c>
      <c r="Q71" t="n" s="10859">
        <v>0.0</v>
      </c>
      <c r="R71" s="10860">
        <f>IF(HLOOKUP("Shots",A1:CV300,71,FALSE)=0,0,HLOOKUP("S6YD",A1:CV300,71,FALSE)/HLOOKUP("Shots",A1:CV300,71,FALSE))</f>
      </c>
      <c r="S71" t="n" s="10861">
        <v>0.0</v>
      </c>
      <c r="T71" s="10862">
        <f>IF(HLOOKUP("Shots",A1:CV300,71,FALSE)=0,0,HLOOKUP("Headers",A1:CV300,71,FALSE)/HLOOKUP("Shots",A1:CV300,71,FALSE))</f>
      </c>
      <c r="U71" t="n" s="10863">
        <v>1.0</v>
      </c>
      <c r="V71" s="10864">
        <f>IF(HLOOKUP("Shots",A1:CV300,71,FALSE)=0,0,HLOOKUP("SOT",A1:CV300,71,FALSE)/HLOOKUP("Shots",A1:CV300,71,FALSE))</f>
      </c>
      <c r="W71" s="10865">
        <f>IF(HLOOKUP("Shots",A1:CV300,71,FALSE)=0,0,HLOOKUP("Gs",A1:CV300,71,FALSE)/HLOOKUP("Shots",A1:CV300,71,FALSE))</f>
      </c>
      <c r="X71" t="n" s="10866">
        <v>0.0</v>
      </c>
      <c r="Y71" t="n" s="10867">
        <v>0.0</v>
      </c>
      <c r="Z71" t="n" s="10868">
        <v>1.0</v>
      </c>
      <c r="AA71" s="10869">
        <f>IF(HLOOKUP("KP",A1:CV300,71,FALSE)=0,0,HLOOKUP("As",A1:CV300,71,FALSE)/HLOOKUP("KP",A1:CV300,71,FALSE))</f>
      </c>
      <c r="AB71" t="n" s="10870">
        <v>17.1</v>
      </c>
      <c r="AC71" t="n" s="10871">
        <v>0.0</v>
      </c>
      <c r="AD71" t="n" s="10872">
        <v>1.0</v>
      </c>
      <c r="AE71" t="n" s="10873">
        <v>1.0</v>
      </c>
      <c r="AF71" t="n" s="10874">
        <v>1.0</v>
      </c>
      <c r="AG71" s="10875">
        <f>IF(HLOOKUP("BC",A1:CV300,71,FALSE)=0,0,HLOOKUP("Gs - BC",A1:CV300,71,FALSE)/HLOOKUP("BC",A1:CV300,71,FALSE))</f>
      </c>
      <c r="AH71" s="10876">
        <f>HLOOKUP("BC",A1:CV300,71,FALSE) - HLOOKUP("BC Miss",A1:CV300,71,FALSE)</f>
      </c>
      <c r="AI71" s="10877">
        <f>IF(HLOOKUP("Gs",A1:CV300,71,FALSE)=0,0,HLOOKUP("Gs - BC",A1:CV300,71,FALSE)/HLOOKUP("Gs",A1:CV300,71,FALSE))</f>
      </c>
      <c r="AJ71" t="n" s="10878">
        <v>0.0</v>
      </c>
      <c r="AK71" t="n" s="10879">
        <v>0.0</v>
      </c>
      <c r="AL71" s="10880">
        <f>HLOOKUP("BC",A1:CV300,71,FALSE) - (HLOOKUP("PK Gs",A1:CV300,71,FALSE) + HLOOKUP("PK Miss",A1:CV300,71,FALSE))</f>
      </c>
      <c r="AM71" s="10881">
        <f>HLOOKUP("BC Miss",A1:CV300,71,FALSE) - HLOOKUP("PK Miss",A1:CV300,71,FALSE)</f>
      </c>
      <c r="AN71" s="10882">
        <f>IF(HLOOKUP("BC - Open",A1:CV300,71,FALSE)=0,0,HLOOKUP("BC - Open Miss",A1:CV300,71,FALSE)/HLOOKUP("BC - Open",A1:CV300,71,FALSE))</f>
      </c>
      <c r="AO71" t="n" s="10883">
        <v>0.0</v>
      </c>
      <c r="AP71" s="10884">
        <f>IF(HLOOKUP("Gs",A1:CV300,71,FALSE)=0,0,HLOOKUP("GIB",A1:CV300,71,FALSE)/HLOOKUP("Gs",A1:CV300,71,FALSE))</f>
      </c>
      <c r="AQ71" t="n" s="10885">
        <v>0.0</v>
      </c>
      <c r="AR71" s="10886">
        <f>IF(HLOOKUP("Gs",A1:CV300,71,FALSE)=0,0,HLOOKUP("Gs - Open",A1:CV300,71,FALSE)/HLOOKUP("Gs",A1:CV300,71,FALSE))</f>
      </c>
      <c r="AS71" t="n" s="10887">
        <v>0.38</v>
      </c>
      <c r="AT71" t="n" s="10888">
        <v>0.12</v>
      </c>
      <c r="AU71" s="10889">
        <f>IF(HLOOKUP("Mins",A1:CV300,71,FALSE)=0,0,HLOOKUP("Pts",A1:CV300,71,FALSE)/HLOOKUP("Mins",A1:CV300,71,FALSE)* 90)</f>
      </c>
      <c r="AV71" s="10890">
        <f>IF(HLOOKUP("Apps",A1:CV300,71,FALSE)=0,0,HLOOKUP("Pts",A1:CV300,71,FALSE)/HLOOKUP("Apps",A1:CV300,71,FALSE)* 1)</f>
      </c>
      <c r="AW71" s="10891">
        <f>IF(HLOOKUP("Mins",A1:CV300,71,FALSE)=0,0,HLOOKUP("Gs",A1:CV300,71,FALSE)/HLOOKUP("Mins",A1:CV300,71,FALSE)* 90)</f>
      </c>
      <c r="AX71" s="10892">
        <f>IF(HLOOKUP("Mins",A1:CV300,71,FALSE)=0,0,HLOOKUP("Bonus",A1:CV300,71,FALSE)/HLOOKUP("Mins",A1:CV300,71,FALSE)* 90)</f>
      </c>
      <c r="AY71" s="10893">
        <f>IF(HLOOKUP("Mins",A1:CV300,71,FALSE)=0,0,HLOOKUP("BPS",A1:CV300,71,FALSE)/HLOOKUP("Mins",A1:CV300,71,FALSE)* 90)</f>
      </c>
      <c r="AZ71" s="10894">
        <f>IF(HLOOKUP("Mins",A1:CV300,71,FALSE)=0,0,HLOOKUP("Base BPS",A1:CV300,71,FALSE)/HLOOKUP("Mins",A1:CV300,71,FALSE)* 90)</f>
      </c>
      <c r="BA71" s="10895">
        <f>IF(HLOOKUP("Mins",A1:CV300,71,FALSE)=0,0,HLOOKUP("PenTchs",A1:CV300,71,FALSE)/HLOOKUP("Mins",A1:CV300,71,FALSE)* 90)</f>
      </c>
      <c r="BB71" s="10896">
        <f>IF(HLOOKUP("Mins",A1:CV300,71,FALSE)=0,0,HLOOKUP("Shots",A1:CV300,71,FALSE)/HLOOKUP("Mins",A1:CV300,71,FALSE)* 90)</f>
      </c>
      <c r="BC71" s="10897">
        <f>IF(HLOOKUP("Mins",A1:CV300,71,FALSE)=0,0,HLOOKUP("SIB",A1:CV300,71,FALSE)/HLOOKUP("Mins",A1:CV300,71,FALSE)* 90)</f>
      </c>
      <c r="BD71" s="10898">
        <f>IF(HLOOKUP("Mins",A1:CV300,71,FALSE)=0,0,HLOOKUP("S6YD",A1:CV300,71,FALSE)/HLOOKUP("Mins",A1:CV300,71,FALSE)* 90)</f>
      </c>
      <c r="BE71" s="10899">
        <f>IF(HLOOKUP("Mins",A1:CV300,71,FALSE)=0,0,HLOOKUP("Headers",A1:CV300,71,FALSE)/HLOOKUP("Mins",A1:CV300,71,FALSE)* 90)</f>
      </c>
      <c r="BF71" s="10900">
        <f>IF(HLOOKUP("Mins",A1:CV300,71,FALSE)=0,0,HLOOKUP("SOT",A1:CV300,71,FALSE)/HLOOKUP("Mins",A1:CV300,71,FALSE)* 90)</f>
      </c>
      <c r="BG71" s="10901">
        <f>IF(HLOOKUP("Mins",A1:CV300,71,FALSE)=0,0,HLOOKUP("As",A1:CV300,71,FALSE)/HLOOKUP("Mins",A1:CV300,71,FALSE)* 90)</f>
      </c>
      <c r="BH71" s="10902">
        <f>IF(HLOOKUP("Mins",A1:CV300,71,FALSE)=0,0,HLOOKUP("FPL As",A1:CV300,71,FALSE)/HLOOKUP("Mins",A1:CV300,71,FALSE)* 90)</f>
      </c>
      <c r="BI71" s="10903">
        <f>IF(HLOOKUP("Mins",A1:CV300,71,FALSE)=0,0,HLOOKUP("BC Created",A1:CV300,71,FALSE)/HLOOKUP("Mins",A1:CV300,71,FALSE)* 90)</f>
      </c>
      <c r="BJ71" s="10904">
        <f>IF(HLOOKUP("Mins",A1:CV300,71,FALSE)=0,0,HLOOKUP("KP",A1:CV300,71,FALSE)/HLOOKUP("Mins",A1:CV300,71,FALSE)* 90)</f>
      </c>
      <c r="BK71" s="10905">
        <f>IF(HLOOKUP("Mins",A1:CV300,71,FALSE)=0,0,HLOOKUP("BC",A1:CV300,71,FALSE)/HLOOKUP("Mins",A1:CV300,71,FALSE)* 90)</f>
      </c>
      <c r="BL71" s="10906">
        <f>IF(HLOOKUP("Mins",A1:CV300,71,FALSE)=0,0,HLOOKUP("BC Miss",A1:CV300,71,FALSE)/HLOOKUP("Mins",A1:CV300,71,FALSE)* 90)</f>
      </c>
      <c r="BM71" s="10907">
        <f>IF(HLOOKUP("Mins",A1:CV300,71,FALSE)=0,0,HLOOKUP("Gs - BC",A1:CV300,71,FALSE)/HLOOKUP("Mins",A1:CV300,71,FALSE)* 90)</f>
      </c>
      <c r="BN71" s="10908">
        <f>IF(HLOOKUP("Mins",A1:CV300,71,FALSE)=0,0,HLOOKUP("GIB",A1:CV300,71,FALSE)/HLOOKUP("Mins",A1:CV300,71,FALSE)* 90)</f>
      </c>
      <c r="BO71" s="10909">
        <f>IF(HLOOKUP("Mins",A1:CV300,71,FALSE)=0,0,HLOOKUP("Gs - Open",A1:CV300,71,FALSE)/HLOOKUP("Mins",A1:CV300,71,FALSE)* 90)</f>
      </c>
      <c r="BP71" s="10910">
        <f>IF(HLOOKUP("Mins",A1:CV300,71,FALSE)=0,0,HLOOKUP("ICT Index",A1:CV300,71,FALSE)/HLOOKUP("Mins",A1:CV300,71,FALSE)* 90)</f>
      </c>
      <c r="BQ71" s="10911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</c>
      <c r="BR71" s="10912">
        <f>0.0825*HLOOKUP("KP/90",A1:CV300,71,FALSE)</f>
      </c>
      <c r="BS71" s="10913">
        <f>6*HLOOKUP("xG/90",A1:CV300,71,FALSE)+3*HLOOKUP("xA/90",A1:CV300,71,FALSE)</f>
      </c>
      <c r="BT71" s="10914">
        <f>HLOOKUP("xPts/90",A1:CV300,71,FALSE)-(6*0.75*(HLOOKUP("PK Gs",A1:CV300,71,FALSE)+HLOOKUP("PK Miss",A1:CV300,71,FALSE))*90/HLOOKUP("Mins",A1:CV300,71,FALSE))</f>
      </c>
      <c r="BU71" s="10915">
        <f>IF(HLOOKUP("Mins",A1:CV300,71,FALSE)=0,0,HLOOKUP("fsXG",A1:CV300,71,FALSE)/HLOOKUP("Mins",A1:CV300,71,FALSE)* 90)</f>
      </c>
      <c r="BV71" s="10916">
        <f>IF(HLOOKUP("Mins",A1:CV300,71,FALSE)=0,0,HLOOKUP("fsXA",A1:CV300,71,FALSE)/HLOOKUP("Mins",A1:CV300,71,FALSE)* 90)</f>
      </c>
      <c r="BW71" s="10917">
        <f>6*HLOOKUP("fsXG/90",A1:CV300,71,FALSE)+3*HLOOKUP("fsXA/90",A1:CV300,71,FALSE)</f>
      </c>
      <c r="BX71" t="n" s="10918">
        <v>0.04938590154051781</v>
      </c>
      <c r="BY71" t="n" s="10919">
        <v>0.06397202610969543</v>
      </c>
      <c r="BZ71" s="10920">
        <f>6*HLOOKUP("uXG/90",A1:CV300,71,FALSE)+3*HLOOKUP("uXA/90",A1:CV300,71,FALSE)</f>
      </c>
    </row>
    <row r="72">
      <c r="A72" t="s" s="10921">
        <v>237</v>
      </c>
      <c r="B72" t="s" s="10922">
        <v>87</v>
      </c>
      <c r="C72" t="n" s="10923">
        <v>4.300000190734863</v>
      </c>
      <c r="D72" t="n" s="10924">
        <v>180.0</v>
      </c>
      <c r="E72" t="n" s="10925">
        <v>2.0</v>
      </c>
      <c r="F72" t="n" s="10926">
        <v>17.0</v>
      </c>
      <c r="G72" t="n" s="10927">
        <v>0.0</v>
      </c>
      <c r="H72" t="n" s="10928">
        <v>0.0</v>
      </c>
      <c r="I72" t="n" s="10929">
        <v>113.0</v>
      </c>
      <c r="J72" s="10930">
        <f>HLOOKUP("BPS",A1:CV300,72,FALSE)-((-6*HLOOKUP("OG",A1:CV300,72,FALSE))+(-6*HLOOKUP("PK Miss",A1:CV300,72,FALSE))+(9*HLOOKUP("FPL As",A1:CV300,72,FALSE))+(12*HLOOKUP("CS",A1:CV300,72,FALSE))+(12*HLOOKUP("Gs",A1:CV300,72,FALSE)))</f>
      </c>
      <c r="K72" t="n" s="10931">
        <v>0.0</v>
      </c>
      <c r="L72" t="n" s="10932">
        <v>2.0</v>
      </c>
      <c r="M72" t="n" s="10933">
        <v>0.0</v>
      </c>
      <c r="N72" t="n" s="10934">
        <v>0.0</v>
      </c>
      <c r="O72" t="n" s="10935">
        <v>0.0</v>
      </c>
      <c r="P72" s="10936">
        <f>IF(HLOOKUP("Shots",A1:CV300,72,FALSE)=0,0,HLOOKUP("SIB",A1:CV300,72,FALSE)/HLOOKUP("Shots",A1:CV300,72,FALSE))</f>
      </c>
      <c r="Q72" t="n" s="10937">
        <v>0.0</v>
      </c>
      <c r="R72" s="10938">
        <f>IF(HLOOKUP("Shots",A1:CV300,72,FALSE)=0,0,HLOOKUP("S6YD",A1:CV300,72,FALSE)/HLOOKUP("Shots",A1:CV300,72,FALSE))</f>
      </c>
      <c r="S72" t="n" s="10939">
        <v>0.0</v>
      </c>
      <c r="T72" s="10940">
        <f>IF(HLOOKUP("Shots",A1:CV300,72,FALSE)=0,0,HLOOKUP("Headers",A1:CV300,72,FALSE)/HLOOKUP("Shots",A1:CV300,72,FALSE))</f>
      </c>
      <c r="U72" t="n" s="10941">
        <v>0.0</v>
      </c>
      <c r="V72" s="10942">
        <f>IF(HLOOKUP("Shots",A1:CV300,72,FALSE)=0,0,HLOOKUP("SOT",A1:CV300,72,FALSE)/HLOOKUP("Shots",A1:CV300,72,FALSE))</f>
      </c>
      <c r="W72" s="10943">
        <f>IF(HLOOKUP("Shots",A1:CV300,72,FALSE)=0,0,HLOOKUP("Gs",A1:CV300,72,FALSE)/HLOOKUP("Shots",A1:CV300,72,FALSE))</f>
      </c>
      <c r="X72" t="n" s="10944">
        <v>0.0</v>
      </c>
      <c r="Y72" t="n" s="10945">
        <v>0.0</v>
      </c>
      <c r="Z72" t="n" s="10946">
        <v>0.0</v>
      </c>
      <c r="AA72" s="10947">
        <f>IF(HLOOKUP("KP",A1:CV300,72,FALSE)=0,0,HLOOKUP("As",A1:CV300,72,FALSE)/HLOOKUP("KP",A1:CV300,72,FALSE))</f>
      </c>
      <c r="AB72" t="n" s="10948">
        <v>1.9</v>
      </c>
      <c r="AC72" t="n" s="10949">
        <v>0.0</v>
      </c>
      <c r="AD72" t="n" s="10950">
        <v>0.0</v>
      </c>
      <c r="AE72" t="n" s="10951">
        <v>0.0</v>
      </c>
      <c r="AF72" t="n" s="10952">
        <v>0.0</v>
      </c>
      <c r="AG72" s="10953">
        <f>IF(HLOOKUP("BC",A1:CV300,72,FALSE)=0,0,HLOOKUP("Gs - BC",A1:CV300,72,FALSE)/HLOOKUP("BC",A1:CV300,72,FALSE))</f>
      </c>
      <c r="AH72" s="10954">
        <f>HLOOKUP("BC",A1:CV300,72,FALSE) - HLOOKUP("BC Miss",A1:CV300,72,FALSE)</f>
      </c>
      <c r="AI72" s="10955">
        <f>IF(HLOOKUP("Gs",A1:CV300,72,FALSE)=0,0,HLOOKUP("Gs - BC",A1:CV300,72,FALSE)/HLOOKUP("Gs",A1:CV300,72,FALSE))</f>
      </c>
      <c r="AJ72" t="n" s="10956">
        <v>0.0</v>
      </c>
      <c r="AK72" t="n" s="10957">
        <v>0.0</v>
      </c>
      <c r="AL72" s="10958">
        <f>HLOOKUP("BC",A1:CV300,72,FALSE) - (HLOOKUP("PK Gs",A1:CV300,72,FALSE) + HLOOKUP("PK Miss",A1:CV300,72,FALSE))</f>
      </c>
      <c r="AM72" s="10959">
        <f>HLOOKUP("BC Miss",A1:CV300,72,FALSE) - HLOOKUP("PK Miss",A1:CV300,72,FALSE)</f>
      </c>
      <c r="AN72" s="10960">
        <f>IF(HLOOKUP("BC - Open",A1:CV300,72,FALSE)=0,0,HLOOKUP("BC - Open Miss",A1:CV300,72,FALSE)/HLOOKUP("BC - Open",A1:CV300,72,FALSE))</f>
      </c>
      <c r="AO72" t="n" s="10961">
        <v>0.0</v>
      </c>
      <c r="AP72" s="10962">
        <f>IF(HLOOKUP("Gs",A1:CV300,72,FALSE)=0,0,HLOOKUP("GIB",A1:CV300,72,FALSE)/HLOOKUP("Gs",A1:CV300,72,FALSE))</f>
      </c>
      <c r="AQ72" t="n" s="10963">
        <v>0.0</v>
      </c>
      <c r="AR72" s="10964">
        <f>IF(HLOOKUP("Gs",A1:CV300,72,FALSE)=0,0,HLOOKUP("Gs - Open",A1:CV300,72,FALSE)/HLOOKUP("Gs",A1:CV300,72,FALSE))</f>
      </c>
      <c r="AS72" t="n" s="10965">
        <v>0.0</v>
      </c>
      <c r="AT72" t="n" s="10966">
        <v>0.01</v>
      </c>
      <c r="AU72" s="10967">
        <f>IF(HLOOKUP("Mins",A1:CV300,72,FALSE)=0,0,HLOOKUP("Pts",A1:CV300,72,FALSE)/HLOOKUP("Mins",A1:CV300,72,FALSE)* 90)</f>
      </c>
      <c r="AV72" s="10968">
        <f>IF(HLOOKUP("Apps",A1:CV300,72,FALSE)=0,0,HLOOKUP("Pts",A1:CV300,72,FALSE)/HLOOKUP("Apps",A1:CV300,72,FALSE)* 1)</f>
      </c>
      <c r="AW72" s="10969">
        <f>IF(HLOOKUP("Mins",A1:CV300,72,FALSE)=0,0,HLOOKUP("Gs",A1:CV300,72,FALSE)/HLOOKUP("Mins",A1:CV300,72,FALSE)* 90)</f>
      </c>
      <c r="AX72" s="10970">
        <f>IF(HLOOKUP("Mins",A1:CV300,72,FALSE)=0,0,HLOOKUP("Bonus",A1:CV300,72,FALSE)/HLOOKUP("Mins",A1:CV300,72,FALSE)* 90)</f>
      </c>
      <c r="AY72" s="10971">
        <f>IF(HLOOKUP("Mins",A1:CV300,72,FALSE)=0,0,HLOOKUP("BPS",A1:CV300,72,FALSE)/HLOOKUP("Mins",A1:CV300,72,FALSE)* 90)</f>
      </c>
      <c r="AZ72" s="10972">
        <f>IF(HLOOKUP("Mins",A1:CV300,72,FALSE)=0,0,HLOOKUP("Base BPS",A1:CV300,72,FALSE)/HLOOKUP("Mins",A1:CV300,72,FALSE)* 90)</f>
      </c>
      <c r="BA72" s="10973">
        <f>IF(HLOOKUP("Mins",A1:CV300,72,FALSE)=0,0,HLOOKUP("PenTchs",A1:CV300,72,FALSE)/HLOOKUP("Mins",A1:CV300,72,FALSE)* 90)</f>
      </c>
      <c r="BB72" s="10974">
        <f>IF(HLOOKUP("Mins",A1:CV300,72,FALSE)=0,0,HLOOKUP("Shots",A1:CV300,72,FALSE)/HLOOKUP("Mins",A1:CV300,72,FALSE)* 90)</f>
      </c>
      <c r="BC72" s="10975">
        <f>IF(HLOOKUP("Mins",A1:CV300,72,FALSE)=0,0,HLOOKUP("SIB",A1:CV300,72,FALSE)/HLOOKUP("Mins",A1:CV300,72,FALSE)* 90)</f>
      </c>
      <c r="BD72" s="10976">
        <f>IF(HLOOKUP("Mins",A1:CV300,72,FALSE)=0,0,HLOOKUP("S6YD",A1:CV300,72,FALSE)/HLOOKUP("Mins",A1:CV300,72,FALSE)* 90)</f>
      </c>
      <c r="BE72" s="10977">
        <f>IF(HLOOKUP("Mins",A1:CV300,72,FALSE)=0,0,HLOOKUP("Headers",A1:CV300,72,FALSE)/HLOOKUP("Mins",A1:CV300,72,FALSE)* 90)</f>
      </c>
      <c r="BF72" s="10978">
        <f>IF(HLOOKUP("Mins",A1:CV300,72,FALSE)=0,0,HLOOKUP("SOT",A1:CV300,72,FALSE)/HLOOKUP("Mins",A1:CV300,72,FALSE)* 90)</f>
      </c>
      <c r="BG72" s="10979">
        <f>IF(HLOOKUP("Mins",A1:CV300,72,FALSE)=0,0,HLOOKUP("As",A1:CV300,72,FALSE)/HLOOKUP("Mins",A1:CV300,72,FALSE)* 90)</f>
      </c>
      <c r="BH72" s="10980">
        <f>IF(HLOOKUP("Mins",A1:CV300,72,FALSE)=0,0,HLOOKUP("FPL As",A1:CV300,72,FALSE)/HLOOKUP("Mins",A1:CV300,72,FALSE)* 90)</f>
      </c>
      <c r="BI72" s="10981">
        <f>IF(HLOOKUP("Mins",A1:CV300,72,FALSE)=0,0,HLOOKUP("BC Created",A1:CV300,72,FALSE)/HLOOKUP("Mins",A1:CV300,72,FALSE)* 90)</f>
      </c>
      <c r="BJ72" s="10982">
        <f>IF(HLOOKUP("Mins",A1:CV300,72,FALSE)=0,0,HLOOKUP("KP",A1:CV300,72,FALSE)/HLOOKUP("Mins",A1:CV300,72,FALSE)* 90)</f>
      </c>
      <c r="BK72" s="10983">
        <f>IF(HLOOKUP("Mins",A1:CV300,72,FALSE)=0,0,HLOOKUP("BC",A1:CV300,72,FALSE)/HLOOKUP("Mins",A1:CV300,72,FALSE)* 90)</f>
      </c>
      <c r="BL72" s="10984">
        <f>IF(HLOOKUP("Mins",A1:CV300,72,FALSE)=0,0,HLOOKUP("BC Miss",A1:CV300,72,FALSE)/HLOOKUP("Mins",A1:CV300,72,FALSE)* 90)</f>
      </c>
      <c r="BM72" s="10985">
        <f>IF(HLOOKUP("Mins",A1:CV300,72,FALSE)=0,0,HLOOKUP("Gs - BC",A1:CV300,72,FALSE)/HLOOKUP("Mins",A1:CV300,72,FALSE)* 90)</f>
      </c>
      <c r="BN72" s="10986">
        <f>IF(HLOOKUP("Mins",A1:CV300,72,FALSE)=0,0,HLOOKUP("GIB",A1:CV300,72,FALSE)/HLOOKUP("Mins",A1:CV300,72,FALSE)* 90)</f>
      </c>
      <c r="BO72" s="10987">
        <f>IF(HLOOKUP("Mins",A1:CV300,72,FALSE)=0,0,HLOOKUP("Gs - Open",A1:CV300,72,FALSE)/HLOOKUP("Mins",A1:CV300,72,FALSE)* 90)</f>
      </c>
      <c r="BP72" s="10988">
        <f>IF(HLOOKUP("Mins",A1:CV300,72,FALSE)=0,0,HLOOKUP("ICT Index",A1:CV300,72,FALSE)/HLOOKUP("Mins",A1:CV300,72,FALSE)* 90)</f>
      </c>
      <c r="BQ72" s="10989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</c>
      <c r="BR72" s="10990">
        <f>0.0825*HLOOKUP("KP/90",A1:CV300,72,FALSE)</f>
      </c>
      <c r="BS72" s="10991">
        <f>6*HLOOKUP("xG/90",A1:CV300,72,FALSE)+3*HLOOKUP("xA/90",A1:CV300,72,FALSE)</f>
      </c>
      <c r="BT72" s="10992">
        <f>HLOOKUP("xPts/90",A1:CV300,72,FALSE)-(6*0.75*(HLOOKUP("PK Gs",A1:CV300,72,FALSE)+HLOOKUP("PK Miss",A1:CV300,72,FALSE))*90/HLOOKUP("Mins",A1:CV300,72,FALSE))</f>
      </c>
      <c r="BU72" s="10993">
        <f>IF(HLOOKUP("Mins",A1:CV300,72,FALSE)=0,0,HLOOKUP("fsXG",A1:CV300,72,FALSE)/HLOOKUP("Mins",A1:CV300,72,FALSE)* 90)</f>
      </c>
      <c r="BV72" s="10994">
        <f>IF(HLOOKUP("Mins",A1:CV300,72,FALSE)=0,0,HLOOKUP("fsXA",A1:CV300,72,FALSE)/HLOOKUP("Mins",A1:CV300,72,FALSE)* 90)</f>
      </c>
      <c r="BW72" s="10995">
        <f>6*HLOOKUP("fsXG/90",A1:CV300,72,FALSE)+3*HLOOKUP("fsXA/90",A1:CV300,72,FALSE)</f>
      </c>
      <c r="BX72" t="n" s="10996">
        <v>0.0</v>
      </c>
      <c r="BY72" t="n" s="10997">
        <v>0.0</v>
      </c>
      <c r="BZ72" s="10998">
        <f>6*HLOOKUP("uXG/90",A1:CV300,72,FALSE)+3*HLOOKUP("uXA/90",A1:CV300,72,FALSE)</f>
      </c>
    </row>
    <row r="73">
      <c r="A73" t="s" s="10999">
        <v>238</v>
      </c>
      <c r="B73" t="s" s="11000">
        <v>102</v>
      </c>
      <c r="C73" t="n" s="11001">
        <v>5.300000190734863</v>
      </c>
      <c r="D73" t="n" s="11002">
        <v>170.0</v>
      </c>
      <c r="E73" t="n" s="11003">
        <v>3.0</v>
      </c>
      <c r="F73" t="n" s="11004">
        <v>18.0</v>
      </c>
      <c r="G73" t="n" s="11005">
        <v>0.0</v>
      </c>
      <c r="H73" t="n" s="11006">
        <v>0.0</v>
      </c>
      <c r="I73" t="n" s="11007">
        <v>153.0</v>
      </c>
      <c r="J73" s="11008">
        <f>HLOOKUP("BPS",A1:CV300,73,FALSE)-((-6*HLOOKUP("OG",A1:CV300,73,FALSE))+(-6*HLOOKUP("PK Miss",A1:CV300,73,FALSE))+(9*HLOOKUP("FPL As",A1:CV300,73,FALSE))+(12*HLOOKUP("CS",A1:CV300,73,FALSE))+(12*HLOOKUP("Gs",A1:CV300,73,FALSE)))</f>
      </c>
      <c r="K73" t="n" s="11009">
        <v>0.0</v>
      </c>
      <c r="L73" t="n" s="11010">
        <v>1.0</v>
      </c>
      <c r="M73" t="n" s="11011">
        <v>0.0</v>
      </c>
      <c r="N73" t="n" s="11012">
        <v>0.0</v>
      </c>
      <c r="O73" t="n" s="11013">
        <v>0.0</v>
      </c>
      <c r="P73" s="11014">
        <f>IF(HLOOKUP("Shots",A1:CV300,73,FALSE)=0,0,HLOOKUP("SIB",A1:CV300,73,FALSE)/HLOOKUP("Shots",A1:CV300,73,FALSE))</f>
      </c>
      <c r="Q73" t="n" s="11015">
        <v>0.0</v>
      </c>
      <c r="R73" s="11016">
        <f>IF(HLOOKUP("Shots",A1:CV300,73,FALSE)=0,0,HLOOKUP("S6YD",A1:CV300,73,FALSE)/HLOOKUP("Shots",A1:CV300,73,FALSE))</f>
      </c>
      <c r="S73" t="n" s="11017">
        <v>0.0</v>
      </c>
      <c r="T73" s="11018">
        <f>IF(HLOOKUP("Shots",A1:CV300,73,FALSE)=0,0,HLOOKUP("Headers",A1:CV300,73,FALSE)/HLOOKUP("Shots",A1:CV300,73,FALSE))</f>
      </c>
      <c r="U73" t="n" s="11019">
        <v>0.0</v>
      </c>
      <c r="V73" s="11020">
        <f>IF(HLOOKUP("Shots",A1:CV300,73,FALSE)=0,0,HLOOKUP("SOT",A1:CV300,73,FALSE)/HLOOKUP("Shots",A1:CV300,73,FALSE))</f>
      </c>
      <c r="W73" s="11021">
        <f>IF(HLOOKUP("Shots",A1:CV300,73,FALSE)=0,0,HLOOKUP("Gs",A1:CV300,73,FALSE)/HLOOKUP("Shots",A1:CV300,73,FALSE))</f>
      </c>
      <c r="X73" t="n" s="11022">
        <v>0.0</v>
      </c>
      <c r="Y73" t="n" s="11023">
        <v>0.0</v>
      </c>
      <c r="Z73" t="n" s="11024">
        <v>0.0</v>
      </c>
      <c r="AA73" s="11025">
        <f>IF(HLOOKUP("KP",A1:CV300,73,FALSE)=0,0,HLOOKUP("As",A1:CV300,73,FALSE)/HLOOKUP("KP",A1:CV300,73,FALSE))</f>
      </c>
      <c r="AB73" t="n" s="11026">
        <v>2.5</v>
      </c>
      <c r="AC73" t="n" s="11027">
        <v>0.0</v>
      </c>
      <c r="AD73" t="n" s="11028">
        <v>0.0</v>
      </c>
      <c r="AE73" t="n" s="11029">
        <v>0.0</v>
      </c>
      <c r="AF73" t="n" s="11030">
        <v>0.0</v>
      </c>
      <c r="AG73" s="11031">
        <f>IF(HLOOKUP("BC",A1:CV300,73,FALSE)=0,0,HLOOKUP("Gs - BC",A1:CV300,73,FALSE)/HLOOKUP("BC",A1:CV300,73,FALSE))</f>
      </c>
      <c r="AH73" s="11032">
        <f>HLOOKUP("BC",A1:CV300,73,FALSE) - HLOOKUP("BC Miss",A1:CV300,73,FALSE)</f>
      </c>
      <c r="AI73" s="11033">
        <f>IF(HLOOKUP("Gs",A1:CV300,73,FALSE)=0,0,HLOOKUP("Gs - BC",A1:CV300,73,FALSE)/HLOOKUP("Gs",A1:CV300,73,FALSE))</f>
      </c>
      <c r="AJ73" t="n" s="11034">
        <v>0.0</v>
      </c>
      <c r="AK73" t="n" s="11035">
        <v>0.0</v>
      </c>
      <c r="AL73" s="11036">
        <f>HLOOKUP("BC",A1:CV300,73,FALSE) - (HLOOKUP("PK Gs",A1:CV300,73,FALSE) + HLOOKUP("PK Miss",A1:CV300,73,FALSE))</f>
      </c>
      <c r="AM73" s="11037">
        <f>HLOOKUP("BC Miss",A1:CV300,73,FALSE) - HLOOKUP("PK Miss",A1:CV300,73,FALSE)</f>
      </c>
      <c r="AN73" s="11038">
        <f>IF(HLOOKUP("BC - Open",A1:CV300,73,FALSE)=0,0,HLOOKUP("BC - Open Miss",A1:CV300,73,FALSE)/HLOOKUP("BC - Open",A1:CV300,73,FALSE))</f>
      </c>
      <c r="AO73" t="n" s="11039">
        <v>0.0</v>
      </c>
      <c r="AP73" s="11040">
        <f>IF(HLOOKUP("Gs",A1:CV300,73,FALSE)=0,0,HLOOKUP("GIB",A1:CV300,73,FALSE)/HLOOKUP("Gs",A1:CV300,73,FALSE))</f>
      </c>
      <c r="AQ73" t="n" s="11041">
        <v>0.0</v>
      </c>
      <c r="AR73" s="11042">
        <f>IF(HLOOKUP("Gs",A1:CV300,73,FALSE)=0,0,HLOOKUP("Gs - Open",A1:CV300,73,FALSE)/HLOOKUP("Gs",A1:CV300,73,FALSE))</f>
      </c>
      <c r="AS73" t="n" s="11043">
        <v>0.0</v>
      </c>
      <c r="AT73" t="n" s="11044">
        <v>0.01</v>
      </c>
      <c r="AU73" s="11045">
        <f>IF(HLOOKUP("Mins",A1:CV300,73,FALSE)=0,0,HLOOKUP("Pts",A1:CV300,73,FALSE)/HLOOKUP("Mins",A1:CV300,73,FALSE)* 90)</f>
      </c>
      <c r="AV73" s="11046">
        <f>IF(HLOOKUP("Apps",A1:CV300,73,FALSE)=0,0,HLOOKUP("Pts",A1:CV300,73,FALSE)/HLOOKUP("Apps",A1:CV300,73,FALSE)* 1)</f>
      </c>
      <c r="AW73" s="11047">
        <f>IF(HLOOKUP("Mins",A1:CV300,73,FALSE)=0,0,HLOOKUP("Gs",A1:CV300,73,FALSE)/HLOOKUP("Mins",A1:CV300,73,FALSE)* 90)</f>
      </c>
      <c r="AX73" s="11048">
        <f>IF(HLOOKUP("Mins",A1:CV300,73,FALSE)=0,0,HLOOKUP("Bonus",A1:CV300,73,FALSE)/HLOOKUP("Mins",A1:CV300,73,FALSE)* 90)</f>
      </c>
      <c r="AY73" s="11049">
        <f>IF(HLOOKUP("Mins",A1:CV300,73,FALSE)=0,0,HLOOKUP("BPS",A1:CV300,73,FALSE)/HLOOKUP("Mins",A1:CV300,73,FALSE)* 90)</f>
      </c>
      <c r="AZ73" s="11050">
        <f>IF(HLOOKUP("Mins",A1:CV300,73,FALSE)=0,0,HLOOKUP("Base BPS",A1:CV300,73,FALSE)/HLOOKUP("Mins",A1:CV300,73,FALSE)* 90)</f>
      </c>
      <c r="BA73" s="11051">
        <f>IF(HLOOKUP("Mins",A1:CV300,73,FALSE)=0,0,HLOOKUP("PenTchs",A1:CV300,73,FALSE)/HLOOKUP("Mins",A1:CV300,73,FALSE)* 90)</f>
      </c>
      <c r="BB73" s="11052">
        <f>IF(HLOOKUP("Mins",A1:CV300,73,FALSE)=0,0,HLOOKUP("Shots",A1:CV300,73,FALSE)/HLOOKUP("Mins",A1:CV300,73,FALSE)* 90)</f>
      </c>
      <c r="BC73" s="11053">
        <f>IF(HLOOKUP("Mins",A1:CV300,73,FALSE)=0,0,HLOOKUP("SIB",A1:CV300,73,FALSE)/HLOOKUP("Mins",A1:CV300,73,FALSE)* 90)</f>
      </c>
      <c r="BD73" s="11054">
        <f>IF(HLOOKUP("Mins",A1:CV300,73,FALSE)=0,0,HLOOKUP("S6YD",A1:CV300,73,FALSE)/HLOOKUP("Mins",A1:CV300,73,FALSE)* 90)</f>
      </c>
      <c r="BE73" s="11055">
        <f>IF(HLOOKUP("Mins",A1:CV300,73,FALSE)=0,0,HLOOKUP("Headers",A1:CV300,73,FALSE)/HLOOKUP("Mins",A1:CV300,73,FALSE)* 90)</f>
      </c>
      <c r="BF73" s="11056">
        <f>IF(HLOOKUP("Mins",A1:CV300,73,FALSE)=0,0,HLOOKUP("SOT",A1:CV300,73,FALSE)/HLOOKUP("Mins",A1:CV300,73,FALSE)* 90)</f>
      </c>
      <c r="BG73" s="11057">
        <f>IF(HLOOKUP("Mins",A1:CV300,73,FALSE)=0,0,HLOOKUP("As",A1:CV300,73,FALSE)/HLOOKUP("Mins",A1:CV300,73,FALSE)* 90)</f>
      </c>
      <c r="BH73" s="11058">
        <f>IF(HLOOKUP("Mins",A1:CV300,73,FALSE)=0,0,HLOOKUP("FPL As",A1:CV300,73,FALSE)/HLOOKUP("Mins",A1:CV300,73,FALSE)* 90)</f>
      </c>
      <c r="BI73" s="11059">
        <f>IF(HLOOKUP("Mins",A1:CV300,73,FALSE)=0,0,HLOOKUP("BC Created",A1:CV300,73,FALSE)/HLOOKUP("Mins",A1:CV300,73,FALSE)* 90)</f>
      </c>
      <c r="BJ73" s="11060">
        <f>IF(HLOOKUP("Mins",A1:CV300,73,FALSE)=0,0,HLOOKUP("KP",A1:CV300,73,FALSE)/HLOOKUP("Mins",A1:CV300,73,FALSE)* 90)</f>
      </c>
      <c r="BK73" s="11061">
        <f>IF(HLOOKUP("Mins",A1:CV300,73,FALSE)=0,0,HLOOKUP("BC",A1:CV300,73,FALSE)/HLOOKUP("Mins",A1:CV300,73,FALSE)* 90)</f>
      </c>
      <c r="BL73" s="11062">
        <f>IF(HLOOKUP("Mins",A1:CV300,73,FALSE)=0,0,HLOOKUP("BC Miss",A1:CV300,73,FALSE)/HLOOKUP("Mins",A1:CV300,73,FALSE)* 90)</f>
      </c>
      <c r="BM73" s="11063">
        <f>IF(HLOOKUP("Mins",A1:CV300,73,FALSE)=0,0,HLOOKUP("Gs - BC",A1:CV300,73,FALSE)/HLOOKUP("Mins",A1:CV300,73,FALSE)* 90)</f>
      </c>
      <c r="BN73" s="11064">
        <f>IF(HLOOKUP("Mins",A1:CV300,73,FALSE)=0,0,HLOOKUP("GIB",A1:CV300,73,FALSE)/HLOOKUP("Mins",A1:CV300,73,FALSE)* 90)</f>
      </c>
      <c r="BO73" s="11065">
        <f>IF(HLOOKUP("Mins",A1:CV300,73,FALSE)=0,0,HLOOKUP("Gs - Open",A1:CV300,73,FALSE)/HLOOKUP("Mins",A1:CV300,73,FALSE)* 90)</f>
      </c>
      <c r="BP73" s="11066">
        <f>IF(HLOOKUP("Mins",A1:CV300,73,FALSE)=0,0,HLOOKUP("ICT Index",A1:CV300,73,FALSE)/HLOOKUP("Mins",A1:CV300,73,FALSE)* 90)</f>
      </c>
      <c r="BQ73" s="11067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</c>
      <c r="BR73" s="11068">
        <f>0.0825*HLOOKUP("KP/90",A1:CV300,73,FALSE)</f>
      </c>
      <c r="BS73" s="11069">
        <f>6*HLOOKUP("xG/90",A1:CV300,73,FALSE)+3*HLOOKUP("xA/90",A1:CV300,73,FALSE)</f>
      </c>
      <c r="BT73" s="11070">
        <f>HLOOKUP("xPts/90",A1:CV300,73,FALSE)-(6*0.75*(HLOOKUP("PK Gs",A1:CV300,73,FALSE)+HLOOKUP("PK Miss",A1:CV300,73,FALSE))*90/HLOOKUP("Mins",A1:CV300,73,FALSE))</f>
      </c>
      <c r="BU73" s="11071">
        <f>IF(HLOOKUP("Mins",A1:CV300,73,FALSE)=0,0,HLOOKUP("fsXG",A1:CV300,73,FALSE)/HLOOKUP("Mins",A1:CV300,73,FALSE)* 90)</f>
      </c>
      <c r="BV73" s="11072">
        <f>IF(HLOOKUP("Mins",A1:CV300,73,FALSE)=0,0,HLOOKUP("fsXA",A1:CV300,73,FALSE)/HLOOKUP("Mins",A1:CV300,73,FALSE)* 90)</f>
      </c>
      <c r="BW73" s="11073">
        <f>6*HLOOKUP("fsXG/90",A1:CV300,73,FALSE)+3*HLOOKUP("fsXA/90",A1:CV300,73,FALSE)</f>
      </c>
      <c r="BX73" t="n" s="11074">
        <v>0.0</v>
      </c>
      <c r="BY73" t="n" s="11075">
        <v>0.0</v>
      </c>
      <c r="BZ73" s="11076">
        <f>6*HLOOKUP("uXG/90",A1:CV300,73,FALSE)+3*HLOOKUP("uXA/90",A1:CV300,73,FALSE)</f>
      </c>
    </row>
    <row r="74">
      <c r="A74" t="s" s="11077">
        <v>239</v>
      </c>
      <c r="B74" t="s" s="11078">
        <v>87</v>
      </c>
      <c r="C74" t="n" s="11079">
        <v>4.400000095367432</v>
      </c>
      <c r="D74" t="n" s="11080">
        <v>540.0</v>
      </c>
      <c r="E74" t="n" s="11081">
        <v>6.0</v>
      </c>
      <c r="F74" t="n" s="11082">
        <v>14.0</v>
      </c>
      <c r="G74" t="n" s="11083">
        <v>0.0</v>
      </c>
      <c r="H74" t="n" s="11084">
        <v>0.0</v>
      </c>
      <c r="I74" t="n" s="11085">
        <v>111.0</v>
      </c>
      <c r="J74" s="11086">
        <f>HLOOKUP("BPS",A1:CV300,74,FALSE)-((-6*HLOOKUP("OG",A1:CV300,74,FALSE))+(-6*HLOOKUP("PK Miss",A1:CV300,74,FALSE))+(9*HLOOKUP("FPL As",A1:CV300,74,FALSE))+(12*HLOOKUP("CS",A1:CV300,74,FALSE))+(12*HLOOKUP("Gs",A1:CV300,74,FALSE)))</f>
      </c>
      <c r="K74" t="n" s="11087">
        <v>0.0</v>
      </c>
      <c r="L74" t="n" s="11088">
        <v>1.0</v>
      </c>
      <c r="M74" t="n" s="11089">
        <v>8.0</v>
      </c>
      <c r="N74" t="n" s="11090">
        <v>5.0</v>
      </c>
      <c r="O74" t="n" s="11091">
        <v>5.0</v>
      </c>
      <c r="P74" s="11092">
        <f>IF(HLOOKUP("Shots",A1:CV300,74,FALSE)=0,0,HLOOKUP("SIB",A1:CV300,74,FALSE)/HLOOKUP("Shots",A1:CV300,74,FALSE))</f>
      </c>
      <c r="Q74" t="n" s="11093">
        <v>2.0</v>
      </c>
      <c r="R74" s="11094">
        <f>IF(HLOOKUP("Shots",A1:CV300,74,FALSE)=0,0,HLOOKUP("S6YD",A1:CV300,74,FALSE)/HLOOKUP("Shots",A1:CV300,74,FALSE))</f>
      </c>
      <c r="S74" t="n" s="11095">
        <v>4.0</v>
      </c>
      <c r="T74" s="11096">
        <f>IF(HLOOKUP("Shots",A1:CV300,74,FALSE)=0,0,HLOOKUP("Headers",A1:CV300,74,FALSE)/HLOOKUP("Shots",A1:CV300,74,FALSE))</f>
      </c>
      <c r="U74" t="n" s="11097">
        <v>0.0</v>
      </c>
      <c r="V74" s="11098">
        <f>IF(HLOOKUP("Shots",A1:CV300,74,FALSE)=0,0,HLOOKUP("SOT",A1:CV300,74,FALSE)/HLOOKUP("Shots",A1:CV300,74,FALSE))</f>
      </c>
      <c r="W74" s="11099">
        <f>IF(HLOOKUP("Shots",A1:CV300,74,FALSE)=0,0,HLOOKUP("Gs",A1:CV300,74,FALSE)/HLOOKUP("Shots",A1:CV300,74,FALSE))</f>
      </c>
      <c r="X74" t="n" s="11100">
        <v>0.0</v>
      </c>
      <c r="Y74" t="n" s="11101">
        <v>0.0</v>
      </c>
      <c r="Z74" t="n" s="11102">
        <v>1.0</v>
      </c>
      <c r="AA74" s="11103">
        <f>IF(HLOOKUP("KP",A1:CV300,74,FALSE)=0,0,HLOOKUP("As",A1:CV300,74,FALSE)/HLOOKUP("KP",A1:CV300,74,FALSE))</f>
      </c>
      <c r="AB74" t="n" s="11104">
        <v>15.8</v>
      </c>
      <c r="AC74" t="n" s="11105">
        <v>0.0</v>
      </c>
      <c r="AD74" t="n" s="11106">
        <v>0.0</v>
      </c>
      <c r="AE74" t="n" s="11107">
        <v>1.0</v>
      </c>
      <c r="AF74" t="n" s="11108">
        <v>1.0</v>
      </c>
      <c r="AG74" s="11109">
        <f>IF(HLOOKUP("BC",A1:CV300,74,FALSE)=0,0,HLOOKUP("Gs - BC",A1:CV300,74,FALSE)/HLOOKUP("BC",A1:CV300,74,FALSE))</f>
      </c>
      <c r="AH74" s="11110">
        <f>HLOOKUP("BC",A1:CV300,74,FALSE) - HLOOKUP("BC Miss",A1:CV300,74,FALSE)</f>
      </c>
      <c r="AI74" s="11111">
        <f>IF(HLOOKUP("Gs",A1:CV300,74,FALSE)=0,0,HLOOKUP("Gs - BC",A1:CV300,74,FALSE)/HLOOKUP("Gs",A1:CV300,74,FALSE))</f>
      </c>
      <c r="AJ74" t="n" s="11112">
        <v>0.0</v>
      </c>
      <c r="AK74" t="n" s="11113">
        <v>0.0</v>
      </c>
      <c r="AL74" s="11114">
        <f>HLOOKUP("BC",A1:CV300,74,FALSE) - (HLOOKUP("PK Gs",A1:CV300,74,FALSE) + HLOOKUP("PK Miss",A1:CV300,74,FALSE))</f>
      </c>
      <c r="AM74" s="11115">
        <f>HLOOKUP("BC Miss",A1:CV300,74,FALSE) - HLOOKUP("PK Miss",A1:CV300,74,FALSE)</f>
      </c>
      <c r="AN74" s="11116">
        <f>IF(HLOOKUP("BC - Open",A1:CV300,74,FALSE)=0,0,HLOOKUP("BC - Open Miss",A1:CV300,74,FALSE)/HLOOKUP("BC - Open",A1:CV300,74,FALSE))</f>
      </c>
      <c r="AO74" t="n" s="11117">
        <v>0.0</v>
      </c>
      <c r="AP74" s="11118">
        <f>IF(HLOOKUP("Gs",A1:CV300,74,FALSE)=0,0,HLOOKUP("GIB",A1:CV300,74,FALSE)/HLOOKUP("Gs",A1:CV300,74,FALSE))</f>
      </c>
      <c r="AQ74" t="n" s="11119">
        <v>0.0</v>
      </c>
      <c r="AR74" s="11120">
        <f>IF(HLOOKUP("Gs",A1:CV300,74,FALSE)=0,0,HLOOKUP("Gs - Open",A1:CV300,74,FALSE)/HLOOKUP("Gs",A1:CV300,74,FALSE))</f>
      </c>
      <c r="AS74" t="n" s="11121">
        <v>0.71</v>
      </c>
      <c r="AT74" t="n" s="11122">
        <v>0.05</v>
      </c>
      <c r="AU74" s="11123">
        <f>IF(HLOOKUP("Mins",A1:CV300,74,FALSE)=0,0,HLOOKUP("Pts",A1:CV300,74,FALSE)/HLOOKUP("Mins",A1:CV300,74,FALSE)* 90)</f>
      </c>
      <c r="AV74" s="11124">
        <f>IF(HLOOKUP("Apps",A1:CV300,74,FALSE)=0,0,HLOOKUP("Pts",A1:CV300,74,FALSE)/HLOOKUP("Apps",A1:CV300,74,FALSE)* 1)</f>
      </c>
      <c r="AW74" s="11125">
        <f>IF(HLOOKUP("Mins",A1:CV300,74,FALSE)=0,0,HLOOKUP("Gs",A1:CV300,74,FALSE)/HLOOKUP("Mins",A1:CV300,74,FALSE)* 90)</f>
      </c>
      <c r="AX74" s="11126">
        <f>IF(HLOOKUP("Mins",A1:CV300,74,FALSE)=0,0,HLOOKUP("Bonus",A1:CV300,74,FALSE)/HLOOKUP("Mins",A1:CV300,74,FALSE)* 90)</f>
      </c>
      <c r="AY74" s="11127">
        <f>IF(HLOOKUP("Mins",A1:CV300,74,FALSE)=0,0,HLOOKUP("BPS",A1:CV300,74,FALSE)/HLOOKUP("Mins",A1:CV300,74,FALSE)* 90)</f>
      </c>
      <c r="AZ74" s="11128">
        <f>IF(HLOOKUP("Mins",A1:CV300,74,FALSE)=0,0,HLOOKUP("Base BPS",A1:CV300,74,FALSE)/HLOOKUP("Mins",A1:CV300,74,FALSE)* 90)</f>
      </c>
      <c r="BA74" s="11129">
        <f>IF(HLOOKUP("Mins",A1:CV300,74,FALSE)=0,0,HLOOKUP("PenTchs",A1:CV300,74,FALSE)/HLOOKUP("Mins",A1:CV300,74,FALSE)* 90)</f>
      </c>
      <c r="BB74" s="11130">
        <f>IF(HLOOKUP("Mins",A1:CV300,74,FALSE)=0,0,HLOOKUP("Shots",A1:CV300,74,FALSE)/HLOOKUP("Mins",A1:CV300,74,FALSE)* 90)</f>
      </c>
      <c r="BC74" s="11131">
        <f>IF(HLOOKUP("Mins",A1:CV300,74,FALSE)=0,0,HLOOKUP("SIB",A1:CV300,74,FALSE)/HLOOKUP("Mins",A1:CV300,74,FALSE)* 90)</f>
      </c>
      <c r="BD74" s="11132">
        <f>IF(HLOOKUP("Mins",A1:CV300,74,FALSE)=0,0,HLOOKUP("S6YD",A1:CV300,74,FALSE)/HLOOKUP("Mins",A1:CV300,74,FALSE)* 90)</f>
      </c>
      <c r="BE74" s="11133">
        <f>IF(HLOOKUP("Mins",A1:CV300,74,FALSE)=0,0,HLOOKUP("Headers",A1:CV300,74,FALSE)/HLOOKUP("Mins",A1:CV300,74,FALSE)* 90)</f>
      </c>
      <c r="BF74" s="11134">
        <f>IF(HLOOKUP("Mins",A1:CV300,74,FALSE)=0,0,HLOOKUP("SOT",A1:CV300,74,FALSE)/HLOOKUP("Mins",A1:CV300,74,FALSE)* 90)</f>
      </c>
      <c r="BG74" s="11135">
        <f>IF(HLOOKUP("Mins",A1:CV300,74,FALSE)=0,0,HLOOKUP("As",A1:CV300,74,FALSE)/HLOOKUP("Mins",A1:CV300,74,FALSE)* 90)</f>
      </c>
      <c r="BH74" s="11136">
        <f>IF(HLOOKUP("Mins",A1:CV300,74,FALSE)=0,0,HLOOKUP("FPL As",A1:CV300,74,FALSE)/HLOOKUP("Mins",A1:CV300,74,FALSE)* 90)</f>
      </c>
      <c r="BI74" s="11137">
        <f>IF(HLOOKUP("Mins",A1:CV300,74,FALSE)=0,0,HLOOKUP("BC Created",A1:CV300,74,FALSE)/HLOOKUP("Mins",A1:CV300,74,FALSE)* 90)</f>
      </c>
      <c r="BJ74" s="11138">
        <f>IF(HLOOKUP("Mins",A1:CV300,74,FALSE)=0,0,HLOOKUP("KP",A1:CV300,74,FALSE)/HLOOKUP("Mins",A1:CV300,74,FALSE)* 90)</f>
      </c>
      <c r="BK74" s="11139">
        <f>IF(HLOOKUP("Mins",A1:CV300,74,FALSE)=0,0,HLOOKUP("BC",A1:CV300,74,FALSE)/HLOOKUP("Mins",A1:CV300,74,FALSE)* 90)</f>
      </c>
      <c r="BL74" s="11140">
        <f>IF(HLOOKUP("Mins",A1:CV300,74,FALSE)=0,0,HLOOKUP("BC Miss",A1:CV300,74,FALSE)/HLOOKUP("Mins",A1:CV300,74,FALSE)* 90)</f>
      </c>
      <c r="BM74" s="11141">
        <f>IF(HLOOKUP("Mins",A1:CV300,74,FALSE)=0,0,HLOOKUP("Gs - BC",A1:CV300,74,FALSE)/HLOOKUP("Mins",A1:CV300,74,FALSE)* 90)</f>
      </c>
      <c r="BN74" s="11142">
        <f>IF(HLOOKUP("Mins",A1:CV300,74,FALSE)=0,0,HLOOKUP("GIB",A1:CV300,74,FALSE)/HLOOKUP("Mins",A1:CV300,74,FALSE)* 90)</f>
      </c>
      <c r="BO74" s="11143">
        <f>IF(HLOOKUP("Mins",A1:CV300,74,FALSE)=0,0,HLOOKUP("Gs - Open",A1:CV300,74,FALSE)/HLOOKUP("Mins",A1:CV300,74,FALSE)* 90)</f>
      </c>
      <c r="BP74" s="11144">
        <f>IF(HLOOKUP("Mins",A1:CV300,74,FALSE)=0,0,HLOOKUP("ICT Index",A1:CV300,74,FALSE)/HLOOKUP("Mins",A1:CV300,74,FALSE)* 90)</f>
      </c>
      <c r="BQ74" s="11145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</c>
      <c r="BR74" s="11146">
        <f>0.0825*HLOOKUP("KP/90",A1:CV300,74,FALSE)</f>
      </c>
      <c r="BS74" s="11147">
        <f>6*HLOOKUP("xG/90",A1:CV300,74,FALSE)+3*HLOOKUP("xA/90",A1:CV300,74,FALSE)</f>
      </c>
      <c r="BT74" s="11148">
        <f>HLOOKUP("xPts/90",A1:CV300,74,FALSE)-(6*0.75*(HLOOKUP("PK Gs",A1:CV300,74,FALSE)+HLOOKUP("PK Miss",A1:CV300,74,FALSE))*90/HLOOKUP("Mins",A1:CV300,74,FALSE))</f>
      </c>
      <c r="BU74" s="11149">
        <f>IF(HLOOKUP("Mins",A1:CV300,74,FALSE)=0,0,HLOOKUP("fsXG",A1:CV300,74,FALSE)/HLOOKUP("Mins",A1:CV300,74,FALSE)* 90)</f>
      </c>
      <c r="BV74" s="11150">
        <f>IF(HLOOKUP("Mins",A1:CV300,74,FALSE)=0,0,HLOOKUP("fsXA",A1:CV300,74,FALSE)/HLOOKUP("Mins",A1:CV300,74,FALSE)* 90)</f>
      </c>
      <c r="BW74" s="11151">
        <f>6*HLOOKUP("fsXG/90",A1:CV300,74,FALSE)+3*HLOOKUP("fsXA/90",A1:CV300,74,FALSE)</f>
      </c>
      <c r="BX74" t="n" s="11152">
        <v>0.12093840539455414</v>
      </c>
      <c r="BY74" t="n" s="11153">
        <v>0.02144777402281761</v>
      </c>
      <c r="BZ74" s="11154">
        <f>6*HLOOKUP("uXG/90",A1:CV300,74,FALSE)+3*HLOOKUP("uXA/90",A1:CV300,74,FALSE)</f>
      </c>
    </row>
    <row r="75">
      <c r="A75" t="s" s="11155">
        <v>240</v>
      </c>
      <c r="B75" t="s" s="11156">
        <v>118</v>
      </c>
      <c r="C75" t="n" s="11157">
        <v>5.300000190734863</v>
      </c>
      <c r="D75" t="n" s="11158">
        <v>455.0</v>
      </c>
      <c r="E75" t="n" s="11159">
        <v>6.0</v>
      </c>
      <c r="F75" t="n" s="11160">
        <v>69.0</v>
      </c>
      <c r="G75" t="n" s="11161">
        <v>2.0</v>
      </c>
      <c r="H75" t="n" s="11162">
        <v>8.0</v>
      </c>
      <c r="I75" t="n" s="11163">
        <v>359.0</v>
      </c>
      <c r="J75" s="11164">
        <f>HLOOKUP("BPS",A1:CV300,75,FALSE)-((-6*HLOOKUP("OG",A1:CV300,75,FALSE))+(-6*HLOOKUP("PK Miss",A1:CV300,75,FALSE))+(9*HLOOKUP("FPL As",A1:CV300,75,FALSE))+(12*HLOOKUP("CS",A1:CV300,75,FALSE))+(12*HLOOKUP("Gs",A1:CV300,75,FALSE)))</f>
      </c>
      <c r="K75" t="n" s="11165">
        <v>1.0</v>
      </c>
      <c r="L75" t="n" s="11166">
        <v>5.0</v>
      </c>
      <c r="M75" t="n" s="11167">
        <v>14.0</v>
      </c>
      <c r="N75" t="n" s="11168">
        <v>7.0</v>
      </c>
      <c r="O75" t="n" s="11169">
        <v>7.0</v>
      </c>
      <c r="P75" s="11170">
        <f>IF(HLOOKUP("Shots",A1:CV300,75,FALSE)=0,0,HLOOKUP("SIB",A1:CV300,75,FALSE)/HLOOKUP("Shots",A1:CV300,75,FALSE))</f>
      </c>
      <c r="Q75" t="n" s="11171">
        <v>3.0</v>
      </c>
      <c r="R75" s="11172">
        <f>IF(HLOOKUP("Shots",A1:CV300,75,FALSE)=0,0,HLOOKUP("S6YD",A1:CV300,75,FALSE)/HLOOKUP("Shots",A1:CV300,75,FALSE))</f>
      </c>
      <c r="S75" t="n" s="11173">
        <v>6.0</v>
      </c>
      <c r="T75" s="11174">
        <f>IF(HLOOKUP("Shots",A1:CV300,75,FALSE)=0,0,HLOOKUP("Headers",A1:CV300,75,FALSE)/HLOOKUP("Shots",A1:CV300,75,FALSE))</f>
      </c>
      <c r="U75" t="n" s="11175">
        <v>3.0</v>
      </c>
      <c r="V75" s="11176">
        <f>IF(HLOOKUP("Shots",A1:CV300,75,FALSE)=0,0,HLOOKUP("SOT",A1:CV300,75,FALSE)/HLOOKUP("Shots",A1:CV300,75,FALSE))</f>
      </c>
      <c r="W75" s="11177">
        <f>IF(HLOOKUP("Shots",A1:CV300,75,FALSE)=0,0,HLOOKUP("Gs",A1:CV300,75,FALSE)/HLOOKUP("Shots",A1:CV300,75,FALSE))</f>
      </c>
      <c r="X75" t="n" s="11178">
        <v>0.0</v>
      </c>
      <c r="Y75" t="n" s="11179">
        <v>0.0</v>
      </c>
      <c r="Z75" t="n" s="11180">
        <v>0.0</v>
      </c>
      <c r="AA75" s="11181">
        <f>IF(HLOOKUP("KP",A1:CV300,75,FALSE)=0,0,HLOOKUP("As",A1:CV300,75,FALSE)/HLOOKUP("KP",A1:CV300,75,FALSE))</f>
      </c>
      <c r="AB75" t="n" s="11182">
        <v>25.6</v>
      </c>
      <c r="AC75" t="n" s="11183">
        <v>20.0</v>
      </c>
      <c r="AD75" t="n" s="11184">
        <v>0.0</v>
      </c>
      <c r="AE75" t="n" s="11185">
        <v>2.0</v>
      </c>
      <c r="AF75" t="n" s="11186">
        <v>1.0</v>
      </c>
      <c r="AG75" s="11187">
        <f>IF(HLOOKUP("BC",A1:CV300,75,FALSE)=0,0,HLOOKUP("Gs - BC",A1:CV300,75,FALSE)/HLOOKUP("BC",A1:CV300,75,FALSE))</f>
      </c>
      <c r="AH75" s="11188">
        <f>HLOOKUP("BC",A1:CV300,75,FALSE) - HLOOKUP("BC Miss",A1:CV300,75,FALSE)</f>
      </c>
      <c r="AI75" s="11189">
        <f>IF(HLOOKUP("Gs",A1:CV300,75,FALSE)=0,0,HLOOKUP("Gs - BC",A1:CV300,75,FALSE)/HLOOKUP("Gs",A1:CV300,75,FALSE))</f>
      </c>
      <c r="AJ75" t="n" s="11190">
        <v>0.0</v>
      </c>
      <c r="AK75" t="n" s="11191">
        <v>0.0</v>
      </c>
      <c r="AL75" s="11192">
        <f>HLOOKUP("BC",A1:CV300,75,FALSE) - (HLOOKUP("PK Gs",A1:CV300,75,FALSE) + HLOOKUP("PK Miss",A1:CV300,75,FALSE))</f>
      </c>
      <c r="AM75" s="11193">
        <f>HLOOKUP("BC Miss",A1:CV300,75,FALSE) - HLOOKUP("PK Miss",A1:CV300,75,FALSE)</f>
      </c>
      <c r="AN75" s="11194">
        <f>IF(HLOOKUP("BC - Open",A1:CV300,75,FALSE)=0,0,HLOOKUP("BC - Open Miss",A1:CV300,75,FALSE)/HLOOKUP("BC - Open",A1:CV300,75,FALSE))</f>
      </c>
      <c r="AO75" t="n" s="11195">
        <v>2.0</v>
      </c>
      <c r="AP75" s="11196">
        <f>IF(HLOOKUP("Gs",A1:CV300,75,FALSE)=0,0,HLOOKUP("GIB",A1:CV300,75,FALSE)/HLOOKUP("Gs",A1:CV300,75,FALSE))</f>
      </c>
      <c r="AQ75" t="n" s="11197">
        <v>0.0</v>
      </c>
      <c r="AR75" s="11198">
        <f>IF(HLOOKUP("Gs",A1:CV300,75,FALSE)=0,0,HLOOKUP("Gs - Open",A1:CV300,75,FALSE)/HLOOKUP("Gs",A1:CV300,75,FALSE))</f>
      </c>
      <c r="AS75" t="n" s="11199">
        <v>1.56</v>
      </c>
      <c r="AT75" t="n" s="11200">
        <v>0.02</v>
      </c>
      <c r="AU75" s="11201">
        <f>IF(HLOOKUP("Mins",A1:CV300,75,FALSE)=0,0,HLOOKUP("Pts",A1:CV300,75,FALSE)/HLOOKUP("Mins",A1:CV300,75,FALSE)* 90)</f>
      </c>
      <c r="AV75" s="11202">
        <f>IF(HLOOKUP("Apps",A1:CV300,75,FALSE)=0,0,HLOOKUP("Pts",A1:CV300,75,FALSE)/HLOOKUP("Apps",A1:CV300,75,FALSE)* 1)</f>
      </c>
      <c r="AW75" s="11203">
        <f>IF(HLOOKUP("Mins",A1:CV300,75,FALSE)=0,0,HLOOKUP("Gs",A1:CV300,75,FALSE)/HLOOKUP("Mins",A1:CV300,75,FALSE)* 90)</f>
      </c>
      <c r="AX75" s="11204">
        <f>IF(HLOOKUP("Mins",A1:CV300,75,FALSE)=0,0,HLOOKUP("Bonus",A1:CV300,75,FALSE)/HLOOKUP("Mins",A1:CV300,75,FALSE)* 90)</f>
      </c>
      <c r="AY75" s="11205">
        <f>IF(HLOOKUP("Mins",A1:CV300,75,FALSE)=0,0,HLOOKUP("BPS",A1:CV300,75,FALSE)/HLOOKUP("Mins",A1:CV300,75,FALSE)* 90)</f>
      </c>
      <c r="AZ75" s="11206">
        <f>IF(HLOOKUP("Mins",A1:CV300,75,FALSE)=0,0,HLOOKUP("Base BPS",A1:CV300,75,FALSE)/HLOOKUP("Mins",A1:CV300,75,FALSE)* 90)</f>
      </c>
      <c r="BA75" s="11207">
        <f>IF(HLOOKUP("Mins",A1:CV300,75,FALSE)=0,0,HLOOKUP("PenTchs",A1:CV300,75,FALSE)/HLOOKUP("Mins",A1:CV300,75,FALSE)* 90)</f>
      </c>
      <c r="BB75" s="11208">
        <f>IF(HLOOKUP("Mins",A1:CV300,75,FALSE)=0,0,HLOOKUP("Shots",A1:CV300,75,FALSE)/HLOOKUP("Mins",A1:CV300,75,FALSE)* 90)</f>
      </c>
      <c r="BC75" s="11209">
        <f>IF(HLOOKUP("Mins",A1:CV300,75,FALSE)=0,0,HLOOKUP("SIB",A1:CV300,75,FALSE)/HLOOKUP("Mins",A1:CV300,75,FALSE)* 90)</f>
      </c>
      <c r="BD75" s="11210">
        <f>IF(HLOOKUP("Mins",A1:CV300,75,FALSE)=0,0,HLOOKUP("S6YD",A1:CV300,75,FALSE)/HLOOKUP("Mins",A1:CV300,75,FALSE)* 90)</f>
      </c>
      <c r="BE75" s="11211">
        <f>IF(HLOOKUP("Mins",A1:CV300,75,FALSE)=0,0,HLOOKUP("Headers",A1:CV300,75,FALSE)/HLOOKUP("Mins",A1:CV300,75,FALSE)* 90)</f>
      </c>
      <c r="BF75" s="11212">
        <f>IF(HLOOKUP("Mins",A1:CV300,75,FALSE)=0,0,HLOOKUP("SOT",A1:CV300,75,FALSE)/HLOOKUP("Mins",A1:CV300,75,FALSE)* 90)</f>
      </c>
      <c r="BG75" s="11213">
        <f>IF(HLOOKUP("Mins",A1:CV300,75,FALSE)=0,0,HLOOKUP("As",A1:CV300,75,FALSE)/HLOOKUP("Mins",A1:CV300,75,FALSE)* 90)</f>
      </c>
      <c r="BH75" s="11214">
        <f>IF(HLOOKUP("Mins",A1:CV300,75,FALSE)=0,0,HLOOKUP("FPL As",A1:CV300,75,FALSE)/HLOOKUP("Mins",A1:CV300,75,FALSE)* 90)</f>
      </c>
      <c r="BI75" s="11215">
        <f>IF(HLOOKUP("Mins",A1:CV300,75,FALSE)=0,0,HLOOKUP("BC Created",A1:CV300,75,FALSE)/HLOOKUP("Mins",A1:CV300,75,FALSE)* 90)</f>
      </c>
      <c r="BJ75" s="11216">
        <f>IF(HLOOKUP("Mins",A1:CV300,75,FALSE)=0,0,HLOOKUP("KP",A1:CV300,75,FALSE)/HLOOKUP("Mins",A1:CV300,75,FALSE)* 90)</f>
      </c>
      <c r="BK75" s="11217">
        <f>IF(HLOOKUP("Mins",A1:CV300,75,FALSE)=0,0,HLOOKUP("BC",A1:CV300,75,FALSE)/HLOOKUP("Mins",A1:CV300,75,FALSE)* 90)</f>
      </c>
      <c r="BL75" s="11218">
        <f>IF(HLOOKUP("Mins",A1:CV300,75,FALSE)=0,0,HLOOKUP("BC Miss",A1:CV300,75,FALSE)/HLOOKUP("Mins",A1:CV300,75,FALSE)* 90)</f>
      </c>
      <c r="BM75" s="11219">
        <f>IF(HLOOKUP("Mins",A1:CV300,75,FALSE)=0,0,HLOOKUP("Gs - BC",A1:CV300,75,FALSE)/HLOOKUP("Mins",A1:CV300,75,FALSE)* 90)</f>
      </c>
      <c r="BN75" s="11220">
        <f>IF(HLOOKUP("Mins",A1:CV300,75,FALSE)=0,0,HLOOKUP("GIB",A1:CV300,75,FALSE)/HLOOKUP("Mins",A1:CV300,75,FALSE)* 90)</f>
      </c>
      <c r="BO75" s="11221">
        <f>IF(HLOOKUP("Mins",A1:CV300,75,FALSE)=0,0,HLOOKUP("Gs - Open",A1:CV300,75,FALSE)/HLOOKUP("Mins",A1:CV300,75,FALSE)* 90)</f>
      </c>
      <c r="BP75" s="11222">
        <f>IF(HLOOKUP("Mins",A1:CV300,75,FALSE)=0,0,HLOOKUP("ICT Index",A1:CV300,75,FALSE)/HLOOKUP("Mins",A1:CV300,75,FALSE)* 90)</f>
      </c>
      <c r="BQ75" s="11223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</c>
      <c r="BR75" s="11224">
        <f>0.0825*HLOOKUP("KP/90",A1:CV300,75,FALSE)</f>
      </c>
      <c r="BS75" s="11225">
        <f>6*HLOOKUP("xG/90",A1:CV300,75,FALSE)+3*HLOOKUP("xA/90",A1:CV300,75,FALSE)</f>
      </c>
      <c r="BT75" s="11226">
        <f>HLOOKUP("xPts/90",A1:CV300,75,FALSE)-(6*0.75*(HLOOKUP("PK Gs",A1:CV300,75,FALSE)+HLOOKUP("PK Miss",A1:CV300,75,FALSE))*90/HLOOKUP("Mins",A1:CV300,75,FALSE))</f>
      </c>
      <c r="BU75" s="11227">
        <f>IF(HLOOKUP("Mins",A1:CV300,75,FALSE)=0,0,HLOOKUP("fsXG",A1:CV300,75,FALSE)/HLOOKUP("Mins",A1:CV300,75,FALSE)* 90)</f>
      </c>
      <c r="BV75" s="11228">
        <f>IF(HLOOKUP("Mins",A1:CV300,75,FALSE)=0,0,HLOOKUP("fsXA",A1:CV300,75,FALSE)/HLOOKUP("Mins",A1:CV300,75,FALSE)* 90)</f>
      </c>
      <c r="BW75" s="11229">
        <f>6*HLOOKUP("fsXG/90",A1:CV300,75,FALSE)+3*HLOOKUP("fsXA/90",A1:CV300,75,FALSE)</f>
      </c>
      <c r="BX75" t="n" s="11230">
        <v>0.31737154722213745</v>
      </c>
      <c r="BY75" t="n" s="11231">
        <v>0.0</v>
      </c>
      <c r="BZ75" s="11232">
        <f>6*HLOOKUP("uXG/90",A1:CV300,75,FALSE)+3*HLOOKUP("uXA/90",A1:CV300,75,FALSE)</f>
      </c>
    </row>
    <row r="76">
      <c r="A76" t="s" s="11233">
        <v>241</v>
      </c>
      <c r="B76" t="s" s="11234">
        <v>80</v>
      </c>
      <c r="C76" t="n" s="11235">
        <v>4.5</v>
      </c>
      <c r="D76" t="n" s="11236">
        <v>9.0</v>
      </c>
      <c r="E76" t="n" s="11237">
        <v>1.0</v>
      </c>
      <c r="F76" t="n" s="11238">
        <v>2.0</v>
      </c>
      <c r="G76" t="n" s="11239">
        <v>0.0</v>
      </c>
      <c r="H76" t="n" s="11240">
        <v>0.0</v>
      </c>
      <c r="I76" t="n" s="11241">
        <v>13.0</v>
      </c>
      <c r="J76" s="11242">
        <f>HLOOKUP("BPS",A1:CV300,76,FALSE)-((-6*HLOOKUP("OG",A1:CV300,76,FALSE))+(-6*HLOOKUP("PK Miss",A1:CV300,76,FALSE))+(9*HLOOKUP("FPL As",A1:CV300,76,FALSE))+(12*HLOOKUP("CS",A1:CV300,76,FALSE))+(12*HLOOKUP("Gs",A1:CV300,76,FALSE)))</f>
      </c>
      <c r="K76" t="n" s="11243">
        <v>0.0</v>
      </c>
      <c r="L76" t="n" s="11244">
        <v>0.0</v>
      </c>
      <c r="M76" t="n" s="11245">
        <v>0.0</v>
      </c>
      <c r="N76" t="n" s="11246">
        <v>0.0</v>
      </c>
      <c r="O76" t="n" s="11247">
        <v>0.0</v>
      </c>
      <c r="P76" s="11248">
        <f>IF(HLOOKUP("Shots",A1:CV300,76,FALSE)=0,0,HLOOKUP("SIB",A1:CV300,76,FALSE)/HLOOKUP("Shots",A1:CV300,76,FALSE))</f>
      </c>
      <c r="Q76" t="n" s="11249">
        <v>0.0</v>
      </c>
      <c r="R76" s="11250">
        <f>IF(HLOOKUP("Shots",A1:CV300,76,FALSE)=0,0,HLOOKUP("S6YD",A1:CV300,76,FALSE)/HLOOKUP("Shots",A1:CV300,76,FALSE))</f>
      </c>
      <c r="S76" t="n" s="11251">
        <v>0.0</v>
      </c>
      <c r="T76" s="11252">
        <f>IF(HLOOKUP("Shots",A1:CV300,76,FALSE)=0,0,HLOOKUP("Headers",A1:CV300,76,FALSE)/HLOOKUP("Shots",A1:CV300,76,FALSE))</f>
      </c>
      <c r="U76" t="n" s="11253">
        <v>0.0</v>
      </c>
      <c r="V76" s="11254">
        <f>IF(HLOOKUP("Shots",A1:CV300,76,FALSE)=0,0,HLOOKUP("SOT",A1:CV300,76,FALSE)/HLOOKUP("Shots",A1:CV300,76,FALSE))</f>
      </c>
      <c r="W76" s="11255">
        <f>IF(HLOOKUP("Shots",A1:CV300,76,FALSE)=0,0,HLOOKUP("Gs",A1:CV300,76,FALSE)/HLOOKUP("Shots",A1:CV300,76,FALSE))</f>
      </c>
      <c r="X76" t="n" s="11256">
        <v>0.0</v>
      </c>
      <c r="Y76" t="n" s="11257">
        <v>0.0</v>
      </c>
      <c r="Z76" t="n" s="11258">
        <v>0.0</v>
      </c>
      <c r="AA76" s="11259">
        <f>IF(HLOOKUP("KP",A1:CV300,76,FALSE)=0,0,HLOOKUP("As",A1:CV300,76,FALSE)/HLOOKUP("KP",A1:CV300,76,FALSE))</f>
      </c>
      <c r="AB76" t="n" s="11260">
        <v>0.5</v>
      </c>
      <c r="AC76" t="n" s="11261">
        <v>0.0</v>
      </c>
      <c r="AD76" t="n" s="11262">
        <v>0.0</v>
      </c>
      <c r="AE76" t="n" s="11263">
        <v>0.0</v>
      </c>
      <c r="AF76" t="n" s="11264">
        <v>0.0</v>
      </c>
      <c r="AG76" s="11265">
        <f>IF(HLOOKUP("BC",A1:CV300,76,FALSE)=0,0,HLOOKUP("Gs - BC",A1:CV300,76,FALSE)/HLOOKUP("BC",A1:CV300,76,FALSE))</f>
      </c>
      <c r="AH76" s="11266">
        <f>HLOOKUP("BC",A1:CV300,76,FALSE) - HLOOKUP("BC Miss",A1:CV300,76,FALSE)</f>
      </c>
      <c r="AI76" s="11267">
        <f>IF(HLOOKUP("Gs",A1:CV300,76,FALSE)=0,0,HLOOKUP("Gs - BC",A1:CV300,76,FALSE)/HLOOKUP("Gs",A1:CV300,76,FALSE))</f>
      </c>
      <c r="AJ76" t="n" s="11268">
        <v>0.0</v>
      </c>
      <c r="AK76" t="n" s="11269">
        <v>0.0</v>
      </c>
      <c r="AL76" s="11270">
        <f>HLOOKUP("BC",A1:CV300,76,FALSE) - (HLOOKUP("PK Gs",A1:CV300,76,FALSE) + HLOOKUP("PK Miss",A1:CV300,76,FALSE))</f>
      </c>
      <c r="AM76" s="11271">
        <f>HLOOKUP("BC Miss",A1:CV300,76,FALSE) - HLOOKUP("PK Miss",A1:CV300,76,FALSE)</f>
      </c>
      <c r="AN76" s="11272">
        <f>IF(HLOOKUP("BC - Open",A1:CV300,76,FALSE)=0,0,HLOOKUP("BC - Open Miss",A1:CV300,76,FALSE)/HLOOKUP("BC - Open",A1:CV300,76,FALSE))</f>
      </c>
      <c r="AO76" t="n" s="11273">
        <v>0.0</v>
      </c>
      <c r="AP76" s="11274">
        <f>IF(HLOOKUP("Gs",A1:CV300,76,FALSE)=0,0,HLOOKUP("GIB",A1:CV300,76,FALSE)/HLOOKUP("Gs",A1:CV300,76,FALSE))</f>
      </c>
      <c r="AQ76" t="n" s="11275">
        <v>0.0</v>
      </c>
      <c r="AR76" s="11276">
        <f>IF(HLOOKUP("Gs",A1:CV300,76,FALSE)=0,0,HLOOKUP("Gs - Open",A1:CV300,76,FALSE)/HLOOKUP("Gs",A1:CV300,76,FALSE))</f>
      </c>
      <c r="AS76" t="n" s="11277">
        <v>0.0</v>
      </c>
      <c r="AT76" t="n" s="11278">
        <v>0.0</v>
      </c>
      <c r="AU76" s="11279">
        <f>IF(HLOOKUP("Mins",A1:CV300,76,FALSE)=0,0,HLOOKUP("Pts",A1:CV300,76,FALSE)/HLOOKUP("Mins",A1:CV300,76,FALSE)* 90)</f>
      </c>
      <c r="AV76" s="11280">
        <f>IF(HLOOKUP("Apps",A1:CV300,76,FALSE)=0,0,HLOOKUP("Pts",A1:CV300,76,FALSE)/HLOOKUP("Apps",A1:CV300,76,FALSE)* 1)</f>
      </c>
      <c r="AW76" s="11281">
        <f>IF(HLOOKUP("Mins",A1:CV300,76,FALSE)=0,0,HLOOKUP("Gs",A1:CV300,76,FALSE)/HLOOKUP("Mins",A1:CV300,76,FALSE)* 90)</f>
      </c>
      <c r="AX76" s="11282">
        <f>IF(HLOOKUP("Mins",A1:CV300,76,FALSE)=0,0,HLOOKUP("Bonus",A1:CV300,76,FALSE)/HLOOKUP("Mins",A1:CV300,76,FALSE)* 90)</f>
      </c>
      <c r="AY76" s="11283">
        <f>IF(HLOOKUP("Mins",A1:CV300,76,FALSE)=0,0,HLOOKUP("BPS",A1:CV300,76,FALSE)/HLOOKUP("Mins",A1:CV300,76,FALSE)* 90)</f>
      </c>
      <c r="AZ76" s="11284">
        <f>IF(HLOOKUP("Mins",A1:CV300,76,FALSE)=0,0,HLOOKUP("Base BPS",A1:CV300,76,FALSE)/HLOOKUP("Mins",A1:CV300,76,FALSE)* 90)</f>
      </c>
      <c r="BA76" s="11285">
        <f>IF(HLOOKUP("Mins",A1:CV300,76,FALSE)=0,0,HLOOKUP("PenTchs",A1:CV300,76,FALSE)/HLOOKUP("Mins",A1:CV300,76,FALSE)* 90)</f>
      </c>
      <c r="BB76" s="11286">
        <f>IF(HLOOKUP("Mins",A1:CV300,76,FALSE)=0,0,HLOOKUP("Shots",A1:CV300,76,FALSE)/HLOOKUP("Mins",A1:CV300,76,FALSE)* 90)</f>
      </c>
      <c r="BC76" s="11287">
        <f>IF(HLOOKUP("Mins",A1:CV300,76,FALSE)=0,0,HLOOKUP("SIB",A1:CV300,76,FALSE)/HLOOKUP("Mins",A1:CV300,76,FALSE)* 90)</f>
      </c>
      <c r="BD76" s="11288">
        <f>IF(HLOOKUP("Mins",A1:CV300,76,FALSE)=0,0,HLOOKUP("S6YD",A1:CV300,76,FALSE)/HLOOKUP("Mins",A1:CV300,76,FALSE)* 90)</f>
      </c>
      <c r="BE76" s="11289">
        <f>IF(HLOOKUP("Mins",A1:CV300,76,FALSE)=0,0,HLOOKUP("Headers",A1:CV300,76,FALSE)/HLOOKUP("Mins",A1:CV300,76,FALSE)* 90)</f>
      </c>
      <c r="BF76" s="11290">
        <f>IF(HLOOKUP("Mins",A1:CV300,76,FALSE)=0,0,HLOOKUP("SOT",A1:CV300,76,FALSE)/HLOOKUP("Mins",A1:CV300,76,FALSE)* 90)</f>
      </c>
      <c r="BG76" s="11291">
        <f>IF(HLOOKUP("Mins",A1:CV300,76,FALSE)=0,0,HLOOKUP("As",A1:CV300,76,FALSE)/HLOOKUP("Mins",A1:CV300,76,FALSE)* 90)</f>
      </c>
      <c r="BH76" s="11292">
        <f>IF(HLOOKUP("Mins",A1:CV300,76,FALSE)=0,0,HLOOKUP("FPL As",A1:CV300,76,FALSE)/HLOOKUP("Mins",A1:CV300,76,FALSE)* 90)</f>
      </c>
      <c r="BI76" s="11293">
        <f>IF(HLOOKUP("Mins",A1:CV300,76,FALSE)=0,0,HLOOKUP("BC Created",A1:CV300,76,FALSE)/HLOOKUP("Mins",A1:CV300,76,FALSE)* 90)</f>
      </c>
      <c r="BJ76" s="11294">
        <f>IF(HLOOKUP("Mins",A1:CV300,76,FALSE)=0,0,HLOOKUP("KP",A1:CV300,76,FALSE)/HLOOKUP("Mins",A1:CV300,76,FALSE)* 90)</f>
      </c>
      <c r="BK76" s="11295">
        <f>IF(HLOOKUP("Mins",A1:CV300,76,FALSE)=0,0,HLOOKUP("BC",A1:CV300,76,FALSE)/HLOOKUP("Mins",A1:CV300,76,FALSE)* 90)</f>
      </c>
      <c r="BL76" s="11296">
        <f>IF(HLOOKUP("Mins",A1:CV300,76,FALSE)=0,0,HLOOKUP("BC Miss",A1:CV300,76,FALSE)/HLOOKUP("Mins",A1:CV300,76,FALSE)* 90)</f>
      </c>
      <c r="BM76" s="11297">
        <f>IF(HLOOKUP("Mins",A1:CV300,76,FALSE)=0,0,HLOOKUP("Gs - BC",A1:CV300,76,FALSE)/HLOOKUP("Mins",A1:CV300,76,FALSE)* 90)</f>
      </c>
      <c r="BN76" s="11298">
        <f>IF(HLOOKUP("Mins",A1:CV300,76,FALSE)=0,0,HLOOKUP("GIB",A1:CV300,76,FALSE)/HLOOKUP("Mins",A1:CV300,76,FALSE)* 90)</f>
      </c>
      <c r="BO76" s="11299">
        <f>IF(HLOOKUP("Mins",A1:CV300,76,FALSE)=0,0,HLOOKUP("Gs - Open",A1:CV300,76,FALSE)/HLOOKUP("Mins",A1:CV300,76,FALSE)* 90)</f>
      </c>
      <c r="BP76" s="11300">
        <f>IF(HLOOKUP("Mins",A1:CV300,76,FALSE)=0,0,HLOOKUP("ICT Index",A1:CV300,76,FALSE)/HLOOKUP("Mins",A1:CV300,76,FALSE)* 90)</f>
      </c>
      <c r="BQ76" s="11301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</c>
      <c r="BR76" s="11302">
        <f>0.0825*HLOOKUP("KP/90",A1:CV300,76,FALSE)</f>
      </c>
      <c r="BS76" s="11303">
        <f>6*HLOOKUP("xG/90",A1:CV300,76,FALSE)+3*HLOOKUP("xA/90",A1:CV300,76,FALSE)</f>
      </c>
      <c r="BT76" s="11304">
        <f>HLOOKUP("xPts/90",A1:CV300,76,FALSE)-(6*0.75*(HLOOKUP("PK Gs",A1:CV300,76,FALSE)+HLOOKUP("PK Miss",A1:CV300,76,FALSE))*90/HLOOKUP("Mins",A1:CV300,76,FALSE))</f>
      </c>
      <c r="BU76" s="11305">
        <f>IF(HLOOKUP("Mins",A1:CV300,76,FALSE)=0,0,HLOOKUP("fsXG",A1:CV300,76,FALSE)/HLOOKUP("Mins",A1:CV300,76,FALSE)* 90)</f>
      </c>
      <c r="BV76" s="11306">
        <f>IF(HLOOKUP("Mins",A1:CV300,76,FALSE)=0,0,HLOOKUP("fsXA",A1:CV300,76,FALSE)/HLOOKUP("Mins",A1:CV300,76,FALSE)* 90)</f>
      </c>
      <c r="BW76" s="11307">
        <f>6*HLOOKUP("fsXG/90",A1:CV300,76,FALSE)+3*HLOOKUP("fsXA/90",A1:CV300,76,FALSE)</f>
      </c>
      <c r="BX76" t="n" s="11308">
        <v>0.0</v>
      </c>
      <c r="BY76" t="n" s="11309">
        <v>0.0</v>
      </c>
      <c r="BZ76" s="11310">
        <f>6*HLOOKUP("uXG/90",A1:CV300,76,FALSE)+3*HLOOKUP("uXA/90",A1:CV300,76,FALSE)</f>
      </c>
    </row>
    <row r="77">
      <c r="A77" t="s" s="11311">
        <v>242</v>
      </c>
      <c r="B77" t="s" s="11312">
        <v>114</v>
      </c>
      <c r="C77" t="n" s="11313">
        <v>4.400000095367432</v>
      </c>
      <c r="D77" t="n" s="11314">
        <v>240.0</v>
      </c>
      <c r="E77" t="n" s="11315">
        <v>3.0</v>
      </c>
      <c r="F77" t="n" s="11316">
        <v>57.0</v>
      </c>
      <c r="G77" t="n" s="11317">
        <v>0.0</v>
      </c>
      <c r="H77" t="n" s="11318">
        <v>5.0</v>
      </c>
      <c r="I77" t="n" s="11319">
        <v>318.0</v>
      </c>
      <c r="J77" s="11320">
        <f>HLOOKUP("BPS",A1:CV300,77,FALSE)-((-6*HLOOKUP("OG",A1:CV300,77,FALSE))+(-6*HLOOKUP("PK Miss",A1:CV300,77,FALSE))+(9*HLOOKUP("FPL As",A1:CV300,77,FALSE))+(12*HLOOKUP("CS",A1:CV300,77,FALSE))+(12*HLOOKUP("Gs",A1:CV300,77,FALSE)))</f>
      </c>
      <c r="K77" t="n" s="11321">
        <v>0.0</v>
      </c>
      <c r="L77" t="n" s="11322">
        <v>6.0</v>
      </c>
      <c r="M77" t="n" s="11323">
        <v>0.0</v>
      </c>
      <c r="N77" t="n" s="11324">
        <v>0.0</v>
      </c>
      <c r="O77" t="n" s="11325">
        <v>0.0</v>
      </c>
      <c r="P77" s="11326">
        <f>IF(HLOOKUP("Shots",A1:CV300,77,FALSE)=0,0,HLOOKUP("SIB",A1:CV300,77,FALSE)/HLOOKUP("Shots",A1:CV300,77,FALSE))</f>
      </c>
      <c r="Q77" t="n" s="11327">
        <v>0.0</v>
      </c>
      <c r="R77" s="11328">
        <f>IF(HLOOKUP("Shots",A1:CV300,77,FALSE)=0,0,HLOOKUP("S6YD",A1:CV300,77,FALSE)/HLOOKUP("Shots",A1:CV300,77,FALSE))</f>
      </c>
      <c r="S77" t="n" s="11329">
        <v>0.0</v>
      </c>
      <c r="T77" s="11330">
        <f>IF(HLOOKUP("Shots",A1:CV300,77,FALSE)=0,0,HLOOKUP("Headers",A1:CV300,77,FALSE)/HLOOKUP("Shots",A1:CV300,77,FALSE))</f>
      </c>
      <c r="U77" t="n" s="11331">
        <v>0.0</v>
      </c>
      <c r="V77" s="11332">
        <f>IF(HLOOKUP("Shots",A1:CV300,77,FALSE)=0,0,HLOOKUP("SOT",A1:CV300,77,FALSE)/HLOOKUP("Shots",A1:CV300,77,FALSE))</f>
      </c>
      <c r="W77" s="11333">
        <f>IF(HLOOKUP("Shots",A1:CV300,77,FALSE)=0,0,HLOOKUP("Gs",A1:CV300,77,FALSE)/HLOOKUP("Shots",A1:CV300,77,FALSE))</f>
      </c>
      <c r="X77" t="n" s="11334">
        <v>1.0</v>
      </c>
      <c r="Y77" t="n" s="11335">
        <v>2.0</v>
      </c>
      <c r="Z77" t="n" s="11336">
        <v>2.0</v>
      </c>
      <c r="AA77" s="11337">
        <f>IF(HLOOKUP("KP",A1:CV300,77,FALSE)=0,0,HLOOKUP("As",A1:CV300,77,FALSE)/HLOOKUP("KP",A1:CV300,77,FALSE))</f>
      </c>
      <c r="AB77" t="n" s="11338">
        <v>10.3</v>
      </c>
      <c r="AC77" t="n" s="11339">
        <v>14.0</v>
      </c>
      <c r="AD77" t="n" s="11340">
        <v>1.0</v>
      </c>
      <c r="AE77" t="n" s="11341">
        <v>0.0</v>
      </c>
      <c r="AF77" t="n" s="11342">
        <v>0.0</v>
      </c>
      <c r="AG77" s="11343">
        <f>IF(HLOOKUP("BC",A1:CV300,77,FALSE)=0,0,HLOOKUP("Gs - BC",A1:CV300,77,FALSE)/HLOOKUP("BC",A1:CV300,77,FALSE))</f>
      </c>
      <c r="AH77" s="11344">
        <f>HLOOKUP("BC",A1:CV300,77,FALSE) - HLOOKUP("BC Miss",A1:CV300,77,FALSE)</f>
      </c>
      <c r="AI77" s="11345">
        <f>IF(HLOOKUP("Gs",A1:CV300,77,FALSE)=0,0,HLOOKUP("Gs - BC",A1:CV300,77,FALSE)/HLOOKUP("Gs",A1:CV300,77,FALSE))</f>
      </c>
      <c r="AJ77" t="n" s="11346">
        <v>0.0</v>
      </c>
      <c r="AK77" t="n" s="11347">
        <v>0.0</v>
      </c>
      <c r="AL77" s="11348">
        <f>HLOOKUP("BC",A1:CV300,77,FALSE) - (HLOOKUP("PK Gs",A1:CV300,77,FALSE) + HLOOKUP("PK Miss",A1:CV300,77,FALSE))</f>
      </c>
      <c r="AM77" s="11349">
        <f>HLOOKUP("BC Miss",A1:CV300,77,FALSE) - HLOOKUP("PK Miss",A1:CV300,77,FALSE)</f>
      </c>
      <c r="AN77" s="11350">
        <f>IF(HLOOKUP("BC - Open",A1:CV300,77,FALSE)=0,0,HLOOKUP("BC - Open Miss",A1:CV300,77,FALSE)/HLOOKUP("BC - Open",A1:CV300,77,FALSE))</f>
      </c>
      <c r="AO77" t="n" s="11351">
        <v>0.0</v>
      </c>
      <c r="AP77" s="11352">
        <f>IF(HLOOKUP("Gs",A1:CV300,77,FALSE)=0,0,HLOOKUP("GIB",A1:CV300,77,FALSE)/HLOOKUP("Gs",A1:CV300,77,FALSE))</f>
      </c>
      <c r="AQ77" t="n" s="11353">
        <v>0.0</v>
      </c>
      <c r="AR77" s="11354">
        <f>IF(HLOOKUP("Gs",A1:CV300,77,FALSE)=0,0,HLOOKUP("Gs - Open",A1:CV300,77,FALSE)/HLOOKUP("Gs",A1:CV300,77,FALSE))</f>
      </c>
      <c r="AS77" t="n" s="11355">
        <v>0.0</v>
      </c>
      <c r="AT77" t="n" s="11356">
        <v>0.45</v>
      </c>
      <c r="AU77" s="11357">
        <f>IF(HLOOKUP("Mins",A1:CV300,77,FALSE)=0,0,HLOOKUP("Pts",A1:CV300,77,FALSE)/HLOOKUP("Mins",A1:CV300,77,FALSE)* 90)</f>
      </c>
      <c r="AV77" s="11358">
        <f>IF(HLOOKUP("Apps",A1:CV300,77,FALSE)=0,0,HLOOKUP("Pts",A1:CV300,77,FALSE)/HLOOKUP("Apps",A1:CV300,77,FALSE)* 1)</f>
      </c>
      <c r="AW77" s="11359">
        <f>IF(HLOOKUP("Mins",A1:CV300,77,FALSE)=0,0,HLOOKUP("Gs",A1:CV300,77,FALSE)/HLOOKUP("Mins",A1:CV300,77,FALSE)* 90)</f>
      </c>
      <c r="AX77" s="11360">
        <f>IF(HLOOKUP("Mins",A1:CV300,77,FALSE)=0,0,HLOOKUP("Bonus",A1:CV300,77,FALSE)/HLOOKUP("Mins",A1:CV300,77,FALSE)* 90)</f>
      </c>
      <c r="AY77" s="11361">
        <f>IF(HLOOKUP("Mins",A1:CV300,77,FALSE)=0,0,HLOOKUP("BPS",A1:CV300,77,FALSE)/HLOOKUP("Mins",A1:CV300,77,FALSE)* 90)</f>
      </c>
      <c r="AZ77" s="11362">
        <f>IF(HLOOKUP("Mins",A1:CV300,77,FALSE)=0,0,HLOOKUP("Base BPS",A1:CV300,77,FALSE)/HLOOKUP("Mins",A1:CV300,77,FALSE)* 90)</f>
      </c>
      <c r="BA77" s="11363">
        <f>IF(HLOOKUP("Mins",A1:CV300,77,FALSE)=0,0,HLOOKUP("PenTchs",A1:CV300,77,FALSE)/HLOOKUP("Mins",A1:CV300,77,FALSE)* 90)</f>
      </c>
      <c r="BB77" s="11364">
        <f>IF(HLOOKUP("Mins",A1:CV300,77,FALSE)=0,0,HLOOKUP("Shots",A1:CV300,77,FALSE)/HLOOKUP("Mins",A1:CV300,77,FALSE)* 90)</f>
      </c>
      <c r="BC77" s="11365">
        <f>IF(HLOOKUP("Mins",A1:CV300,77,FALSE)=0,0,HLOOKUP("SIB",A1:CV300,77,FALSE)/HLOOKUP("Mins",A1:CV300,77,FALSE)* 90)</f>
      </c>
      <c r="BD77" s="11366">
        <f>IF(HLOOKUP("Mins",A1:CV300,77,FALSE)=0,0,HLOOKUP("S6YD",A1:CV300,77,FALSE)/HLOOKUP("Mins",A1:CV300,77,FALSE)* 90)</f>
      </c>
      <c r="BE77" s="11367">
        <f>IF(HLOOKUP("Mins",A1:CV300,77,FALSE)=0,0,HLOOKUP("Headers",A1:CV300,77,FALSE)/HLOOKUP("Mins",A1:CV300,77,FALSE)* 90)</f>
      </c>
      <c r="BF77" s="11368">
        <f>IF(HLOOKUP("Mins",A1:CV300,77,FALSE)=0,0,HLOOKUP("SOT",A1:CV300,77,FALSE)/HLOOKUP("Mins",A1:CV300,77,FALSE)* 90)</f>
      </c>
      <c r="BG77" s="11369">
        <f>IF(HLOOKUP("Mins",A1:CV300,77,FALSE)=0,0,HLOOKUP("As",A1:CV300,77,FALSE)/HLOOKUP("Mins",A1:CV300,77,FALSE)* 90)</f>
      </c>
      <c r="BH77" s="11370">
        <f>IF(HLOOKUP("Mins",A1:CV300,77,FALSE)=0,0,HLOOKUP("FPL As",A1:CV300,77,FALSE)/HLOOKUP("Mins",A1:CV300,77,FALSE)* 90)</f>
      </c>
      <c r="BI77" s="11371">
        <f>IF(HLOOKUP("Mins",A1:CV300,77,FALSE)=0,0,HLOOKUP("BC Created",A1:CV300,77,FALSE)/HLOOKUP("Mins",A1:CV300,77,FALSE)* 90)</f>
      </c>
      <c r="BJ77" s="11372">
        <f>IF(HLOOKUP("Mins",A1:CV300,77,FALSE)=0,0,HLOOKUP("KP",A1:CV300,77,FALSE)/HLOOKUP("Mins",A1:CV300,77,FALSE)* 90)</f>
      </c>
      <c r="BK77" s="11373">
        <f>IF(HLOOKUP("Mins",A1:CV300,77,FALSE)=0,0,HLOOKUP("BC",A1:CV300,77,FALSE)/HLOOKUP("Mins",A1:CV300,77,FALSE)* 90)</f>
      </c>
      <c r="BL77" s="11374">
        <f>IF(HLOOKUP("Mins",A1:CV300,77,FALSE)=0,0,HLOOKUP("BC Miss",A1:CV300,77,FALSE)/HLOOKUP("Mins",A1:CV300,77,FALSE)* 90)</f>
      </c>
      <c r="BM77" s="11375">
        <f>IF(HLOOKUP("Mins",A1:CV300,77,FALSE)=0,0,HLOOKUP("Gs - BC",A1:CV300,77,FALSE)/HLOOKUP("Mins",A1:CV300,77,FALSE)* 90)</f>
      </c>
      <c r="BN77" s="11376">
        <f>IF(HLOOKUP("Mins",A1:CV300,77,FALSE)=0,0,HLOOKUP("GIB",A1:CV300,77,FALSE)/HLOOKUP("Mins",A1:CV300,77,FALSE)* 90)</f>
      </c>
      <c r="BO77" s="11377">
        <f>IF(HLOOKUP("Mins",A1:CV300,77,FALSE)=0,0,HLOOKUP("Gs - Open",A1:CV300,77,FALSE)/HLOOKUP("Mins",A1:CV300,77,FALSE)* 90)</f>
      </c>
      <c r="BP77" s="11378">
        <f>IF(HLOOKUP("Mins",A1:CV300,77,FALSE)=0,0,HLOOKUP("ICT Index",A1:CV300,77,FALSE)/HLOOKUP("Mins",A1:CV300,77,FALSE)* 90)</f>
      </c>
      <c r="BQ77" s="11379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</c>
      <c r="BR77" s="11380">
        <f>0.0825*HLOOKUP("KP/90",A1:CV300,77,FALSE)</f>
      </c>
      <c r="BS77" s="11381">
        <f>6*HLOOKUP("xG/90",A1:CV300,77,FALSE)+3*HLOOKUP("xA/90",A1:CV300,77,FALSE)</f>
      </c>
      <c r="BT77" s="11382">
        <f>HLOOKUP("xPts/90",A1:CV300,77,FALSE)-(6*0.75*(HLOOKUP("PK Gs",A1:CV300,77,FALSE)+HLOOKUP("PK Miss",A1:CV300,77,FALSE))*90/HLOOKUP("Mins",A1:CV300,77,FALSE))</f>
      </c>
      <c r="BU77" s="11383">
        <f>IF(HLOOKUP("Mins",A1:CV300,77,FALSE)=0,0,HLOOKUP("fsXG",A1:CV300,77,FALSE)/HLOOKUP("Mins",A1:CV300,77,FALSE)* 90)</f>
      </c>
      <c r="BV77" s="11384">
        <f>IF(HLOOKUP("Mins",A1:CV300,77,FALSE)=0,0,HLOOKUP("fsXA",A1:CV300,77,FALSE)/HLOOKUP("Mins",A1:CV300,77,FALSE)* 90)</f>
      </c>
      <c r="BW77" s="11385">
        <f>6*HLOOKUP("fsXG/90",A1:CV300,77,FALSE)+3*HLOOKUP("fsXA/90",A1:CV300,77,FALSE)</f>
      </c>
      <c r="BX77" t="n" s="11386">
        <v>0.0</v>
      </c>
      <c r="BY77" t="n" s="11387">
        <v>0.2489236295223236</v>
      </c>
      <c r="BZ77" s="11388">
        <f>6*HLOOKUP("uXG/90",A1:CV300,77,FALSE)+3*HLOOKUP("uXA/90",A1:CV300,77,FALSE)</f>
      </c>
    </row>
    <row r="78">
      <c r="A78" t="s" s="11389">
        <v>243</v>
      </c>
      <c r="B78" t="s" s="11390">
        <v>82</v>
      </c>
      <c r="C78" t="n" s="11391">
        <v>6.300000190734863</v>
      </c>
      <c r="D78" t="n" s="11392">
        <v>540.0</v>
      </c>
      <c r="E78" t="n" s="11393">
        <v>6.0</v>
      </c>
      <c r="F78" t="n" s="11394">
        <v>113.0</v>
      </c>
      <c r="G78" t="n" s="11395">
        <v>1.0</v>
      </c>
      <c r="H78" t="n" s="11396">
        <v>11.0</v>
      </c>
      <c r="I78" t="n" s="11397">
        <v>520.0</v>
      </c>
      <c r="J78" s="11398">
        <f>HLOOKUP("BPS",A1:CV300,78,FALSE)-((-6*HLOOKUP("OG",A1:CV300,78,FALSE))+(-6*HLOOKUP("PK Miss",A1:CV300,78,FALSE))+(9*HLOOKUP("FPL As",A1:CV300,78,FALSE))+(12*HLOOKUP("CS",A1:CV300,78,FALSE))+(12*HLOOKUP("Gs",A1:CV300,78,FALSE)))</f>
      </c>
      <c r="K78" t="n" s="11399">
        <v>0.0</v>
      </c>
      <c r="L78" t="n" s="11400">
        <v>9.0</v>
      </c>
      <c r="M78" t="n" s="11401">
        <v>15.0</v>
      </c>
      <c r="N78" t="n" s="11402">
        <v>7.0</v>
      </c>
      <c r="O78" t="n" s="11403">
        <v>5.0</v>
      </c>
      <c r="P78" s="11404">
        <f>IF(HLOOKUP("Shots",A1:CV300,78,FALSE)=0,0,HLOOKUP("SIB",A1:CV300,78,FALSE)/HLOOKUP("Shots",A1:CV300,78,FALSE))</f>
      </c>
      <c r="Q78" t="n" s="11405">
        <v>0.0</v>
      </c>
      <c r="R78" s="11406">
        <f>IF(HLOOKUP("Shots",A1:CV300,78,FALSE)=0,0,HLOOKUP("S6YD",A1:CV300,78,FALSE)/HLOOKUP("Shots",A1:CV300,78,FALSE))</f>
      </c>
      <c r="S78" t="n" s="11407">
        <v>0.0</v>
      </c>
      <c r="T78" s="11408">
        <f>IF(HLOOKUP("Shots",A1:CV300,78,FALSE)=0,0,HLOOKUP("Headers",A1:CV300,78,FALSE)/HLOOKUP("Shots",A1:CV300,78,FALSE))</f>
      </c>
      <c r="U78" t="n" s="11409">
        <v>1.0</v>
      </c>
      <c r="V78" s="11410">
        <f>IF(HLOOKUP("Shots",A1:CV300,78,FALSE)=0,0,HLOOKUP("SOT",A1:CV300,78,FALSE)/HLOOKUP("Shots",A1:CV300,78,FALSE))</f>
      </c>
      <c r="W78" s="11411">
        <f>IF(HLOOKUP("Shots",A1:CV300,78,FALSE)=0,0,HLOOKUP("Gs",A1:CV300,78,FALSE)/HLOOKUP("Shots",A1:CV300,78,FALSE))</f>
      </c>
      <c r="X78" t="n" s="11412">
        <v>1.0</v>
      </c>
      <c r="Y78" t="n" s="11413">
        <v>2.0</v>
      </c>
      <c r="Z78" t="n" s="11414">
        <v>6.0</v>
      </c>
      <c r="AA78" s="11415">
        <f>IF(HLOOKUP("KP",A1:CV300,78,FALSE)=0,0,HLOOKUP("As",A1:CV300,78,FALSE)/HLOOKUP("KP",A1:CV300,78,FALSE))</f>
      </c>
      <c r="AB78" t="n" s="11416">
        <v>33.1</v>
      </c>
      <c r="AC78" t="n" s="11417">
        <v>18.0</v>
      </c>
      <c r="AD78" t="n" s="11418">
        <v>1.0</v>
      </c>
      <c r="AE78" t="n" s="11419">
        <v>0.0</v>
      </c>
      <c r="AF78" t="n" s="11420">
        <v>0.0</v>
      </c>
      <c r="AG78" s="11421">
        <f>IF(HLOOKUP("BC",A1:CV300,78,FALSE)=0,0,HLOOKUP("Gs - BC",A1:CV300,78,FALSE)/HLOOKUP("BC",A1:CV300,78,FALSE))</f>
      </c>
      <c r="AH78" s="11422">
        <f>HLOOKUP("BC",A1:CV300,78,FALSE) - HLOOKUP("BC Miss",A1:CV300,78,FALSE)</f>
      </c>
      <c r="AI78" s="11423">
        <f>IF(HLOOKUP("Gs",A1:CV300,78,FALSE)=0,0,HLOOKUP("Gs - BC",A1:CV300,78,FALSE)/HLOOKUP("Gs",A1:CV300,78,FALSE))</f>
      </c>
      <c r="AJ78" t="n" s="11424">
        <v>0.0</v>
      </c>
      <c r="AK78" t="n" s="11425">
        <v>0.0</v>
      </c>
      <c r="AL78" s="11426">
        <f>HLOOKUP("BC",A1:CV300,78,FALSE) - (HLOOKUP("PK Gs",A1:CV300,78,FALSE) + HLOOKUP("PK Miss",A1:CV300,78,FALSE))</f>
      </c>
      <c r="AM78" s="11427">
        <f>HLOOKUP("BC Miss",A1:CV300,78,FALSE) - HLOOKUP("PK Miss",A1:CV300,78,FALSE)</f>
      </c>
      <c r="AN78" s="11428">
        <f>IF(HLOOKUP("BC - Open",A1:CV300,78,FALSE)=0,0,HLOOKUP("BC - Open Miss",A1:CV300,78,FALSE)/HLOOKUP("BC - Open",A1:CV300,78,FALSE))</f>
      </c>
      <c r="AO78" t="n" s="11429">
        <v>1.0</v>
      </c>
      <c r="AP78" s="11430">
        <f>IF(HLOOKUP("Gs",A1:CV300,78,FALSE)=0,0,HLOOKUP("GIB",A1:CV300,78,FALSE)/HLOOKUP("Gs",A1:CV300,78,FALSE))</f>
      </c>
      <c r="AQ78" t="n" s="11431">
        <v>1.0</v>
      </c>
      <c r="AR78" s="11432">
        <f>IF(HLOOKUP("Gs",A1:CV300,78,FALSE)=0,0,HLOOKUP("Gs - Open",A1:CV300,78,FALSE)/HLOOKUP("Gs",A1:CV300,78,FALSE))</f>
      </c>
      <c r="AS78" t="n" s="11433">
        <v>0.45</v>
      </c>
      <c r="AT78" t="n" s="11434">
        <v>0.55</v>
      </c>
      <c r="AU78" s="11435">
        <f>IF(HLOOKUP("Mins",A1:CV300,78,FALSE)=0,0,HLOOKUP("Pts",A1:CV300,78,FALSE)/HLOOKUP("Mins",A1:CV300,78,FALSE)* 90)</f>
      </c>
      <c r="AV78" s="11436">
        <f>IF(HLOOKUP("Apps",A1:CV300,78,FALSE)=0,0,HLOOKUP("Pts",A1:CV300,78,FALSE)/HLOOKUP("Apps",A1:CV300,78,FALSE)* 1)</f>
      </c>
      <c r="AW78" s="11437">
        <f>IF(HLOOKUP("Mins",A1:CV300,78,FALSE)=0,0,HLOOKUP("Gs",A1:CV300,78,FALSE)/HLOOKUP("Mins",A1:CV300,78,FALSE)* 90)</f>
      </c>
      <c r="AX78" s="11438">
        <f>IF(HLOOKUP("Mins",A1:CV300,78,FALSE)=0,0,HLOOKUP("Bonus",A1:CV300,78,FALSE)/HLOOKUP("Mins",A1:CV300,78,FALSE)* 90)</f>
      </c>
      <c r="AY78" s="11439">
        <f>IF(HLOOKUP("Mins",A1:CV300,78,FALSE)=0,0,HLOOKUP("BPS",A1:CV300,78,FALSE)/HLOOKUP("Mins",A1:CV300,78,FALSE)* 90)</f>
      </c>
      <c r="AZ78" s="11440">
        <f>IF(HLOOKUP("Mins",A1:CV300,78,FALSE)=0,0,HLOOKUP("Base BPS",A1:CV300,78,FALSE)/HLOOKUP("Mins",A1:CV300,78,FALSE)* 90)</f>
      </c>
      <c r="BA78" s="11441">
        <f>IF(HLOOKUP("Mins",A1:CV300,78,FALSE)=0,0,HLOOKUP("PenTchs",A1:CV300,78,FALSE)/HLOOKUP("Mins",A1:CV300,78,FALSE)* 90)</f>
      </c>
      <c r="BB78" s="11442">
        <f>IF(HLOOKUP("Mins",A1:CV300,78,FALSE)=0,0,HLOOKUP("Shots",A1:CV300,78,FALSE)/HLOOKUP("Mins",A1:CV300,78,FALSE)* 90)</f>
      </c>
      <c r="BC78" s="11443">
        <f>IF(HLOOKUP("Mins",A1:CV300,78,FALSE)=0,0,HLOOKUP("SIB",A1:CV300,78,FALSE)/HLOOKUP("Mins",A1:CV300,78,FALSE)* 90)</f>
      </c>
      <c r="BD78" s="11444">
        <f>IF(HLOOKUP("Mins",A1:CV300,78,FALSE)=0,0,HLOOKUP("S6YD",A1:CV300,78,FALSE)/HLOOKUP("Mins",A1:CV300,78,FALSE)* 90)</f>
      </c>
      <c r="BE78" s="11445">
        <f>IF(HLOOKUP("Mins",A1:CV300,78,FALSE)=0,0,HLOOKUP("Headers",A1:CV300,78,FALSE)/HLOOKUP("Mins",A1:CV300,78,FALSE)* 90)</f>
      </c>
      <c r="BF78" s="11446">
        <f>IF(HLOOKUP("Mins",A1:CV300,78,FALSE)=0,0,HLOOKUP("SOT",A1:CV300,78,FALSE)/HLOOKUP("Mins",A1:CV300,78,FALSE)* 90)</f>
      </c>
      <c r="BG78" s="11447">
        <f>IF(HLOOKUP("Mins",A1:CV300,78,FALSE)=0,0,HLOOKUP("As",A1:CV300,78,FALSE)/HLOOKUP("Mins",A1:CV300,78,FALSE)* 90)</f>
      </c>
      <c r="BH78" s="11448">
        <f>IF(HLOOKUP("Mins",A1:CV300,78,FALSE)=0,0,HLOOKUP("FPL As",A1:CV300,78,FALSE)/HLOOKUP("Mins",A1:CV300,78,FALSE)* 90)</f>
      </c>
      <c r="BI78" s="11449">
        <f>IF(HLOOKUP("Mins",A1:CV300,78,FALSE)=0,0,HLOOKUP("BC Created",A1:CV300,78,FALSE)/HLOOKUP("Mins",A1:CV300,78,FALSE)* 90)</f>
      </c>
      <c r="BJ78" s="11450">
        <f>IF(HLOOKUP("Mins",A1:CV300,78,FALSE)=0,0,HLOOKUP("KP",A1:CV300,78,FALSE)/HLOOKUP("Mins",A1:CV300,78,FALSE)* 90)</f>
      </c>
      <c r="BK78" s="11451">
        <f>IF(HLOOKUP("Mins",A1:CV300,78,FALSE)=0,0,HLOOKUP("BC",A1:CV300,78,FALSE)/HLOOKUP("Mins",A1:CV300,78,FALSE)* 90)</f>
      </c>
      <c r="BL78" s="11452">
        <f>IF(HLOOKUP("Mins",A1:CV300,78,FALSE)=0,0,HLOOKUP("BC Miss",A1:CV300,78,FALSE)/HLOOKUP("Mins",A1:CV300,78,FALSE)* 90)</f>
      </c>
      <c r="BM78" s="11453">
        <f>IF(HLOOKUP("Mins",A1:CV300,78,FALSE)=0,0,HLOOKUP("Gs - BC",A1:CV300,78,FALSE)/HLOOKUP("Mins",A1:CV300,78,FALSE)* 90)</f>
      </c>
      <c r="BN78" s="11454">
        <f>IF(HLOOKUP("Mins",A1:CV300,78,FALSE)=0,0,HLOOKUP("GIB",A1:CV300,78,FALSE)/HLOOKUP("Mins",A1:CV300,78,FALSE)* 90)</f>
      </c>
      <c r="BO78" s="11455">
        <f>IF(HLOOKUP("Mins",A1:CV300,78,FALSE)=0,0,HLOOKUP("Gs - Open",A1:CV300,78,FALSE)/HLOOKUP("Mins",A1:CV300,78,FALSE)* 90)</f>
      </c>
      <c r="BP78" s="11456">
        <f>IF(HLOOKUP("Mins",A1:CV300,78,FALSE)=0,0,HLOOKUP("ICT Index",A1:CV300,78,FALSE)/HLOOKUP("Mins",A1:CV300,78,FALSE)* 90)</f>
      </c>
      <c r="BQ78" s="11457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</c>
      <c r="BR78" s="11458">
        <f>0.0825*HLOOKUP("KP/90",A1:CV300,78,FALSE)</f>
      </c>
      <c r="BS78" s="11459">
        <f>6*HLOOKUP("xG/90",A1:CV300,78,FALSE)+3*HLOOKUP("xA/90",A1:CV300,78,FALSE)</f>
      </c>
      <c r="BT78" s="11460">
        <f>HLOOKUP("xPts/90",A1:CV300,78,FALSE)-(6*0.75*(HLOOKUP("PK Gs",A1:CV300,78,FALSE)+HLOOKUP("PK Miss",A1:CV300,78,FALSE))*90/HLOOKUP("Mins",A1:CV300,78,FALSE))</f>
      </c>
      <c r="BU78" s="11461">
        <f>IF(HLOOKUP("Mins",A1:CV300,78,FALSE)=0,0,HLOOKUP("fsXG",A1:CV300,78,FALSE)/HLOOKUP("Mins",A1:CV300,78,FALSE)* 90)</f>
      </c>
      <c r="BV78" s="11462">
        <f>IF(HLOOKUP("Mins",A1:CV300,78,FALSE)=0,0,HLOOKUP("fsXA",A1:CV300,78,FALSE)/HLOOKUP("Mins",A1:CV300,78,FALSE)* 90)</f>
      </c>
      <c r="BW78" s="11463">
        <f>6*HLOOKUP("fsXG/90",A1:CV300,78,FALSE)+3*HLOOKUP("fsXA/90",A1:CV300,78,FALSE)</f>
      </c>
      <c r="BX78" t="n" s="11464">
        <v>0.07358332723379135</v>
      </c>
      <c r="BY78" t="n" s="11465">
        <v>0.23943878710269928</v>
      </c>
      <c r="BZ78" s="11466">
        <f>6*HLOOKUP("uXG/90",A1:CV300,78,FALSE)+3*HLOOKUP("uXA/90",A1:CV300,78,FALSE)</f>
      </c>
    </row>
    <row r="79">
      <c r="A79" t="s" s="11467">
        <v>244</v>
      </c>
      <c r="B79" t="s" s="11468">
        <v>102</v>
      </c>
      <c r="C79" t="n" s="11469">
        <v>4.300000190734863</v>
      </c>
      <c r="D79" t="n" s="11470">
        <v>360.0</v>
      </c>
      <c r="E79" t="n" s="11471">
        <v>4.0</v>
      </c>
      <c r="F79" t="n" s="11472">
        <v>51.0</v>
      </c>
      <c r="G79" t="n" s="11473">
        <v>0.0</v>
      </c>
      <c r="H79" t="n" s="11474">
        <v>3.0</v>
      </c>
      <c r="I79" t="n" s="11475">
        <v>248.0</v>
      </c>
      <c r="J79" s="11476">
        <f>HLOOKUP("BPS",A1:CV300,79,FALSE)-((-6*HLOOKUP("OG",A1:CV300,79,FALSE))+(-6*HLOOKUP("PK Miss",A1:CV300,79,FALSE))+(9*HLOOKUP("FPL As",A1:CV300,79,FALSE))+(12*HLOOKUP("CS",A1:CV300,79,FALSE))+(12*HLOOKUP("Gs",A1:CV300,79,FALSE)))</f>
      </c>
      <c r="K79" t="n" s="11477">
        <v>0.0</v>
      </c>
      <c r="L79" t="n" s="11478">
        <v>5.0</v>
      </c>
      <c r="M79" t="n" s="11479">
        <v>5.0</v>
      </c>
      <c r="N79" t="n" s="11480">
        <v>2.0</v>
      </c>
      <c r="O79" t="n" s="11481">
        <v>2.0</v>
      </c>
      <c r="P79" s="11482">
        <f>IF(HLOOKUP("Shots",A1:CV300,79,FALSE)=0,0,HLOOKUP("SIB",A1:CV300,79,FALSE)/HLOOKUP("Shots",A1:CV300,79,FALSE))</f>
      </c>
      <c r="Q79" t="n" s="11483">
        <v>0.0</v>
      </c>
      <c r="R79" s="11484">
        <f>IF(HLOOKUP("Shots",A1:CV300,79,FALSE)=0,0,HLOOKUP("S6YD",A1:CV300,79,FALSE)/HLOOKUP("Shots",A1:CV300,79,FALSE))</f>
      </c>
      <c r="S79" t="n" s="11485">
        <v>2.0</v>
      </c>
      <c r="T79" s="11486">
        <f>IF(HLOOKUP("Shots",A1:CV300,79,FALSE)=0,0,HLOOKUP("Headers",A1:CV300,79,FALSE)/HLOOKUP("Shots",A1:CV300,79,FALSE))</f>
      </c>
      <c r="U79" t="n" s="11487">
        <v>1.0</v>
      </c>
      <c r="V79" s="11488">
        <f>IF(HLOOKUP("Shots",A1:CV300,79,FALSE)=0,0,HLOOKUP("SOT",A1:CV300,79,FALSE)/HLOOKUP("Shots",A1:CV300,79,FALSE))</f>
      </c>
      <c r="W79" s="11489">
        <f>IF(HLOOKUP("Shots",A1:CV300,79,FALSE)=0,0,HLOOKUP("Gs",A1:CV300,79,FALSE)/HLOOKUP("Shots",A1:CV300,79,FALSE))</f>
      </c>
      <c r="X79" t="n" s="11490">
        <v>0.0</v>
      </c>
      <c r="Y79" t="n" s="11491">
        <v>0.0</v>
      </c>
      <c r="Z79" t="n" s="11492">
        <v>0.0</v>
      </c>
      <c r="AA79" s="11493">
        <f>IF(HLOOKUP("KP",A1:CV300,79,FALSE)=0,0,HLOOKUP("As",A1:CV300,79,FALSE)/HLOOKUP("KP",A1:CV300,79,FALSE))</f>
      </c>
      <c r="AB79" t="n" s="11494">
        <v>9.1</v>
      </c>
      <c r="AC79" t="n" s="11495">
        <v>0.0</v>
      </c>
      <c r="AD79" t="n" s="11496">
        <v>0.0</v>
      </c>
      <c r="AE79" t="n" s="11497">
        <v>0.0</v>
      </c>
      <c r="AF79" t="n" s="11498">
        <v>0.0</v>
      </c>
      <c r="AG79" s="11499">
        <f>IF(HLOOKUP("BC",A1:CV300,79,FALSE)=0,0,HLOOKUP("Gs - BC",A1:CV300,79,FALSE)/HLOOKUP("BC",A1:CV300,79,FALSE))</f>
      </c>
      <c r="AH79" s="11500">
        <f>HLOOKUP("BC",A1:CV300,79,FALSE) - HLOOKUP("BC Miss",A1:CV300,79,FALSE)</f>
      </c>
      <c r="AI79" s="11501">
        <f>IF(HLOOKUP("Gs",A1:CV300,79,FALSE)=0,0,HLOOKUP("Gs - BC",A1:CV300,79,FALSE)/HLOOKUP("Gs",A1:CV300,79,FALSE))</f>
      </c>
      <c r="AJ79" t="n" s="11502">
        <v>0.0</v>
      </c>
      <c r="AK79" t="n" s="11503">
        <v>0.0</v>
      </c>
      <c r="AL79" s="11504">
        <f>HLOOKUP("BC",A1:CV300,79,FALSE) - (HLOOKUP("PK Gs",A1:CV300,79,FALSE) + HLOOKUP("PK Miss",A1:CV300,79,FALSE))</f>
      </c>
      <c r="AM79" s="11505">
        <f>HLOOKUP("BC Miss",A1:CV300,79,FALSE) - HLOOKUP("PK Miss",A1:CV300,79,FALSE)</f>
      </c>
      <c r="AN79" s="11506">
        <f>IF(HLOOKUP("BC - Open",A1:CV300,79,FALSE)=0,0,HLOOKUP("BC - Open Miss",A1:CV300,79,FALSE)/HLOOKUP("BC - Open",A1:CV300,79,FALSE))</f>
      </c>
      <c r="AO79" t="n" s="11507">
        <v>0.0</v>
      </c>
      <c r="AP79" s="11508">
        <f>IF(HLOOKUP("Gs",A1:CV300,79,FALSE)=0,0,HLOOKUP("GIB",A1:CV300,79,FALSE)/HLOOKUP("Gs",A1:CV300,79,FALSE))</f>
      </c>
      <c r="AQ79" t="n" s="11509">
        <v>0.0</v>
      </c>
      <c r="AR79" s="11510">
        <f>IF(HLOOKUP("Gs",A1:CV300,79,FALSE)=0,0,HLOOKUP("Gs - Open",A1:CV300,79,FALSE)/HLOOKUP("Gs",A1:CV300,79,FALSE))</f>
      </c>
      <c r="AS79" t="n" s="11511">
        <v>0.1</v>
      </c>
      <c r="AT79" t="n" s="11512">
        <v>0.0</v>
      </c>
      <c r="AU79" s="11513">
        <f>IF(HLOOKUP("Mins",A1:CV300,79,FALSE)=0,0,HLOOKUP("Pts",A1:CV300,79,FALSE)/HLOOKUP("Mins",A1:CV300,79,FALSE)* 90)</f>
      </c>
      <c r="AV79" s="11514">
        <f>IF(HLOOKUP("Apps",A1:CV300,79,FALSE)=0,0,HLOOKUP("Pts",A1:CV300,79,FALSE)/HLOOKUP("Apps",A1:CV300,79,FALSE)* 1)</f>
      </c>
      <c r="AW79" s="11515">
        <f>IF(HLOOKUP("Mins",A1:CV300,79,FALSE)=0,0,HLOOKUP("Gs",A1:CV300,79,FALSE)/HLOOKUP("Mins",A1:CV300,79,FALSE)* 90)</f>
      </c>
      <c r="AX79" s="11516">
        <f>IF(HLOOKUP("Mins",A1:CV300,79,FALSE)=0,0,HLOOKUP("Bonus",A1:CV300,79,FALSE)/HLOOKUP("Mins",A1:CV300,79,FALSE)* 90)</f>
      </c>
      <c r="AY79" s="11517">
        <f>IF(HLOOKUP("Mins",A1:CV300,79,FALSE)=0,0,HLOOKUP("BPS",A1:CV300,79,FALSE)/HLOOKUP("Mins",A1:CV300,79,FALSE)* 90)</f>
      </c>
      <c r="AZ79" s="11518">
        <f>IF(HLOOKUP("Mins",A1:CV300,79,FALSE)=0,0,HLOOKUP("Base BPS",A1:CV300,79,FALSE)/HLOOKUP("Mins",A1:CV300,79,FALSE)* 90)</f>
      </c>
      <c r="BA79" s="11519">
        <f>IF(HLOOKUP("Mins",A1:CV300,79,FALSE)=0,0,HLOOKUP("PenTchs",A1:CV300,79,FALSE)/HLOOKUP("Mins",A1:CV300,79,FALSE)* 90)</f>
      </c>
      <c r="BB79" s="11520">
        <f>IF(HLOOKUP("Mins",A1:CV300,79,FALSE)=0,0,HLOOKUP("Shots",A1:CV300,79,FALSE)/HLOOKUP("Mins",A1:CV300,79,FALSE)* 90)</f>
      </c>
      <c r="BC79" s="11521">
        <f>IF(HLOOKUP("Mins",A1:CV300,79,FALSE)=0,0,HLOOKUP("SIB",A1:CV300,79,FALSE)/HLOOKUP("Mins",A1:CV300,79,FALSE)* 90)</f>
      </c>
      <c r="BD79" s="11522">
        <f>IF(HLOOKUP("Mins",A1:CV300,79,FALSE)=0,0,HLOOKUP("S6YD",A1:CV300,79,FALSE)/HLOOKUP("Mins",A1:CV300,79,FALSE)* 90)</f>
      </c>
      <c r="BE79" s="11523">
        <f>IF(HLOOKUP("Mins",A1:CV300,79,FALSE)=0,0,HLOOKUP("Headers",A1:CV300,79,FALSE)/HLOOKUP("Mins",A1:CV300,79,FALSE)* 90)</f>
      </c>
      <c r="BF79" s="11524">
        <f>IF(HLOOKUP("Mins",A1:CV300,79,FALSE)=0,0,HLOOKUP("SOT",A1:CV300,79,FALSE)/HLOOKUP("Mins",A1:CV300,79,FALSE)* 90)</f>
      </c>
      <c r="BG79" s="11525">
        <f>IF(HLOOKUP("Mins",A1:CV300,79,FALSE)=0,0,HLOOKUP("As",A1:CV300,79,FALSE)/HLOOKUP("Mins",A1:CV300,79,FALSE)* 90)</f>
      </c>
      <c r="BH79" s="11526">
        <f>IF(HLOOKUP("Mins",A1:CV300,79,FALSE)=0,0,HLOOKUP("FPL As",A1:CV300,79,FALSE)/HLOOKUP("Mins",A1:CV300,79,FALSE)* 90)</f>
      </c>
      <c r="BI79" s="11527">
        <f>IF(HLOOKUP("Mins",A1:CV300,79,FALSE)=0,0,HLOOKUP("BC Created",A1:CV300,79,FALSE)/HLOOKUP("Mins",A1:CV300,79,FALSE)* 90)</f>
      </c>
      <c r="BJ79" s="11528">
        <f>IF(HLOOKUP("Mins",A1:CV300,79,FALSE)=0,0,HLOOKUP("KP",A1:CV300,79,FALSE)/HLOOKUP("Mins",A1:CV300,79,FALSE)* 90)</f>
      </c>
      <c r="BK79" s="11529">
        <f>IF(HLOOKUP("Mins",A1:CV300,79,FALSE)=0,0,HLOOKUP("BC",A1:CV300,79,FALSE)/HLOOKUP("Mins",A1:CV300,79,FALSE)* 90)</f>
      </c>
      <c r="BL79" s="11530">
        <f>IF(HLOOKUP("Mins",A1:CV300,79,FALSE)=0,0,HLOOKUP("BC Miss",A1:CV300,79,FALSE)/HLOOKUP("Mins",A1:CV300,79,FALSE)* 90)</f>
      </c>
      <c r="BM79" s="11531">
        <f>IF(HLOOKUP("Mins",A1:CV300,79,FALSE)=0,0,HLOOKUP("Gs - BC",A1:CV300,79,FALSE)/HLOOKUP("Mins",A1:CV300,79,FALSE)* 90)</f>
      </c>
      <c r="BN79" s="11532">
        <f>IF(HLOOKUP("Mins",A1:CV300,79,FALSE)=0,0,HLOOKUP("GIB",A1:CV300,79,FALSE)/HLOOKUP("Mins",A1:CV300,79,FALSE)* 90)</f>
      </c>
      <c r="BO79" s="11533">
        <f>IF(HLOOKUP("Mins",A1:CV300,79,FALSE)=0,0,HLOOKUP("Gs - Open",A1:CV300,79,FALSE)/HLOOKUP("Mins",A1:CV300,79,FALSE)* 90)</f>
      </c>
      <c r="BP79" s="11534">
        <f>IF(HLOOKUP("Mins",A1:CV300,79,FALSE)=0,0,HLOOKUP("ICT Index",A1:CV300,79,FALSE)/HLOOKUP("Mins",A1:CV300,79,FALSE)* 90)</f>
      </c>
      <c r="BQ79" s="11535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</c>
      <c r="BR79" s="11536">
        <f>0.0825*HLOOKUP("KP/90",A1:CV300,79,FALSE)</f>
      </c>
      <c r="BS79" s="11537">
        <f>6*HLOOKUP("xG/90",A1:CV300,79,FALSE)+3*HLOOKUP("xA/90",A1:CV300,79,FALSE)</f>
      </c>
      <c r="BT79" s="11538">
        <f>HLOOKUP("xPts/90",A1:CV300,79,FALSE)-(6*0.75*(HLOOKUP("PK Gs",A1:CV300,79,FALSE)+HLOOKUP("PK Miss",A1:CV300,79,FALSE))*90/HLOOKUP("Mins",A1:CV300,79,FALSE))</f>
      </c>
      <c r="BU79" s="11539">
        <f>IF(HLOOKUP("Mins",A1:CV300,79,FALSE)=0,0,HLOOKUP("fsXG",A1:CV300,79,FALSE)/HLOOKUP("Mins",A1:CV300,79,FALSE)* 90)</f>
      </c>
      <c r="BV79" s="11540">
        <f>IF(HLOOKUP("Mins",A1:CV300,79,FALSE)=0,0,HLOOKUP("fsXA",A1:CV300,79,FALSE)/HLOOKUP("Mins",A1:CV300,79,FALSE)* 90)</f>
      </c>
      <c r="BW79" s="11541">
        <f>6*HLOOKUP("fsXG/90",A1:CV300,79,FALSE)+3*HLOOKUP("fsXA/90",A1:CV300,79,FALSE)</f>
      </c>
      <c r="BX79" t="n" s="11542">
        <v>0.010385796427726746</v>
      </c>
      <c r="BY79" t="n" s="11543">
        <v>0.0</v>
      </c>
      <c r="BZ79" s="11544">
        <f>6*HLOOKUP("uXG/90",A1:CV300,79,FALSE)+3*HLOOKUP("uXA/90",A1:CV300,79,FALSE)</f>
      </c>
    </row>
    <row r="80">
      <c r="A80" t="s" s="11545">
        <v>245</v>
      </c>
      <c r="B80" t="s" s="11546">
        <v>118</v>
      </c>
      <c r="C80" t="n" s="11547">
        <v>5.199999809265137</v>
      </c>
      <c r="D80" t="n" s="11548">
        <v>197.0</v>
      </c>
      <c r="E80" t="n" s="11549">
        <v>3.0</v>
      </c>
      <c r="F80" t="n" s="11550">
        <v>53.0</v>
      </c>
      <c r="G80" t="n" s="11551">
        <v>0.0</v>
      </c>
      <c r="H80" t="n" s="11552">
        <v>3.0</v>
      </c>
      <c r="I80" t="n" s="11553">
        <v>277.0</v>
      </c>
      <c r="J80" s="11554">
        <f>HLOOKUP("BPS",A1:CV300,80,FALSE)-((-6*HLOOKUP("OG",A1:CV300,80,FALSE))+(-6*HLOOKUP("PK Miss",A1:CV300,80,FALSE))+(9*HLOOKUP("FPL As",A1:CV300,80,FALSE))+(12*HLOOKUP("CS",A1:CV300,80,FALSE))+(12*HLOOKUP("Gs",A1:CV300,80,FALSE)))</f>
      </c>
      <c r="K80" t="n" s="11555">
        <v>0.0</v>
      </c>
      <c r="L80" t="n" s="11556">
        <v>4.0</v>
      </c>
      <c r="M80" t="n" s="11557">
        <v>3.0</v>
      </c>
      <c r="N80" t="n" s="11558">
        <v>2.0</v>
      </c>
      <c r="O80" t="n" s="11559">
        <v>2.0</v>
      </c>
      <c r="P80" s="11560">
        <f>IF(HLOOKUP("Shots",A1:CV300,80,FALSE)=0,0,HLOOKUP("SIB",A1:CV300,80,FALSE)/HLOOKUP("Shots",A1:CV300,80,FALSE))</f>
      </c>
      <c r="Q80" t="n" s="11561">
        <v>1.0</v>
      </c>
      <c r="R80" s="11562">
        <f>IF(HLOOKUP("Shots",A1:CV300,80,FALSE)=0,0,HLOOKUP("S6YD",A1:CV300,80,FALSE)/HLOOKUP("Shots",A1:CV300,80,FALSE))</f>
      </c>
      <c r="S80" t="n" s="11563">
        <v>2.0</v>
      </c>
      <c r="T80" s="11564">
        <f>IF(HLOOKUP("Shots",A1:CV300,80,FALSE)=0,0,HLOOKUP("Headers",A1:CV300,80,FALSE)/HLOOKUP("Shots",A1:CV300,80,FALSE))</f>
      </c>
      <c r="U80" t="n" s="11565">
        <v>0.0</v>
      </c>
      <c r="V80" s="11566">
        <f>IF(HLOOKUP("Shots",A1:CV300,80,FALSE)=0,0,HLOOKUP("SOT",A1:CV300,80,FALSE)/HLOOKUP("Shots",A1:CV300,80,FALSE))</f>
      </c>
      <c r="W80" s="11567">
        <f>IF(HLOOKUP("Shots",A1:CV300,80,FALSE)=0,0,HLOOKUP("Gs",A1:CV300,80,FALSE)/HLOOKUP("Shots",A1:CV300,80,FALSE))</f>
      </c>
      <c r="X80" t="n" s="11568">
        <v>0.0</v>
      </c>
      <c r="Y80" t="n" s="11569">
        <v>0.0</v>
      </c>
      <c r="Z80" t="n" s="11570">
        <v>0.0</v>
      </c>
      <c r="AA80" s="11571">
        <f>IF(HLOOKUP("KP",A1:CV300,80,FALSE)=0,0,HLOOKUP("As",A1:CV300,80,FALSE)/HLOOKUP("KP",A1:CV300,80,FALSE))</f>
      </c>
      <c r="AB80" t="n" s="11572">
        <v>6.7</v>
      </c>
      <c r="AC80" t="n" s="11573">
        <v>0.0</v>
      </c>
      <c r="AD80" t="n" s="11574">
        <v>0.0</v>
      </c>
      <c r="AE80" t="n" s="11575">
        <v>1.0</v>
      </c>
      <c r="AF80" t="n" s="11576">
        <v>1.0</v>
      </c>
      <c r="AG80" s="11577">
        <f>IF(HLOOKUP("BC",A1:CV300,80,FALSE)=0,0,HLOOKUP("Gs - BC",A1:CV300,80,FALSE)/HLOOKUP("BC",A1:CV300,80,FALSE))</f>
      </c>
      <c r="AH80" s="11578">
        <f>HLOOKUP("BC",A1:CV300,80,FALSE) - HLOOKUP("BC Miss",A1:CV300,80,FALSE)</f>
      </c>
      <c r="AI80" s="11579">
        <f>IF(HLOOKUP("Gs",A1:CV300,80,FALSE)=0,0,HLOOKUP("Gs - BC",A1:CV300,80,FALSE)/HLOOKUP("Gs",A1:CV300,80,FALSE))</f>
      </c>
      <c r="AJ80" t="n" s="11580">
        <v>0.0</v>
      </c>
      <c r="AK80" t="n" s="11581">
        <v>0.0</v>
      </c>
      <c r="AL80" s="11582">
        <f>HLOOKUP("BC",A1:CV300,80,FALSE) - (HLOOKUP("PK Gs",A1:CV300,80,FALSE) + HLOOKUP("PK Miss",A1:CV300,80,FALSE))</f>
      </c>
      <c r="AM80" s="11583">
        <f>HLOOKUP("BC Miss",A1:CV300,80,FALSE) - HLOOKUP("PK Miss",A1:CV300,80,FALSE)</f>
      </c>
      <c r="AN80" s="11584">
        <f>IF(HLOOKUP("BC - Open",A1:CV300,80,FALSE)=0,0,HLOOKUP("BC - Open Miss",A1:CV300,80,FALSE)/HLOOKUP("BC - Open",A1:CV300,80,FALSE))</f>
      </c>
      <c r="AO80" t="n" s="11585">
        <v>0.0</v>
      </c>
      <c r="AP80" s="11586">
        <f>IF(HLOOKUP("Gs",A1:CV300,80,FALSE)=0,0,HLOOKUP("GIB",A1:CV300,80,FALSE)/HLOOKUP("Gs",A1:CV300,80,FALSE))</f>
      </c>
      <c r="AQ80" t="n" s="11587">
        <v>0.0</v>
      </c>
      <c r="AR80" s="11588">
        <f>IF(HLOOKUP("Gs",A1:CV300,80,FALSE)=0,0,HLOOKUP("Gs - Open",A1:CV300,80,FALSE)/HLOOKUP("Gs",A1:CV300,80,FALSE))</f>
      </c>
      <c r="AS80" t="n" s="11589">
        <v>0.18</v>
      </c>
      <c r="AT80" t="n" s="11590">
        <v>0.01</v>
      </c>
      <c r="AU80" s="11591">
        <f>IF(HLOOKUP("Mins",A1:CV300,80,FALSE)=0,0,HLOOKUP("Pts",A1:CV300,80,FALSE)/HLOOKUP("Mins",A1:CV300,80,FALSE)* 90)</f>
      </c>
      <c r="AV80" s="11592">
        <f>IF(HLOOKUP("Apps",A1:CV300,80,FALSE)=0,0,HLOOKUP("Pts",A1:CV300,80,FALSE)/HLOOKUP("Apps",A1:CV300,80,FALSE)* 1)</f>
      </c>
      <c r="AW80" s="11593">
        <f>IF(HLOOKUP("Mins",A1:CV300,80,FALSE)=0,0,HLOOKUP("Gs",A1:CV300,80,FALSE)/HLOOKUP("Mins",A1:CV300,80,FALSE)* 90)</f>
      </c>
      <c r="AX80" s="11594">
        <f>IF(HLOOKUP("Mins",A1:CV300,80,FALSE)=0,0,HLOOKUP("Bonus",A1:CV300,80,FALSE)/HLOOKUP("Mins",A1:CV300,80,FALSE)* 90)</f>
      </c>
      <c r="AY80" s="11595">
        <f>IF(HLOOKUP("Mins",A1:CV300,80,FALSE)=0,0,HLOOKUP("BPS",A1:CV300,80,FALSE)/HLOOKUP("Mins",A1:CV300,80,FALSE)* 90)</f>
      </c>
      <c r="AZ80" s="11596">
        <f>IF(HLOOKUP("Mins",A1:CV300,80,FALSE)=0,0,HLOOKUP("Base BPS",A1:CV300,80,FALSE)/HLOOKUP("Mins",A1:CV300,80,FALSE)* 90)</f>
      </c>
      <c r="BA80" s="11597">
        <f>IF(HLOOKUP("Mins",A1:CV300,80,FALSE)=0,0,HLOOKUP("PenTchs",A1:CV300,80,FALSE)/HLOOKUP("Mins",A1:CV300,80,FALSE)* 90)</f>
      </c>
      <c r="BB80" s="11598">
        <f>IF(HLOOKUP("Mins",A1:CV300,80,FALSE)=0,0,HLOOKUP("Shots",A1:CV300,80,FALSE)/HLOOKUP("Mins",A1:CV300,80,FALSE)* 90)</f>
      </c>
      <c r="BC80" s="11599">
        <f>IF(HLOOKUP("Mins",A1:CV300,80,FALSE)=0,0,HLOOKUP("SIB",A1:CV300,80,FALSE)/HLOOKUP("Mins",A1:CV300,80,FALSE)* 90)</f>
      </c>
      <c r="BD80" s="11600">
        <f>IF(HLOOKUP("Mins",A1:CV300,80,FALSE)=0,0,HLOOKUP("S6YD",A1:CV300,80,FALSE)/HLOOKUP("Mins",A1:CV300,80,FALSE)* 90)</f>
      </c>
      <c r="BE80" s="11601">
        <f>IF(HLOOKUP("Mins",A1:CV300,80,FALSE)=0,0,HLOOKUP("Headers",A1:CV300,80,FALSE)/HLOOKUP("Mins",A1:CV300,80,FALSE)* 90)</f>
      </c>
      <c r="BF80" s="11602">
        <f>IF(HLOOKUP("Mins",A1:CV300,80,FALSE)=0,0,HLOOKUP("SOT",A1:CV300,80,FALSE)/HLOOKUP("Mins",A1:CV300,80,FALSE)* 90)</f>
      </c>
      <c r="BG80" s="11603">
        <f>IF(HLOOKUP("Mins",A1:CV300,80,FALSE)=0,0,HLOOKUP("As",A1:CV300,80,FALSE)/HLOOKUP("Mins",A1:CV300,80,FALSE)* 90)</f>
      </c>
      <c r="BH80" s="11604">
        <f>IF(HLOOKUP("Mins",A1:CV300,80,FALSE)=0,0,HLOOKUP("FPL As",A1:CV300,80,FALSE)/HLOOKUP("Mins",A1:CV300,80,FALSE)* 90)</f>
      </c>
      <c r="BI80" s="11605">
        <f>IF(HLOOKUP("Mins",A1:CV300,80,FALSE)=0,0,HLOOKUP("BC Created",A1:CV300,80,FALSE)/HLOOKUP("Mins",A1:CV300,80,FALSE)* 90)</f>
      </c>
      <c r="BJ80" s="11606">
        <f>IF(HLOOKUP("Mins",A1:CV300,80,FALSE)=0,0,HLOOKUP("KP",A1:CV300,80,FALSE)/HLOOKUP("Mins",A1:CV300,80,FALSE)* 90)</f>
      </c>
      <c r="BK80" s="11607">
        <f>IF(HLOOKUP("Mins",A1:CV300,80,FALSE)=0,0,HLOOKUP("BC",A1:CV300,80,FALSE)/HLOOKUP("Mins",A1:CV300,80,FALSE)* 90)</f>
      </c>
      <c r="BL80" s="11608">
        <f>IF(HLOOKUP("Mins",A1:CV300,80,FALSE)=0,0,HLOOKUP("BC Miss",A1:CV300,80,FALSE)/HLOOKUP("Mins",A1:CV300,80,FALSE)* 90)</f>
      </c>
      <c r="BM80" s="11609">
        <f>IF(HLOOKUP("Mins",A1:CV300,80,FALSE)=0,0,HLOOKUP("Gs - BC",A1:CV300,80,FALSE)/HLOOKUP("Mins",A1:CV300,80,FALSE)* 90)</f>
      </c>
      <c r="BN80" s="11610">
        <f>IF(HLOOKUP("Mins",A1:CV300,80,FALSE)=0,0,HLOOKUP("GIB",A1:CV300,80,FALSE)/HLOOKUP("Mins",A1:CV300,80,FALSE)* 90)</f>
      </c>
      <c r="BO80" s="11611">
        <f>IF(HLOOKUP("Mins",A1:CV300,80,FALSE)=0,0,HLOOKUP("Gs - Open",A1:CV300,80,FALSE)/HLOOKUP("Mins",A1:CV300,80,FALSE)* 90)</f>
      </c>
      <c r="BP80" s="11612">
        <f>IF(HLOOKUP("Mins",A1:CV300,80,FALSE)=0,0,HLOOKUP("ICT Index",A1:CV300,80,FALSE)/HLOOKUP("Mins",A1:CV300,80,FALSE)* 90)</f>
      </c>
      <c r="BQ80" s="11613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</c>
      <c r="BR80" s="11614">
        <f>0.0825*HLOOKUP("KP/90",A1:CV300,80,FALSE)</f>
      </c>
      <c r="BS80" s="11615">
        <f>6*HLOOKUP("xG/90",A1:CV300,80,FALSE)+3*HLOOKUP("xA/90",A1:CV300,80,FALSE)</f>
      </c>
      <c r="BT80" s="11616">
        <f>HLOOKUP("xPts/90",A1:CV300,80,FALSE)-(6*0.75*(HLOOKUP("PK Gs",A1:CV300,80,FALSE)+HLOOKUP("PK Miss",A1:CV300,80,FALSE))*90/HLOOKUP("Mins",A1:CV300,80,FALSE))</f>
      </c>
      <c r="BU80" s="11617">
        <f>IF(HLOOKUP("Mins",A1:CV300,80,FALSE)=0,0,HLOOKUP("fsXG",A1:CV300,80,FALSE)/HLOOKUP("Mins",A1:CV300,80,FALSE)* 90)</f>
      </c>
      <c r="BV80" s="11618">
        <f>IF(HLOOKUP("Mins",A1:CV300,80,FALSE)=0,0,HLOOKUP("fsXA",A1:CV300,80,FALSE)/HLOOKUP("Mins",A1:CV300,80,FALSE)* 90)</f>
      </c>
      <c r="BW80" s="11619">
        <f>6*HLOOKUP("fsXG/90",A1:CV300,80,FALSE)+3*HLOOKUP("fsXA/90",A1:CV300,80,FALSE)</f>
      </c>
      <c r="BX80" t="n" s="11620">
        <v>0.1444167196750641</v>
      </c>
      <c r="BY80" t="n" s="11621">
        <v>0.0</v>
      </c>
      <c r="BZ80" s="11622">
        <f>6*HLOOKUP("uXG/90",A1:CV300,80,FALSE)+3*HLOOKUP("uXA/90",A1:CV300,80,FALSE)</f>
      </c>
    </row>
    <row r="81">
      <c r="A81" t="s" s="11623">
        <v>246</v>
      </c>
      <c r="B81" t="s" s="11624">
        <v>95</v>
      </c>
      <c r="C81" t="n" s="11625">
        <v>5.199999809265137</v>
      </c>
      <c r="D81" t="n" s="11626">
        <v>256.0</v>
      </c>
      <c r="E81" t="n" s="11627">
        <v>4.0</v>
      </c>
      <c r="F81" t="n" s="11628">
        <v>49.0</v>
      </c>
      <c r="G81" t="n" s="11629">
        <v>0.0</v>
      </c>
      <c r="H81" t="n" s="11630">
        <v>4.0</v>
      </c>
      <c r="I81" t="n" s="11631">
        <v>285.0</v>
      </c>
      <c r="J81" s="11632">
        <f>HLOOKUP("BPS",A1:CV300,81,FALSE)-((-6*HLOOKUP("OG",A1:CV300,81,FALSE))+(-6*HLOOKUP("PK Miss",A1:CV300,81,FALSE))+(9*HLOOKUP("FPL As",A1:CV300,81,FALSE))+(12*HLOOKUP("CS",A1:CV300,81,FALSE))+(12*HLOOKUP("Gs",A1:CV300,81,FALSE)))</f>
      </c>
      <c r="K81" t="n" s="11633">
        <v>0.0</v>
      </c>
      <c r="L81" t="n" s="11634">
        <v>3.0</v>
      </c>
      <c r="M81" t="n" s="11635">
        <v>2.0</v>
      </c>
      <c r="N81" t="n" s="11636">
        <v>2.0</v>
      </c>
      <c r="O81" t="n" s="11637">
        <v>2.0</v>
      </c>
      <c r="P81" s="11638">
        <f>IF(HLOOKUP("Shots",A1:CV300,81,FALSE)=0,0,HLOOKUP("SIB",A1:CV300,81,FALSE)/HLOOKUP("Shots",A1:CV300,81,FALSE))</f>
      </c>
      <c r="Q81" t="n" s="11639">
        <v>1.0</v>
      </c>
      <c r="R81" s="11640">
        <f>IF(HLOOKUP("Shots",A1:CV300,81,FALSE)=0,0,HLOOKUP("S6YD",A1:CV300,81,FALSE)/HLOOKUP("Shots",A1:CV300,81,FALSE))</f>
      </c>
      <c r="S81" t="n" s="11641">
        <v>1.0</v>
      </c>
      <c r="T81" s="11642">
        <f>IF(HLOOKUP("Shots",A1:CV300,81,FALSE)=0,0,HLOOKUP("Headers",A1:CV300,81,FALSE)/HLOOKUP("Shots",A1:CV300,81,FALSE))</f>
      </c>
      <c r="U81" t="n" s="11643">
        <v>1.0</v>
      </c>
      <c r="V81" s="11644">
        <f>IF(HLOOKUP("Shots",A1:CV300,81,FALSE)=0,0,HLOOKUP("SOT",A1:CV300,81,FALSE)/HLOOKUP("Shots",A1:CV300,81,FALSE))</f>
      </c>
      <c r="W81" s="11645">
        <f>IF(HLOOKUP("Shots",A1:CV300,81,FALSE)=0,0,HLOOKUP("Gs",A1:CV300,81,FALSE)/HLOOKUP("Shots",A1:CV300,81,FALSE))</f>
      </c>
      <c r="X81" t="n" s="11646">
        <v>0.0</v>
      </c>
      <c r="Y81" t="n" s="11647">
        <v>1.0</v>
      </c>
      <c r="Z81" t="n" s="11648">
        <v>0.0</v>
      </c>
      <c r="AA81" s="11649">
        <f>IF(HLOOKUP("KP",A1:CV300,81,FALSE)=0,0,HLOOKUP("As",A1:CV300,81,FALSE)/HLOOKUP("KP",A1:CV300,81,FALSE))</f>
      </c>
      <c r="AB81" t="n" s="11650">
        <v>7.6</v>
      </c>
      <c r="AC81" t="n" s="11651">
        <v>0.0</v>
      </c>
      <c r="AD81" t="n" s="11652">
        <v>0.0</v>
      </c>
      <c r="AE81" t="n" s="11653">
        <v>1.0</v>
      </c>
      <c r="AF81" t="n" s="11654">
        <v>1.0</v>
      </c>
      <c r="AG81" s="11655">
        <f>IF(HLOOKUP("BC",A1:CV300,81,FALSE)=0,0,HLOOKUP("Gs - BC",A1:CV300,81,FALSE)/HLOOKUP("BC",A1:CV300,81,FALSE))</f>
      </c>
      <c r="AH81" s="11656">
        <f>HLOOKUP("BC",A1:CV300,81,FALSE) - HLOOKUP("BC Miss",A1:CV300,81,FALSE)</f>
      </c>
      <c r="AI81" s="11657">
        <f>IF(HLOOKUP("Gs",A1:CV300,81,FALSE)=0,0,HLOOKUP("Gs - BC",A1:CV300,81,FALSE)/HLOOKUP("Gs",A1:CV300,81,FALSE))</f>
      </c>
      <c r="AJ81" t="n" s="11658">
        <v>0.0</v>
      </c>
      <c r="AK81" t="n" s="11659">
        <v>0.0</v>
      </c>
      <c r="AL81" s="11660">
        <f>HLOOKUP("BC",A1:CV300,81,FALSE) - (HLOOKUP("PK Gs",A1:CV300,81,FALSE) + HLOOKUP("PK Miss",A1:CV300,81,FALSE))</f>
      </c>
      <c r="AM81" s="11661">
        <f>HLOOKUP("BC Miss",A1:CV300,81,FALSE) - HLOOKUP("PK Miss",A1:CV300,81,FALSE)</f>
      </c>
      <c r="AN81" s="11662">
        <f>IF(HLOOKUP("BC - Open",A1:CV300,81,FALSE)=0,0,HLOOKUP("BC - Open Miss",A1:CV300,81,FALSE)/HLOOKUP("BC - Open",A1:CV300,81,FALSE))</f>
      </c>
      <c r="AO81" t="n" s="11663">
        <v>0.0</v>
      </c>
      <c r="AP81" s="11664">
        <f>IF(HLOOKUP("Gs",A1:CV300,81,FALSE)=0,0,HLOOKUP("GIB",A1:CV300,81,FALSE)/HLOOKUP("Gs",A1:CV300,81,FALSE))</f>
      </c>
      <c r="AQ81" t="n" s="11665">
        <v>0.0</v>
      </c>
      <c r="AR81" s="11666">
        <f>IF(HLOOKUP("Gs",A1:CV300,81,FALSE)=0,0,HLOOKUP("Gs - Open",A1:CV300,81,FALSE)/HLOOKUP("Gs",A1:CV300,81,FALSE))</f>
      </c>
      <c r="AS81" t="n" s="11667">
        <v>0.35</v>
      </c>
      <c r="AT81" t="n" s="11668">
        <v>0.01</v>
      </c>
      <c r="AU81" s="11669">
        <f>IF(HLOOKUP("Mins",A1:CV300,81,FALSE)=0,0,HLOOKUP("Pts",A1:CV300,81,FALSE)/HLOOKUP("Mins",A1:CV300,81,FALSE)* 90)</f>
      </c>
      <c r="AV81" s="11670">
        <f>IF(HLOOKUP("Apps",A1:CV300,81,FALSE)=0,0,HLOOKUP("Pts",A1:CV300,81,FALSE)/HLOOKUP("Apps",A1:CV300,81,FALSE)* 1)</f>
      </c>
      <c r="AW81" s="11671">
        <f>IF(HLOOKUP("Mins",A1:CV300,81,FALSE)=0,0,HLOOKUP("Gs",A1:CV300,81,FALSE)/HLOOKUP("Mins",A1:CV300,81,FALSE)* 90)</f>
      </c>
      <c r="AX81" s="11672">
        <f>IF(HLOOKUP("Mins",A1:CV300,81,FALSE)=0,0,HLOOKUP("Bonus",A1:CV300,81,FALSE)/HLOOKUP("Mins",A1:CV300,81,FALSE)* 90)</f>
      </c>
      <c r="AY81" s="11673">
        <f>IF(HLOOKUP("Mins",A1:CV300,81,FALSE)=0,0,HLOOKUP("BPS",A1:CV300,81,FALSE)/HLOOKUP("Mins",A1:CV300,81,FALSE)* 90)</f>
      </c>
      <c r="AZ81" s="11674">
        <f>IF(HLOOKUP("Mins",A1:CV300,81,FALSE)=0,0,HLOOKUP("Base BPS",A1:CV300,81,FALSE)/HLOOKUP("Mins",A1:CV300,81,FALSE)* 90)</f>
      </c>
      <c r="BA81" s="11675">
        <f>IF(HLOOKUP("Mins",A1:CV300,81,FALSE)=0,0,HLOOKUP("PenTchs",A1:CV300,81,FALSE)/HLOOKUP("Mins",A1:CV300,81,FALSE)* 90)</f>
      </c>
      <c r="BB81" s="11676">
        <f>IF(HLOOKUP("Mins",A1:CV300,81,FALSE)=0,0,HLOOKUP("Shots",A1:CV300,81,FALSE)/HLOOKUP("Mins",A1:CV300,81,FALSE)* 90)</f>
      </c>
      <c r="BC81" s="11677">
        <f>IF(HLOOKUP("Mins",A1:CV300,81,FALSE)=0,0,HLOOKUP("SIB",A1:CV300,81,FALSE)/HLOOKUP("Mins",A1:CV300,81,FALSE)* 90)</f>
      </c>
      <c r="BD81" s="11678">
        <f>IF(HLOOKUP("Mins",A1:CV300,81,FALSE)=0,0,HLOOKUP("S6YD",A1:CV300,81,FALSE)/HLOOKUP("Mins",A1:CV300,81,FALSE)* 90)</f>
      </c>
      <c r="BE81" s="11679">
        <f>IF(HLOOKUP("Mins",A1:CV300,81,FALSE)=0,0,HLOOKUP("Headers",A1:CV300,81,FALSE)/HLOOKUP("Mins",A1:CV300,81,FALSE)* 90)</f>
      </c>
      <c r="BF81" s="11680">
        <f>IF(HLOOKUP("Mins",A1:CV300,81,FALSE)=0,0,HLOOKUP("SOT",A1:CV300,81,FALSE)/HLOOKUP("Mins",A1:CV300,81,FALSE)* 90)</f>
      </c>
      <c r="BG81" s="11681">
        <f>IF(HLOOKUP("Mins",A1:CV300,81,FALSE)=0,0,HLOOKUP("As",A1:CV300,81,FALSE)/HLOOKUP("Mins",A1:CV300,81,FALSE)* 90)</f>
      </c>
      <c r="BH81" s="11682">
        <f>IF(HLOOKUP("Mins",A1:CV300,81,FALSE)=0,0,HLOOKUP("FPL As",A1:CV300,81,FALSE)/HLOOKUP("Mins",A1:CV300,81,FALSE)* 90)</f>
      </c>
      <c r="BI81" s="11683">
        <f>IF(HLOOKUP("Mins",A1:CV300,81,FALSE)=0,0,HLOOKUP("BC Created",A1:CV300,81,FALSE)/HLOOKUP("Mins",A1:CV300,81,FALSE)* 90)</f>
      </c>
      <c r="BJ81" s="11684">
        <f>IF(HLOOKUP("Mins",A1:CV300,81,FALSE)=0,0,HLOOKUP("KP",A1:CV300,81,FALSE)/HLOOKUP("Mins",A1:CV300,81,FALSE)* 90)</f>
      </c>
      <c r="BK81" s="11685">
        <f>IF(HLOOKUP("Mins",A1:CV300,81,FALSE)=0,0,HLOOKUP("BC",A1:CV300,81,FALSE)/HLOOKUP("Mins",A1:CV300,81,FALSE)* 90)</f>
      </c>
      <c r="BL81" s="11686">
        <f>IF(HLOOKUP("Mins",A1:CV300,81,FALSE)=0,0,HLOOKUP("BC Miss",A1:CV300,81,FALSE)/HLOOKUP("Mins",A1:CV300,81,FALSE)* 90)</f>
      </c>
      <c r="BM81" s="11687">
        <f>IF(HLOOKUP("Mins",A1:CV300,81,FALSE)=0,0,HLOOKUP("Gs - BC",A1:CV300,81,FALSE)/HLOOKUP("Mins",A1:CV300,81,FALSE)* 90)</f>
      </c>
      <c r="BN81" s="11688">
        <f>IF(HLOOKUP("Mins",A1:CV300,81,FALSE)=0,0,HLOOKUP("GIB",A1:CV300,81,FALSE)/HLOOKUP("Mins",A1:CV300,81,FALSE)* 90)</f>
      </c>
      <c r="BO81" s="11689">
        <f>IF(HLOOKUP("Mins",A1:CV300,81,FALSE)=0,0,HLOOKUP("Gs - Open",A1:CV300,81,FALSE)/HLOOKUP("Mins",A1:CV300,81,FALSE)* 90)</f>
      </c>
      <c r="BP81" s="11690">
        <f>IF(HLOOKUP("Mins",A1:CV300,81,FALSE)=0,0,HLOOKUP("ICT Index",A1:CV300,81,FALSE)/HLOOKUP("Mins",A1:CV300,81,FALSE)* 90)</f>
      </c>
      <c r="BQ81" s="11691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</c>
      <c r="BR81" s="11692">
        <f>0.0825*HLOOKUP("KP/90",A1:CV300,81,FALSE)</f>
      </c>
      <c r="BS81" s="11693">
        <f>6*HLOOKUP("xG/90",A1:CV300,81,FALSE)+3*HLOOKUP("xA/90",A1:CV300,81,FALSE)</f>
      </c>
      <c r="BT81" s="11694">
        <f>HLOOKUP("xPts/90",A1:CV300,81,FALSE)-(6*0.75*(HLOOKUP("PK Gs",A1:CV300,81,FALSE)+HLOOKUP("PK Miss",A1:CV300,81,FALSE))*90/HLOOKUP("Mins",A1:CV300,81,FALSE))</f>
      </c>
      <c r="BU81" s="11695">
        <f>IF(HLOOKUP("Mins",A1:CV300,81,FALSE)=0,0,HLOOKUP("fsXG",A1:CV300,81,FALSE)/HLOOKUP("Mins",A1:CV300,81,FALSE)* 90)</f>
      </c>
      <c r="BV81" s="11696">
        <f>IF(HLOOKUP("Mins",A1:CV300,81,FALSE)=0,0,HLOOKUP("fsXA",A1:CV300,81,FALSE)/HLOOKUP("Mins",A1:CV300,81,FALSE)* 90)</f>
      </c>
      <c r="BW81" s="11697">
        <f>6*HLOOKUP("fsXG/90",A1:CV300,81,FALSE)+3*HLOOKUP("fsXA/90",A1:CV300,81,FALSE)</f>
      </c>
      <c r="BX81" t="n" s="11698">
        <v>0.2037324607372284</v>
      </c>
      <c r="BY81" t="n" s="11699">
        <v>0.0</v>
      </c>
      <c r="BZ81" s="11700">
        <f>6*HLOOKUP("uXG/90",A1:CV300,81,FALSE)+3*HLOOKUP("uXA/90",A1:CV300,81,FALSE)</f>
      </c>
    </row>
    <row r="82">
      <c r="A82" t="s" s="11701">
        <v>247</v>
      </c>
      <c r="B82" t="s" s="11702">
        <v>109</v>
      </c>
      <c r="C82" t="n" s="11703">
        <v>4.5</v>
      </c>
      <c r="D82" t="n" s="11704">
        <v>79.0</v>
      </c>
      <c r="E82" t="n" s="11705">
        <v>2.0</v>
      </c>
      <c r="F82" t="n" s="11706">
        <v>48.0</v>
      </c>
      <c r="G82" t="n" s="11707">
        <v>0.0</v>
      </c>
      <c r="H82" t="n" s="11708">
        <v>0.0</v>
      </c>
      <c r="I82" t="n" s="11709">
        <v>317.0</v>
      </c>
      <c r="J82" s="11710">
        <f>HLOOKUP("BPS",A1:CV300,82,FALSE)-((-6*HLOOKUP("OG",A1:CV300,82,FALSE))+(-6*HLOOKUP("PK Miss",A1:CV300,82,FALSE))+(9*HLOOKUP("FPL As",A1:CV300,82,FALSE))+(12*HLOOKUP("CS",A1:CV300,82,FALSE))+(12*HLOOKUP("Gs",A1:CV300,82,FALSE)))</f>
      </c>
      <c r="K82" t="n" s="11711">
        <v>0.0</v>
      </c>
      <c r="L82" t="n" s="11712">
        <v>5.0</v>
      </c>
      <c r="M82" t="n" s="11713">
        <v>0.0</v>
      </c>
      <c r="N82" t="n" s="11714">
        <v>0.0</v>
      </c>
      <c r="O82" t="n" s="11715">
        <v>0.0</v>
      </c>
      <c r="P82" s="11716">
        <f>IF(HLOOKUP("Shots",A1:CV300,82,FALSE)=0,0,HLOOKUP("SIB",A1:CV300,82,FALSE)/HLOOKUP("Shots",A1:CV300,82,FALSE))</f>
      </c>
      <c r="Q82" t="n" s="11717">
        <v>0.0</v>
      </c>
      <c r="R82" s="11718">
        <f>IF(HLOOKUP("Shots",A1:CV300,82,FALSE)=0,0,HLOOKUP("S6YD",A1:CV300,82,FALSE)/HLOOKUP("Shots",A1:CV300,82,FALSE))</f>
      </c>
      <c r="S82" t="n" s="11719">
        <v>0.0</v>
      </c>
      <c r="T82" s="11720">
        <f>IF(HLOOKUP("Shots",A1:CV300,82,FALSE)=0,0,HLOOKUP("Headers",A1:CV300,82,FALSE)/HLOOKUP("Shots",A1:CV300,82,FALSE))</f>
      </c>
      <c r="U82" t="n" s="11721">
        <v>0.0</v>
      </c>
      <c r="V82" s="11722">
        <f>IF(HLOOKUP("Shots",A1:CV300,82,FALSE)=0,0,HLOOKUP("SOT",A1:CV300,82,FALSE)/HLOOKUP("Shots",A1:CV300,82,FALSE))</f>
      </c>
      <c r="W82" s="11723">
        <f>IF(HLOOKUP("Shots",A1:CV300,82,FALSE)=0,0,HLOOKUP("Gs",A1:CV300,82,FALSE)/HLOOKUP("Shots",A1:CV300,82,FALSE))</f>
      </c>
      <c r="X82" t="n" s="11724">
        <v>0.0</v>
      </c>
      <c r="Y82" t="n" s="11725">
        <v>0.0</v>
      </c>
      <c r="Z82" t="n" s="11726">
        <v>0.0</v>
      </c>
      <c r="AA82" s="11727">
        <f>IF(HLOOKUP("KP",A1:CV300,82,FALSE)=0,0,HLOOKUP("As",A1:CV300,82,FALSE)/HLOOKUP("KP",A1:CV300,82,FALSE))</f>
      </c>
      <c r="AB82" t="n" s="11728">
        <v>0.2</v>
      </c>
      <c r="AC82" t="n" s="11729">
        <v>0.0</v>
      </c>
      <c r="AD82" t="n" s="11730">
        <v>0.0</v>
      </c>
      <c r="AE82" t="n" s="11731">
        <v>0.0</v>
      </c>
      <c r="AF82" t="n" s="11732">
        <v>0.0</v>
      </c>
      <c r="AG82" s="11733">
        <f>IF(HLOOKUP("BC",A1:CV300,82,FALSE)=0,0,HLOOKUP("Gs - BC",A1:CV300,82,FALSE)/HLOOKUP("BC",A1:CV300,82,FALSE))</f>
      </c>
      <c r="AH82" s="11734">
        <f>HLOOKUP("BC",A1:CV300,82,FALSE) - HLOOKUP("BC Miss",A1:CV300,82,FALSE)</f>
      </c>
      <c r="AI82" s="11735">
        <f>IF(HLOOKUP("Gs",A1:CV300,82,FALSE)=0,0,HLOOKUP("Gs - BC",A1:CV300,82,FALSE)/HLOOKUP("Gs",A1:CV300,82,FALSE))</f>
      </c>
      <c r="AJ82" t="n" s="11736">
        <v>0.0</v>
      </c>
      <c r="AK82" t="n" s="11737">
        <v>0.0</v>
      </c>
      <c r="AL82" s="11738">
        <f>HLOOKUP("BC",A1:CV300,82,FALSE) - (HLOOKUP("PK Gs",A1:CV300,82,FALSE) + HLOOKUP("PK Miss",A1:CV300,82,FALSE))</f>
      </c>
      <c r="AM82" s="11739">
        <f>HLOOKUP("BC Miss",A1:CV300,82,FALSE) - HLOOKUP("PK Miss",A1:CV300,82,FALSE)</f>
      </c>
      <c r="AN82" s="11740">
        <f>IF(HLOOKUP("BC - Open",A1:CV300,82,FALSE)=0,0,HLOOKUP("BC - Open Miss",A1:CV300,82,FALSE)/HLOOKUP("BC - Open",A1:CV300,82,FALSE))</f>
      </c>
      <c r="AO82" t="n" s="11741">
        <v>0.0</v>
      </c>
      <c r="AP82" s="11742">
        <f>IF(HLOOKUP("Gs",A1:CV300,82,FALSE)=0,0,HLOOKUP("GIB",A1:CV300,82,FALSE)/HLOOKUP("Gs",A1:CV300,82,FALSE))</f>
      </c>
      <c r="AQ82" t="n" s="11743">
        <v>0.0</v>
      </c>
      <c r="AR82" s="11744">
        <f>IF(HLOOKUP("Gs",A1:CV300,82,FALSE)=0,0,HLOOKUP("Gs - Open",A1:CV300,82,FALSE)/HLOOKUP("Gs",A1:CV300,82,FALSE))</f>
      </c>
      <c r="AS82" t="n" s="11745">
        <v>0.0</v>
      </c>
      <c r="AT82" t="n" s="11746">
        <v>0.01</v>
      </c>
      <c r="AU82" s="11747">
        <f>IF(HLOOKUP("Mins",A1:CV300,82,FALSE)=0,0,HLOOKUP("Pts",A1:CV300,82,FALSE)/HLOOKUP("Mins",A1:CV300,82,FALSE)* 90)</f>
      </c>
      <c r="AV82" s="11748">
        <f>IF(HLOOKUP("Apps",A1:CV300,82,FALSE)=0,0,HLOOKUP("Pts",A1:CV300,82,FALSE)/HLOOKUP("Apps",A1:CV300,82,FALSE)* 1)</f>
      </c>
      <c r="AW82" s="11749">
        <f>IF(HLOOKUP("Mins",A1:CV300,82,FALSE)=0,0,HLOOKUP("Gs",A1:CV300,82,FALSE)/HLOOKUP("Mins",A1:CV300,82,FALSE)* 90)</f>
      </c>
      <c r="AX82" s="11750">
        <f>IF(HLOOKUP("Mins",A1:CV300,82,FALSE)=0,0,HLOOKUP("Bonus",A1:CV300,82,FALSE)/HLOOKUP("Mins",A1:CV300,82,FALSE)* 90)</f>
      </c>
      <c r="AY82" s="11751">
        <f>IF(HLOOKUP("Mins",A1:CV300,82,FALSE)=0,0,HLOOKUP("BPS",A1:CV300,82,FALSE)/HLOOKUP("Mins",A1:CV300,82,FALSE)* 90)</f>
      </c>
      <c r="AZ82" s="11752">
        <f>IF(HLOOKUP("Mins",A1:CV300,82,FALSE)=0,0,HLOOKUP("Base BPS",A1:CV300,82,FALSE)/HLOOKUP("Mins",A1:CV300,82,FALSE)* 90)</f>
      </c>
      <c r="BA82" s="11753">
        <f>IF(HLOOKUP("Mins",A1:CV300,82,FALSE)=0,0,HLOOKUP("PenTchs",A1:CV300,82,FALSE)/HLOOKUP("Mins",A1:CV300,82,FALSE)* 90)</f>
      </c>
      <c r="BB82" s="11754">
        <f>IF(HLOOKUP("Mins",A1:CV300,82,FALSE)=0,0,HLOOKUP("Shots",A1:CV300,82,FALSE)/HLOOKUP("Mins",A1:CV300,82,FALSE)* 90)</f>
      </c>
      <c r="BC82" s="11755">
        <f>IF(HLOOKUP("Mins",A1:CV300,82,FALSE)=0,0,HLOOKUP("SIB",A1:CV300,82,FALSE)/HLOOKUP("Mins",A1:CV300,82,FALSE)* 90)</f>
      </c>
      <c r="BD82" s="11756">
        <f>IF(HLOOKUP("Mins",A1:CV300,82,FALSE)=0,0,HLOOKUP("S6YD",A1:CV300,82,FALSE)/HLOOKUP("Mins",A1:CV300,82,FALSE)* 90)</f>
      </c>
      <c r="BE82" s="11757">
        <f>IF(HLOOKUP("Mins",A1:CV300,82,FALSE)=0,0,HLOOKUP("Headers",A1:CV300,82,FALSE)/HLOOKUP("Mins",A1:CV300,82,FALSE)* 90)</f>
      </c>
      <c r="BF82" s="11758">
        <f>IF(HLOOKUP("Mins",A1:CV300,82,FALSE)=0,0,HLOOKUP("SOT",A1:CV300,82,FALSE)/HLOOKUP("Mins",A1:CV300,82,FALSE)* 90)</f>
      </c>
      <c r="BG82" s="11759">
        <f>IF(HLOOKUP("Mins",A1:CV300,82,FALSE)=0,0,HLOOKUP("As",A1:CV300,82,FALSE)/HLOOKUP("Mins",A1:CV300,82,FALSE)* 90)</f>
      </c>
      <c r="BH82" s="11760">
        <f>IF(HLOOKUP("Mins",A1:CV300,82,FALSE)=0,0,HLOOKUP("FPL As",A1:CV300,82,FALSE)/HLOOKUP("Mins",A1:CV300,82,FALSE)* 90)</f>
      </c>
      <c r="BI82" s="11761">
        <f>IF(HLOOKUP("Mins",A1:CV300,82,FALSE)=0,0,HLOOKUP("BC Created",A1:CV300,82,FALSE)/HLOOKUP("Mins",A1:CV300,82,FALSE)* 90)</f>
      </c>
      <c r="BJ82" s="11762">
        <f>IF(HLOOKUP("Mins",A1:CV300,82,FALSE)=0,0,HLOOKUP("KP",A1:CV300,82,FALSE)/HLOOKUP("Mins",A1:CV300,82,FALSE)* 90)</f>
      </c>
      <c r="BK82" s="11763">
        <f>IF(HLOOKUP("Mins",A1:CV300,82,FALSE)=0,0,HLOOKUP("BC",A1:CV300,82,FALSE)/HLOOKUP("Mins",A1:CV300,82,FALSE)* 90)</f>
      </c>
      <c r="BL82" s="11764">
        <f>IF(HLOOKUP("Mins",A1:CV300,82,FALSE)=0,0,HLOOKUP("BC Miss",A1:CV300,82,FALSE)/HLOOKUP("Mins",A1:CV300,82,FALSE)* 90)</f>
      </c>
      <c r="BM82" s="11765">
        <f>IF(HLOOKUP("Mins",A1:CV300,82,FALSE)=0,0,HLOOKUP("Gs - BC",A1:CV300,82,FALSE)/HLOOKUP("Mins",A1:CV300,82,FALSE)* 90)</f>
      </c>
      <c r="BN82" s="11766">
        <f>IF(HLOOKUP("Mins",A1:CV300,82,FALSE)=0,0,HLOOKUP("GIB",A1:CV300,82,FALSE)/HLOOKUP("Mins",A1:CV300,82,FALSE)* 90)</f>
      </c>
      <c r="BO82" s="11767">
        <f>IF(HLOOKUP("Mins",A1:CV300,82,FALSE)=0,0,HLOOKUP("Gs - Open",A1:CV300,82,FALSE)/HLOOKUP("Mins",A1:CV300,82,FALSE)* 90)</f>
      </c>
      <c r="BP82" s="11768">
        <f>IF(HLOOKUP("Mins",A1:CV300,82,FALSE)=0,0,HLOOKUP("ICT Index",A1:CV300,82,FALSE)/HLOOKUP("Mins",A1:CV300,82,FALSE)* 90)</f>
      </c>
      <c r="BQ82" s="11769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</c>
      <c r="BR82" s="11770">
        <f>0.0825*HLOOKUP("KP/90",A1:CV300,82,FALSE)</f>
      </c>
      <c r="BS82" s="11771">
        <f>6*HLOOKUP("xG/90",A1:CV300,82,FALSE)+3*HLOOKUP("xA/90",A1:CV300,82,FALSE)</f>
      </c>
      <c r="BT82" s="11772">
        <f>HLOOKUP("xPts/90",A1:CV300,82,FALSE)-(6*0.75*(HLOOKUP("PK Gs",A1:CV300,82,FALSE)+HLOOKUP("PK Miss",A1:CV300,82,FALSE))*90/HLOOKUP("Mins",A1:CV300,82,FALSE))</f>
      </c>
      <c r="BU82" s="11773">
        <f>IF(HLOOKUP("Mins",A1:CV300,82,FALSE)=0,0,HLOOKUP("fsXG",A1:CV300,82,FALSE)/HLOOKUP("Mins",A1:CV300,82,FALSE)* 90)</f>
      </c>
      <c r="BV82" s="11774">
        <f>IF(HLOOKUP("Mins",A1:CV300,82,FALSE)=0,0,HLOOKUP("fsXA",A1:CV300,82,FALSE)/HLOOKUP("Mins",A1:CV300,82,FALSE)* 90)</f>
      </c>
      <c r="BW82" s="11775">
        <f>6*HLOOKUP("fsXG/90",A1:CV300,82,FALSE)+3*HLOOKUP("fsXA/90",A1:CV300,82,FALSE)</f>
      </c>
      <c r="BX82" t="n" s="11776">
        <v>0.0</v>
      </c>
      <c r="BY82" t="n" s="11777">
        <v>0.0</v>
      </c>
      <c r="BZ82" s="11778">
        <f>6*HLOOKUP("uXG/90",A1:CV300,82,FALSE)+3*HLOOKUP("uXA/90",A1:CV300,82,FALSE)</f>
      </c>
    </row>
    <row r="83">
      <c r="A83" t="s" s="11779">
        <v>248</v>
      </c>
      <c r="B83" t="s" s="11780">
        <v>122</v>
      </c>
      <c r="C83" t="n" s="11781">
        <v>5.300000190734863</v>
      </c>
      <c r="D83" t="n" s="11782">
        <v>540.0</v>
      </c>
      <c r="E83" t="n" s="11783">
        <v>6.0</v>
      </c>
      <c r="F83" t="n" s="11784">
        <v>70.0</v>
      </c>
      <c r="G83" t="n" s="11785">
        <v>0.0</v>
      </c>
      <c r="H83" t="n" s="11786">
        <v>11.0</v>
      </c>
      <c r="I83" t="n" s="11787">
        <v>418.0</v>
      </c>
      <c r="J83" s="11788">
        <f>HLOOKUP("BPS",A1:CV300,83,FALSE)-((-6*HLOOKUP("OG",A1:CV300,83,FALSE))+(-6*HLOOKUP("PK Miss",A1:CV300,83,FALSE))+(9*HLOOKUP("FPL As",A1:CV300,83,FALSE))+(12*HLOOKUP("CS",A1:CV300,83,FALSE))+(12*HLOOKUP("Gs",A1:CV300,83,FALSE)))</f>
      </c>
      <c r="K83" t="n" s="11789">
        <v>0.0</v>
      </c>
      <c r="L83" t="n" s="11790">
        <v>5.0</v>
      </c>
      <c r="M83" t="n" s="11791">
        <v>9.0</v>
      </c>
      <c r="N83" t="n" s="11792">
        <v>1.0</v>
      </c>
      <c r="O83" t="n" s="11793">
        <v>0.0</v>
      </c>
      <c r="P83" s="11794">
        <f>IF(HLOOKUP("Shots",A1:CV300,83,FALSE)=0,0,HLOOKUP("SIB",A1:CV300,83,FALSE)/HLOOKUP("Shots",A1:CV300,83,FALSE))</f>
      </c>
      <c r="Q83" t="n" s="11795">
        <v>0.0</v>
      </c>
      <c r="R83" s="11796">
        <f>IF(HLOOKUP("Shots",A1:CV300,83,FALSE)=0,0,HLOOKUP("S6YD",A1:CV300,83,FALSE)/HLOOKUP("Shots",A1:CV300,83,FALSE))</f>
      </c>
      <c r="S83" t="n" s="11797">
        <v>0.0</v>
      </c>
      <c r="T83" s="11798">
        <f>IF(HLOOKUP("Shots",A1:CV300,83,FALSE)=0,0,HLOOKUP("Headers",A1:CV300,83,FALSE)/HLOOKUP("Shots",A1:CV300,83,FALSE))</f>
      </c>
      <c r="U83" t="n" s="11799">
        <v>0.0</v>
      </c>
      <c r="V83" s="11800">
        <f>IF(HLOOKUP("Shots",A1:CV300,83,FALSE)=0,0,HLOOKUP("SOT",A1:CV300,83,FALSE)/HLOOKUP("Shots",A1:CV300,83,FALSE))</f>
      </c>
      <c r="W83" s="11801">
        <f>IF(HLOOKUP("Shots",A1:CV300,83,FALSE)=0,0,HLOOKUP("Gs",A1:CV300,83,FALSE)/HLOOKUP("Shots",A1:CV300,83,FALSE))</f>
      </c>
      <c r="X83" t="n" s="11802">
        <v>1.0</v>
      </c>
      <c r="Y83" t="n" s="11803">
        <v>2.0</v>
      </c>
      <c r="Z83" t="n" s="11804">
        <v>9.0</v>
      </c>
      <c r="AA83" s="11805">
        <f>IF(HLOOKUP("KP",A1:CV300,83,FALSE)=0,0,HLOOKUP("As",A1:CV300,83,FALSE)/HLOOKUP("KP",A1:CV300,83,FALSE))</f>
      </c>
      <c r="AB83" t="n" s="11806">
        <v>32.3</v>
      </c>
      <c r="AC83" t="n" s="11807">
        <v>17.0</v>
      </c>
      <c r="AD83" t="n" s="11808">
        <v>2.0</v>
      </c>
      <c r="AE83" t="n" s="11809">
        <v>0.0</v>
      </c>
      <c r="AF83" t="n" s="11810">
        <v>0.0</v>
      </c>
      <c r="AG83" s="11811">
        <f>IF(HLOOKUP("BC",A1:CV300,83,FALSE)=0,0,HLOOKUP("Gs - BC",A1:CV300,83,FALSE)/HLOOKUP("BC",A1:CV300,83,FALSE))</f>
      </c>
      <c r="AH83" s="11812">
        <f>HLOOKUP("BC",A1:CV300,83,FALSE) - HLOOKUP("BC Miss",A1:CV300,83,FALSE)</f>
      </c>
      <c r="AI83" s="11813">
        <f>IF(HLOOKUP("Gs",A1:CV300,83,FALSE)=0,0,HLOOKUP("Gs - BC",A1:CV300,83,FALSE)/HLOOKUP("Gs",A1:CV300,83,FALSE))</f>
      </c>
      <c r="AJ83" t="n" s="11814">
        <v>0.0</v>
      </c>
      <c r="AK83" t="n" s="11815">
        <v>0.0</v>
      </c>
      <c r="AL83" s="11816">
        <f>HLOOKUP("BC",A1:CV300,83,FALSE) - (HLOOKUP("PK Gs",A1:CV300,83,FALSE) + HLOOKUP("PK Miss",A1:CV300,83,FALSE))</f>
      </c>
      <c r="AM83" s="11817">
        <f>HLOOKUP("BC Miss",A1:CV300,83,FALSE) - HLOOKUP("PK Miss",A1:CV300,83,FALSE)</f>
      </c>
      <c r="AN83" s="11818">
        <f>IF(HLOOKUP("BC - Open",A1:CV300,83,FALSE)=0,0,HLOOKUP("BC - Open Miss",A1:CV300,83,FALSE)/HLOOKUP("BC - Open",A1:CV300,83,FALSE))</f>
      </c>
      <c r="AO83" t="n" s="11819">
        <v>0.0</v>
      </c>
      <c r="AP83" s="11820">
        <f>IF(HLOOKUP("Gs",A1:CV300,83,FALSE)=0,0,HLOOKUP("GIB",A1:CV300,83,FALSE)/HLOOKUP("Gs",A1:CV300,83,FALSE))</f>
      </c>
      <c r="AQ83" t="n" s="11821">
        <v>0.0</v>
      </c>
      <c r="AR83" s="11822">
        <f>IF(HLOOKUP("Gs",A1:CV300,83,FALSE)=0,0,HLOOKUP("Gs - Open",A1:CV300,83,FALSE)/HLOOKUP("Gs",A1:CV300,83,FALSE))</f>
      </c>
      <c r="AS83" t="n" s="11823">
        <v>0.02</v>
      </c>
      <c r="AT83" t="n" s="11824">
        <v>1.76</v>
      </c>
      <c r="AU83" s="11825">
        <f>IF(HLOOKUP("Mins",A1:CV300,83,FALSE)=0,0,HLOOKUP("Pts",A1:CV300,83,FALSE)/HLOOKUP("Mins",A1:CV300,83,FALSE)* 90)</f>
      </c>
      <c r="AV83" s="11826">
        <f>IF(HLOOKUP("Apps",A1:CV300,83,FALSE)=0,0,HLOOKUP("Pts",A1:CV300,83,FALSE)/HLOOKUP("Apps",A1:CV300,83,FALSE)* 1)</f>
      </c>
      <c r="AW83" s="11827">
        <f>IF(HLOOKUP("Mins",A1:CV300,83,FALSE)=0,0,HLOOKUP("Gs",A1:CV300,83,FALSE)/HLOOKUP("Mins",A1:CV300,83,FALSE)* 90)</f>
      </c>
      <c r="AX83" s="11828">
        <f>IF(HLOOKUP("Mins",A1:CV300,83,FALSE)=0,0,HLOOKUP("Bonus",A1:CV300,83,FALSE)/HLOOKUP("Mins",A1:CV300,83,FALSE)* 90)</f>
      </c>
      <c r="AY83" s="11829">
        <f>IF(HLOOKUP("Mins",A1:CV300,83,FALSE)=0,0,HLOOKUP("BPS",A1:CV300,83,FALSE)/HLOOKUP("Mins",A1:CV300,83,FALSE)* 90)</f>
      </c>
      <c r="AZ83" s="11830">
        <f>IF(HLOOKUP("Mins",A1:CV300,83,FALSE)=0,0,HLOOKUP("Base BPS",A1:CV300,83,FALSE)/HLOOKUP("Mins",A1:CV300,83,FALSE)* 90)</f>
      </c>
      <c r="BA83" s="11831">
        <f>IF(HLOOKUP("Mins",A1:CV300,83,FALSE)=0,0,HLOOKUP("PenTchs",A1:CV300,83,FALSE)/HLOOKUP("Mins",A1:CV300,83,FALSE)* 90)</f>
      </c>
      <c r="BB83" s="11832">
        <f>IF(HLOOKUP("Mins",A1:CV300,83,FALSE)=0,0,HLOOKUP("Shots",A1:CV300,83,FALSE)/HLOOKUP("Mins",A1:CV300,83,FALSE)* 90)</f>
      </c>
      <c r="BC83" s="11833">
        <f>IF(HLOOKUP("Mins",A1:CV300,83,FALSE)=0,0,HLOOKUP("SIB",A1:CV300,83,FALSE)/HLOOKUP("Mins",A1:CV300,83,FALSE)* 90)</f>
      </c>
      <c r="BD83" s="11834">
        <f>IF(HLOOKUP("Mins",A1:CV300,83,FALSE)=0,0,HLOOKUP("S6YD",A1:CV300,83,FALSE)/HLOOKUP("Mins",A1:CV300,83,FALSE)* 90)</f>
      </c>
      <c r="BE83" s="11835">
        <f>IF(HLOOKUP("Mins",A1:CV300,83,FALSE)=0,0,HLOOKUP("Headers",A1:CV300,83,FALSE)/HLOOKUP("Mins",A1:CV300,83,FALSE)* 90)</f>
      </c>
      <c r="BF83" s="11836">
        <f>IF(HLOOKUP("Mins",A1:CV300,83,FALSE)=0,0,HLOOKUP("SOT",A1:CV300,83,FALSE)/HLOOKUP("Mins",A1:CV300,83,FALSE)* 90)</f>
      </c>
      <c r="BG83" s="11837">
        <f>IF(HLOOKUP("Mins",A1:CV300,83,FALSE)=0,0,HLOOKUP("As",A1:CV300,83,FALSE)/HLOOKUP("Mins",A1:CV300,83,FALSE)* 90)</f>
      </c>
      <c r="BH83" s="11838">
        <f>IF(HLOOKUP("Mins",A1:CV300,83,FALSE)=0,0,HLOOKUP("FPL As",A1:CV300,83,FALSE)/HLOOKUP("Mins",A1:CV300,83,FALSE)* 90)</f>
      </c>
      <c r="BI83" s="11839">
        <f>IF(HLOOKUP("Mins",A1:CV300,83,FALSE)=0,0,HLOOKUP("BC Created",A1:CV300,83,FALSE)/HLOOKUP("Mins",A1:CV300,83,FALSE)* 90)</f>
      </c>
      <c r="BJ83" s="11840">
        <f>IF(HLOOKUP("Mins",A1:CV300,83,FALSE)=0,0,HLOOKUP("KP",A1:CV300,83,FALSE)/HLOOKUP("Mins",A1:CV300,83,FALSE)* 90)</f>
      </c>
      <c r="BK83" s="11841">
        <f>IF(HLOOKUP("Mins",A1:CV300,83,FALSE)=0,0,HLOOKUP("BC",A1:CV300,83,FALSE)/HLOOKUP("Mins",A1:CV300,83,FALSE)* 90)</f>
      </c>
      <c r="BL83" s="11842">
        <f>IF(HLOOKUP("Mins",A1:CV300,83,FALSE)=0,0,HLOOKUP("BC Miss",A1:CV300,83,FALSE)/HLOOKUP("Mins",A1:CV300,83,FALSE)* 90)</f>
      </c>
      <c r="BM83" s="11843">
        <f>IF(HLOOKUP("Mins",A1:CV300,83,FALSE)=0,0,HLOOKUP("Gs - BC",A1:CV300,83,FALSE)/HLOOKUP("Mins",A1:CV300,83,FALSE)* 90)</f>
      </c>
      <c r="BN83" s="11844">
        <f>IF(HLOOKUP("Mins",A1:CV300,83,FALSE)=0,0,HLOOKUP("GIB",A1:CV300,83,FALSE)/HLOOKUP("Mins",A1:CV300,83,FALSE)* 90)</f>
      </c>
      <c r="BO83" s="11845">
        <f>IF(HLOOKUP("Mins",A1:CV300,83,FALSE)=0,0,HLOOKUP("Gs - Open",A1:CV300,83,FALSE)/HLOOKUP("Mins",A1:CV300,83,FALSE)* 90)</f>
      </c>
      <c r="BP83" s="11846">
        <f>IF(HLOOKUP("Mins",A1:CV300,83,FALSE)=0,0,HLOOKUP("ICT Index",A1:CV300,83,FALSE)/HLOOKUP("Mins",A1:CV300,83,FALSE)* 90)</f>
      </c>
      <c r="BQ83" s="11847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</c>
      <c r="BR83" s="11848">
        <f>0.0825*HLOOKUP("KP/90",A1:CV300,83,FALSE)</f>
      </c>
      <c r="BS83" s="11849">
        <f>6*HLOOKUP("xG/90",A1:CV300,83,FALSE)+3*HLOOKUP("xA/90",A1:CV300,83,FALSE)</f>
      </c>
      <c r="BT83" s="11850">
        <f>HLOOKUP("xPts/90",A1:CV300,83,FALSE)-(6*0.75*(HLOOKUP("PK Gs",A1:CV300,83,FALSE)+HLOOKUP("PK Miss",A1:CV300,83,FALSE))*90/HLOOKUP("Mins",A1:CV300,83,FALSE))</f>
      </c>
      <c r="BU83" s="11851">
        <f>IF(HLOOKUP("Mins",A1:CV300,83,FALSE)=0,0,HLOOKUP("fsXG",A1:CV300,83,FALSE)/HLOOKUP("Mins",A1:CV300,83,FALSE)* 90)</f>
      </c>
      <c r="BV83" s="11852">
        <f>IF(HLOOKUP("Mins",A1:CV300,83,FALSE)=0,0,HLOOKUP("fsXA",A1:CV300,83,FALSE)/HLOOKUP("Mins",A1:CV300,83,FALSE)* 90)</f>
      </c>
      <c r="BW83" s="11853">
        <f>6*HLOOKUP("fsXG/90",A1:CV300,83,FALSE)+3*HLOOKUP("fsXA/90",A1:CV300,83,FALSE)</f>
      </c>
      <c r="BX83" t="n" s="11854">
        <v>0.002654403680935502</v>
      </c>
      <c r="BY83" t="n" s="11855">
        <v>0.2939528524875641</v>
      </c>
      <c r="BZ83" s="11856">
        <f>6*HLOOKUP("uXG/90",A1:CV300,83,FALSE)+3*HLOOKUP("uXA/90",A1:CV300,83,FALSE)</f>
      </c>
    </row>
    <row r="84">
      <c r="A84" t="s" s="11857">
        <v>249</v>
      </c>
      <c r="B84" t="s" s="11858">
        <v>149</v>
      </c>
      <c r="C84" t="n" s="11859">
        <v>5.800000190734863</v>
      </c>
      <c r="D84" t="n" s="11860">
        <v>540.0</v>
      </c>
      <c r="E84" t="n" s="11861">
        <v>6.0</v>
      </c>
      <c r="F84" t="n" s="11862">
        <v>79.0</v>
      </c>
      <c r="G84" t="n" s="11863">
        <v>2.0</v>
      </c>
      <c r="H84" t="n" s="11864">
        <v>7.0</v>
      </c>
      <c r="I84" t="n" s="11865">
        <v>428.0</v>
      </c>
      <c r="J84" s="11866">
        <f>HLOOKUP("BPS",A1:CV300,84,FALSE)-((-6*HLOOKUP("OG",A1:CV300,84,FALSE))+(-6*HLOOKUP("PK Miss",A1:CV300,84,FALSE))+(9*HLOOKUP("FPL As",A1:CV300,84,FALSE))+(12*HLOOKUP("CS",A1:CV300,84,FALSE))+(12*HLOOKUP("Gs",A1:CV300,84,FALSE)))</f>
      </c>
      <c r="K84" t="n" s="11867">
        <v>0.0</v>
      </c>
      <c r="L84" t="n" s="11868">
        <v>4.0</v>
      </c>
      <c r="M84" t="n" s="11869">
        <v>27.0</v>
      </c>
      <c r="N84" t="n" s="11870">
        <v>8.0</v>
      </c>
      <c r="O84" t="n" s="11871">
        <v>4.0</v>
      </c>
      <c r="P84" s="11872">
        <f>IF(HLOOKUP("Shots",A1:CV300,84,FALSE)=0,0,HLOOKUP("SIB",A1:CV300,84,FALSE)/HLOOKUP("Shots",A1:CV300,84,FALSE))</f>
      </c>
      <c r="Q84" t="n" s="11873">
        <v>2.0</v>
      </c>
      <c r="R84" s="11874">
        <f>IF(HLOOKUP("Shots",A1:CV300,84,FALSE)=0,0,HLOOKUP("S6YD",A1:CV300,84,FALSE)/HLOOKUP("Shots",A1:CV300,84,FALSE))</f>
      </c>
      <c r="S84" t="n" s="11875">
        <v>0.0</v>
      </c>
      <c r="T84" s="11876">
        <f>IF(HLOOKUP("Shots",A1:CV300,84,FALSE)=0,0,HLOOKUP("Headers",A1:CV300,84,FALSE)/HLOOKUP("Shots",A1:CV300,84,FALSE))</f>
      </c>
      <c r="U84" t="n" s="11877">
        <v>4.0</v>
      </c>
      <c r="V84" s="11878">
        <f>IF(HLOOKUP("Shots",A1:CV300,84,FALSE)=0,0,HLOOKUP("SOT",A1:CV300,84,FALSE)/HLOOKUP("Shots",A1:CV300,84,FALSE))</f>
      </c>
      <c r="W84" s="11879">
        <f>IF(HLOOKUP("Shots",A1:CV300,84,FALSE)=0,0,HLOOKUP("Gs",A1:CV300,84,FALSE)/HLOOKUP("Shots",A1:CV300,84,FALSE))</f>
      </c>
      <c r="X84" t="n" s="11880">
        <v>1.0</v>
      </c>
      <c r="Y84" t="n" s="11881">
        <v>3.0</v>
      </c>
      <c r="Z84" t="n" s="11882">
        <v>4.0</v>
      </c>
      <c r="AA84" s="11883">
        <f>IF(HLOOKUP("KP",A1:CV300,84,FALSE)=0,0,HLOOKUP("As",A1:CV300,84,FALSE)/HLOOKUP("KP",A1:CV300,84,FALSE))</f>
      </c>
      <c r="AB84" t="n" s="11884">
        <v>44.6</v>
      </c>
      <c r="AC84" t="n" s="11885">
        <v>38.0</v>
      </c>
      <c r="AD84" t="n" s="11886">
        <v>2.0</v>
      </c>
      <c r="AE84" t="n" s="11887">
        <v>2.0</v>
      </c>
      <c r="AF84" t="n" s="11888">
        <v>0.0</v>
      </c>
      <c r="AG84" s="11889">
        <f>IF(HLOOKUP("BC",A1:CV300,84,FALSE)=0,0,HLOOKUP("Gs - BC",A1:CV300,84,FALSE)/HLOOKUP("BC",A1:CV300,84,FALSE))</f>
      </c>
      <c r="AH84" s="11890">
        <f>HLOOKUP("BC",A1:CV300,84,FALSE) - HLOOKUP("BC Miss",A1:CV300,84,FALSE)</f>
      </c>
      <c r="AI84" s="11891">
        <f>IF(HLOOKUP("Gs",A1:CV300,84,FALSE)=0,0,HLOOKUP("Gs - BC",A1:CV300,84,FALSE)/HLOOKUP("Gs",A1:CV300,84,FALSE))</f>
      </c>
      <c r="AJ84" t="n" s="11892">
        <v>0.0</v>
      </c>
      <c r="AK84" t="n" s="11893">
        <v>0.0</v>
      </c>
      <c r="AL84" s="11894">
        <f>HLOOKUP("BC",A1:CV300,84,FALSE) - (HLOOKUP("PK Gs",A1:CV300,84,FALSE) + HLOOKUP("PK Miss",A1:CV300,84,FALSE))</f>
      </c>
      <c r="AM84" s="11895">
        <f>HLOOKUP("BC Miss",A1:CV300,84,FALSE) - HLOOKUP("PK Miss",A1:CV300,84,FALSE)</f>
      </c>
      <c r="AN84" s="11896">
        <f>IF(HLOOKUP("BC - Open",A1:CV300,84,FALSE)=0,0,HLOOKUP("BC - Open Miss",A1:CV300,84,FALSE)/HLOOKUP("BC - Open",A1:CV300,84,FALSE))</f>
      </c>
      <c r="AO84" t="n" s="11897">
        <v>2.0</v>
      </c>
      <c r="AP84" s="11898">
        <f>IF(HLOOKUP("Gs",A1:CV300,84,FALSE)=0,0,HLOOKUP("GIB",A1:CV300,84,FALSE)/HLOOKUP("Gs",A1:CV300,84,FALSE))</f>
      </c>
      <c r="AQ84" t="n" s="11899">
        <v>0.0</v>
      </c>
      <c r="AR84" s="11900">
        <f>IF(HLOOKUP("Gs",A1:CV300,84,FALSE)=0,0,HLOOKUP("Gs - Open",A1:CV300,84,FALSE)/HLOOKUP("Gs",A1:CV300,84,FALSE))</f>
      </c>
      <c r="AS84" t="n" s="11901">
        <v>1.14</v>
      </c>
      <c r="AT84" t="n" s="11902">
        <v>1.1</v>
      </c>
      <c r="AU84" s="11903">
        <f>IF(HLOOKUP("Mins",A1:CV300,84,FALSE)=0,0,HLOOKUP("Pts",A1:CV300,84,FALSE)/HLOOKUP("Mins",A1:CV300,84,FALSE)* 90)</f>
      </c>
      <c r="AV84" s="11904">
        <f>IF(HLOOKUP("Apps",A1:CV300,84,FALSE)=0,0,HLOOKUP("Pts",A1:CV300,84,FALSE)/HLOOKUP("Apps",A1:CV300,84,FALSE)* 1)</f>
      </c>
      <c r="AW84" s="11905">
        <f>IF(HLOOKUP("Mins",A1:CV300,84,FALSE)=0,0,HLOOKUP("Gs",A1:CV300,84,FALSE)/HLOOKUP("Mins",A1:CV300,84,FALSE)* 90)</f>
      </c>
      <c r="AX84" s="11906">
        <f>IF(HLOOKUP("Mins",A1:CV300,84,FALSE)=0,0,HLOOKUP("Bonus",A1:CV300,84,FALSE)/HLOOKUP("Mins",A1:CV300,84,FALSE)* 90)</f>
      </c>
      <c r="AY84" s="11907">
        <f>IF(HLOOKUP("Mins",A1:CV300,84,FALSE)=0,0,HLOOKUP("BPS",A1:CV300,84,FALSE)/HLOOKUP("Mins",A1:CV300,84,FALSE)* 90)</f>
      </c>
      <c r="AZ84" s="11908">
        <f>IF(HLOOKUP("Mins",A1:CV300,84,FALSE)=0,0,HLOOKUP("Base BPS",A1:CV300,84,FALSE)/HLOOKUP("Mins",A1:CV300,84,FALSE)* 90)</f>
      </c>
      <c r="BA84" s="11909">
        <f>IF(HLOOKUP("Mins",A1:CV300,84,FALSE)=0,0,HLOOKUP("PenTchs",A1:CV300,84,FALSE)/HLOOKUP("Mins",A1:CV300,84,FALSE)* 90)</f>
      </c>
      <c r="BB84" s="11910">
        <f>IF(HLOOKUP("Mins",A1:CV300,84,FALSE)=0,0,HLOOKUP("Shots",A1:CV300,84,FALSE)/HLOOKUP("Mins",A1:CV300,84,FALSE)* 90)</f>
      </c>
      <c r="BC84" s="11911">
        <f>IF(HLOOKUP("Mins",A1:CV300,84,FALSE)=0,0,HLOOKUP("SIB",A1:CV300,84,FALSE)/HLOOKUP("Mins",A1:CV300,84,FALSE)* 90)</f>
      </c>
      <c r="BD84" s="11912">
        <f>IF(HLOOKUP("Mins",A1:CV300,84,FALSE)=0,0,HLOOKUP("S6YD",A1:CV300,84,FALSE)/HLOOKUP("Mins",A1:CV300,84,FALSE)* 90)</f>
      </c>
      <c r="BE84" s="11913">
        <f>IF(HLOOKUP("Mins",A1:CV300,84,FALSE)=0,0,HLOOKUP("Headers",A1:CV300,84,FALSE)/HLOOKUP("Mins",A1:CV300,84,FALSE)* 90)</f>
      </c>
      <c r="BF84" s="11914">
        <f>IF(HLOOKUP("Mins",A1:CV300,84,FALSE)=0,0,HLOOKUP("SOT",A1:CV300,84,FALSE)/HLOOKUP("Mins",A1:CV300,84,FALSE)* 90)</f>
      </c>
      <c r="BG84" s="11915">
        <f>IF(HLOOKUP("Mins",A1:CV300,84,FALSE)=0,0,HLOOKUP("As",A1:CV300,84,FALSE)/HLOOKUP("Mins",A1:CV300,84,FALSE)* 90)</f>
      </c>
      <c r="BH84" s="11916">
        <f>IF(HLOOKUP("Mins",A1:CV300,84,FALSE)=0,0,HLOOKUP("FPL As",A1:CV300,84,FALSE)/HLOOKUP("Mins",A1:CV300,84,FALSE)* 90)</f>
      </c>
      <c r="BI84" s="11917">
        <f>IF(HLOOKUP("Mins",A1:CV300,84,FALSE)=0,0,HLOOKUP("BC Created",A1:CV300,84,FALSE)/HLOOKUP("Mins",A1:CV300,84,FALSE)* 90)</f>
      </c>
      <c r="BJ84" s="11918">
        <f>IF(HLOOKUP("Mins",A1:CV300,84,FALSE)=0,0,HLOOKUP("KP",A1:CV300,84,FALSE)/HLOOKUP("Mins",A1:CV300,84,FALSE)* 90)</f>
      </c>
      <c r="BK84" s="11919">
        <f>IF(HLOOKUP("Mins",A1:CV300,84,FALSE)=0,0,HLOOKUP("BC",A1:CV300,84,FALSE)/HLOOKUP("Mins",A1:CV300,84,FALSE)* 90)</f>
      </c>
      <c r="BL84" s="11920">
        <f>IF(HLOOKUP("Mins",A1:CV300,84,FALSE)=0,0,HLOOKUP("BC Miss",A1:CV300,84,FALSE)/HLOOKUP("Mins",A1:CV300,84,FALSE)* 90)</f>
      </c>
      <c r="BM84" s="11921">
        <f>IF(HLOOKUP("Mins",A1:CV300,84,FALSE)=0,0,HLOOKUP("Gs - BC",A1:CV300,84,FALSE)/HLOOKUP("Mins",A1:CV300,84,FALSE)* 90)</f>
      </c>
      <c r="BN84" s="11922">
        <f>IF(HLOOKUP("Mins",A1:CV300,84,FALSE)=0,0,HLOOKUP("GIB",A1:CV300,84,FALSE)/HLOOKUP("Mins",A1:CV300,84,FALSE)* 90)</f>
      </c>
      <c r="BO84" s="11923">
        <f>IF(HLOOKUP("Mins",A1:CV300,84,FALSE)=0,0,HLOOKUP("Gs - Open",A1:CV300,84,FALSE)/HLOOKUP("Mins",A1:CV300,84,FALSE)* 90)</f>
      </c>
      <c r="BP84" s="11924">
        <f>IF(HLOOKUP("Mins",A1:CV300,84,FALSE)=0,0,HLOOKUP("ICT Index",A1:CV300,84,FALSE)/HLOOKUP("Mins",A1:CV300,84,FALSE)* 90)</f>
      </c>
      <c r="BQ84" s="11925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</c>
      <c r="BR84" s="11926">
        <f>0.0825*HLOOKUP("KP/90",A1:CV300,84,FALSE)</f>
      </c>
      <c r="BS84" s="11927">
        <f>6*HLOOKUP("xG/90",A1:CV300,84,FALSE)+3*HLOOKUP("xA/90",A1:CV300,84,FALSE)</f>
      </c>
      <c r="BT84" s="11928">
        <f>HLOOKUP("xPts/90",A1:CV300,84,FALSE)-(6*0.75*(HLOOKUP("PK Gs",A1:CV300,84,FALSE)+HLOOKUP("PK Miss",A1:CV300,84,FALSE))*90/HLOOKUP("Mins",A1:CV300,84,FALSE))</f>
      </c>
      <c r="BU84" s="11929">
        <f>IF(HLOOKUP("Mins",A1:CV300,84,FALSE)=0,0,HLOOKUP("fsXG",A1:CV300,84,FALSE)/HLOOKUP("Mins",A1:CV300,84,FALSE)* 90)</f>
      </c>
      <c r="BV84" s="11930">
        <f>IF(HLOOKUP("Mins",A1:CV300,84,FALSE)=0,0,HLOOKUP("fsXA",A1:CV300,84,FALSE)/HLOOKUP("Mins",A1:CV300,84,FALSE)* 90)</f>
      </c>
      <c r="BW84" s="11931">
        <f>6*HLOOKUP("fsXG/90",A1:CV300,84,FALSE)+3*HLOOKUP("fsXA/90",A1:CV300,84,FALSE)</f>
      </c>
      <c r="BX84" t="n" s="11932">
        <v>0.2503519654273987</v>
      </c>
      <c r="BY84" t="n" s="11933">
        <v>0.25004538893699646</v>
      </c>
      <c r="BZ84" s="11934">
        <f>6*HLOOKUP("uXG/90",A1:CV300,84,FALSE)+3*HLOOKUP("uXA/90",A1:CV300,84,FALSE)</f>
      </c>
    </row>
    <row r="85">
      <c r="A85" t="s" s="11935">
        <v>250</v>
      </c>
      <c r="B85" t="s" s="11936">
        <v>116</v>
      </c>
      <c r="C85" t="n" s="11937">
        <v>4.199999809265137</v>
      </c>
      <c r="D85" t="n" s="11938">
        <v>60.0</v>
      </c>
      <c r="E85" t="n" s="11939">
        <v>1.0</v>
      </c>
      <c r="F85" t="n" s="11940">
        <v>29.0</v>
      </c>
      <c r="G85" t="n" s="11941">
        <v>0.0</v>
      </c>
      <c r="H85" t="n" s="11942">
        <v>0.0</v>
      </c>
      <c r="I85" t="n" s="11943">
        <v>231.0</v>
      </c>
      <c r="J85" s="11944">
        <f>HLOOKUP("BPS",A1:CV300,85,FALSE)-((-6*HLOOKUP("OG",A1:CV300,85,FALSE))+(-6*HLOOKUP("PK Miss",A1:CV300,85,FALSE))+(9*HLOOKUP("FPL As",A1:CV300,85,FALSE))+(12*HLOOKUP("CS",A1:CV300,85,FALSE))+(12*HLOOKUP("Gs",A1:CV300,85,FALSE)))</f>
      </c>
      <c r="K85" t="n" s="11945">
        <v>0.0</v>
      </c>
      <c r="L85" t="n" s="11946">
        <v>3.0</v>
      </c>
      <c r="M85" t="n" s="11947">
        <v>1.0</v>
      </c>
      <c r="N85" t="n" s="11948">
        <v>0.0</v>
      </c>
      <c r="O85" t="n" s="11949">
        <v>0.0</v>
      </c>
      <c r="P85" s="11950">
        <f>IF(HLOOKUP("Shots",A1:CV300,85,FALSE)=0,0,HLOOKUP("SIB",A1:CV300,85,FALSE)/HLOOKUP("Shots",A1:CV300,85,FALSE))</f>
      </c>
      <c r="Q85" t="n" s="11951">
        <v>0.0</v>
      </c>
      <c r="R85" s="11952">
        <f>IF(HLOOKUP("Shots",A1:CV300,85,FALSE)=0,0,HLOOKUP("S6YD",A1:CV300,85,FALSE)/HLOOKUP("Shots",A1:CV300,85,FALSE))</f>
      </c>
      <c r="S85" t="n" s="11953">
        <v>0.0</v>
      </c>
      <c r="T85" s="11954">
        <f>IF(HLOOKUP("Shots",A1:CV300,85,FALSE)=0,0,HLOOKUP("Headers",A1:CV300,85,FALSE)/HLOOKUP("Shots",A1:CV300,85,FALSE))</f>
      </c>
      <c r="U85" t="n" s="11955">
        <v>0.0</v>
      </c>
      <c r="V85" s="11956">
        <f>IF(HLOOKUP("Shots",A1:CV300,85,FALSE)=0,0,HLOOKUP("SOT",A1:CV300,85,FALSE)/HLOOKUP("Shots",A1:CV300,85,FALSE))</f>
      </c>
      <c r="W85" s="11957">
        <f>IF(HLOOKUP("Shots",A1:CV300,85,FALSE)=0,0,HLOOKUP("Gs",A1:CV300,85,FALSE)/HLOOKUP("Shots",A1:CV300,85,FALSE))</f>
      </c>
      <c r="X85" t="n" s="11958">
        <v>0.0</v>
      </c>
      <c r="Y85" t="n" s="11959">
        <v>0.0</v>
      </c>
      <c r="Z85" t="n" s="11960">
        <v>0.0</v>
      </c>
      <c r="AA85" s="11961">
        <f>IF(HLOOKUP("KP",A1:CV300,85,FALSE)=0,0,HLOOKUP("As",A1:CV300,85,FALSE)/HLOOKUP("KP",A1:CV300,85,FALSE))</f>
      </c>
      <c r="AB85" t="n" s="11962">
        <v>1.3</v>
      </c>
      <c r="AC85" t="n" s="11963">
        <v>0.0</v>
      </c>
      <c r="AD85" t="n" s="11964">
        <v>0.0</v>
      </c>
      <c r="AE85" t="n" s="11965">
        <v>0.0</v>
      </c>
      <c r="AF85" t="n" s="11966">
        <v>0.0</v>
      </c>
      <c r="AG85" s="11967">
        <f>IF(HLOOKUP("BC",A1:CV300,85,FALSE)=0,0,HLOOKUP("Gs - BC",A1:CV300,85,FALSE)/HLOOKUP("BC",A1:CV300,85,FALSE))</f>
      </c>
      <c r="AH85" s="11968">
        <f>HLOOKUP("BC",A1:CV300,85,FALSE) - HLOOKUP("BC Miss",A1:CV300,85,FALSE)</f>
      </c>
      <c r="AI85" s="11969">
        <f>IF(HLOOKUP("Gs",A1:CV300,85,FALSE)=0,0,HLOOKUP("Gs - BC",A1:CV300,85,FALSE)/HLOOKUP("Gs",A1:CV300,85,FALSE))</f>
      </c>
      <c r="AJ85" t="n" s="11970">
        <v>0.0</v>
      </c>
      <c r="AK85" t="n" s="11971">
        <v>0.0</v>
      </c>
      <c r="AL85" s="11972">
        <f>HLOOKUP("BC",A1:CV300,85,FALSE) - (HLOOKUP("PK Gs",A1:CV300,85,FALSE) + HLOOKUP("PK Miss",A1:CV300,85,FALSE))</f>
      </c>
      <c r="AM85" s="11973">
        <f>HLOOKUP("BC Miss",A1:CV300,85,FALSE) - HLOOKUP("PK Miss",A1:CV300,85,FALSE)</f>
      </c>
      <c r="AN85" s="11974">
        <f>IF(HLOOKUP("BC - Open",A1:CV300,85,FALSE)=0,0,HLOOKUP("BC - Open Miss",A1:CV300,85,FALSE)/HLOOKUP("BC - Open",A1:CV300,85,FALSE))</f>
      </c>
      <c r="AO85" t="n" s="11975">
        <v>0.0</v>
      </c>
      <c r="AP85" s="11976">
        <f>IF(HLOOKUP("Gs",A1:CV300,85,FALSE)=0,0,HLOOKUP("GIB",A1:CV300,85,FALSE)/HLOOKUP("Gs",A1:CV300,85,FALSE))</f>
      </c>
      <c r="AQ85" t="n" s="11977">
        <v>0.0</v>
      </c>
      <c r="AR85" s="11978">
        <f>IF(HLOOKUP("Gs",A1:CV300,85,FALSE)=0,0,HLOOKUP("Gs - Open",A1:CV300,85,FALSE)/HLOOKUP("Gs",A1:CV300,85,FALSE))</f>
      </c>
      <c r="AS85" t="n" s="11979">
        <v>0.0</v>
      </c>
      <c r="AT85" t="n" s="11980">
        <v>0.03</v>
      </c>
      <c r="AU85" s="11981">
        <f>IF(HLOOKUP("Mins",A1:CV300,85,FALSE)=0,0,HLOOKUP("Pts",A1:CV300,85,FALSE)/HLOOKUP("Mins",A1:CV300,85,FALSE)* 90)</f>
      </c>
      <c r="AV85" s="11982">
        <f>IF(HLOOKUP("Apps",A1:CV300,85,FALSE)=0,0,HLOOKUP("Pts",A1:CV300,85,FALSE)/HLOOKUP("Apps",A1:CV300,85,FALSE)* 1)</f>
      </c>
      <c r="AW85" s="11983">
        <f>IF(HLOOKUP("Mins",A1:CV300,85,FALSE)=0,0,HLOOKUP("Gs",A1:CV300,85,FALSE)/HLOOKUP("Mins",A1:CV300,85,FALSE)* 90)</f>
      </c>
      <c r="AX85" s="11984">
        <f>IF(HLOOKUP("Mins",A1:CV300,85,FALSE)=0,0,HLOOKUP("Bonus",A1:CV300,85,FALSE)/HLOOKUP("Mins",A1:CV300,85,FALSE)* 90)</f>
      </c>
      <c r="AY85" s="11985">
        <f>IF(HLOOKUP("Mins",A1:CV300,85,FALSE)=0,0,HLOOKUP("BPS",A1:CV300,85,FALSE)/HLOOKUP("Mins",A1:CV300,85,FALSE)* 90)</f>
      </c>
      <c r="AZ85" s="11986">
        <f>IF(HLOOKUP("Mins",A1:CV300,85,FALSE)=0,0,HLOOKUP("Base BPS",A1:CV300,85,FALSE)/HLOOKUP("Mins",A1:CV300,85,FALSE)* 90)</f>
      </c>
      <c r="BA85" s="11987">
        <f>IF(HLOOKUP("Mins",A1:CV300,85,FALSE)=0,0,HLOOKUP("PenTchs",A1:CV300,85,FALSE)/HLOOKUP("Mins",A1:CV300,85,FALSE)* 90)</f>
      </c>
      <c r="BB85" s="11988">
        <f>IF(HLOOKUP("Mins",A1:CV300,85,FALSE)=0,0,HLOOKUP("Shots",A1:CV300,85,FALSE)/HLOOKUP("Mins",A1:CV300,85,FALSE)* 90)</f>
      </c>
      <c r="BC85" s="11989">
        <f>IF(HLOOKUP("Mins",A1:CV300,85,FALSE)=0,0,HLOOKUP("SIB",A1:CV300,85,FALSE)/HLOOKUP("Mins",A1:CV300,85,FALSE)* 90)</f>
      </c>
      <c r="BD85" s="11990">
        <f>IF(HLOOKUP("Mins",A1:CV300,85,FALSE)=0,0,HLOOKUP("S6YD",A1:CV300,85,FALSE)/HLOOKUP("Mins",A1:CV300,85,FALSE)* 90)</f>
      </c>
      <c r="BE85" s="11991">
        <f>IF(HLOOKUP("Mins",A1:CV300,85,FALSE)=0,0,HLOOKUP("Headers",A1:CV300,85,FALSE)/HLOOKUP("Mins",A1:CV300,85,FALSE)* 90)</f>
      </c>
      <c r="BF85" s="11992">
        <f>IF(HLOOKUP("Mins",A1:CV300,85,FALSE)=0,0,HLOOKUP("SOT",A1:CV300,85,FALSE)/HLOOKUP("Mins",A1:CV300,85,FALSE)* 90)</f>
      </c>
      <c r="BG85" s="11993">
        <f>IF(HLOOKUP("Mins",A1:CV300,85,FALSE)=0,0,HLOOKUP("As",A1:CV300,85,FALSE)/HLOOKUP("Mins",A1:CV300,85,FALSE)* 90)</f>
      </c>
      <c r="BH85" s="11994">
        <f>IF(HLOOKUP("Mins",A1:CV300,85,FALSE)=0,0,HLOOKUP("FPL As",A1:CV300,85,FALSE)/HLOOKUP("Mins",A1:CV300,85,FALSE)* 90)</f>
      </c>
      <c r="BI85" s="11995">
        <f>IF(HLOOKUP("Mins",A1:CV300,85,FALSE)=0,0,HLOOKUP("BC Created",A1:CV300,85,FALSE)/HLOOKUP("Mins",A1:CV300,85,FALSE)* 90)</f>
      </c>
      <c r="BJ85" s="11996">
        <f>IF(HLOOKUP("Mins",A1:CV300,85,FALSE)=0,0,HLOOKUP("KP",A1:CV300,85,FALSE)/HLOOKUP("Mins",A1:CV300,85,FALSE)* 90)</f>
      </c>
      <c r="BK85" s="11997">
        <f>IF(HLOOKUP("Mins",A1:CV300,85,FALSE)=0,0,HLOOKUP("BC",A1:CV300,85,FALSE)/HLOOKUP("Mins",A1:CV300,85,FALSE)* 90)</f>
      </c>
      <c r="BL85" s="11998">
        <f>IF(HLOOKUP("Mins",A1:CV300,85,FALSE)=0,0,HLOOKUP("BC Miss",A1:CV300,85,FALSE)/HLOOKUP("Mins",A1:CV300,85,FALSE)* 90)</f>
      </c>
      <c r="BM85" s="11999">
        <f>IF(HLOOKUP("Mins",A1:CV300,85,FALSE)=0,0,HLOOKUP("Gs - BC",A1:CV300,85,FALSE)/HLOOKUP("Mins",A1:CV300,85,FALSE)* 90)</f>
      </c>
      <c r="BN85" s="12000">
        <f>IF(HLOOKUP("Mins",A1:CV300,85,FALSE)=0,0,HLOOKUP("GIB",A1:CV300,85,FALSE)/HLOOKUP("Mins",A1:CV300,85,FALSE)* 90)</f>
      </c>
      <c r="BO85" s="12001">
        <f>IF(HLOOKUP("Mins",A1:CV300,85,FALSE)=0,0,HLOOKUP("Gs - Open",A1:CV300,85,FALSE)/HLOOKUP("Mins",A1:CV300,85,FALSE)* 90)</f>
      </c>
      <c r="BP85" s="12002">
        <f>IF(HLOOKUP("Mins",A1:CV300,85,FALSE)=0,0,HLOOKUP("ICT Index",A1:CV300,85,FALSE)/HLOOKUP("Mins",A1:CV300,85,FALSE)* 90)</f>
      </c>
      <c r="BQ85" s="12003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</c>
      <c r="BR85" s="12004">
        <f>0.0825*HLOOKUP("KP/90",A1:CV300,85,FALSE)</f>
      </c>
      <c r="BS85" s="12005">
        <f>6*HLOOKUP("xG/90",A1:CV300,85,FALSE)+3*HLOOKUP("xA/90",A1:CV300,85,FALSE)</f>
      </c>
      <c r="BT85" s="12006">
        <f>HLOOKUP("xPts/90",A1:CV300,85,FALSE)-(6*0.75*(HLOOKUP("PK Gs",A1:CV300,85,FALSE)+HLOOKUP("PK Miss",A1:CV300,85,FALSE))*90/HLOOKUP("Mins",A1:CV300,85,FALSE))</f>
      </c>
      <c r="BU85" s="12007">
        <f>IF(HLOOKUP("Mins",A1:CV300,85,FALSE)=0,0,HLOOKUP("fsXG",A1:CV300,85,FALSE)/HLOOKUP("Mins",A1:CV300,85,FALSE)* 90)</f>
      </c>
      <c r="BV85" s="12008">
        <f>IF(HLOOKUP("Mins",A1:CV300,85,FALSE)=0,0,HLOOKUP("fsXA",A1:CV300,85,FALSE)/HLOOKUP("Mins",A1:CV300,85,FALSE)* 90)</f>
      </c>
      <c r="BW85" s="12009">
        <f>6*HLOOKUP("fsXG/90",A1:CV300,85,FALSE)+3*HLOOKUP("fsXA/90",A1:CV300,85,FALSE)</f>
      </c>
      <c r="BX85" t="n" s="12010">
        <v>0.0</v>
      </c>
      <c r="BY85" t="n" s="12011">
        <v>0.0</v>
      </c>
      <c r="BZ85" s="12012">
        <f>6*HLOOKUP("uXG/90",A1:CV300,85,FALSE)+3*HLOOKUP("uXA/90",A1:CV300,85,FALSE)</f>
      </c>
    </row>
    <row r="86">
      <c r="A86" t="s" s="12013">
        <v>251</v>
      </c>
      <c r="B86" t="s" s="12014">
        <v>116</v>
      </c>
      <c r="C86" t="n" s="12015">
        <v>4.800000190734863</v>
      </c>
      <c r="D86" t="n" s="12016">
        <v>360.0</v>
      </c>
      <c r="E86" t="n" s="12017">
        <v>4.0</v>
      </c>
      <c r="F86" t="n" s="12018">
        <v>36.0</v>
      </c>
      <c r="G86" t="n" s="12019">
        <v>0.0</v>
      </c>
      <c r="H86" t="n" s="12020">
        <v>0.0</v>
      </c>
      <c r="I86" t="n" s="12021">
        <v>222.0</v>
      </c>
      <c r="J86" s="12022">
        <f>HLOOKUP("BPS",A1:CV300,86,FALSE)-((-6*HLOOKUP("OG",A1:CV300,86,FALSE))+(-6*HLOOKUP("PK Miss",A1:CV300,86,FALSE))+(9*HLOOKUP("FPL As",A1:CV300,86,FALSE))+(12*HLOOKUP("CS",A1:CV300,86,FALSE))+(12*HLOOKUP("Gs",A1:CV300,86,FALSE)))</f>
      </c>
      <c r="K86" t="n" s="12023">
        <v>0.0</v>
      </c>
      <c r="L86" t="n" s="12024">
        <v>4.0</v>
      </c>
      <c r="M86" t="n" s="12025">
        <v>1.0</v>
      </c>
      <c r="N86" t="n" s="12026">
        <v>0.0</v>
      </c>
      <c r="O86" t="n" s="12027">
        <v>0.0</v>
      </c>
      <c r="P86" s="12028">
        <f>IF(HLOOKUP("Shots",A1:CV300,86,FALSE)=0,0,HLOOKUP("SIB",A1:CV300,86,FALSE)/HLOOKUP("Shots",A1:CV300,86,FALSE))</f>
      </c>
      <c r="Q86" t="n" s="12029">
        <v>0.0</v>
      </c>
      <c r="R86" s="12030">
        <f>IF(HLOOKUP("Shots",A1:CV300,86,FALSE)=0,0,HLOOKUP("S6YD",A1:CV300,86,FALSE)/HLOOKUP("Shots",A1:CV300,86,FALSE))</f>
      </c>
      <c r="S86" t="n" s="12031">
        <v>0.0</v>
      </c>
      <c r="T86" s="12032">
        <f>IF(HLOOKUP("Shots",A1:CV300,86,FALSE)=0,0,HLOOKUP("Headers",A1:CV300,86,FALSE)/HLOOKUP("Shots",A1:CV300,86,FALSE))</f>
      </c>
      <c r="U86" t="n" s="12033">
        <v>0.0</v>
      </c>
      <c r="V86" s="12034">
        <f>IF(HLOOKUP("Shots",A1:CV300,86,FALSE)=0,0,HLOOKUP("SOT",A1:CV300,86,FALSE)/HLOOKUP("Shots",A1:CV300,86,FALSE))</f>
      </c>
      <c r="W86" s="12035">
        <f>IF(HLOOKUP("Shots",A1:CV300,86,FALSE)=0,0,HLOOKUP("Gs",A1:CV300,86,FALSE)/HLOOKUP("Shots",A1:CV300,86,FALSE))</f>
      </c>
      <c r="X86" t="n" s="12036">
        <v>0.0</v>
      </c>
      <c r="Y86" t="n" s="12037">
        <v>0.0</v>
      </c>
      <c r="Z86" t="n" s="12038">
        <v>0.0</v>
      </c>
      <c r="AA86" s="12039">
        <f>IF(HLOOKUP("KP",A1:CV300,86,FALSE)=0,0,HLOOKUP("As",A1:CV300,86,FALSE)/HLOOKUP("KP",A1:CV300,86,FALSE))</f>
      </c>
      <c r="AB86" t="n" s="12040">
        <v>7.2</v>
      </c>
      <c r="AC86" t="n" s="12041">
        <v>0.0</v>
      </c>
      <c r="AD86" t="n" s="12042">
        <v>0.0</v>
      </c>
      <c r="AE86" t="n" s="12043">
        <v>0.0</v>
      </c>
      <c r="AF86" t="n" s="12044">
        <v>0.0</v>
      </c>
      <c r="AG86" s="12045">
        <f>IF(HLOOKUP("BC",A1:CV300,86,FALSE)=0,0,HLOOKUP("Gs - BC",A1:CV300,86,FALSE)/HLOOKUP("BC",A1:CV300,86,FALSE))</f>
      </c>
      <c r="AH86" s="12046">
        <f>HLOOKUP("BC",A1:CV300,86,FALSE) - HLOOKUP("BC Miss",A1:CV300,86,FALSE)</f>
      </c>
      <c r="AI86" s="12047">
        <f>IF(HLOOKUP("Gs",A1:CV300,86,FALSE)=0,0,HLOOKUP("Gs - BC",A1:CV300,86,FALSE)/HLOOKUP("Gs",A1:CV300,86,FALSE))</f>
      </c>
      <c r="AJ86" t="n" s="12048">
        <v>0.0</v>
      </c>
      <c r="AK86" t="n" s="12049">
        <v>0.0</v>
      </c>
      <c r="AL86" s="12050">
        <f>HLOOKUP("BC",A1:CV300,86,FALSE) - (HLOOKUP("PK Gs",A1:CV300,86,FALSE) + HLOOKUP("PK Miss",A1:CV300,86,FALSE))</f>
      </c>
      <c r="AM86" s="12051">
        <f>HLOOKUP("BC Miss",A1:CV300,86,FALSE) - HLOOKUP("PK Miss",A1:CV300,86,FALSE)</f>
      </c>
      <c r="AN86" s="12052">
        <f>IF(HLOOKUP("BC - Open",A1:CV300,86,FALSE)=0,0,HLOOKUP("BC - Open Miss",A1:CV300,86,FALSE)/HLOOKUP("BC - Open",A1:CV300,86,FALSE))</f>
      </c>
      <c r="AO86" t="n" s="12053">
        <v>0.0</v>
      </c>
      <c r="AP86" s="12054">
        <f>IF(HLOOKUP("Gs",A1:CV300,86,FALSE)=0,0,HLOOKUP("GIB",A1:CV300,86,FALSE)/HLOOKUP("Gs",A1:CV300,86,FALSE))</f>
      </c>
      <c r="AQ86" t="n" s="12055">
        <v>0.0</v>
      </c>
      <c r="AR86" s="12056">
        <f>IF(HLOOKUP("Gs",A1:CV300,86,FALSE)=0,0,HLOOKUP("Gs - Open",A1:CV300,86,FALSE)/HLOOKUP("Gs",A1:CV300,86,FALSE))</f>
      </c>
      <c r="AS86" t="n" s="12057">
        <v>0.0</v>
      </c>
      <c r="AT86" t="n" s="12058">
        <v>0.01</v>
      </c>
      <c r="AU86" s="12059">
        <f>IF(HLOOKUP("Mins",A1:CV300,86,FALSE)=0,0,HLOOKUP("Pts",A1:CV300,86,FALSE)/HLOOKUP("Mins",A1:CV300,86,FALSE)* 90)</f>
      </c>
      <c r="AV86" s="12060">
        <f>IF(HLOOKUP("Apps",A1:CV300,86,FALSE)=0,0,HLOOKUP("Pts",A1:CV300,86,FALSE)/HLOOKUP("Apps",A1:CV300,86,FALSE)* 1)</f>
      </c>
      <c r="AW86" s="12061">
        <f>IF(HLOOKUP("Mins",A1:CV300,86,FALSE)=0,0,HLOOKUP("Gs",A1:CV300,86,FALSE)/HLOOKUP("Mins",A1:CV300,86,FALSE)* 90)</f>
      </c>
      <c r="AX86" s="12062">
        <f>IF(HLOOKUP("Mins",A1:CV300,86,FALSE)=0,0,HLOOKUP("Bonus",A1:CV300,86,FALSE)/HLOOKUP("Mins",A1:CV300,86,FALSE)* 90)</f>
      </c>
      <c r="AY86" s="12063">
        <f>IF(HLOOKUP("Mins",A1:CV300,86,FALSE)=0,0,HLOOKUP("BPS",A1:CV300,86,FALSE)/HLOOKUP("Mins",A1:CV300,86,FALSE)* 90)</f>
      </c>
      <c r="AZ86" s="12064">
        <f>IF(HLOOKUP("Mins",A1:CV300,86,FALSE)=0,0,HLOOKUP("Base BPS",A1:CV300,86,FALSE)/HLOOKUP("Mins",A1:CV300,86,FALSE)* 90)</f>
      </c>
      <c r="BA86" s="12065">
        <f>IF(HLOOKUP("Mins",A1:CV300,86,FALSE)=0,0,HLOOKUP("PenTchs",A1:CV300,86,FALSE)/HLOOKUP("Mins",A1:CV300,86,FALSE)* 90)</f>
      </c>
      <c r="BB86" s="12066">
        <f>IF(HLOOKUP("Mins",A1:CV300,86,FALSE)=0,0,HLOOKUP("Shots",A1:CV300,86,FALSE)/HLOOKUP("Mins",A1:CV300,86,FALSE)* 90)</f>
      </c>
      <c r="BC86" s="12067">
        <f>IF(HLOOKUP("Mins",A1:CV300,86,FALSE)=0,0,HLOOKUP("SIB",A1:CV300,86,FALSE)/HLOOKUP("Mins",A1:CV300,86,FALSE)* 90)</f>
      </c>
      <c r="BD86" s="12068">
        <f>IF(HLOOKUP("Mins",A1:CV300,86,FALSE)=0,0,HLOOKUP("S6YD",A1:CV300,86,FALSE)/HLOOKUP("Mins",A1:CV300,86,FALSE)* 90)</f>
      </c>
      <c r="BE86" s="12069">
        <f>IF(HLOOKUP("Mins",A1:CV300,86,FALSE)=0,0,HLOOKUP("Headers",A1:CV300,86,FALSE)/HLOOKUP("Mins",A1:CV300,86,FALSE)* 90)</f>
      </c>
      <c r="BF86" s="12070">
        <f>IF(HLOOKUP("Mins",A1:CV300,86,FALSE)=0,0,HLOOKUP("SOT",A1:CV300,86,FALSE)/HLOOKUP("Mins",A1:CV300,86,FALSE)* 90)</f>
      </c>
      <c r="BG86" s="12071">
        <f>IF(HLOOKUP("Mins",A1:CV300,86,FALSE)=0,0,HLOOKUP("As",A1:CV300,86,FALSE)/HLOOKUP("Mins",A1:CV300,86,FALSE)* 90)</f>
      </c>
      <c r="BH86" s="12072">
        <f>IF(HLOOKUP("Mins",A1:CV300,86,FALSE)=0,0,HLOOKUP("FPL As",A1:CV300,86,FALSE)/HLOOKUP("Mins",A1:CV300,86,FALSE)* 90)</f>
      </c>
      <c r="BI86" s="12073">
        <f>IF(HLOOKUP("Mins",A1:CV300,86,FALSE)=0,0,HLOOKUP("BC Created",A1:CV300,86,FALSE)/HLOOKUP("Mins",A1:CV300,86,FALSE)* 90)</f>
      </c>
      <c r="BJ86" s="12074">
        <f>IF(HLOOKUP("Mins",A1:CV300,86,FALSE)=0,0,HLOOKUP("KP",A1:CV300,86,FALSE)/HLOOKUP("Mins",A1:CV300,86,FALSE)* 90)</f>
      </c>
      <c r="BK86" s="12075">
        <f>IF(HLOOKUP("Mins",A1:CV300,86,FALSE)=0,0,HLOOKUP("BC",A1:CV300,86,FALSE)/HLOOKUP("Mins",A1:CV300,86,FALSE)* 90)</f>
      </c>
      <c r="BL86" s="12076">
        <f>IF(HLOOKUP("Mins",A1:CV300,86,FALSE)=0,0,HLOOKUP("BC Miss",A1:CV300,86,FALSE)/HLOOKUP("Mins",A1:CV300,86,FALSE)* 90)</f>
      </c>
      <c r="BM86" s="12077">
        <f>IF(HLOOKUP("Mins",A1:CV300,86,FALSE)=0,0,HLOOKUP("Gs - BC",A1:CV300,86,FALSE)/HLOOKUP("Mins",A1:CV300,86,FALSE)* 90)</f>
      </c>
      <c r="BN86" s="12078">
        <f>IF(HLOOKUP("Mins",A1:CV300,86,FALSE)=0,0,HLOOKUP("GIB",A1:CV300,86,FALSE)/HLOOKUP("Mins",A1:CV300,86,FALSE)* 90)</f>
      </c>
      <c r="BO86" s="12079">
        <f>IF(HLOOKUP("Mins",A1:CV300,86,FALSE)=0,0,HLOOKUP("Gs - Open",A1:CV300,86,FALSE)/HLOOKUP("Mins",A1:CV300,86,FALSE)* 90)</f>
      </c>
      <c r="BP86" s="12080">
        <f>IF(HLOOKUP("Mins",A1:CV300,86,FALSE)=0,0,HLOOKUP("ICT Index",A1:CV300,86,FALSE)/HLOOKUP("Mins",A1:CV300,86,FALSE)* 90)</f>
      </c>
      <c r="BQ86" s="12081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</c>
      <c r="BR86" s="12082">
        <f>0.0825*HLOOKUP("KP/90",A1:CV300,86,FALSE)</f>
      </c>
      <c r="BS86" s="12083">
        <f>6*HLOOKUP("xG/90",A1:CV300,86,FALSE)+3*HLOOKUP("xA/90",A1:CV300,86,FALSE)</f>
      </c>
      <c r="BT86" s="12084">
        <f>HLOOKUP("xPts/90",A1:CV300,86,FALSE)-(6*0.75*(HLOOKUP("PK Gs",A1:CV300,86,FALSE)+HLOOKUP("PK Miss",A1:CV300,86,FALSE))*90/HLOOKUP("Mins",A1:CV300,86,FALSE))</f>
      </c>
      <c r="BU86" s="12085">
        <f>IF(HLOOKUP("Mins",A1:CV300,86,FALSE)=0,0,HLOOKUP("fsXG",A1:CV300,86,FALSE)/HLOOKUP("Mins",A1:CV300,86,FALSE)* 90)</f>
      </c>
      <c r="BV86" s="12086">
        <f>IF(HLOOKUP("Mins",A1:CV300,86,FALSE)=0,0,HLOOKUP("fsXA",A1:CV300,86,FALSE)/HLOOKUP("Mins",A1:CV300,86,FALSE)* 90)</f>
      </c>
      <c r="BW86" s="12087">
        <f>6*HLOOKUP("fsXG/90",A1:CV300,86,FALSE)+3*HLOOKUP("fsXA/90",A1:CV300,86,FALSE)</f>
      </c>
      <c r="BX86" t="n" s="12088">
        <v>0.0</v>
      </c>
      <c r="BY86" t="n" s="12089">
        <v>0.0</v>
      </c>
      <c r="BZ86" s="12090">
        <f>6*HLOOKUP("uXG/90",A1:CV300,86,FALSE)+3*HLOOKUP("uXA/90",A1:CV300,86,FALSE)</f>
      </c>
    </row>
    <row r="87">
      <c r="A87" t="s" s="12091">
        <v>252</v>
      </c>
      <c r="B87" t="s" s="12092">
        <v>95</v>
      </c>
      <c r="C87" t="n" s="12093">
        <v>4.099999904632568</v>
      </c>
      <c r="D87" t="n" s="12094">
        <v>270.0</v>
      </c>
      <c r="E87" t="n" s="12095">
        <v>3.0</v>
      </c>
      <c r="F87" t="n" s="12096">
        <v>13.0</v>
      </c>
      <c r="G87" t="n" s="12097">
        <v>0.0</v>
      </c>
      <c r="H87" t="n" s="12098">
        <v>0.0</v>
      </c>
      <c r="I87" t="n" s="12099">
        <v>66.0</v>
      </c>
      <c r="J87" s="12100">
        <f>HLOOKUP("BPS",A1:CV300,87,FALSE)-((-6*HLOOKUP("OG",A1:CV300,87,FALSE))+(-6*HLOOKUP("PK Miss",A1:CV300,87,FALSE))+(9*HLOOKUP("FPL As",A1:CV300,87,FALSE))+(12*HLOOKUP("CS",A1:CV300,87,FALSE))+(12*HLOOKUP("Gs",A1:CV300,87,FALSE)))</f>
      </c>
      <c r="K87" t="n" s="12101">
        <v>0.0</v>
      </c>
      <c r="L87" t="n" s="12102">
        <v>2.0</v>
      </c>
      <c r="M87" t="n" s="12103">
        <v>1.0</v>
      </c>
      <c r="N87" t="n" s="12104">
        <v>1.0</v>
      </c>
      <c r="O87" t="n" s="12105">
        <v>0.0</v>
      </c>
      <c r="P87" s="12106">
        <f>IF(HLOOKUP("Shots",A1:CV300,87,FALSE)=0,0,HLOOKUP("SIB",A1:CV300,87,FALSE)/HLOOKUP("Shots",A1:CV300,87,FALSE))</f>
      </c>
      <c r="Q87" t="n" s="12107">
        <v>0.0</v>
      </c>
      <c r="R87" s="12108">
        <f>IF(HLOOKUP("Shots",A1:CV300,87,FALSE)=0,0,HLOOKUP("S6YD",A1:CV300,87,FALSE)/HLOOKUP("Shots",A1:CV300,87,FALSE))</f>
      </c>
      <c r="S87" t="n" s="12109">
        <v>0.0</v>
      </c>
      <c r="T87" s="12110">
        <f>IF(HLOOKUP("Shots",A1:CV300,87,FALSE)=0,0,HLOOKUP("Headers",A1:CV300,87,FALSE)/HLOOKUP("Shots",A1:CV300,87,FALSE))</f>
      </c>
      <c r="U87" t="n" s="12111">
        <v>1.0</v>
      </c>
      <c r="V87" s="12112">
        <f>IF(HLOOKUP("Shots",A1:CV300,87,FALSE)=0,0,HLOOKUP("SOT",A1:CV300,87,FALSE)/HLOOKUP("Shots",A1:CV300,87,FALSE))</f>
      </c>
      <c r="W87" s="12113">
        <f>IF(HLOOKUP("Shots",A1:CV300,87,FALSE)=0,0,HLOOKUP("Gs",A1:CV300,87,FALSE)/HLOOKUP("Shots",A1:CV300,87,FALSE))</f>
      </c>
      <c r="X87" t="n" s="12114">
        <v>0.0</v>
      </c>
      <c r="Y87" t="n" s="12115">
        <v>0.0</v>
      </c>
      <c r="Z87" t="n" s="12116">
        <v>0.0</v>
      </c>
      <c r="AA87" s="12117">
        <f>IF(HLOOKUP("KP",A1:CV300,87,FALSE)=0,0,HLOOKUP("As",A1:CV300,87,FALSE)/HLOOKUP("KP",A1:CV300,87,FALSE))</f>
      </c>
      <c r="AB87" t="n" s="12118">
        <v>9.6</v>
      </c>
      <c r="AC87" t="n" s="12119">
        <v>0.0</v>
      </c>
      <c r="AD87" t="n" s="12120">
        <v>0.0</v>
      </c>
      <c r="AE87" t="n" s="12121">
        <v>0.0</v>
      </c>
      <c r="AF87" t="n" s="12122">
        <v>0.0</v>
      </c>
      <c r="AG87" s="12123">
        <f>IF(HLOOKUP("BC",A1:CV300,87,FALSE)=0,0,HLOOKUP("Gs - BC",A1:CV300,87,FALSE)/HLOOKUP("BC",A1:CV300,87,FALSE))</f>
      </c>
      <c r="AH87" s="12124">
        <f>HLOOKUP("BC",A1:CV300,87,FALSE) - HLOOKUP("BC Miss",A1:CV300,87,FALSE)</f>
      </c>
      <c r="AI87" s="12125">
        <f>IF(HLOOKUP("Gs",A1:CV300,87,FALSE)=0,0,HLOOKUP("Gs - BC",A1:CV300,87,FALSE)/HLOOKUP("Gs",A1:CV300,87,FALSE))</f>
      </c>
      <c r="AJ87" t="n" s="12126">
        <v>0.0</v>
      </c>
      <c r="AK87" t="n" s="12127">
        <v>0.0</v>
      </c>
      <c r="AL87" s="12128">
        <f>HLOOKUP("BC",A1:CV300,87,FALSE) - (HLOOKUP("PK Gs",A1:CV300,87,FALSE) + HLOOKUP("PK Miss",A1:CV300,87,FALSE))</f>
      </c>
      <c r="AM87" s="12129">
        <f>HLOOKUP("BC Miss",A1:CV300,87,FALSE) - HLOOKUP("PK Miss",A1:CV300,87,FALSE)</f>
      </c>
      <c r="AN87" s="12130">
        <f>IF(HLOOKUP("BC - Open",A1:CV300,87,FALSE)=0,0,HLOOKUP("BC - Open Miss",A1:CV300,87,FALSE)/HLOOKUP("BC - Open",A1:CV300,87,FALSE))</f>
      </c>
      <c r="AO87" t="n" s="12131">
        <v>0.0</v>
      </c>
      <c r="AP87" s="12132">
        <f>IF(HLOOKUP("Gs",A1:CV300,87,FALSE)=0,0,HLOOKUP("GIB",A1:CV300,87,FALSE)/HLOOKUP("Gs",A1:CV300,87,FALSE))</f>
      </c>
      <c r="AQ87" t="n" s="12133">
        <v>0.0</v>
      </c>
      <c r="AR87" s="12134">
        <f>IF(HLOOKUP("Gs",A1:CV300,87,FALSE)=0,0,HLOOKUP("Gs - Open",A1:CV300,87,FALSE)/HLOOKUP("Gs",A1:CV300,87,FALSE))</f>
      </c>
      <c r="AS87" t="n" s="12135">
        <v>0.03</v>
      </c>
      <c r="AT87" t="n" s="12136">
        <v>0.03</v>
      </c>
      <c r="AU87" s="12137">
        <f>IF(HLOOKUP("Mins",A1:CV300,87,FALSE)=0,0,HLOOKUP("Pts",A1:CV300,87,FALSE)/HLOOKUP("Mins",A1:CV300,87,FALSE)* 90)</f>
      </c>
      <c r="AV87" s="12138">
        <f>IF(HLOOKUP("Apps",A1:CV300,87,FALSE)=0,0,HLOOKUP("Pts",A1:CV300,87,FALSE)/HLOOKUP("Apps",A1:CV300,87,FALSE)* 1)</f>
      </c>
      <c r="AW87" s="12139">
        <f>IF(HLOOKUP("Mins",A1:CV300,87,FALSE)=0,0,HLOOKUP("Gs",A1:CV300,87,FALSE)/HLOOKUP("Mins",A1:CV300,87,FALSE)* 90)</f>
      </c>
      <c r="AX87" s="12140">
        <f>IF(HLOOKUP("Mins",A1:CV300,87,FALSE)=0,0,HLOOKUP("Bonus",A1:CV300,87,FALSE)/HLOOKUP("Mins",A1:CV300,87,FALSE)* 90)</f>
      </c>
      <c r="AY87" s="12141">
        <f>IF(HLOOKUP("Mins",A1:CV300,87,FALSE)=0,0,HLOOKUP("BPS",A1:CV300,87,FALSE)/HLOOKUP("Mins",A1:CV300,87,FALSE)* 90)</f>
      </c>
      <c r="AZ87" s="12142">
        <f>IF(HLOOKUP("Mins",A1:CV300,87,FALSE)=0,0,HLOOKUP("Base BPS",A1:CV300,87,FALSE)/HLOOKUP("Mins",A1:CV300,87,FALSE)* 90)</f>
      </c>
      <c r="BA87" s="12143">
        <f>IF(HLOOKUP("Mins",A1:CV300,87,FALSE)=0,0,HLOOKUP("PenTchs",A1:CV300,87,FALSE)/HLOOKUP("Mins",A1:CV300,87,FALSE)* 90)</f>
      </c>
      <c r="BB87" s="12144">
        <f>IF(HLOOKUP("Mins",A1:CV300,87,FALSE)=0,0,HLOOKUP("Shots",A1:CV300,87,FALSE)/HLOOKUP("Mins",A1:CV300,87,FALSE)* 90)</f>
      </c>
      <c r="BC87" s="12145">
        <f>IF(HLOOKUP("Mins",A1:CV300,87,FALSE)=0,0,HLOOKUP("SIB",A1:CV300,87,FALSE)/HLOOKUP("Mins",A1:CV300,87,FALSE)* 90)</f>
      </c>
      <c r="BD87" s="12146">
        <f>IF(HLOOKUP("Mins",A1:CV300,87,FALSE)=0,0,HLOOKUP("S6YD",A1:CV300,87,FALSE)/HLOOKUP("Mins",A1:CV300,87,FALSE)* 90)</f>
      </c>
      <c r="BE87" s="12147">
        <f>IF(HLOOKUP("Mins",A1:CV300,87,FALSE)=0,0,HLOOKUP("Headers",A1:CV300,87,FALSE)/HLOOKUP("Mins",A1:CV300,87,FALSE)* 90)</f>
      </c>
      <c r="BF87" s="12148">
        <f>IF(HLOOKUP("Mins",A1:CV300,87,FALSE)=0,0,HLOOKUP("SOT",A1:CV300,87,FALSE)/HLOOKUP("Mins",A1:CV300,87,FALSE)* 90)</f>
      </c>
      <c r="BG87" s="12149">
        <f>IF(HLOOKUP("Mins",A1:CV300,87,FALSE)=0,0,HLOOKUP("As",A1:CV300,87,FALSE)/HLOOKUP("Mins",A1:CV300,87,FALSE)* 90)</f>
      </c>
      <c r="BH87" s="12150">
        <f>IF(HLOOKUP("Mins",A1:CV300,87,FALSE)=0,0,HLOOKUP("FPL As",A1:CV300,87,FALSE)/HLOOKUP("Mins",A1:CV300,87,FALSE)* 90)</f>
      </c>
      <c r="BI87" s="12151">
        <f>IF(HLOOKUP("Mins",A1:CV300,87,FALSE)=0,0,HLOOKUP("BC Created",A1:CV300,87,FALSE)/HLOOKUP("Mins",A1:CV300,87,FALSE)* 90)</f>
      </c>
      <c r="BJ87" s="12152">
        <f>IF(HLOOKUP("Mins",A1:CV300,87,FALSE)=0,0,HLOOKUP("KP",A1:CV300,87,FALSE)/HLOOKUP("Mins",A1:CV300,87,FALSE)* 90)</f>
      </c>
      <c r="BK87" s="12153">
        <f>IF(HLOOKUP("Mins",A1:CV300,87,FALSE)=0,0,HLOOKUP("BC",A1:CV300,87,FALSE)/HLOOKUP("Mins",A1:CV300,87,FALSE)* 90)</f>
      </c>
      <c r="BL87" s="12154">
        <f>IF(HLOOKUP("Mins",A1:CV300,87,FALSE)=0,0,HLOOKUP("BC Miss",A1:CV300,87,FALSE)/HLOOKUP("Mins",A1:CV300,87,FALSE)* 90)</f>
      </c>
      <c r="BM87" s="12155">
        <f>IF(HLOOKUP("Mins",A1:CV300,87,FALSE)=0,0,HLOOKUP("Gs - BC",A1:CV300,87,FALSE)/HLOOKUP("Mins",A1:CV300,87,FALSE)* 90)</f>
      </c>
      <c r="BN87" s="12156">
        <f>IF(HLOOKUP("Mins",A1:CV300,87,FALSE)=0,0,HLOOKUP("GIB",A1:CV300,87,FALSE)/HLOOKUP("Mins",A1:CV300,87,FALSE)* 90)</f>
      </c>
      <c r="BO87" s="12157">
        <f>IF(HLOOKUP("Mins",A1:CV300,87,FALSE)=0,0,HLOOKUP("Gs - Open",A1:CV300,87,FALSE)/HLOOKUP("Mins",A1:CV300,87,FALSE)* 90)</f>
      </c>
      <c r="BP87" s="12158">
        <f>IF(HLOOKUP("Mins",A1:CV300,87,FALSE)=0,0,HLOOKUP("ICT Index",A1:CV300,87,FALSE)/HLOOKUP("Mins",A1:CV300,87,FALSE)* 90)</f>
      </c>
      <c r="BQ87" s="12159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</c>
      <c r="BR87" s="12160">
        <f>0.0825*HLOOKUP("KP/90",A1:CV300,87,FALSE)</f>
      </c>
      <c r="BS87" s="12161">
        <f>6*HLOOKUP("xG/90",A1:CV300,87,FALSE)+3*HLOOKUP("xA/90",A1:CV300,87,FALSE)</f>
      </c>
      <c r="BT87" s="12162">
        <f>HLOOKUP("xPts/90",A1:CV300,87,FALSE)-(6*0.75*(HLOOKUP("PK Gs",A1:CV300,87,FALSE)+HLOOKUP("PK Miss",A1:CV300,87,FALSE))*90/HLOOKUP("Mins",A1:CV300,87,FALSE))</f>
      </c>
      <c r="BU87" s="12163">
        <f>IF(HLOOKUP("Mins",A1:CV300,87,FALSE)=0,0,HLOOKUP("fsXG",A1:CV300,87,FALSE)/HLOOKUP("Mins",A1:CV300,87,FALSE)* 90)</f>
      </c>
      <c r="BV87" s="12164">
        <f>IF(HLOOKUP("Mins",A1:CV300,87,FALSE)=0,0,HLOOKUP("fsXA",A1:CV300,87,FALSE)/HLOOKUP("Mins",A1:CV300,87,FALSE)* 90)</f>
      </c>
      <c r="BW87" s="12165">
        <f>6*HLOOKUP("fsXG/90",A1:CV300,87,FALSE)+3*HLOOKUP("fsXA/90",A1:CV300,87,FALSE)</f>
      </c>
      <c r="BX87" t="n" s="12166">
        <v>0.005633968859910965</v>
      </c>
      <c r="BY87" t="n" s="12167">
        <v>0.0</v>
      </c>
      <c r="BZ87" s="12168">
        <f>6*HLOOKUP("uXG/90",A1:CV300,87,FALSE)+3*HLOOKUP("uXA/90",A1:CV300,87,FALSE)</f>
      </c>
    </row>
    <row r="88">
      <c r="A88" t="s" s="12169">
        <v>253</v>
      </c>
      <c r="B88" t="s" s="12170">
        <v>90</v>
      </c>
      <c r="C88" t="n" s="12171">
        <v>4.0</v>
      </c>
      <c r="D88" t="n" s="12172">
        <v>452.0</v>
      </c>
      <c r="E88" t="n" s="12173">
        <v>6.0</v>
      </c>
      <c r="F88" t="n" s="12174">
        <v>15.0</v>
      </c>
      <c r="G88" t="n" s="12175">
        <v>0.0</v>
      </c>
      <c r="H88" t="n" s="12176">
        <v>1.0</v>
      </c>
      <c r="I88" t="n" s="12177">
        <v>155.0</v>
      </c>
      <c r="J88" s="12178">
        <f>HLOOKUP("BPS",A1:CV300,88,FALSE)-((-6*HLOOKUP("OG",A1:CV300,88,FALSE))+(-6*HLOOKUP("PK Miss",A1:CV300,88,FALSE))+(9*HLOOKUP("FPL As",A1:CV300,88,FALSE))+(12*HLOOKUP("CS",A1:CV300,88,FALSE))+(12*HLOOKUP("Gs",A1:CV300,88,FALSE)))</f>
      </c>
      <c r="K88" t="n" s="12179">
        <v>1.0</v>
      </c>
      <c r="L88" t="n" s="12180">
        <v>1.0</v>
      </c>
      <c r="M88" t="n" s="12181">
        <v>4.0</v>
      </c>
      <c r="N88" t="n" s="12182">
        <v>3.0</v>
      </c>
      <c r="O88" t="n" s="12183">
        <v>3.0</v>
      </c>
      <c r="P88" s="12184">
        <f>IF(HLOOKUP("Shots",A1:CV300,88,FALSE)=0,0,HLOOKUP("SIB",A1:CV300,88,FALSE)/HLOOKUP("Shots",A1:CV300,88,FALSE))</f>
      </c>
      <c r="Q88" t="n" s="12185">
        <v>0.0</v>
      </c>
      <c r="R88" s="12186">
        <f>IF(HLOOKUP("Shots",A1:CV300,88,FALSE)=0,0,HLOOKUP("S6YD",A1:CV300,88,FALSE)/HLOOKUP("Shots",A1:CV300,88,FALSE))</f>
      </c>
      <c r="S88" t="n" s="12187">
        <v>3.0</v>
      </c>
      <c r="T88" s="12188">
        <f>IF(HLOOKUP("Shots",A1:CV300,88,FALSE)=0,0,HLOOKUP("Headers",A1:CV300,88,FALSE)/HLOOKUP("Shots",A1:CV300,88,FALSE))</f>
      </c>
      <c r="U88" t="n" s="12189">
        <v>0.0</v>
      </c>
      <c r="V88" s="12190">
        <f>IF(HLOOKUP("Shots",A1:CV300,88,FALSE)=0,0,HLOOKUP("SOT",A1:CV300,88,FALSE)/HLOOKUP("Shots",A1:CV300,88,FALSE))</f>
      </c>
      <c r="W88" s="12191">
        <f>IF(HLOOKUP("Shots",A1:CV300,88,FALSE)=0,0,HLOOKUP("Gs",A1:CV300,88,FALSE)/HLOOKUP("Shots",A1:CV300,88,FALSE))</f>
      </c>
      <c r="X88" t="n" s="12192">
        <v>0.0</v>
      </c>
      <c r="Y88" t="n" s="12193">
        <v>0.0</v>
      </c>
      <c r="Z88" t="n" s="12194">
        <v>0.0</v>
      </c>
      <c r="AA88" s="12195">
        <f>IF(HLOOKUP("KP",A1:CV300,88,FALSE)=0,0,HLOOKUP("As",A1:CV300,88,FALSE)/HLOOKUP("KP",A1:CV300,88,FALSE))</f>
      </c>
      <c r="AB88" t="n" s="12196">
        <v>15.2</v>
      </c>
      <c r="AC88" t="n" s="12197">
        <v>0.0</v>
      </c>
      <c r="AD88" t="n" s="12198">
        <v>0.0</v>
      </c>
      <c r="AE88" t="n" s="12199">
        <v>0.0</v>
      </c>
      <c r="AF88" t="n" s="12200">
        <v>0.0</v>
      </c>
      <c r="AG88" s="12201">
        <f>IF(HLOOKUP("BC",A1:CV300,88,FALSE)=0,0,HLOOKUP("Gs - BC",A1:CV300,88,FALSE)/HLOOKUP("BC",A1:CV300,88,FALSE))</f>
      </c>
      <c r="AH88" s="12202">
        <f>HLOOKUP("BC",A1:CV300,88,FALSE) - HLOOKUP("BC Miss",A1:CV300,88,FALSE)</f>
      </c>
      <c r="AI88" s="12203">
        <f>IF(HLOOKUP("Gs",A1:CV300,88,FALSE)=0,0,HLOOKUP("Gs - BC",A1:CV300,88,FALSE)/HLOOKUP("Gs",A1:CV300,88,FALSE))</f>
      </c>
      <c r="AJ88" t="n" s="12204">
        <v>0.0</v>
      </c>
      <c r="AK88" t="n" s="12205">
        <v>0.0</v>
      </c>
      <c r="AL88" s="12206">
        <f>HLOOKUP("BC",A1:CV300,88,FALSE) - (HLOOKUP("PK Gs",A1:CV300,88,FALSE) + HLOOKUP("PK Miss",A1:CV300,88,FALSE))</f>
      </c>
      <c r="AM88" s="12207">
        <f>HLOOKUP("BC Miss",A1:CV300,88,FALSE) - HLOOKUP("PK Miss",A1:CV300,88,FALSE)</f>
      </c>
      <c r="AN88" s="12208">
        <f>IF(HLOOKUP("BC - Open",A1:CV300,88,FALSE)=0,0,HLOOKUP("BC - Open Miss",A1:CV300,88,FALSE)/HLOOKUP("BC - Open",A1:CV300,88,FALSE))</f>
      </c>
      <c r="AO88" t="n" s="12209">
        <v>0.0</v>
      </c>
      <c r="AP88" s="12210">
        <f>IF(HLOOKUP("Gs",A1:CV300,88,FALSE)=0,0,HLOOKUP("GIB",A1:CV300,88,FALSE)/HLOOKUP("Gs",A1:CV300,88,FALSE))</f>
      </c>
      <c r="AQ88" t="n" s="12211">
        <v>0.0</v>
      </c>
      <c r="AR88" s="12212">
        <f>IF(HLOOKUP("Gs",A1:CV300,88,FALSE)=0,0,HLOOKUP("Gs - Open",A1:CV300,88,FALSE)/HLOOKUP("Gs",A1:CV300,88,FALSE))</f>
      </c>
      <c r="AS88" t="n" s="12213">
        <v>0.32</v>
      </c>
      <c r="AT88" t="n" s="12214">
        <v>0.01</v>
      </c>
      <c r="AU88" s="12215">
        <f>IF(HLOOKUP("Mins",A1:CV300,88,FALSE)=0,0,HLOOKUP("Pts",A1:CV300,88,FALSE)/HLOOKUP("Mins",A1:CV300,88,FALSE)* 90)</f>
      </c>
      <c r="AV88" s="12216">
        <f>IF(HLOOKUP("Apps",A1:CV300,88,FALSE)=0,0,HLOOKUP("Pts",A1:CV300,88,FALSE)/HLOOKUP("Apps",A1:CV300,88,FALSE)* 1)</f>
      </c>
      <c r="AW88" s="12217">
        <f>IF(HLOOKUP("Mins",A1:CV300,88,FALSE)=0,0,HLOOKUP("Gs",A1:CV300,88,FALSE)/HLOOKUP("Mins",A1:CV300,88,FALSE)* 90)</f>
      </c>
      <c r="AX88" s="12218">
        <f>IF(HLOOKUP("Mins",A1:CV300,88,FALSE)=0,0,HLOOKUP("Bonus",A1:CV300,88,FALSE)/HLOOKUP("Mins",A1:CV300,88,FALSE)* 90)</f>
      </c>
      <c r="AY88" s="12219">
        <f>IF(HLOOKUP("Mins",A1:CV300,88,FALSE)=0,0,HLOOKUP("BPS",A1:CV300,88,FALSE)/HLOOKUP("Mins",A1:CV300,88,FALSE)* 90)</f>
      </c>
      <c r="AZ88" s="12220">
        <f>IF(HLOOKUP("Mins",A1:CV300,88,FALSE)=0,0,HLOOKUP("Base BPS",A1:CV300,88,FALSE)/HLOOKUP("Mins",A1:CV300,88,FALSE)* 90)</f>
      </c>
      <c r="BA88" s="12221">
        <f>IF(HLOOKUP("Mins",A1:CV300,88,FALSE)=0,0,HLOOKUP("PenTchs",A1:CV300,88,FALSE)/HLOOKUP("Mins",A1:CV300,88,FALSE)* 90)</f>
      </c>
      <c r="BB88" s="12222">
        <f>IF(HLOOKUP("Mins",A1:CV300,88,FALSE)=0,0,HLOOKUP("Shots",A1:CV300,88,FALSE)/HLOOKUP("Mins",A1:CV300,88,FALSE)* 90)</f>
      </c>
      <c r="BC88" s="12223">
        <f>IF(HLOOKUP("Mins",A1:CV300,88,FALSE)=0,0,HLOOKUP("SIB",A1:CV300,88,FALSE)/HLOOKUP("Mins",A1:CV300,88,FALSE)* 90)</f>
      </c>
      <c r="BD88" s="12224">
        <f>IF(HLOOKUP("Mins",A1:CV300,88,FALSE)=0,0,HLOOKUP("S6YD",A1:CV300,88,FALSE)/HLOOKUP("Mins",A1:CV300,88,FALSE)* 90)</f>
      </c>
      <c r="BE88" s="12225">
        <f>IF(HLOOKUP("Mins",A1:CV300,88,FALSE)=0,0,HLOOKUP("Headers",A1:CV300,88,FALSE)/HLOOKUP("Mins",A1:CV300,88,FALSE)* 90)</f>
      </c>
      <c r="BF88" s="12226">
        <f>IF(HLOOKUP("Mins",A1:CV300,88,FALSE)=0,0,HLOOKUP("SOT",A1:CV300,88,FALSE)/HLOOKUP("Mins",A1:CV300,88,FALSE)* 90)</f>
      </c>
      <c r="BG88" s="12227">
        <f>IF(HLOOKUP("Mins",A1:CV300,88,FALSE)=0,0,HLOOKUP("As",A1:CV300,88,FALSE)/HLOOKUP("Mins",A1:CV300,88,FALSE)* 90)</f>
      </c>
      <c r="BH88" s="12228">
        <f>IF(HLOOKUP("Mins",A1:CV300,88,FALSE)=0,0,HLOOKUP("FPL As",A1:CV300,88,FALSE)/HLOOKUP("Mins",A1:CV300,88,FALSE)* 90)</f>
      </c>
      <c r="BI88" s="12229">
        <f>IF(HLOOKUP("Mins",A1:CV300,88,FALSE)=0,0,HLOOKUP("BC Created",A1:CV300,88,FALSE)/HLOOKUP("Mins",A1:CV300,88,FALSE)* 90)</f>
      </c>
      <c r="BJ88" s="12230">
        <f>IF(HLOOKUP("Mins",A1:CV300,88,FALSE)=0,0,HLOOKUP("KP",A1:CV300,88,FALSE)/HLOOKUP("Mins",A1:CV300,88,FALSE)* 90)</f>
      </c>
      <c r="BK88" s="12231">
        <f>IF(HLOOKUP("Mins",A1:CV300,88,FALSE)=0,0,HLOOKUP("BC",A1:CV300,88,FALSE)/HLOOKUP("Mins",A1:CV300,88,FALSE)* 90)</f>
      </c>
      <c r="BL88" s="12232">
        <f>IF(HLOOKUP("Mins",A1:CV300,88,FALSE)=0,0,HLOOKUP("BC Miss",A1:CV300,88,FALSE)/HLOOKUP("Mins",A1:CV300,88,FALSE)* 90)</f>
      </c>
      <c r="BM88" s="12233">
        <f>IF(HLOOKUP("Mins",A1:CV300,88,FALSE)=0,0,HLOOKUP("Gs - BC",A1:CV300,88,FALSE)/HLOOKUP("Mins",A1:CV300,88,FALSE)* 90)</f>
      </c>
      <c r="BN88" s="12234">
        <f>IF(HLOOKUP("Mins",A1:CV300,88,FALSE)=0,0,HLOOKUP("GIB",A1:CV300,88,FALSE)/HLOOKUP("Mins",A1:CV300,88,FALSE)* 90)</f>
      </c>
      <c r="BO88" s="12235">
        <f>IF(HLOOKUP("Mins",A1:CV300,88,FALSE)=0,0,HLOOKUP("Gs - Open",A1:CV300,88,FALSE)/HLOOKUP("Mins",A1:CV300,88,FALSE)* 90)</f>
      </c>
      <c r="BP88" s="12236">
        <f>IF(HLOOKUP("Mins",A1:CV300,88,FALSE)=0,0,HLOOKUP("ICT Index",A1:CV300,88,FALSE)/HLOOKUP("Mins",A1:CV300,88,FALSE)* 90)</f>
      </c>
      <c r="BQ88" s="12237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</c>
      <c r="BR88" s="12238">
        <f>0.0825*HLOOKUP("KP/90",A1:CV300,88,FALSE)</f>
      </c>
      <c r="BS88" s="12239">
        <f>6*HLOOKUP("xG/90",A1:CV300,88,FALSE)+3*HLOOKUP("xA/90",A1:CV300,88,FALSE)</f>
      </c>
      <c r="BT88" s="12240">
        <f>HLOOKUP("xPts/90",A1:CV300,88,FALSE)-(6*0.75*(HLOOKUP("PK Gs",A1:CV300,88,FALSE)+HLOOKUP("PK Miss",A1:CV300,88,FALSE))*90/HLOOKUP("Mins",A1:CV300,88,FALSE))</f>
      </c>
      <c r="BU88" s="12241">
        <f>IF(HLOOKUP("Mins",A1:CV300,88,FALSE)=0,0,HLOOKUP("fsXG",A1:CV300,88,FALSE)/HLOOKUP("Mins",A1:CV300,88,FALSE)* 90)</f>
      </c>
      <c r="BV88" s="12242">
        <f>IF(HLOOKUP("Mins",A1:CV300,88,FALSE)=0,0,HLOOKUP("fsXA",A1:CV300,88,FALSE)/HLOOKUP("Mins",A1:CV300,88,FALSE)* 90)</f>
      </c>
      <c r="BW88" s="12243">
        <f>6*HLOOKUP("fsXG/90",A1:CV300,88,FALSE)+3*HLOOKUP("fsXA/90",A1:CV300,88,FALSE)</f>
      </c>
      <c r="BX88" t="n" s="12244">
        <v>0.024462565779685974</v>
      </c>
      <c r="BY88" t="n" s="12245">
        <v>0.0</v>
      </c>
      <c r="BZ88" s="12246">
        <f>6*HLOOKUP("uXG/90",A1:CV300,88,FALSE)+3*HLOOKUP("uXA/90",A1:CV300,88,FALSE)</f>
      </c>
    </row>
    <row r="89">
      <c r="A89" t="s" s="12247">
        <v>254</v>
      </c>
      <c r="B89" t="s" s="12248">
        <v>90</v>
      </c>
      <c r="C89" t="n" s="12249">
        <v>4.400000095367432</v>
      </c>
      <c r="D89" t="n" s="12250">
        <v>540.0</v>
      </c>
      <c r="E89" t="n" s="12251">
        <v>6.0</v>
      </c>
      <c r="F89" t="n" s="12252">
        <v>35.0</v>
      </c>
      <c r="G89" t="n" s="12253">
        <v>0.0</v>
      </c>
      <c r="H89" t="n" s="12254">
        <v>1.0</v>
      </c>
      <c r="I89" t="n" s="12255">
        <v>234.0</v>
      </c>
      <c r="J89" s="12256">
        <f>HLOOKUP("BPS",A1:CV300,89,FALSE)-((-6*HLOOKUP("OG",A1:CV300,89,FALSE))+(-6*HLOOKUP("PK Miss",A1:CV300,89,FALSE))+(9*HLOOKUP("FPL As",A1:CV300,89,FALSE))+(12*HLOOKUP("CS",A1:CV300,89,FALSE))+(12*HLOOKUP("Gs",A1:CV300,89,FALSE)))</f>
      </c>
      <c r="K89" t="n" s="12257">
        <v>0.0</v>
      </c>
      <c r="L89" t="n" s="12258">
        <v>3.0</v>
      </c>
      <c r="M89" t="n" s="12259">
        <v>2.0</v>
      </c>
      <c r="N89" t="n" s="12260">
        <v>4.0</v>
      </c>
      <c r="O89" t="n" s="12261">
        <v>2.0</v>
      </c>
      <c r="P89" s="12262">
        <f>IF(HLOOKUP("Shots",A1:CV300,89,FALSE)=0,0,HLOOKUP("SIB",A1:CV300,89,FALSE)/HLOOKUP("Shots",A1:CV300,89,FALSE))</f>
      </c>
      <c r="Q89" t="n" s="12263">
        <v>0.0</v>
      </c>
      <c r="R89" s="12264">
        <f>IF(HLOOKUP("Shots",A1:CV300,89,FALSE)=0,0,HLOOKUP("S6YD",A1:CV300,89,FALSE)/HLOOKUP("Shots",A1:CV300,89,FALSE))</f>
      </c>
      <c r="S89" t="n" s="12265">
        <v>0.0</v>
      </c>
      <c r="T89" s="12266">
        <f>IF(HLOOKUP("Shots",A1:CV300,89,FALSE)=0,0,HLOOKUP("Headers",A1:CV300,89,FALSE)/HLOOKUP("Shots",A1:CV300,89,FALSE))</f>
      </c>
      <c r="U89" t="n" s="12267">
        <v>1.0</v>
      </c>
      <c r="V89" s="12268">
        <f>IF(HLOOKUP("Shots",A1:CV300,89,FALSE)=0,0,HLOOKUP("SOT",A1:CV300,89,FALSE)/HLOOKUP("Shots",A1:CV300,89,FALSE))</f>
      </c>
      <c r="W89" s="12269">
        <f>IF(HLOOKUP("Shots",A1:CV300,89,FALSE)=0,0,HLOOKUP("Gs",A1:CV300,89,FALSE)/HLOOKUP("Shots",A1:CV300,89,FALSE))</f>
      </c>
      <c r="X89" t="n" s="12270">
        <v>0.0</v>
      </c>
      <c r="Y89" t="n" s="12271">
        <v>1.0</v>
      </c>
      <c r="Z89" t="n" s="12272">
        <v>0.0</v>
      </c>
      <c r="AA89" s="12273">
        <f>IF(HLOOKUP("KP",A1:CV300,89,FALSE)=0,0,HLOOKUP("As",A1:CV300,89,FALSE)/HLOOKUP("KP",A1:CV300,89,FALSE))</f>
      </c>
      <c r="AB89" t="n" s="12274">
        <v>15.4</v>
      </c>
      <c r="AC89" t="n" s="12275">
        <v>0.0</v>
      </c>
      <c r="AD89" t="n" s="12276">
        <v>0.0</v>
      </c>
      <c r="AE89" t="n" s="12277">
        <v>0.0</v>
      </c>
      <c r="AF89" t="n" s="12278">
        <v>0.0</v>
      </c>
      <c r="AG89" s="12279">
        <f>IF(HLOOKUP("BC",A1:CV300,89,FALSE)=0,0,HLOOKUP("Gs - BC",A1:CV300,89,FALSE)/HLOOKUP("BC",A1:CV300,89,FALSE))</f>
      </c>
      <c r="AH89" s="12280">
        <f>HLOOKUP("BC",A1:CV300,89,FALSE) - HLOOKUP("BC Miss",A1:CV300,89,FALSE)</f>
      </c>
      <c r="AI89" s="12281">
        <f>IF(HLOOKUP("Gs",A1:CV300,89,FALSE)=0,0,HLOOKUP("Gs - BC",A1:CV300,89,FALSE)/HLOOKUP("Gs",A1:CV300,89,FALSE))</f>
      </c>
      <c r="AJ89" t="n" s="12282">
        <v>0.0</v>
      </c>
      <c r="AK89" t="n" s="12283">
        <v>0.0</v>
      </c>
      <c r="AL89" s="12284">
        <f>HLOOKUP("BC",A1:CV300,89,FALSE) - (HLOOKUP("PK Gs",A1:CV300,89,FALSE) + HLOOKUP("PK Miss",A1:CV300,89,FALSE))</f>
      </c>
      <c r="AM89" s="12285">
        <f>HLOOKUP("BC Miss",A1:CV300,89,FALSE) - HLOOKUP("PK Miss",A1:CV300,89,FALSE)</f>
      </c>
      <c r="AN89" s="12286">
        <f>IF(HLOOKUP("BC - Open",A1:CV300,89,FALSE)=0,0,HLOOKUP("BC - Open Miss",A1:CV300,89,FALSE)/HLOOKUP("BC - Open",A1:CV300,89,FALSE))</f>
      </c>
      <c r="AO89" t="n" s="12287">
        <v>0.0</v>
      </c>
      <c r="AP89" s="12288">
        <f>IF(HLOOKUP("Gs",A1:CV300,89,FALSE)=0,0,HLOOKUP("GIB",A1:CV300,89,FALSE)/HLOOKUP("Gs",A1:CV300,89,FALSE))</f>
      </c>
      <c r="AQ89" t="n" s="12289">
        <v>0.0</v>
      </c>
      <c r="AR89" s="12290">
        <f>IF(HLOOKUP("Gs",A1:CV300,89,FALSE)=0,0,HLOOKUP("Gs - Open",A1:CV300,89,FALSE)/HLOOKUP("Gs",A1:CV300,89,FALSE))</f>
      </c>
      <c r="AS89" t="n" s="12291">
        <v>0.24</v>
      </c>
      <c r="AT89" t="n" s="12292">
        <v>0.02</v>
      </c>
      <c r="AU89" s="12293">
        <f>IF(HLOOKUP("Mins",A1:CV300,89,FALSE)=0,0,HLOOKUP("Pts",A1:CV300,89,FALSE)/HLOOKUP("Mins",A1:CV300,89,FALSE)* 90)</f>
      </c>
      <c r="AV89" s="12294">
        <f>IF(HLOOKUP("Apps",A1:CV300,89,FALSE)=0,0,HLOOKUP("Pts",A1:CV300,89,FALSE)/HLOOKUP("Apps",A1:CV300,89,FALSE)* 1)</f>
      </c>
      <c r="AW89" s="12295">
        <f>IF(HLOOKUP("Mins",A1:CV300,89,FALSE)=0,0,HLOOKUP("Gs",A1:CV300,89,FALSE)/HLOOKUP("Mins",A1:CV300,89,FALSE)* 90)</f>
      </c>
      <c r="AX89" s="12296">
        <f>IF(HLOOKUP("Mins",A1:CV300,89,FALSE)=0,0,HLOOKUP("Bonus",A1:CV300,89,FALSE)/HLOOKUP("Mins",A1:CV300,89,FALSE)* 90)</f>
      </c>
      <c r="AY89" s="12297">
        <f>IF(HLOOKUP("Mins",A1:CV300,89,FALSE)=0,0,HLOOKUP("BPS",A1:CV300,89,FALSE)/HLOOKUP("Mins",A1:CV300,89,FALSE)* 90)</f>
      </c>
      <c r="AZ89" s="12298">
        <f>IF(HLOOKUP("Mins",A1:CV300,89,FALSE)=0,0,HLOOKUP("Base BPS",A1:CV300,89,FALSE)/HLOOKUP("Mins",A1:CV300,89,FALSE)* 90)</f>
      </c>
      <c r="BA89" s="12299">
        <f>IF(HLOOKUP("Mins",A1:CV300,89,FALSE)=0,0,HLOOKUP("PenTchs",A1:CV300,89,FALSE)/HLOOKUP("Mins",A1:CV300,89,FALSE)* 90)</f>
      </c>
      <c r="BB89" s="12300">
        <f>IF(HLOOKUP("Mins",A1:CV300,89,FALSE)=0,0,HLOOKUP("Shots",A1:CV300,89,FALSE)/HLOOKUP("Mins",A1:CV300,89,FALSE)* 90)</f>
      </c>
      <c r="BC89" s="12301">
        <f>IF(HLOOKUP("Mins",A1:CV300,89,FALSE)=0,0,HLOOKUP("SIB",A1:CV300,89,FALSE)/HLOOKUP("Mins",A1:CV300,89,FALSE)* 90)</f>
      </c>
      <c r="BD89" s="12302">
        <f>IF(HLOOKUP("Mins",A1:CV300,89,FALSE)=0,0,HLOOKUP("S6YD",A1:CV300,89,FALSE)/HLOOKUP("Mins",A1:CV300,89,FALSE)* 90)</f>
      </c>
      <c r="BE89" s="12303">
        <f>IF(HLOOKUP("Mins",A1:CV300,89,FALSE)=0,0,HLOOKUP("Headers",A1:CV300,89,FALSE)/HLOOKUP("Mins",A1:CV300,89,FALSE)* 90)</f>
      </c>
      <c r="BF89" s="12304">
        <f>IF(HLOOKUP("Mins",A1:CV300,89,FALSE)=0,0,HLOOKUP("SOT",A1:CV300,89,FALSE)/HLOOKUP("Mins",A1:CV300,89,FALSE)* 90)</f>
      </c>
      <c r="BG89" s="12305">
        <f>IF(HLOOKUP("Mins",A1:CV300,89,FALSE)=0,0,HLOOKUP("As",A1:CV300,89,FALSE)/HLOOKUP("Mins",A1:CV300,89,FALSE)* 90)</f>
      </c>
      <c r="BH89" s="12306">
        <f>IF(HLOOKUP("Mins",A1:CV300,89,FALSE)=0,0,HLOOKUP("FPL As",A1:CV300,89,FALSE)/HLOOKUP("Mins",A1:CV300,89,FALSE)* 90)</f>
      </c>
      <c r="BI89" s="12307">
        <f>IF(HLOOKUP("Mins",A1:CV300,89,FALSE)=0,0,HLOOKUP("BC Created",A1:CV300,89,FALSE)/HLOOKUP("Mins",A1:CV300,89,FALSE)* 90)</f>
      </c>
      <c r="BJ89" s="12308">
        <f>IF(HLOOKUP("Mins",A1:CV300,89,FALSE)=0,0,HLOOKUP("KP",A1:CV300,89,FALSE)/HLOOKUP("Mins",A1:CV300,89,FALSE)* 90)</f>
      </c>
      <c r="BK89" s="12309">
        <f>IF(HLOOKUP("Mins",A1:CV300,89,FALSE)=0,0,HLOOKUP("BC",A1:CV300,89,FALSE)/HLOOKUP("Mins",A1:CV300,89,FALSE)* 90)</f>
      </c>
      <c r="BL89" s="12310">
        <f>IF(HLOOKUP("Mins",A1:CV300,89,FALSE)=0,0,HLOOKUP("BC Miss",A1:CV300,89,FALSE)/HLOOKUP("Mins",A1:CV300,89,FALSE)* 90)</f>
      </c>
      <c r="BM89" s="12311">
        <f>IF(HLOOKUP("Mins",A1:CV300,89,FALSE)=0,0,HLOOKUP("Gs - BC",A1:CV300,89,FALSE)/HLOOKUP("Mins",A1:CV300,89,FALSE)* 90)</f>
      </c>
      <c r="BN89" s="12312">
        <f>IF(HLOOKUP("Mins",A1:CV300,89,FALSE)=0,0,HLOOKUP("GIB",A1:CV300,89,FALSE)/HLOOKUP("Mins",A1:CV300,89,FALSE)* 90)</f>
      </c>
      <c r="BO89" s="12313">
        <f>IF(HLOOKUP("Mins",A1:CV300,89,FALSE)=0,0,HLOOKUP("Gs - Open",A1:CV300,89,FALSE)/HLOOKUP("Mins",A1:CV300,89,FALSE)* 90)</f>
      </c>
      <c r="BP89" s="12314">
        <f>IF(HLOOKUP("Mins",A1:CV300,89,FALSE)=0,0,HLOOKUP("ICT Index",A1:CV300,89,FALSE)/HLOOKUP("Mins",A1:CV300,89,FALSE)* 90)</f>
      </c>
      <c r="BQ89" s="12315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</c>
      <c r="BR89" s="12316">
        <f>0.0825*HLOOKUP("KP/90",A1:CV300,89,FALSE)</f>
      </c>
      <c r="BS89" s="12317">
        <f>6*HLOOKUP("xG/90",A1:CV300,89,FALSE)+3*HLOOKUP("xA/90",A1:CV300,89,FALSE)</f>
      </c>
      <c r="BT89" s="12318">
        <f>HLOOKUP("xPts/90",A1:CV300,89,FALSE)-(6*0.75*(HLOOKUP("PK Gs",A1:CV300,89,FALSE)+HLOOKUP("PK Miss",A1:CV300,89,FALSE))*90/HLOOKUP("Mins",A1:CV300,89,FALSE))</f>
      </c>
      <c r="BU89" s="12319">
        <f>IF(HLOOKUP("Mins",A1:CV300,89,FALSE)=0,0,HLOOKUP("fsXG",A1:CV300,89,FALSE)/HLOOKUP("Mins",A1:CV300,89,FALSE)* 90)</f>
      </c>
      <c r="BV89" s="12320">
        <f>IF(HLOOKUP("Mins",A1:CV300,89,FALSE)=0,0,HLOOKUP("fsXA",A1:CV300,89,FALSE)/HLOOKUP("Mins",A1:CV300,89,FALSE)* 90)</f>
      </c>
      <c r="BW89" s="12321">
        <f>6*HLOOKUP("fsXG/90",A1:CV300,89,FALSE)+3*HLOOKUP("fsXA/90",A1:CV300,89,FALSE)</f>
      </c>
      <c r="BX89" t="n" s="12322">
        <v>0.02954474650323391</v>
      </c>
      <c r="BY89" t="n" s="12323">
        <v>0.0</v>
      </c>
      <c r="BZ89" s="12324">
        <f>6*HLOOKUP("uXG/90",A1:CV300,89,FALSE)+3*HLOOKUP("uXA/90",A1:CV300,89,FALSE)</f>
      </c>
    </row>
    <row r="90">
      <c r="A90" t="s" s="12325">
        <v>255</v>
      </c>
      <c r="B90" t="s" s="12326">
        <v>116</v>
      </c>
      <c r="C90" t="n" s="12327">
        <v>4.199999809265137</v>
      </c>
      <c r="D90" t="n" s="12328">
        <v>450.0</v>
      </c>
      <c r="E90" t="n" s="12329">
        <v>5.0</v>
      </c>
      <c r="F90" t="n" s="12330">
        <v>24.0</v>
      </c>
      <c r="G90" t="n" s="12331">
        <v>0.0</v>
      </c>
      <c r="H90" t="n" s="12332">
        <v>1.0</v>
      </c>
      <c r="I90" t="n" s="12333">
        <v>168.0</v>
      </c>
      <c r="J90" s="12334">
        <f>HLOOKUP("BPS",A1:CV300,90,FALSE)-((-6*HLOOKUP("OG",A1:CV300,90,FALSE))+(-6*HLOOKUP("PK Miss",A1:CV300,90,FALSE))+(9*HLOOKUP("FPL As",A1:CV300,90,FALSE))+(12*HLOOKUP("CS",A1:CV300,90,FALSE))+(12*HLOOKUP("Gs",A1:CV300,90,FALSE)))</f>
      </c>
      <c r="K90" t="n" s="12335">
        <v>1.0</v>
      </c>
      <c r="L90" t="n" s="12336">
        <v>3.0</v>
      </c>
      <c r="M90" t="n" s="12337">
        <v>0.0</v>
      </c>
      <c r="N90" t="n" s="12338">
        <v>0.0</v>
      </c>
      <c r="O90" t="n" s="12339">
        <v>0.0</v>
      </c>
      <c r="P90" s="12340">
        <f>IF(HLOOKUP("Shots",A1:CV300,90,FALSE)=0,0,HLOOKUP("SIB",A1:CV300,90,FALSE)/HLOOKUP("Shots",A1:CV300,90,FALSE))</f>
      </c>
      <c r="Q90" t="n" s="12341">
        <v>0.0</v>
      </c>
      <c r="R90" s="12342">
        <f>IF(HLOOKUP("Shots",A1:CV300,90,FALSE)=0,0,HLOOKUP("S6YD",A1:CV300,90,FALSE)/HLOOKUP("Shots",A1:CV300,90,FALSE))</f>
      </c>
      <c r="S90" t="n" s="12343">
        <v>0.0</v>
      </c>
      <c r="T90" s="12344">
        <f>IF(HLOOKUP("Shots",A1:CV300,90,FALSE)=0,0,HLOOKUP("Headers",A1:CV300,90,FALSE)/HLOOKUP("Shots",A1:CV300,90,FALSE))</f>
      </c>
      <c r="U90" t="n" s="12345">
        <v>0.0</v>
      </c>
      <c r="V90" s="12346">
        <f>IF(HLOOKUP("Shots",A1:CV300,90,FALSE)=0,0,HLOOKUP("SOT",A1:CV300,90,FALSE)/HLOOKUP("Shots",A1:CV300,90,FALSE))</f>
      </c>
      <c r="W90" s="12347">
        <f>IF(HLOOKUP("Shots",A1:CV300,90,FALSE)=0,0,HLOOKUP("Gs",A1:CV300,90,FALSE)/HLOOKUP("Shots",A1:CV300,90,FALSE))</f>
      </c>
      <c r="X90" t="n" s="12348">
        <v>0.0</v>
      </c>
      <c r="Y90" t="n" s="12349">
        <v>0.0</v>
      </c>
      <c r="Z90" t="n" s="12350">
        <v>3.0</v>
      </c>
      <c r="AA90" s="12351">
        <f>IF(HLOOKUP("KP",A1:CV300,90,FALSE)=0,0,HLOOKUP("As",A1:CV300,90,FALSE)/HLOOKUP("KP",A1:CV300,90,FALSE))</f>
      </c>
      <c r="AB90" t="n" s="12352">
        <v>12.6</v>
      </c>
      <c r="AC90" t="n" s="12353">
        <v>0.0</v>
      </c>
      <c r="AD90" t="n" s="12354">
        <v>0.0</v>
      </c>
      <c r="AE90" t="n" s="12355">
        <v>0.0</v>
      </c>
      <c r="AF90" t="n" s="12356">
        <v>0.0</v>
      </c>
      <c r="AG90" s="12357">
        <f>IF(HLOOKUP("BC",A1:CV300,90,FALSE)=0,0,HLOOKUP("Gs - BC",A1:CV300,90,FALSE)/HLOOKUP("BC",A1:CV300,90,FALSE))</f>
      </c>
      <c r="AH90" s="12358">
        <f>HLOOKUP("BC",A1:CV300,90,FALSE) - HLOOKUP("BC Miss",A1:CV300,90,FALSE)</f>
      </c>
      <c r="AI90" s="12359">
        <f>IF(HLOOKUP("Gs",A1:CV300,90,FALSE)=0,0,HLOOKUP("Gs - BC",A1:CV300,90,FALSE)/HLOOKUP("Gs",A1:CV300,90,FALSE))</f>
      </c>
      <c r="AJ90" t="n" s="12360">
        <v>0.0</v>
      </c>
      <c r="AK90" t="n" s="12361">
        <v>0.0</v>
      </c>
      <c r="AL90" s="12362">
        <f>HLOOKUP("BC",A1:CV300,90,FALSE) - (HLOOKUP("PK Gs",A1:CV300,90,FALSE) + HLOOKUP("PK Miss",A1:CV300,90,FALSE))</f>
      </c>
      <c r="AM90" s="12363">
        <f>HLOOKUP("BC Miss",A1:CV300,90,FALSE) - HLOOKUP("PK Miss",A1:CV300,90,FALSE)</f>
      </c>
      <c r="AN90" s="12364">
        <f>IF(HLOOKUP("BC - Open",A1:CV300,90,FALSE)=0,0,HLOOKUP("BC - Open Miss",A1:CV300,90,FALSE)/HLOOKUP("BC - Open",A1:CV300,90,FALSE))</f>
      </c>
      <c r="AO90" t="n" s="12365">
        <v>0.0</v>
      </c>
      <c r="AP90" s="12366">
        <f>IF(HLOOKUP("Gs",A1:CV300,90,FALSE)=0,0,HLOOKUP("GIB",A1:CV300,90,FALSE)/HLOOKUP("Gs",A1:CV300,90,FALSE))</f>
      </c>
      <c r="AQ90" t="n" s="12367">
        <v>0.0</v>
      </c>
      <c r="AR90" s="12368">
        <f>IF(HLOOKUP("Gs",A1:CV300,90,FALSE)=0,0,HLOOKUP("Gs - Open",A1:CV300,90,FALSE)/HLOOKUP("Gs",A1:CV300,90,FALSE))</f>
      </c>
      <c r="AS90" t="n" s="12369">
        <v>0.0</v>
      </c>
      <c r="AT90" t="n" s="12370">
        <v>0.12</v>
      </c>
      <c r="AU90" s="12371">
        <f>IF(HLOOKUP("Mins",A1:CV300,90,FALSE)=0,0,HLOOKUP("Pts",A1:CV300,90,FALSE)/HLOOKUP("Mins",A1:CV300,90,FALSE)* 90)</f>
      </c>
      <c r="AV90" s="12372">
        <f>IF(HLOOKUP("Apps",A1:CV300,90,FALSE)=0,0,HLOOKUP("Pts",A1:CV300,90,FALSE)/HLOOKUP("Apps",A1:CV300,90,FALSE)* 1)</f>
      </c>
      <c r="AW90" s="12373">
        <f>IF(HLOOKUP("Mins",A1:CV300,90,FALSE)=0,0,HLOOKUP("Gs",A1:CV300,90,FALSE)/HLOOKUP("Mins",A1:CV300,90,FALSE)* 90)</f>
      </c>
      <c r="AX90" s="12374">
        <f>IF(HLOOKUP("Mins",A1:CV300,90,FALSE)=0,0,HLOOKUP("Bonus",A1:CV300,90,FALSE)/HLOOKUP("Mins",A1:CV300,90,FALSE)* 90)</f>
      </c>
      <c r="AY90" s="12375">
        <f>IF(HLOOKUP("Mins",A1:CV300,90,FALSE)=0,0,HLOOKUP("BPS",A1:CV300,90,FALSE)/HLOOKUP("Mins",A1:CV300,90,FALSE)* 90)</f>
      </c>
      <c r="AZ90" s="12376">
        <f>IF(HLOOKUP("Mins",A1:CV300,90,FALSE)=0,0,HLOOKUP("Base BPS",A1:CV300,90,FALSE)/HLOOKUP("Mins",A1:CV300,90,FALSE)* 90)</f>
      </c>
      <c r="BA90" s="12377">
        <f>IF(HLOOKUP("Mins",A1:CV300,90,FALSE)=0,0,HLOOKUP("PenTchs",A1:CV300,90,FALSE)/HLOOKUP("Mins",A1:CV300,90,FALSE)* 90)</f>
      </c>
      <c r="BB90" s="12378">
        <f>IF(HLOOKUP("Mins",A1:CV300,90,FALSE)=0,0,HLOOKUP("Shots",A1:CV300,90,FALSE)/HLOOKUP("Mins",A1:CV300,90,FALSE)* 90)</f>
      </c>
      <c r="BC90" s="12379">
        <f>IF(HLOOKUP("Mins",A1:CV300,90,FALSE)=0,0,HLOOKUP("SIB",A1:CV300,90,FALSE)/HLOOKUP("Mins",A1:CV300,90,FALSE)* 90)</f>
      </c>
      <c r="BD90" s="12380">
        <f>IF(HLOOKUP("Mins",A1:CV300,90,FALSE)=0,0,HLOOKUP("S6YD",A1:CV300,90,FALSE)/HLOOKUP("Mins",A1:CV300,90,FALSE)* 90)</f>
      </c>
      <c r="BE90" s="12381">
        <f>IF(HLOOKUP("Mins",A1:CV300,90,FALSE)=0,0,HLOOKUP("Headers",A1:CV300,90,FALSE)/HLOOKUP("Mins",A1:CV300,90,FALSE)* 90)</f>
      </c>
      <c r="BF90" s="12382">
        <f>IF(HLOOKUP("Mins",A1:CV300,90,FALSE)=0,0,HLOOKUP("SOT",A1:CV300,90,FALSE)/HLOOKUP("Mins",A1:CV300,90,FALSE)* 90)</f>
      </c>
      <c r="BG90" s="12383">
        <f>IF(HLOOKUP("Mins",A1:CV300,90,FALSE)=0,0,HLOOKUP("As",A1:CV300,90,FALSE)/HLOOKUP("Mins",A1:CV300,90,FALSE)* 90)</f>
      </c>
      <c r="BH90" s="12384">
        <f>IF(HLOOKUP("Mins",A1:CV300,90,FALSE)=0,0,HLOOKUP("FPL As",A1:CV300,90,FALSE)/HLOOKUP("Mins",A1:CV300,90,FALSE)* 90)</f>
      </c>
      <c r="BI90" s="12385">
        <f>IF(HLOOKUP("Mins",A1:CV300,90,FALSE)=0,0,HLOOKUP("BC Created",A1:CV300,90,FALSE)/HLOOKUP("Mins",A1:CV300,90,FALSE)* 90)</f>
      </c>
      <c r="BJ90" s="12386">
        <f>IF(HLOOKUP("Mins",A1:CV300,90,FALSE)=0,0,HLOOKUP("KP",A1:CV300,90,FALSE)/HLOOKUP("Mins",A1:CV300,90,FALSE)* 90)</f>
      </c>
      <c r="BK90" s="12387">
        <f>IF(HLOOKUP("Mins",A1:CV300,90,FALSE)=0,0,HLOOKUP("BC",A1:CV300,90,FALSE)/HLOOKUP("Mins",A1:CV300,90,FALSE)* 90)</f>
      </c>
      <c r="BL90" s="12388">
        <f>IF(HLOOKUP("Mins",A1:CV300,90,FALSE)=0,0,HLOOKUP("BC Miss",A1:CV300,90,FALSE)/HLOOKUP("Mins",A1:CV300,90,FALSE)* 90)</f>
      </c>
      <c r="BM90" s="12389">
        <f>IF(HLOOKUP("Mins",A1:CV300,90,FALSE)=0,0,HLOOKUP("Gs - BC",A1:CV300,90,FALSE)/HLOOKUP("Mins",A1:CV300,90,FALSE)* 90)</f>
      </c>
      <c r="BN90" s="12390">
        <f>IF(HLOOKUP("Mins",A1:CV300,90,FALSE)=0,0,HLOOKUP("GIB",A1:CV300,90,FALSE)/HLOOKUP("Mins",A1:CV300,90,FALSE)* 90)</f>
      </c>
      <c r="BO90" s="12391">
        <f>IF(HLOOKUP("Mins",A1:CV300,90,FALSE)=0,0,HLOOKUP("Gs - Open",A1:CV300,90,FALSE)/HLOOKUP("Mins",A1:CV300,90,FALSE)* 90)</f>
      </c>
      <c r="BP90" s="12392">
        <f>IF(HLOOKUP("Mins",A1:CV300,90,FALSE)=0,0,HLOOKUP("ICT Index",A1:CV300,90,FALSE)/HLOOKUP("Mins",A1:CV300,90,FALSE)* 90)</f>
      </c>
      <c r="BQ90" s="12393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</c>
      <c r="BR90" s="12394">
        <f>0.0825*HLOOKUP("KP/90",A1:CV300,90,FALSE)</f>
      </c>
      <c r="BS90" s="12395">
        <f>6*HLOOKUP("xG/90",A1:CV300,90,FALSE)+3*HLOOKUP("xA/90",A1:CV300,90,FALSE)</f>
      </c>
      <c r="BT90" s="12396">
        <f>HLOOKUP("xPts/90",A1:CV300,90,FALSE)-(6*0.75*(HLOOKUP("PK Gs",A1:CV300,90,FALSE)+HLOOKUP("PK Miss",A1:CV300,90,FALSE))*90/HLOOKUP("Mins",A1:CV300,90,FALSE))</f>
      </c>
      <c r="BU90" s="12397">
        <f>IF(HLOOKUP("Mins",A1:CV300,90,FALSE)=0,0,HLOOKUP("fsXG",A1:CV300,90,FALSE)/HLOOKUP("Mins",A1:CV300,90,FALSE)* 90)</f>
      </c>
      <c r="BV90" s="12398">
        <f>IF(HLOOKUP("Mins",A1:CV300,90,FALSE)=0,0,HLOOKUP("fsXA",A1:CV300,90,FALSE)/HLOOKUP("Mins",A1:CV300,90,FALSE)* 90)</f>
      </c>
      <c r="BW90" s="12399">
        <f>6*HLOOKUP("fsXG/90",A1:CV300,90,FALSE)+3*HLOOKUP("fsXA/90",A1:CV300,90,FALSE)</f>
      </c>
      <c r="BX90" t="n" s="12400">
        <v>0.0</v>
      </c>
      <c r="BY90" t="n" s="12401">
        <v>0.02299293503165245</v>
      </c>
      <c r="BZ90" s="12402">
        <f>6*HLOOKUP("uXG/90",A1:CV300,90,FALSE)+3*HLOOKUP("uXA/90",A1:CV300,90,FALSE)</f>
      </c>
    </row>
    <row r="91">
      <c r="A91" t="s" s="12403">
        <v>256</v>
      </c>
      <c r="B91" t="s" s="12404">
        <v>131</v>
      </c>
      <c r="C91" t="n" s="12405">
        <v>6.099999904632568</v>
      </c>
      <c r="D91" t="n" s="12406">
        <v>540.0</v>
      </c>
      <c r="E91" t="n" s="12407">
        <v>6.0</v>
      </c>
      <c r="F91" t="n" s="12408">
        <v>89.0</v>
      </c>
      <c r="G91" t="n" s="12409">
        <v>0.0</v>
      </c>
      <c r="H91" t="n" s="12410">
        <v>6.0</v>
      </c>
      <c r="I91" t="n" s="12411">
        <v>318.0</v>
      </c>
      <c r="J91" s="12412">
        <f>HLOOKUP("BPS",A1:CV300,91,FALSE)-((-6*HLOOKUP("OG",A1:CV300,91,FALSE))+(-6*HLOOKUP("PK Miss",A1:CV300,91,FALSE))+(9*HLOOKUP("FPL As",A1:CV300,91,FALSE))+(12*HLOOKUP("CS",A1:CV300,91,FALSE))+(12*HLOOKUP("Gs",A1:CV300,91,FALSE)))</f>
      </c>
      <c r="K91" t="n" s="12413">
        <v>0.0</v>
      </c>
      <c r="L91" t="n" s="12414">
        <v>5.0</v>
      </c>
      <c r="M91" t="n" s="12415">
        <v>13.0</v>
      </c>
      <c r="N91" t="n" s="12416">
        <v>7.0</v>
      </c>
      <c r="O91" t="n" s="12417">
        <v>7.0</v>
      </c>
      <c r="P91" s="12418">
        <f>IF(HLOOKUP("Shots",A1:CV300,91,FALSE)=0,0,HLOOKUP("SIB",A1:CV300,91,FALSE)/HLOOKUP("Shots",A1:CV300,91,FALSE))</f>
      </c>
      <c r="Q91" t="n" s="12419">
        <v>1.0</v>
      </c>
      <c r="R91" s="12420">
        <f>IF(HLOOKUP("Shots",A1:CV300,91,FALSE)=0,0,HLOOKUP("S6YD",A1:CV300,91,FALSE)/HLOOKUP("Shots",A1:CV300,91,FALSE))</f>
      </c>
      <c r="S91" t="n" s="12421">
        <v>4.0</v>
      </c>
      <c r="T91" s="12422">
        <f>IF(HLOOKUP("Shots",A1:CV300,91,FALSE)=0,0,HLOOKUP("Headers",A1:CV300,91,FALSE)/HLOOKUP("Shots",A1:CV300,91,FALSE))</f>
      </c>
      <c r="U91" t="n" s="12423">
        <v>3.0</v>
      </c>
      <c r="V91" s="12424">
        <f>IF(HLOOKUP("Shots",A1:CV300,91,FALSE)=0,0,HLOOKUP("SOT",A1:CV300,91,FALSE)/HLOOKUP("Shots",A1:CV300,91,FALSE))</f>
      </c>
      <c r="W91" s="12425">
        <f>IF(HLOOKUP("Shots",A1:CV300,91,FALSE)=0,0,HLOOKUP("Gs",A1:CV300,91,FALSE)/HLOOKUP("Shots",A1:CV300,91,FALSE))</f>
      </c>
      <c r="X91" t="n" s="12426">
        <v>0.0</v>
      </c>
      <c r="Y91" t="n" s="12427">
        <v>3.0</v>
      </c>
      <c r="Z91" t="n" s="12428">
        <v>2.0</v>
      </c>
      <c r="AA91" s="12429">
        <f>IF(HLOOKUP("KP",A1:CV300,91,FALSE)=0,0,HLOOKUP("As",A1:CV300,91,FALSE)/HLOOKUP("KP",A1:CV300,91,FALSE))</f>
      </c>
      <c r="AB91" t="n" s="12430">
        <v>24.6</v>
      </c>
      <c r="AC91" t="n" s="12431">
        <v>0.0</v>
      </c>
      <c r="AD91" t="n" s="12432">
        <v>0.0</v>
      </c>
      <c r="AE91" t="n" s="12433">
        <v>5.0</v>
      </c>
      <c r="AF91" t="n" s="12434">
        <v>5.0</v>
      </c>
      <c r="AG91" s="12435">
        <f>IF(HLOOKUP("BC",A1:CV300,91,FALSE)=0,0,HLOOKUP("Gs - BC",A1:CV300,91,FALSE)/HLOOKUP("BC",A1:CV300,91,FALSE))</f>
      </c>
      <c r="AH91" s="12436">
        <f>HLOOKUP("BC",A1:CV300,91,FALSE) - HLOOKUP("BC Miss",A1:CV300,91,FALSE)</f>
      </c>
      <c r="AI91" s="12437">
        <f>IF(HLOOKUP("Gs",A1:CV300,91,FALSE)=0,0,HLOOKUP("Gs - BC",A1:CV300,91,FALSE)/HLOOKUP("Gs",A1:CV300,91,FALSE))</f>
      </c>
      <c r="AJ91" t="n" s="12438">
        <v>0.0</v>
      </c>
      <c r="AK91" t="n" s="12439">
        <v>0.0</v>
      </c>
      <c r="AL91" s="12440">
        <f>HLOOKUP("BC",A1:CV300,91,FALSE) - (HLOOKUP("PK Gs",A1:CV300,91,FALSE) + HLOOKUP("PK Miss",A1:CV300,91,FALSE))</f>
      </c>
      <c r="AM91" s="12441">
        <f>HLOOKUP("BC Miss",A1:CV300,91,FALSE) - HLOOKUP("PK Miss",A1:CV300,91,FALSE)</f>
      </c>
      <c r="AN91" s="12442">
        <f>IF(HLOOKUP("BC - Open",A1:CV300,91,FALSE)=0,0,HLOOKUP("BC - Open Miss",A1:CV300,91,FALSE)/HLOOKUP("BC - Open",A1:CV300,91,FALSE))</f>
      </c>
      <c r="AO91" t="n" s="12443">
        <v>0.0</v>
      </c>
      <c r="AP91" s="12444">
        <f>IF(HLOOKUP("Gs",A1:CV300,91,FALSE)=0,0,HLOOKUP("GIB",A1:CV300,91,FALSE)/HLOOKUP("Gs",A1:CV300,91,FALSE))</f>
      </c>
      <c r="AQ91" t="n" s="12445">
        <v>0.0</v>
      </c>
      <c r="AR91" s="12446">
        <f>IF(HLOOKUP("Gs",A1:CV300,91,FALSE)=0,0,HLOOKUP("Gs - Open",A1:CV300,91,FALSE)/HLOOKUP("Gs",A1:CV300,91,FALSE))</f>
      </c>
      <c r="AS91" t="n" s="12447">
        <v>1.51</v>
      </c>
      <c r="AT91" t="n" s="12448">
        <v>0.15</v>
      </c>
      <c r="AU91" s="12449">
        <f>IF(HLOOKUP("Mins",A1:CV300,91,FALSE)=0,0,HLOOKUP("Pts",A1:CV300,91,FALSE)/HLOOKUP("Mins",A1:CV300,91,FALSE)* 90)</f>
      </c>
      <c r="AV91" s="12450">
        <f>IF(HLOOKUP("Apps",A1:CV300,91,FALSE)=0,0,HLOOKUP("Pts",A1:CV300,91,FALSE)/HLOOKUP("Apps",A1:CV300,91,FALSE)* 1)</f>
      </c>
      <c r="AW91" s="12451">
        <f>IF(HLOOKUP("Mins",A1:CV300,91,FALSE)=0,0,HLOOKUP("Gs",A1:CV300,91,FALSE)/HLOOKUP("Mins",A1:CV300,91,FALSE)* 90)</f>
      </c>
      <c r="AX91" s="12452">
        <f>IF(HLOOKUP("Mins",A1:CV300,91,FALSE)=0,0,HLOOKUP("Bonus",A1:CV300,91,FALSE)/HLOOKUP("Mins",A1:CV300,91,FALSE)* 90)</f>
      </c>
      <c r="AY91" s="12453">
        <f>IF(HLOOKUP("Mins",A1:CV300,91,FALSE)=0,0,HLOOKUP("BPS",A1:CV300,91,FALSE)/HLOOKUP("Mins",A1:CV300,91,FALSE)* 90)</f>
      </c>
      <c r="AZ91" s="12454">
        <f>IF(HLOOKUP("Mins",A1:CV300,91,FALSE)=0,0,HLOOKUP("Base BPS",A1:CV300,91,FALSE)/HLOOKUP("Mins",A1:CV300,91,FALSE)* 90)</f>
      </c>
      <c r="BA91" s="12455">
        <f>IF(HLOOKUP("Mins",A1:CV300,91,FALSE)=0,0,HLOOKUP("PenTchs",A1:CV300,91,FALSE)/HLOOKUP("Mins",A1:CV300,91,FALSE)* 90)</f>
      </c>
      <c r="BB91" s="12456">
        <f>IF(HLOOKUP("Mins",A1:CV300,91,FALSE)=0,0,HLOOKUP("Shots",A1:CV300,91,FALSE)/HLOOKUP("Mins",A1:CV300,91,FALSE)* 90)</f>
      </c>
      <c r="BC91" s="12457">
        <f>IF(HLOOKUP("Mins",A1:CV300,91,FALSE)=0,0,HLOOKUP("SIB",A1:CV300,91,FALSE)/HLOOKUP("Mins",A1:CV300,91,FALSE)* 90)</f>
      </c>
      <c r="BD91" s="12458">
        <f>IF(HLOOKUP("Mins",A1:CV300,91,FALSE)=0,0,HLOOKUP("S6YD",A1:CV300,91,FALSE)/HLOOKUP("Mins",A1:CV300,91,FALSE)* 90)</f>
      </c>
      <c r="BE91" s="12459">
        <f>IF(HLOOKUP("Mins",A1:CV300,91,FALSE)=0,0,HLOOKUP("Headers",A1:CV300,91,FALSE)/HLOOKUP("Mins",A1:CV300,91,FALSE)* 90)</f>
      </c>
      <c r="BF91" s="12460">
        <f>IF(HLOOKUP("Mins",A1:CV300,91,FALSE)=0,0,HLOOKUP("SOT",A1:CV300,91,FALSE)/HLOOKUP("Mins",A1:CV300,91,FALSE)* 90)</f>
      </c>
      <c r="BG91" s="12461">
        <f>IF(HLOOKUP("Mins",A1:CV300,91,FALSE)=0,0,HLOOKUP("As",A1:CV300,91,FALSE)/HLOOKUP("Mins",A1:CV300,91,FALSE)* 90)</f>
      </c>
      <c r="BH91" s="12462">
        <f>IF(HLOOKUP("Mins",A1:CV300,91,FALSE)=0,0,HLOOKUP("FPL As",A1:CV300,91,FALSE)/HLOOKUP("Mins",A1:CV300,91,FALSE)* 90)</f>
      </c>
      <c r="BI91" s="12463">
        <f>IF(HLOOKUP("Mins",A1:CV300,91,FALSE)=0,0,HLOOKUP("BC Created",A1:CV300,91,FALSE)/HLOOKUP("Mins",A1:CV300,91,FALSE)* 90)</f>
      </c>
      <c r="BJ91" s="12464">
        <f>IF(HLOOKUP("Mins",A1:CV300,91,FALSE)=0,0,HLOOKUP("KP",A1:CV300,91,FALSE)/HLOOKUP("Mins",A1:CV300,91,FALSE)* 90)</f>
      </c>
      <c r="BK91" s="12465">
        <f>IF(HLOOKUP("Mins",A1:CV300,91,FALSE)=0,0,HLOOKUP("BC",A1:CV300,91,FALSE)/HLOOKUP("Mins",A1:CV300,91,FALSE)* 90)</f>
      </c>
      <c r="BL91" s="12466">
        <f>IF(HLOOKUP("Mins",A1:CV300,91,FALSE)=0,0,HLOOKUP("BC Miss",A1:CV300,91,FALSE)/HLOOKUP("Mins",A1:CV300,91,FALSE)* 90)</f>
      </c>
      <c r="BM91" s="12467">
        <f>IF(HLOOKUP("Mins",A1:CV300,91,FALSE)=0,0,HLOOKUP("Gs - BC",A1:CV300,91,FALSE)/HLOOKUP("Mins",A1:CV300,91,FALSE)* 90)</f>
      </c>
      <c r="BN91" s="12468">
        <f>IF(HLOOKUP("Mins",A1:CV300,91,FALSE)=0,0,HLOOKUP("GIB",A1:CV300,91,FALSE)/HLOOKUP("Mins",A1:CV300,91,FALSE)* 90)</f>
      </c>
      <c r="BO91" s="12469">
        <f>IF(HLOOKUP("Mins",A1:CV300,91,FALSE)=0,0,HLOOKUP("Gs - Open",A1:CV300,91,FALSE)/HLOOKUP("Mins",A1:CV300,91,FALSE)* 90)</f>
      </c>
      <c r="BP91" s="12470">
        <f>IF(HLOOKUP("Mins",A1:CV300,91,FALSE)=0,0,HLOOKUP("ICT Index",A1:CV300,91,FALSE)/HLOOKUP("Mins",A1:CV300,91,FALSE)* 90)</f>
      </c>
      <c r="BQ91" s="12471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</c>
      <c r="BR91" s="12472">
        <f>0.0825*HLOOKUP("KP/90",A1:CV300,91,FALSE)</f>
      </c>
      <c r="BS91" s="12473">
        <f>6*HLOOKUP("xG/90",A1:CV300,91,FALSE)+3*HLOOKUP("xA/90",A1:CV300,91,FALSE)</f>
      </c>
      <c r="BT91" s="12474">
        <f>HLOOKUP("xPts/90",A1:CV300,91,FALSE)-(6*0.75*(HLOOKUP("PK Gs",A1:CV300,91,FALSE)+HLOOKUP("PK Miss",A1:CV300,91,FALSE))*90/HLOOKUP("Mins",A1:CV300,91,FALSE))</f>
      </c>
      <c r="BU91" s="12475">
        <f>IF(HLOOKUP("Mins",A1:CV300,91,FALSE)=0,0,HLOOKUP("fsXG",A1:CV300,91,FALSE)/HLOOKUP("Mins",A1:CV300,91,FALSE)* 90)</f>
      </c>
      <c r="BV91" s="12476">
        <f>IF(HLOOKUP("Mins",A1:CV300,91,FALSE)=0,0,HLOOKUP("fsXA",A1:CV300,91,FALSE)/HLOOKUP("Mins",A1:CV300,91,FALSE)* 90)</f>
      </c>
      <c r="BW91" s="12477">
        <f>6*HLOOKUP("fsXG/90",A1:CV300,91,FALSE)+3*HLOOKUP("fsXA/90",A1:CV300,91,FALSE)</f>
      </c>
      <c r="BX91" t="n" s="12478">
        <v>0.26239830255508423</v>
      </c>
      <c r="BY91" t="n" s="12479">
        <v>0.009329279884696007</v>
      </c>
      <c r="BZ91" s="12480">
        <f>6*HLOOKUP("uXG/90",A1:CV300,91,FALSE)+3*HLOOKUP("uXA/90",A1:CV300,91,FALSE)</f>
      </c>
    </row>
    <row r="92">
      <c r="A92" t="s" s="12481">
        <v>257</v>
      </c>
      <c r="B92" t="s" s="12482">
        <v>80</v>
      </c>
      <c r="C92" t="n" s="12483">
        <v>4.800000190734863</v>
      </c>
      <c r="D92" t="n" s="12484">
        <v>291.0</v>
      </c>
      <c r="E92" t="n" s="12485">
        <v>4.0</v>
      </c>
      <c r="F92" t="n" s="12486">
        <v>43.0</v>
      </c>
      <c r="G92" t="n" s="12487">
        <v>0.0</v>
      </c>
      <c r="H92" t="n" s="12488">
        <v>3.0</v>
      </c>
      <c r="I92" t="n" s="12489">
        <v>222.0</v>
      </c>
      <c r="J92" s="12490">
        <f>HLOOKUP("BPS",A1:CV300,92,FALSE)-((-6*HLOOKUP("OG",A1:CV300,92,FALSE))+(-6*HLOOKUP("PK Miss",A1:CV300,92,FALSE))+(9*HLOOKUP("FPL As",A1:CV300,92,FALSE))+(12*HLOOKUP("CS",A1:CV300,92,FALSE))+(12*HLOOKUP("Gs",A1:CV300,92,FALSE)))</f>
      </c>
      <c r="K92" t="n" s="12491">
        <v>0.0</v>
      </c>
      <c r="L92" t="n" s="12492">
        <v>3.0</v>
      </c>
      <c r="M92" t="n" s="12493">
        <v>4.0</v>
      </c>
      <c r="N92" t="n" s="12494">
        <v>1.0</v>
      </c>
      <c r="O92" t="n" s="12495">
        <v>1.0</v>
      </c>
      <c r="P92" s="12496">
        <f>IF(HLOOKUP("Shots",A1:CV300,92,FALSE)=0,0,HLOOKUP("SIB",A1:CV300,92,FALSE)/HLOOKUP("Shots",A1:CV300,92,FALSE))</f>
      </c>
      <c r="Q92" t="n" s="12497">
        <v>0.0</v>
      </c>
      <c r="R92" s="12498">
        <f>IF(HLOOKUP("Shots",A1:CV300,92,FALSE)=0,0,HLOOKUP("S6YD",A1:CV300,92,FALSE)/HLOOKUP("Shots",A1:CV300,92,FALSE))</f>
      </c>
      <c r="S92" t="n" s="12499">
        <v>1.0</v>
      </c>
      <c r="T92" s="12500">
        <f>IF(HLOOKUP("Shots",A1:CV300,92,FALSE)=0,0,HLOOKUP("Headers",A1:CV300,92,FALSE)/HLOOKUP("Shots",A1:CV300,92,FALSE))</f>
      </c>
      <c r="U92" t="n" s="12501">
        <v>1.0</v>
      </c>
      <c r="V92" s="12502">
        <f>IF(HLOOKUP("Shots",A1:CV300,92,FALSE)=0,0,HLOOKUP("SOT",A1:CV300,92,FALSE)/HLOOKUP("Shots",A1:CV300,92,FALSE))</f>
      </c>
      <c r="W92" s="12503">
        <f>IF(HLOOKUP("Shots",A1:CV300,92,FALSE)=0,0,HLOOKUP("Gs",A1:CV300,92,FALSE)/HLOOKUP("Shots",A1:CV300,92,FALSE))</f>
      </c>
      <c r="X92" t="n" s="12504">
        <v>1.0</v>
      </c>
      <c r="Y92" t="n" s="12505">
        <v>1.0</v>
      </c>
      <c r="Z92" t="n" s="12506">
        <v>3.0</v>
      </c>
      <c r="AA92" s="12507">
        <f>IF(HLOOKUP("KP",A1:CV300,92,FALSE)=0,0,HLOOKUP("As",A1:CV300,92,FALSE)/HLOOKUP("KP",A1:CV300,92,FALSE))</f>
      </c>
      <c r="AB92" t="n" s="12508">
        <v>15.9</v>
      </c>
      <c r="AC92" t="n" s="12509">
        <v>20.0</v>
      </c>
      <c r="AD92" t="n" s="12510">
        <v>0.0</v>
      </c>
      <c r="AE92" t="n" s="12511">
        <v>0.0</v>
      </c>
      <c r="AF92" t="n" s="12512">
        <v>0.0</v>
      </c>
      <c r="AG92" s="12513">
        <f>IF(HLOOKUP("BC",A1:CV300,92,FALSE)=0,0,HLOOKUP("Gs - BC",A1:CV300,92,FALSE)/HLOOKUP("BC",A1:CV300,92,FALSE))</f>
      </c>
      <c r="AH92" s="12514">
        <f>HLOOKUP("BC",A1:CV300,92,FALSE) - HLOOKUP("BC Miss",A1:CV300,92,FALSE)</f>
      </c>
      <c r="AI92" s="12515">
        <f>IF(HLOOKUP("Gs",A1:CV300,92,FALSE)=0,0,HLOOKUP("Gs - BC",A1:CV300,92,FALSE)/HLOOKUP("Gs",A1:CV300,92,FALSE))</f>
      </c>
      <c r="AJ92" t="n" s="12516">
        <v>0.0</v>
      </c>
      <c r="AK92" t="n" s="12517">
        <v>0.0</v>
      </c>
      <c r="AL92" s="12518">
        <f>HLOOKUP("BC",A1:CV300,92,FALSE) - (HLOOKUP("PK Gs",A1:CV300,92,FALSE) + HLOOKUP("PK Miss",A1:CV300,92,FALSE))</f>
      </c>
      <c r="AM92" s="12519">
        <f>HLOOKUP("BC Miss",A1:CV300,92,FALSE) - HLOOKUP("PK Miss",A1:CV300,92,FALSE)</f>
      </c>
      <c r="AN92" s="12520">
        <f>IF(HLOOKUP("BC - Open",A1:CV300,92,FALSE)=0,0,HLOOKUP("BC - Open Miss",A1:CV300,92,FALSE)/HLOOKUP("BC - Open",A1:CV300,92,FALSE))</f>
      </c>
      <c r="AO92" t="n" s="12521">
        <v>0.0</v>
      </c>
      <c r="AP92" s="12522">
        <f>IF(HLOOKUP("Gs",A1:CV300,92,FALSE)=0,0,HLOOKUP("GIB",A1:CV300,92,FALSE)/HLOOKUP("Gs",A1:CV300,92,FALSE))</f>
      </c>
      <c r="AQ92" t="n" s="12523">
        <v>0.0</v>
      </c>
      <c r="AR92" s="12524">
        <f>IF(HLOOKUP("Gs",A1:CV300,92,FALSE)=0,0,HLOOKUP("Gs - Open",A1:CV300,92,FALSE)/HLOOKUP("Gs",A1:CV300,92,FALSE))</f>
      </c>
      <c r="AS92" t="n" s="12525">
        <v>0.06</v>
      </c>
      <c r="AT92" t="n" s="12526">
        <v>0.2</v>
      </c>
      <c r="AU92" s="12527">
        <f>IF(HLOOKUP("Mins",A1:CV300,92,FALSE)=0,0,HLOOKUP("Pts",A1:CV300,92,FALSE)/HLOOKUP("Mins",A1:CV300,92,FALSE)* 90)</f>
      </c>
      <c r="AV92" s="12528">
        <f>IF(HLOOKUP("Apps",A1:CV300,92,FALSE)=0,0,HLOOKUP("Pts",A1:CV300,92,FALSE)/HLOOKUP("Apps",A1:CV300,92,FALSE)* 1)</f>
      </c>
      <c r="AW92" s="12529">
        <f>IF(HLOOKUP("Mins",A1:CV300,92,FALSE)=0,0,HLOOKUP("Gs",A1:CV300,92,FALSE)/HLOOKUP("Mins",A1:CV300,92,FALSE)* 90)</f>
      </c>
      <c r="AX92" s="12530">
        <f>IF(HLOOKUP("Mins",A1:CV300,92,FALSE)=0,0,HLOOKUP("Bonus",A1:CV300,92,FALSE)/HLOOKUP("Mins",A1:CV300,92,FALSE)* 90)</f>
      </c>
      <c r="AY92" s="12531">
        <f>IF(HLOOKUP("Mins",A1:CV300,92,FALSE)=0,0,HLOOKUP("BPS",A1:CV300,92,FALSE)/HLOOKUP("Mins",A1:CV300,92,FALSE)* 90)</f>
      </c>
      <c r="AZ92" s="12532">
        <f>IF(HLOOKUP("Mins",A1:CV300,92,FALSE)=0,0,HLOOKUP("Base BPS",A1:CV300,92,FALSE)/HLOOKUP("Mins",A1:CV300,92,FALSE)* 90)</f>
      </c>
      <c r="BA92" s="12533">
        <f>IF(HLOOKUP("Mins",A1:CV300,92,FALSE)=0,0,HLOOKUP("PenTchs",A1:CV300,92,FALSE)/HLOOKUP("Mins",A1:CV300,92,FALSE)* 90)</f>
      </c>
      <c r="BB92" s="12534">
        <f>IF(HLOOKUP("Mins",A1:CV300,92,FALSE)=0,0,HLOOKUP("Shots",A1:CV300,92,FALSE)/HLOOKUP("Mins",A1:CV300,92,FALSE)* 90)</f>
      </c>
      <c r="BC92" s="12535">
        <f>IF(HLOOKUP("Mins",A1:CV300,92,FALSE)=0,0,HLOOKUP("SIB",A1:CV300,92,FALSE)/HLOOKUP("Mins",A1:CV300,92,FALSE)* 90)</f>
      </c>
      <c r="BD92" s="12536">
        <f>IF(HLOOKUP("Mins",A1:CV300,92,FALSE)=0,0,HLOOKUP("S6YD",A1:CV300,92,FALSE)/HLOOKUP("Mins",A1:CV300,92,FALSE)* 90)</f>
      </c>
      <c r="BE92" s="12537">
        <f>IF(HLOOKUP("Mins",A1:CV300,92,FALSE)=0,0,HLOOKUP("Headers",A1:CV300,92,FALSE)/HLOOKUP("Mins",A1:CV300,92,FALSE)* 90)</f>
      </c>
      <c r="BF92" s="12538">
        <f>IF(HLOOKUP("Mins",A1:CV300,92,FALSE)=0,0,HLOOKUP("SOT",A1:CV300,92,FALSE)/HLOOKUP("Mins",A1:CV300,92,FALSE)* 90)</f>
      </c>
      <c r="BG92" s="12539">
        <f>IF(HLOOKUP("Mins",A1:CV300,92,FALSE)=0,0,HLOOKUP("As",A1:CV300,92,FALSE)/HLOOKUP("Mins",A1:CV300,92,FALSE)* 90)</f>
      </c>
      <c r="BH92" s="12540">
        <f>IF(HLOOKUP("Mins",A1:CV300,92,FALSE)=0,0,HLOOKUP("FPL As",A1:CV300,92,FALSE)/HLOOKUP("Mins",A1:CV300,92,FALSE)* 90)</f>
      </c>
      <c r="BI92" s="12541">
        <f>IF(HLOOKUP("Mins",A1:CV300,92,FALSE)=0,0,HLOOKUP("BC Created",A1:CV300,92,FALSE)/HLOOKUP("Mins",A1:CV300,92,FALSE)* 90)</f>
      </c>
      <c r="BJ92" s="12542">
        <f>IF(HLOOKUP("Mins",A1:CV300,92,FALSE)=0,0,HLOOKUP("KP",A1:CV300,92,FALSE)/HLOOKUP("Mins",A1:CV300,92,FALSE)* 90)</f>
      </c>
      <c r="BK92" s="12543">
        <f>IF(HLOOKUP("Mins",A1:CV300,92,FALSE)=0,0,HLOOKUP("BC",A1:CV300,92,FALSE)/HLOOKUP("Mins",A1:CV300,92,FALSE)* 90)</f>
      </c>
      <c r="BL92" s="12544">
        <f>IF(HLOOKUP("Mins",A1:CV300,92,FALSE)=0,0,HLOOKUP("BC Miss",A1:CV300,92,FALSE)/HLOOKUP("Mins",A1:CV300,92,FALSE)* 90)</f>
      </c>
      <c r="BM92" s="12545">
        <f>IF(HLOOKUP("Mins",A1:CV300,92,FALSE)=0,0,HLOOKUP("Gs - BC",A1:CV300,92,FALSE)/HLOOKUP("Mins",A1:CV300,92,FALSE)* 90)</f>
      </c>
      <c r="BN92" s="12546">
        <f>IF(HLOOKUP("Mins",A1:CV300,92,FALSE)=0,0,HLOOKUP("GIB",A1:CV300,92,FALSE)/HLOOKUP("Mins",A1:CV300,92,FALSE)* 90)</f>
      </c>
      <c r="BO92" s="12547">
        <f>IF(HLOOKUP("Mins",A1:CV300,92,FALSE)=0,0,HLOOKUP("Gs - Open",A1:CV300,92,FALSE)/HLOOKUP("Mins",A1:CV300,92,FALSE)* 90)</f>
      </c>
      <c r="BP92" s="12548">
        <f>IF(HLOOKUP("Mins",A1:CV300,92,FALSE)=0,0,HLOOKUP("ICT Index",A1:CV300,92,FALSE)/HLOOKUP("Mins",A1:CV300,92,FALSE)* 90)</f>
      </c>
      <c r="BQ92" s="12549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</c>
      <c r="BR92" s="12550">
        <f>0.0825*HLOOKUP("KP/90",A1:CV300,92,FALSE)</f>
      </c>
      <c r="BS92" s="12551">
        <f>6*HLOOKUP("xG/90",A1:CV300,92,FALSE)+3*HLOOKUP("xA/90",A1:CV300,92,FALSE)</f>
      </c>
      <c r="BT92" s="12552">
        <f>HLOOKUP("xPts/90",A1:CV300,92,FALSE)-(6*0.75*(HLOOKUP("PK Gs",A1:CV300,92,FALSE)+HLOOKUP("PK Miss",A1:CV300,92,FALSE))*90/HLOOKUP("Mins",A1:CV300,92,FALSE))</f>
      </c>
      <c r="BU92" s="12553">
        <f>IF(HLOOKUP("Mins",A1:CV300,92,FALSE)=0,0,HLOOKUP("fsXG",A1:CV300,92,FALSE)/HLOOKUP("Mins",A1:CV300,92,FALSE)* 90)</f>
      </c>
      <c r="BV92" s="12554">
        <f>IF(HLOOKUP("Mins",A1:CV300,92,FALSE)=0,0,HLOOKUP("fsXA",A1:CV300,92,FALSE)/HLOOKUP("Mins",A1:CV300,92,FALSE)* 90)</f>
      </c>
      <c r="BW92" s="12555">
        <f>6*HLOOKUP("fsXG/90",A1:CV300,92,FALSE)+3*HLOOKUP("fsXA/90",A1:CV300,92,FALSE)</f>
      </c>
      <c r="BX92" t="n" s="12556">
        <v>0.03600608557462692</v>
      </c>
      <c r="BY92" t="n" s="12557">
        <v>0.07223520427942276</v>
      </c>
      <c r="BZ92" s="12558">
        <f>6*HLOOKUP("uXG/90",A1:CV300,92,FALSE)+3*HLOOKUP("uXA/90",A1:CV300,92,FALSE)</f>
      </c>
    </row>
    <row r="93">
      <c r="A93" t="s" s="12559">
        <v>258</v>
      </c>
      <c r="B93" t="s" s="12560">
        <v>149</v>
      </c>
      <c r="C93" t="n" s="12561">
        <v>4.699999809265137</v>
      </c>
      <c r="D93" t="n" s="12562">
        <v>135.0</v>
      </c>
      <c r="E93" t="n" s="12563">
        <v>2.0</v>
      </c>
      <c r="F93" t="n" s="12564">
        <v>37.0</v>
      </c>
      <c r="G93" t="n" s="12565">
        <v>0.0</v>
      </c>
      <c r="H93" t="n" s="12566">
        <v>1.0</v>
      </c>
      <c r="I93" t="n" s="12567">
        <v>288.0</v>
      </c>
      <c r="J93" s="12568">
        <f>HLOOKUP("BPS",A1:CV300,93,FALSE)-((-6*HLOOKUP("OG",A1:CV300,93,FALSE))+(-6*HLOOKUP("PK Miss",A1:CV300,93,FALSE))+(9*HLOOKUP("FPL As",A1:CV300,93,FALSE))+(12*HLOOKUP("CS",A1:CV300,93,FALSE))+(12*HLOOKUP("Gs",A1:CV300,93,FALSE)))</f>
      </c>
      <c r="K93" t="n" s="12569">
        <v>1.0</v>
      </c>
      <c r="L93" t="n" s="12570">
        <v>3.0</v>
      </c>
      <c r="M93" t="n" s="12571">
        <v>6.0</v>
      </c>
      <c r="N93" t="n" s="12572">
        <v>0.0</v>
      </c>
      <c r="O93" t="n" s="12573">
        <v>0.0</v>
      </c>
      <c r="P93" s="12574">
        <f>IF(HLOOKUP("Shots",A1:CV300,93,FALSE)=0,0,HLOOKUP("SIB",A1:CV300,93,FALSE)/HLOOKUP("Shots",A1:CV300,93,FALSE))</f>
      </c>
      <c r="Q93" t="n" s="12575">
        <v>0.0</v>
      </c>
      <c r="R93" s="12576">
        <f>IF(HLOOKUP("Shots",A1:CV300,93,FALSE)=0,0,HLOOKUP("S6YD",A1:CV300,93,FALSE)/HLOOKUP("Shots",A1:CV300,93,FALSE))</f>
      </c>
      <c r="S93" t="n" s="12577">
        <v>0.0</v>
      </c>
      <c r="T93" s="12578">
        <f>IF(HLOOKUP("Shots",A1:CV300,93,FALSE)=0,0,HLOOKUP("Headers",A1:CV300,93,FALSE)/HLOOKUP("Shots",A1:CV300,93,FALSE))</f>
      </c>
      <c r="U93" t="n" s="12579">
        <v>0.0</v>
      </c>
      <c r="V93" s="12580">
        <f>IF(HLOOKUP("Shots",A1:CV300,93,FALSE)=0,0,HLOOKUP("SOT",A1:CV300,93,FALSE)/HLOOKUP("Shots",A1:CV300,93,FALSE))</f>
      </c>
      <c r="W93" s="12581">
        <f>IF(HLOOKUP("Shots",A1:CV300,93,FALSE)=0,0,HLOOKUP("Gs",A1:CV300,93,FALSE)/HLOOKUP("Shots",A1:CV300,93,FALSE))</f>
      </c>
      <c r="X93" t="n" s="12582">
        <v>0.0</v>
      </c>
      <c r="Y93" t="n" s="12583">
        <v>0.0</v>
      </c>
      <c r="Z93" t="n" s="12584">
        <v>1.0</v>
      </c>
      <c r="AA93" s="12585">
        <f>IF(HLOOKUP("KP",A1:CV300,93,FALSE)=0,0,HLOOKUP("As",A1:CV300,93,FALSE)/HLOOKUP("KP",A1:CV300,93,FALSE))</f>
      </c>
      <c r="AB93" t="n" s="12586">
        <v>6.0</v>
      </c>
      <c r="AC93" t="n" s="12587">
        <v>0.0</v>
      </c>
      <c r="AD93" t="n" s="12588">
        <v>0.0</v>
      </c>
      <c r="AE93" t="n" s="12589">
        <v>0.0</v>
      </c>
      <c r="AF93" t="n" s="12590">
        <v>0.0</v>
      </c>
      <c r="AG93" s="12591">
        <f>IF(HLOOKUP("BC",A1:CV300,93,FALSE)=0,0,HLOOKUP("Gs - BC",A1:CV300,93,FALSE)/HLOOKUP("BC",A1:CV300,93,FALSE))</f>
      </c>
      <c r="AH93" s="12592">
        <f>HLOOKUP("BC",A1:CV300,93,FALSE) - HLOOKUP("BC Miss",A1:CV300,93,FALSE)</f>
      </c>
      <c r="AI93" s="12593">
        <f>IF(HLOOKUP("Gs",A1:CV300,93,FALSE)=0,0,HLOOKUP("Gs - BC",A1:CV300,93,FALSE)/HLOOKUP("Gs",A1:CV300,93,FALSE))</f>
      </c>
      <c r="AJ93" t="n" s="12594">
        <v>0.0</v>
      </c>
      <c r="AK93" t="n" s="12595">
        <v>0.0</v>
      </c>
      <c r="AL93" s="12596">
        <f>HLOOKUP("BC",A1:CV300,93,FALSE) - (HLOOKUP("PK Gs",A1:CV300,93,FALSE) + HLOOKUP("PK Miss",A1:CV300,93,FALSE))</f>
      </c>
      <c r="AM93" s="12597">
        <f>HLOOKUP("BC Miss",A1:CV300,93,FALSE) - HLOOKUP("PK Miss",A1:CV300,93,FALSE)</f>
      </c>
      <c r="AN93" s="12598">
        <f>IF(HLOOKUP("BC - Open",A1:CV300,93,FALSE)=0,0,HLOOKUP("BC - Open Miss",A1:CV300,93,FALSE)/HLOOKUP("BC - Open",A1:CV300,93,FALSE))</f>
      </c>
      <c r="AO93" t="n" s="12599">
        <v>0.0</v>
      </c>
      <c r="AP93" s="12600">
        <f>IF(HLOOKUP("Gs",A1:CV300,93,FALSE)=0,0,HLOOKUP("GIB",A1:CV300,93,FALSE)/HLOOKUP("Gs",A1:CV300,93,FALSE))</f>
      </c>
      <c r="AQ93" t="n" s="12601">
        <v>0.0</v>
      </c>
      <c r="AR93" s="12602">
        <f>IF(HLOOKUP("Gs",A1:CV300,93,FALSE)=0,0,HLOOKUP("Gs - Open",A1:CV300,93,FALSE)/HLOOKUP("Gs",A1:CV300,93,FALSE))</f>
      </c>
      <c r="AS93" t="n" s="12603">
        <v>0.09</v>
      </c>
      <c r="AT93" t="n" s="12604">
        <v>0.14</v>
      </c>
      <c r="AU93" s="12605">
        <f>IF(HLOOKUP("Mins",A1:CV300,93,FALSE)=0,0,HLOOKUP("Pts",A1:CV300,93,FALSE)/HLOOKUP("Mins",A1:CV300,93,FALSE)* 90)</f>
      </c>
      <c r="AV93" s="12606">
        <f>IF(HLOOKUP("Apps",A1:CV300,93,FALSE)=0,0,HLOOKUP("Pts",A1:CV300,93,FALSE)/HLOOKUP("Apps",A1:CV300,93,FALSE)* 1)</f>
      </c>
      <c r="AW93" s="12607">
        <f>IF(HLOOKUP("Mins",A1:CV300,93,FALSE)=0,0,HLOOKUP("Gs",A1:CV300,93,FALSE)/HLOOKUP("Mins",A1:CV300,93,FALSE)* 90)</f>
      </c>
      <c r="AX93" s="12608">
        <f>IF(HLOOKUP("Mins",A1:CV300,93,FALSE)=0,0,HLOOKUP("Bonus",A1:CV300,93,FALSE)/HLOOKUP("Mins",A1:CV300,93,FALSE)* 90)</f>
      </c>
      <c r="AY93" s="12609">
        <f>IF(HLOOKUP("Mins",A1:CV300,93,FALSE)=0,0,HLOOKUP("BPS",A1:CV300,93,FALSE)/HLOOKUP("Mins",A1:CV300,93,FALSE)* 90)</f>
      </c>
      <c r="AZ93" s="12610">
        <f>IF(HLOOKUP("Mins",A1:CV300,93,FALSE)=0,0,HLOOKUP("Base BPS",A1:CV300,93,FALSE)/HLOOKUP("Mins",A1:CV300,93,FALSE)* 90)</f>
      </c>
      <c r="BA93" s="12611">
        <f>IF(HLOOKUP("Mins",A1:CV300,93,FALSE)=0,0,HLOOKUP("PenTchs",A1:CV300,93,FALSE)/HLOOKUP("Mins",A1:CV300,93,FALSE)* 90)</f>
      </c>
      <c r="BB93" s="12612">
        <f>IF(HLOOKUP("Mins",A1:CV300,93,FALSE)=0,0,HLOOKUP("Shots",A1:CV300,93,FALSE)/HLOOKUP("Mins",A1:CV300,93,FALSE)* 90)</f>
      </c>
      <c r="BC93" s="12613">
        <f>IF(HLOOKUP("Mins",A1:CV300,93,FALSE)=0,0,HLOOKUP("SIB",A1:CV300,93,FALSE)/HLOOKUP("Mins",A1:CV300,93,FALSE)* 90)</f>
      </c>
      <c r="BD93" s="12614">
        <f>IF(HLOOKUP("Mins",A1:CV300,93,FALSE)=0,0,HLOOKUP("S6YD",A1:CV300,93,FALSE)/HLOOKUP("Mins",A1:CV300,93,FALSE)* 90)</f>
      </c>
      <c r="BE93" s="12615">
        <f>IF(HLOOKUP("Mins",A1:CV300,93,FALSE)=0,0,HLOOKUP("Headers",A1:CV300,93,FALSE)/HLOOKUP("Mins",A1:CV300,93,FALSE)* 90)</f>
      </c>
      <c r="BF93" s="12616">
        <f>IF(HLOOKUP("Mins",A1:CV300,93,FALSE)=0,0,HLOOKUP("SOT",A1:CV300,93,FALSE)/HLOOKUP("Mins",A1:CV300,93,FALSE)* 90)</f>
      </c>
      <c r="BG93" s="12617">
        <f>IF(HLOOKUP("Mins",A1:CV300,93,FALSE)=0,0,HLOOKUP("As",A1:CV300,93,FALSE)/HLOOKUP("Mins",A1:CV300,93,FALSE)* 90)</f>
      </c>
      <c r="BH93" s="12618">
        <f>IF(HLOOKUP("Mins",A1:CV300,93,FALSE)=0,0,HLOOKUP("FPL As",A1:CV300,93,FALSE)/HLOOKUP("Mins",A1:CV300,93,FALSE)* 90)</f>
      </c>
      <c r="BI93" s="12619">
        <f>IF(HLOOKUP("Mins",A1:CV300,93,FALSE)=0,0,HLOOKUP("BC Created",A1:CV300,93,FALSE)/HLOOKUP("Mins",A1:CV300,93,FALSE)* 90)</f>
      </c>
      <c r="BJ93" s="12620">
        <f>IF(HLOOKUP("Mins",A1:CV300,93,FALSE)=0,0,HLOOKUP("KP",A1:CV300,93,FALSE)/HLOOKUP("Mins",A1:CV300,93,FALSE)* 90)</f>
      </c>
      <c r="BK93" s="12621">
        <f>IF(HLOOKUP("Mins",A1:CV300,93,FALSE)=0,0,HLOOKUP("BC",A1:CV300,93,FALSE)/HLOOKUP("Mins",A1:CV300,93,FALSE)* 90)</f>
      </c>
      <c r="BL93" s="12622">
        <f>IF(HLOOKUP("Mins",A1:CV300,93,FALSE)=0,0,HLOOKUP("BC Miss",A1:CV300,93,FALSE)/HLOOKUP("Mins",A1:CV300,93,FALSE)* 90)</f>
      </c>
      <c r="BM93" s="12623">
        <f>IF(HLOOKUP("Mins",A1:CV300,93,FALSE)=0,0,HLOOKUP("Gs - BC",A1:CV300,93,FALSE)/HLOOKUP("Mins",A1:CV300,93,FALSE)* 90)</f>
      </c>
      <c r="BN93" s="12624">
        <f>IF(HLOOKUP("Mins",A1:CV300,93,FALSE)=0,0,HLOOKUP("GIB",A1:CV300,93,FALSE)/HLOOKUP("Mins",A1:CV300,93,FALSE)* 90)</f>
      </c>
      <c r="BO93" s="12625">
        <f>IF(HLOOKUP("Mins",A1:CV300,93,FALSE)=0,0,HLOOKUP("Gs - Open",A1:CV300,93,FALSE)/HLOOKUP("Mins",A1:CV300,93,FALSE)* 90)</f>
      </c>
      <c r="BP93" s="12626">
        <f>IF(HLOOKUP("Mins",A1:CV300,93,FALSE)=0,0,HLOOKUP("ICT Index",A1:CV300,93,FALSE)/HLOOKUP("Mins",A1:CV300,93,FALSE)* 90)</f>
      </c>
      <c r="BQ93" s="12627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</c>
      <c r="BR93" s="12628">
        <f>0.0825*HLOOKUP("KP/90",A1:CV300,93,FALSE)</f>
      </c>
      <c r="BS93" s="12629">
        <f>6*HLOOKUP("xG/90",A1:CV300,93,FALSE)+3*HLOOKUP("xA/90",A1:CV300,93,FALSE)</f>
      </c>
      <c r="BT93" s="12630">
        <f>HLOOKUP("xPts/90",A1:CV300,93,FALSE)-(6*0.75*(HLOOKUP("PK Gs",A1:CV300,93,FALSE)+HLOOKUP("PK Miss",A1:CV300,93,FALSE))*90/HLOOKUP("Mins",A1:CV300,93,FALSE))</f>
      </c>
      <c r="BU93" s="12631">
        <f>IF(HLOOKUP("Mins",A1:CV300,93,FALSE)=0,0,HLOOKUP("fsXG",A1:CV300,93,FALSE)/HLOOKUP("Mins",A1:CV300,93,FALSE)* 90)</f>
      </c>
      <c r="BV93" s="12632">
        <f>IF(HLOOKUP("Mins",A1:CV300,93,FALSE)=0,0,HLOOKUP("fsXA",A1:CV300,93,FALSE)/HLOOKUP("Mins",A1:CV300,93,FALSE)* 90)</f>
      </c>
      <c r="BW93" s="12633">
        <f>6*HLOOKUP("fsXG/90",A1:CV300,93,FALSE)+3*HLOOKUP("fsXA/90",A1:CV300,93,FALSE)</f>
      </c>
      <c r="BX93" t="n" s="12634">
        <v>0.0</v>
      </c>
      <c r="BY93" t="n" s="12635">
        <v>0.08375759422779083</v>
      </c>
      <c r="BZ93" s="12636">
        <f>6*HLOOKUP("uXG/90",A1:CV300,93,FALSE)+3*HLOOKUP("uXA/90",A1:CV300,93,FALSE)</f>
      </c>
    </row>
    <row r="94">
      <c r="A94" t="s" s="12637">
        <v>259</v>
      </c>
      <c r="B94" t="s" s="12638">
        <v>97</v>
      </c>
      <c r="C94" t="n" s="12639">
        <v>5.0</v>
      </c>
      <c r="D94" t="n" s="12640">
        <v>540.0</v>
      </c>
      <c r="E94" t="n" s="12641">
        <v>6.0</v>
      </c>
      <c r="F94" t="n" s="12642">
        <v>75.0</v>
      </c>
      <c r="G94" t="n" s="12643">
        <v>0.0</v>
      </c>
      <c r="H94" t="n" s="12644">
        <v>1.0</v>
      </c>
      <c r="I94" t="n" s="12645">
        <v>430.0</v>
      </c>
      <c r="J94" s="12646">
        <f>HLOOKUP("BPS",A1:CV300,94,FALSE)-((-6*HLOOKUP("OG",A1:CV300,94,FALSE))+(-6*HLOOKUP("PK Miss",A1:CV300,94,FALSE))+(9*HLOOKUP("FPL As",A1:CV300,94,FALSE))+(12*HLOOKUP("CS",A1:CV300,94,FALSE))+(12*HLOOKUP("Gs",A1:CV300,94,FALSE)))</f>
      </c>
      <c r="K94" t="n" s="12647">
        <v>0.0</v>
      </c>
      <c r="L94" t="n" s="12648">
        <v>9.0</v>
      </c>
      <c r="M94" t="n" s="12649">
        <v>10.0</v>
      </c>
      <c r="N94" t="n" s="12650">
        <v>5.0</v>
      </c>
      <c r="O94" t="n" s="12651">
        <v>5.0</v>
      </c>
      <c r="P94" s="12652">
        <f>IF(HLOOKUP("Shots",A1:CV300,94,FALSE)=0,0,HLOOKUP("SIB",A1:CV300,94,FALSE)/HLOOKUP("Shots",A1:CV300,94,FALSE))</f>
      </c>
      <c r="Q94" t="n" s="12653">
        <v>4.0</v>
      </c>
      <c r="R94" s="12654">
        <f>IF(HLOOKUP("Shots",A1:CV300,94,FALSE)=0,0,HLOOKUP("S6YD",A1:CV300,94,FALSE)/HLOOKUP("Shots",A1:CV300,94,FALSE))</f>
      </c>
      <c r="S94" t="n" s="12655">
        <v>5.0</v>
      </c>
      <c r="T94" s="12656">
        <f>IF(HLOOKUP("Shots",A1:CV300,94,FALSE)=0,0,HLOOKUP("Headers",A1:CV300,94,FALSE)/HLOOKUP("Shots",A1:CV300,94,FALSE))</f>
      </c>
      <c r="U94" t="n" s="12657">
        <v>1.0</v>
      </c>
      <c r="V94" s="12658">
        <f>IF(HLOOKUP("Shots",A1:CV300,94,FALSE)=0,0,HLOOKUP("SOT",A1:CV300,94,FALSE)/HLOOKUP("Shots",A1:CV300,94,FALSE))</f>
      </c>
      <c r="W94" s="12659">
        <f>IF(HLOOKUP("Shots",A1:CV300,94,FALSE)=0,0,HLOOKUP("Gs",A1:CV300,94,FALSE)/HLOOKUP("Shots",A1:CV300,94,FALSE))</f>
      </c>
      <c r="X94" t="n" s="12660">
        <v>1.0</v>
      </c>
      <c r="Y94" t="n" s="12661">
        <v>2.0</v>
      </c>
      <c r="Z94" t="n" s="12662">
        <v>3.0</v>
      </c>
      <c r="AA94" s="12663">
        <f>IF(HLOOKUP("KP",A1:CV300,94,FALSE)=0,0,HLOOKUP("As",A1:CV300,94,FALSE)/HLOOKUP("KP",A1:CV300,94,FALSE))</f>
      </c>
      <c r="AB94" t="n" s="12664">
        <v>30.5</v>
      </c>
      <c r="AC94" t="n" s="12665">
        <v>29.0</v>
      </c>
      <c r="AD94" t="n" s="12666">
        <v>1.0</v>
      </c>
      <c r="AE94" t="n" s="12667">
        <v>2.0</v>
      </c>
      <c r="AF94" t="n" s="12668">
        <v>2.0</v>
      </c>
      <c r="AG94" s="12669">
        <f>IF(HLOOKUP("BC",A1:CV300,94,FALSE)=0,0,HLOOKUP("Gs - BC",A1:CV300,94,FALSE)/HLOOKUP("BC",A1:CV300,94,FALSE))</f>
      </c>
      <c r="AH94" s="12670">
        <f>HLOOKUP("BC",A1:CV300,94,FALSE) - HLOOKUP("BC Miss",A1:CV300,94,FALSE)</f>
      </c>
      <c r="AI94" s="12671">
        <f>IF(HLOOKUP("Gs",A1:CV300,94,FALSE)=0,0,HLOOKUP("Gs - BC",A1:CV300,94,FALSE)/HLOOKUP("Gs",A1:CV300,94,FALSE))</f>
      </c>
      <c r="AJ94" t="n" s="12672">
        <v>0.0</v>
      </c>
      <c r="AK94" t="n" s="12673">
        <v>0.0</v>
      </c>
      <c r="AL94" s="12674">
        <f>HLOOKUP("BC",A1:CV300,94,FALSE) - (HLOOKUP("PK Gs",A1:CV300,94,FALSE) + HLOOKUP("PK Miss",A1:CV300,94,FALSE))</f>
      </c>
      <c r="AM94" s="12675">
        <f>HLOOKUP("BC Miss",A1:CV300,94,FALSE) - HLOOKUP("PK Miss",A1:CV300,94,FALSE)</f>
      </c>
      <c r="AN94" s="12676">
        <f>IF(HLOOKUP("BC - Open",A1:CV300,94,FALSE)=0,0,HLOOKUP("BC - Open Miss",A1:CV300,94,FALSE)/HLOOKUP("BC - Open",A1:CV300,94,FALSE))</f>
      </c>
      <c r="AO94" t="n" s="12677">
        <v>0.0</v>
      </c>
      <c r="AP94" s="12678">
        <f>IF(HLOOKUP("Gs",A1:CV300,94,FALSE)=0,0,HLOOKUP("GIB",A1:CV300,94,FALSE)/HLOOKUP("Gs",A1:CV300,94,FALSE))</f>
      </c>
      <c r="AQ94" t="n" s="12679">
        <v>0.0</v>
      </c>
      <c r="AR94" s="12680">
        <f>IF(HLOOKUP("Gs",A1:CV300,94,FALSE)=0,0,HLOOKUP("Gs - Open",A1:CV300,94,FALSE)/HLOOKUP("Gs",A1:CV300,94,FALSE))</f>
      </c>
      <c r="AS94" t="n" s="12681">
        <v>0.6</v>
      </c>
      <c r="AT94" t="n" s="12682">
        <v>0.26</v>
      </c>
      <c r="AU94" s="12683">
        <f>IF(HLOOKUP("Mins",A1:CV300,94,FALSE)=0,0,HLOOKUP("Pts",A1:CV300,94,FALSE)/HLOOKUP("Mins",A1:CV300,94,FALSE)* 90)</f>
      </c>
      <c r="AV94" s="12684">
        <f>IF(HLOOKUP("Apps",A1:CV300,94,FALSE)=0,0,HLOOKUP("Pts",A1:CV300,94,FALSE)/HLOOKUP("Apps",A1:CV300,94,FALSE)* 1)</f>
      </c>
      <c r="AW94" s="12685">
        <f>IF(HLOOKUP("Mins",A1:CV300,94,FALSE)=0,0,HLOOKUP("Gs",A1:CV300,94,FALSE)/HLOOKUP("Mins",A1:CV300,94,FALSE)* 90)</f>
      </c>
      <c r="AX94" s="12686">
        <f>IF(HLOOKUP("Mins",A1:CV300,94,FALSE)=0,0,HLOOKUP("Bonus",A1:CV300,94,FALSE)/HLOOKUP("Mins",A1:CV300,94,FALSE)* 90)</f>
      </c>
      <c r="AY94" s="12687">
        <f>IF(HLOOKUP("Mins",A1:CV300,94,FALSE)=0,0,HLOOKUP("BPS",A1:CV300,94,FALSE)/HLOOKUP("Mins",A1:CV300,94,FALSE)* 90)</f>
      </c>
      <c r="AZ94" s="12688">
        <f>IF(HLOOKUP("Mins",A1:CV300,94,FALSE)=0,0,HLOOKUP("Base BPS",A1:CV300,94,FALSE)/HLOOKUP("Mins",A1:CV300,94,FALSE)* 90)</f>
      </c>
      <c r="BA94" s="12689">
        <f>IF(HLOOKUP("Mins",A1:CV300,94,FALSE)=0,0,HLOOKUP("PenTchs",A1:CV300,94,FALSE)/HLOOKUP("Mins",A1:CV300,94,FALSE)* 90)</f>
      </c>
      <c r="BB94" s="12690">
        <f>IF(HLOOKUP("Mins",A1:CV300,94,FALSE)=0,0,HLOOKUP("Shots",A1:CV300,94,FALSE)/HLOOKUP("Mins",A1:CV300,94,FALSE)* 90)</f>
      </c>
      <c r="BC94" s="12691">
        <f>IF(HLOOKUP("Mins",A1:CV300,94,FALSE)=0,0,HLOOKUP("SIB",A1:CV300,94,FALSE)/HLOOKUP("Mins",A1:CV300,94,FALSE)* 90)</f>
      </c>
      <c r="BD94" s="12692">
        <f>IF(HLOOKUP("Mins",A1:CV300,94,FALSE)=0,0,HLOOKUP("S6YD",A1:CV300,94,FALSE)/HLOOKUP("Mins",A1:CV300,94,FALSE)* 90)</f>
      </c>
      <c r="BE94" s="12693">
        <f>IF(HLOOKUP("Mins",A1:CV300,94,FALSE)=0,0,HLOOKUP("Headers",A1:CV300,94,FALSE)/HLOOKUP("Mins",A1:CV300,94,FALSE)* 90)</f>
      </c>
      <c r="BF94" s="12694">
        <f>IF(HLOOKUP("Mins",A1:CV300,94,FALSE)=0,0,HLOOKUP("SOT",A1:CV300,94,FALSE)/HLOOKUP("Mins",A1:CV300,94,FALSE)* 90)</f>
      </c>
      <c r="BG94" s="12695">
        <f>IF(HLOOKUP("Mins",A1:CV300,94,FALSE)=0,0,HLOOKUP("As",A1:CV300,94,FALSE)/HLOOKUP("Mins",A1:CV300,94,FALSE)* 90)</f>
      </c>
      <c r="BH94" s="12696">
        <f>IF(HLOOKUP("Mins",A1:CV300,94,FALSE)=0,0,HLOOKUP("FPL As",A1:CV300,94,FALSE)/HLOOKUP("Mins",A1:CV300,94,FALSE)* 90)</f>
      </c>
      <c r="BI94" s="12697">
        <f>IF(HLOOKUP("Mins",A1:CV300,94,FALSE)=0,0,HLOOKUP("BC Created",A1:CV300,94,FALSE)/HLOOKUP("Mins",A1:CV300,94,FALSE)* 90)</f>
      </c>
      <c r="BJ94" s="12698">
        <f>IF(HLOOKUP("Mins",A1:CV300,94,FALSE)=0,0,HLOOKUP("KP",A1:CV300,94,FALSE)/HLOOKUP("Mins",A1:CV300,94,FALSE)* 90)</f>
      </c>
      <c r="BK94" s="12699">
        <f>IF(HLOOKUP("Mins",A1:CV300,94,FALSE)=0,0,HLOOKUP("BC",A1:CV300,94,FALSE)/HLOOKUP("Mins",A1:CV300,94,FALSE)* 90)</f>
      </c>
      <c r="BL94" s="12700">
        <f>IF(HLOOKUP("Mins",A1:CV300,94,FALSE)=0,0,HLOOKUP("BC Miss",A1:CV300,94,FALSE)/HLOOKUP("Mins",A1:CV300,94,FALSE)* 90)</f>
      </c>
      <c r="BM94" s="12701">
        <f>IF(HLOOKUP("Mins",A1:CV300,94,FALSE)=0,0,HLOOKUP("Gs - BC",A1:CV300,94,FALSE)/HLOOKUP("Mins",A1:CV300,94,FALSE)* 90)</f>
      </c>
      <c r="BN94" s="12702">
        <f>IF(HLOOKUP("Mins",A1:CV300,94,FALSE)=0,0,HLOOKUP("GIB",A1:CV300,94,FALSE)/HLOOKUP("Mins",A1:CV300,94,FALSE)* 90)</f>
      </c>
      <c r="BO94" s="12703">
        <f>IF(HLOOKUP("Mins",A1:CV300,94,FALSE)=0,0,HLOOKUP("Gs - Open",A1:CV300,94,FALSE)/HLOOKUP("Mins",A1:CV300,94,FALSE)* 90)</f>
      </c>
      <c r="BP94" s="12704">
        <f>IF(HLOOKUP("Mins",A1:CV300,94,FALSE)=0,0,HLOOKUP("ICT Index",A1:CV300,94,FALSE)/HLOOKUP("Mins",A1:CV300,94,FALSE)* 90)</f>
      </c>
      <c r="BQ94" s="12705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</c>
      <c r="BR94" s="12706">
        <f>0.0825*HLOOKUP("KP/90",A1:CV300,94,FALSE)</f>
      </c>
      <c r="BS94" s="12707">
        <f>6*HLOOKUP("xG/90",A1:CV300,94,FALSE)+3*HLOOKUP("xA/90",A1:CV300,94,FALSE)</f>
      </c>
      <c r="BT94" s="12708">
        <f>HLOOKUP("xPts/90",A1:CV300,94,FALSE)-(6*0.75*(HLOOKUP("PK Gs",A1:CV300,94,FALSE)+HLOOKUP("PK Miss",A1:CV300,94,FALSE))*90/HLOOKUP("Mins",A1:CV300,94,FALSE))</f>
      </c>
      <c r="BU94" s="12709">
        <f>IF(HLOOKUP("Mins",A1:CV300,94,FALSE)=0,0,HLOOKUP("fsXG",A1:CV300,94,FALSE)/HLOOKUP("Mins",A1:CV300,94,FALSE)* 90)</f>
      </c>
      <c r="BV94" s="12710">
        <f>IF(HLOOKUP("Mins",A1:CV300,94,FALSE)=0,0,HLOOKUP("fsXA",A1:CV300,94,FALSE)/HLOOKUP("Mins",A1:CV300,94,FALSE)* 90)</f>
      </c>
      <c r="BW94" s="12711">
        <f>6*HLOOKUP("fsXG/90",A1:CV300,94,FALSE)+3*HLOOKUP("fsXA/90",A1:CV300,94,FALSE)</f>
      </c>
      <c r="BX94" t="n" s="12712">
        <v>0.09732082486152649</v>
      </c>
      <c r="BY94" t="n" s="12713">
        <v>0.09664075821638107</v>
      </c>
      <c r="BZ94" s="12714">
        <f>6*HLOOKUP("uXG/90",A1:CV300,94,FALSE)+3*HLOOKUP("uXA/90",A1:CV300,94,FALSE)</f>
      </c>
    </row>
    <row r="95">
      <c r="A95" t="s" s="12715">
        <v>260</v>
      </c>
      <c r="B95" t="s" s="12716">
        <v>100</v>
      </c>
      <c r="C95" t="n" s="12717">
        <v>4.400000095367432</v>
      </c>
      <c r="D95" t="n" s="12718">
        <v>360.0</v>
      </c>
      <c r="E95" t="n" s="12719">
        <v>4.0</v>
      </c>
      <c r="F95" t="n" s="12720">
        <v>53.0</v>
      </c>
      <c r="G95" t="n" s="12721">
        <v>1.0</v>
      </c>
      <c r="H95" t="n" s="12722">
        <v>3.0</v>
      </c>
      <c r="I95" t="n" s="12723">
        <v>357.0</v>
      </c>
      <c r="J95" s="12724">
        <f>HLOOKUP("BPS",A1:CV300,95,FALSE)-((-6*HLOOKUP("OG",A1:CV300,95,FALSE))+(-6*HLOOKUP("PK Miss",A1:CV300,95,FALSE))+(9*HLOOKUP("FPL As",A1:CV300,95,FALSE))+(12*HLOOKUP("CS",A1:CV300,95,FALSE))+(12*HLOOKUP("Gs",A1:CV300,95,FALSE)))</f>
      </c>
      <c r="K95" t="n" s="12725">
        <v>0.0</v>
      </c>
      <c r="L95" t="n" s="12726">
        <v>4.0</v>
      </c>
      <c r="M95" t="n" s="12727">
        <v>3.0</v>
      </c>
      <c r="N95" t="n" s="12728">
        <v>1.0</v>
      </c>
      <c r="O95" t="n" s="12729">
        <v>1.0</v>
      </c>
      <c r="P95" s="12730">
        <f>IF(HLOOKUP("Shots",A1:CV300,95,FALSE)=0,0,HLOOKUP("SIB",A1:CV300,95,FALSE)/HLOOKUP("Shots",A1:CV300,95,FALSE))</f>
      </c>
      <c r="Q95" t="n" s="12731">
        <v>0.0</v>
      </c>
      <c r="R95" s="12732">
        <f>IF(HLOOKUP("Shots",A1:CV300,95,FALSE)=0,0,HLOOKUP("S6YD",A1:CV300,95,FALSE)/HLOOKUP("Shots",A1:CV300,95,FALSE))</f>
      </c>
      <c r="S95" t="n" s="12733">
        <v>0.0</v>
      </c>
      <c r="T95" s="12734">
        <f>IF(HLOOKUP("Shots",A1:CV300,95,FALSE)=0,0,HLOOKUP("Headers",A1:CV300,95,FALSE)/HLOOKUP("Shots",A1:CV300,95,FALSE))</f>
      </c>
      <c r="U95" t="n" s="12735">
        <v>1.0</v>
      </c>
      <c r="V95" s="12736">
        <f>IF(HLOOKUP("Shots",A1:CV300,95,FALSE)=0,0,HLOOKUP("SOT",A1:CV300,95,FALSE)/HLOOKUP("Shots",A1:CV300,95,FALSE))</f>
      </c>
      <c r="W95" s="12737">
        <f>IF(HLOOKUP("Shots",A1:CV300,95,FALSE)=0,0,HLOOKUP("Gs",A1:CV300,95,FALSE)/HLOOKUP("Shots",A1:CV300,95,FALSE))</f>
      </c>
      <c r="X95" t="n" s="12738">
        <v>0.0</v>
      </c>
      <c r="Y95" t="n" s="12739">
        <v>0.0</v>
      </c>
      <c r="Z95" t="n" s="12740">
        <v>0.0</v>
      </c>
      <c r="AA95" s="12741">
        <f>IF(HLOOKUP("KP",A1:CV300,95,FALSE)=0,0,HLOOKUP("As",A1:CV300,95,FALSE)/HLOOKUP("KP",A1:CV300,95,FALSE))</f>
      </c>
      <c r="AB95" t="n" s="12742">
        <v>13.2</v>
      </c>
      <c r="AC95" t="n" s="12743">
        <v>20.0</v>
      </c>
      <c r="AD95" t="n" s="12744">
        <v>0.0</v>
      </c>
      <c r="AE95" t="n" s="12745">
        <v>0.0</v>
      </c>
      <c r="AF95" t="n" s="12746">
        <v>0.0</v>
      </c>
      <c r="AG95" s="12747">
        <f>IF(HLOOKUP("BC",A1:CV300,95,FALSE)=0,0,HLOOKUP("Gs - BC",A1:CV300,95,FALSE)/HLOOKUP("BC",A1:CV300,95,FALSE))</f>
      </c>
      <c r="AH95" s="12748">
        <f>HLOOKUP("BC",A1:CV300,95,FALSE) - HLOOKUP("BC Miss",A1:CV300,95,FALSE)</f>
      </c>
      <c r="AI95" s="12749">
        <f>IF(HLOOKUP("Gs",A1:CV300,95,FALSE)=0,0,HLOOKUP("Gs - BC",A1:CV300,95,FALSE)/HLOOKUP("Gs",A1:CV300,95,FALSE))</f>
      </c>
      <c r="AJ95" t="n" s="12750">
        <v>0.0</v>
      </c>
      <c r="AK95" t="n" s="12751">
        <v>0.0</v>
      </c>
      <c r="AL95" s="12752">
        <f>HLOOKUP("BC",A1:CV300,95,FALSE) - (HLOOKUP("PK Gs",A1:CV300,95,FALSE) + HLOOKUP("PK Miss",A1:CV300,95,FALSE))</f>
      </c>
      <c r="AM95" s="12753">
        <f>HLOOKUP("BC Miss",A1:CV300,95,FALSE) - HLOOKUP("PK Miss",A1:CV300,95,FALSE)</f>
      </c>
      <c r="AN95" s="12754">
        <f>IF(HLOOKUP("BC - Open",A1:CV300,95,FALSE)=0,0,HLOOKUP("BC - Open Miss",A1:CV300,95,FALSE)/HLOOKUP("BC - Open",A1:CV300,95,FALSE))</f>
      </c>
      <c r="AO95" t="n" s="12755">
        <v>1.0</v>
      </c>
      <c r="AP95" s="12756">
        <f>IF(HLOOKUP("Gs",A1:CV300,95,FALSE)=0,0,HLOOKUP("GIB",A1:CV300,95,FALSE)/HLOOKUP("Gs",A1:CV300,95,FALSE))</f>
      </c>
      <c r="AQ95" t="n" s="12757">
        <v>0.0</v>
      </c>
      <c r="AR95" s="12758">
        <f>IF(HLOOKUP("Gs",A1:CV300,95,FALSE)=0,0,HLOOKUP("Gs - Open",A1:CV300,95,FALSE)/HLOOKUP("Gs",A1:CV300,95,FALSE))</f>
      </c>
      <c r="AS95" t="n" s="12759">
        <v>0.12</v>
      </c>
      <c r="AT95" t="n" s="12760">
        <v>0.01</v>
      </c>
      <c r="AU95" s="12761">
        <f>IF(HLOOKUP("Mins",A1:CV300,95,FALSE)=0,0,HLOOKUP("Pts",A1:CV300,95,FALSE)/HLOOKUP("Mins",A1:CV300,95,FALSE)* 90)</f>
      </c>
      <c r="AV95" s="12762">
        <f>IF(HLOOKUP("Apps",A1:CV300,95,FALSE)=0,0,HLOOKUP("Pts",A1:CV300,95,FALSE)/HLOOKUP("Apps",A1:CV300,95,FALSE)* 1)</f>
      </c>
      <c r="AW95" s="12763">
        <f>IF(HLOOKUP("Mins",A1:CV300,95,FALSE)=0,0,HLOOKUP("Gs",A1:CV300,95,FALSE)/HLOOKUP("Mins",A1:CV300,95,FALSE)* 90)</f>
      </c>
      <c r="AX95" s="12764">
        <f>IF(HLOOKUP("Mins",A1:CV300,95,FALSE)=0,0,HLOOKUP("Bonus",A1:CV300,95,FALSE)/HLOOKUP("Mins",A1:CV300,95,FALSE)* 90)</f>
      </c>
      <c r="AY95" s="12765">
        <f>IF(HLOOKUP("Mins",A1:CV300,95,FALSE)=0,0,HLOOKUP("BPS",A1:CV300,95,FALSE)/HLOOKUP("Mins",A1:CV300,95,FALSE)* 90)</f>
      </c>
      <c r="AZ95" s="12766">
        <f>IF(HLOOKUP("Mins",A1:CV300,95,FALSE)=0,0,HLOOKUP("Base BPS",A1:CV300,95,FALSE)/HLOOKUP("Mins",A1:CV300,95,FALSE)* 90)</f>
      </c>
      <c r="BA95" s="12767">
        <f>IF(HLOOKUP("Mins",A1:CV300,95,FALSE)=0,0,HLOOKUP("PenTchs",A1:CV300,95,FALSE)/HLOOKUP("Mins",A1:CV300,95,FALSE)* 90)</f>
      </c>
      <c r="BB95" s="12768">
        <f>IF(HLOOKUP("Mins",A1:CV300,95,FALSE)=0,0,HLOOKUP("Shots",A1:CV300,95,FALSE)/HLOOKUP("Mins",A1:CV300,95,FALSE)* 90)</f>
      </c>
      <c r="BC95" s="12769">
        <f>IF(HLOOKUP("Mins",A1:CV300,95,FALSE)=0,0,HLOOKUP("SIB",A1:CV300,95,FALSE)/HLOOKUP("Mins",A1:CV300,95,FALSE)* 90)</f>
      </c>
      <c r="BD95" s="12770">
        <f>IF(HLOOKUP("Mins",A1:CV300,95,FALSE)=0,0,HLOOKUP("S6YD",A1:CV300,95,FALSE)/HLOOKUP("Mins",A1:CV300,95,FALSE)* 90)</f>
      </c>
      <c r="BE95" s="12771">
        <f>IF(HLOOKUP("Mins",A1:CV300,95,FALSE)=0,0,HLOOKUP("Headers",A1:CV300,95,FALSE)/HLOOKUP("Mins",A1:CV300,95,FALSE)* 90)</f>
      </c>
      <c r="BF95" s="12772">
        <f>IF(HLOOKUP("Mins",A1:CV300,95,FALSE)=0,0,HLOOKUP("SOT",A1:CV300,95,FALSE)/HLOOKUP("Mins",A1:CV300,95,FALSE)* 90)</f>
      </c>
      <c r="BG95" s="12773">
        <f>IF(HLOOKUP("Mins",A1:CV300,95,FALSE)=0,0,HLOOKUP("As",A1:CV300,95,FALSE)/HLOOKUP("Mins",A1:CV300,95,FALSE)* 90)</f>
      </c>
      <c r="BH95" s="12774">
        <f>IF(HLOOKUP("Mins",A1:CV300,95,FALSE)=0,0,HLOOKUP("FPL As",A1:CV300,95,FALSE)/HLOOKUP("Mins",A1:CV300,95,FALSE)* 90)</f>
      </c>
      <c r="BI95" s="12775">
        <f>IF(HLOOKUP("Mins",A1:CV300,95,FALSE)=0,0,HLOOKUP("BC Created",A1:CV300,95,FALSE)/HLOOKUP("Mins",A1:CV300,95,FALSE)* 90)</f>
      </c>
      <c r="BJ95" s="12776">
        <f>IF(HLOOKUP("Mins",A1:CV300,95,FALSE)=0,0,HLOOKUP("KP",A1:CV300,95,FALSE)/HLOOKUP("Mins",A1:CV300,95,FALSE)* 90)</f>
      </c>
      <c r="BK95" s="12777">
        <f>IF(HLOOKUP("Mins",A1:CV300,95,FALSE)=0,0,HLOOKUP("BC",A1:CV300,95,FALSE)/HLOOKUP("Mins",A1:CV300,95,FALSE)* 90)</f>
      </c>
      <c r="BL95" s="12778">
        <f>IF(HLOOKUP("Mins",A1:CV300,95,FALSE)=0,0,HLOOKUP("BC Miss",A1:CV300,95,FALSE)/HLOOKUP("Mins",A1:CV300,95,FALSE)* 90)</f>
      </c>
      <c r="BM95" s="12779">
        <f>IF(HLOOKUP("Mins",A1:CV300,95,FALSE)=0,0,HLOOKUP("Gs - BC",A1:CV300,95,FALSE)/HLOOKUP("Mins",A1:CV300,95,FALSE)* 90)</f>
      </c>
      <c r="BN95" s="12780">
        <f>IF(HLOOKUP("Mins",A1:CV300,95,FALSE)=0,0,HLOOKUP("GIB",A1:CV300,95,FALSE)/HLOOKUP("Mins",A1:CV300,95,FALSE)* 90)</f>
      </c>
      <c r="BO95" s="12781">
        <f>IF(HLOOKUP("Mins",A1:CV300,95,FALSE)=0,0,HLOOKUP("Gs - Open",A1:CV300,95,FALSE)/HLOOKUP("Mins",A1:CV300,95,FALSE)* 90)</f>
      </c>
      <c r="BP95" s="12782">
        <f>IF(HLOOKUP("Mins",A1:CV300,95,FALSE)=0,0,HLOOKUP("ICT Index",A1:CV300,95,FALSE)/HLOOKUP("Mins",A1:CV300,95,FALSE)* 90)</f>
      </c>
      <c r="BQ95" s="12783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</c>
      <c r="BR95" s="12784">
        <f>0.0825*HLOOKUP("KP/90",A1:CV300,95,FALSE)</f>
      </c>
      <c r="BS95" s="12785">
        <f>6*HLOOKUP("xG/90",A1:CV300,95,FALSE)+3*HLOOKUP("xA/90",A1:CV300,95,FALSE)</f>
      </c>
      <c r="BT95" s="12786">
        <f>HLOOKUP("xPts/90",A1:CV300,95,FALSE)-(6*0.75*(HLOOKUP("PK Gs",A1:CV300,95,FALSE)+HLOOKUP("PK Miss",A1:CV300,95,FALSE))*90/HLOOKUP("Mins",A1:CV300,95,FALSE))</f>
      </c>
      <c r="BU95" s="12787">
        <f>IF(HLOOKUP("Mins",A1:CV300,95,FALSE)=0,0,HLOOKUP("fsXG",A1:CV300,95,FALSE)/HLOOKUP("Mins",A1:CV300,95,FALSE)* 90)</f>
      </c>
      <c r="BV95" s="12788">
        <f>IF(HLOOKUP("Mins",A1:CV300,95,FALSE)=0,0,HLOOKUP("fsXA",A1:CV300,95,FALSE)/HLOOKUP("Mins",A1:CV300,95,FALSE)* 90)</f>
      </c>
      <c r="BW95" s="12789">
        <f>6*HLOOKUP("fsXG/90",A1:CV300,95,FALSE)+3*HLOOKUP("fsXA/90",A1:CV300,95,FALSE)</f>
      </c>
      <c r="BX95" t="n" s="12790">
        <v>0.021602852270007133</v>
      </c>
      <c r="BY95" t="n" s="12791">
        <v>0.0</v>
      </c>
      <c r="BZ95" s="12792">
        <f>6*HLOOKUP("uXG/90",A1:CV300,95,FALSE)+3*HLOOKUP("uXA/90",A1:CV300,95,FALSE)</f>
      </c>
    </row>
    <row r="96">
      <c r="A96" t="s" s="12793">
        <v>261</v>
      </c>
      <c r="B96" t="s" s="12794">
        <v>109</v>
      </c>
      <c r="C96" t="n" s="12795">
        <v>4.800000190734863</v>
      </c>
      <c r="D96" t="n" s="12796">
        <v>540.0</v>
      </c>
      <c r="E96" t="n" s="12797">
        <v>6.0</v>
      </c>
      <c r="F96" t="n" s="12798">
        <v>81.0</v>
      </c>
      <c r="G96" t="n" s="12799">
        <v>0.0</v>
      </c>
      <c r="H96" t="n" s="12800">
        <v>11.0</v>
      </c>
      <c r="I96" t="n" s="12801">
        <v>458.0</v>
      </c>
      <c r="J96" s="12802">
        <f>HLOOKUP("BPS",A1:CV300,96,FALSE)-((-6*HLOOKUP("OG",A1:CV300,96,FALSE))+(-6*HLOOKUP("PK Miss",A1:CV300,96,FALSE))+(9*HLOOKUP("FPL As",A1:CV300,96,FALSE))+(12*HLOOKUP("CS",A1:CV300,96,FALSE))+(12*HLOOKUP("Gs",A1:CV300,96,FALSE)))</f>
      </c>
      <c r="K96" t="n" s="12803">
        <v>0.0</v>
      </c>
      <c r="L96" t="n" s="12804">
        <v>5.0</v>
      </c>
      <c r="M96" t="n" s="12805">
        <v>10.0</v>
      </c>
      <c r="N96" t="n" s="12806">
        <v>8.0</v>
      </c>
      <c r="O96" t="n" s="12807">
        <v>5.0</v>
      </c>
      <c r="P96" s="12808">
        <f>IF(HLOOKUP("Shots",A1:CV300,96,FALSE)=0,0,HLOOKUP("SIB",A1:CV300,96,FALSE)/HLOOKUP("Shots",A1:CV300,96,FALSE))</f>
      </c>
      <c r="Q96" t="n" s="12809">
        <v>3.0</v>
      </c>
      <c r="R96" s="12810">
        <f>IF(HLOOKUP("Shots",A1:CV300,96,FALSE)=0,0,HLOOKUP("S6YD",A1:CV300,96,FALSE)/HLOOKUP("Shots",A1:CV300,96,FALSE))</f>
      </c>
      <c r="S96" t="n" s="12811">
        <v>3.0</v>
      </c>
      <c r="T96" s="12812">
        <f>IF(HLOOKUP("Shots",A1:CV300,96,FALSE)=0,0,HLOOKUP("Headers",A1:CV300,96,FALSE)/HLOOKUP("Shots",A1:CV300,96,FALSE))</f>
      </c>
      <c r="U96" t="n" s="12813">
        <v>4.0</v>
      </c>
      <c r="V96" s="12814">
        <f>IF(HLOOKUP("Shots",A1:CV300,96,FALSE)=0,0,HLOOKUP("SOT",A1:CV300,96,FALSE)/HLOOKUP("Shots",A1:CV300,96,FALSE))</f>
      </c>
      <c r="W96" s="12815">
        <f>IF(HLOOKUP("Shots",A1:CV300,96,FALSE)=0,0,HLOOKUP("Gs",A1:CV300,96,FALSE)/HLOOKUP("Shots",A1:CV300,96,FALSE))</f>
      </c>
      <c r="X96" t="n" s="12816">
        <v>1.0</v>
      </c>
      <c r="Y96" t="n" s="12817">
        <v>3.0</v>
      </c>
      <c r="Z96" t="n" s="12818">
        <v>3.0</v>
      </c>
      <c r="AA96" s="12819">
        <f>IF(HLOOKUP("KP",A1:CV300,96,FALSE)=0,0,HLOOKUP("As",A1:CV300,96,FALSE)/HLOOKUP("KP",A1:CV300,96,FALSE))</f>
      </c>
      <c r="AB96" t="n" s="12820">
        <v>28.4</v>
      </c>
      <c r="AC96" t="n" s="12821">
        <v>14.0</v>
      </c>
      <c r="AD96" t="n" s="12822">
        <v>0.0</v>
      </c>
      <c r="AE96" t="n" s="12823">
        <v>3.0</v>
      </c>
      <c r="AF96" t="n" s="12824">
        <v>3.0</v>
      </c>
      <c r="AG96" s="12825">
        <f>IF(HLOOKUP("BC",A1:CV300,96,FALSE)=0,0,HLOOKUP("Gs - BC",A1:CV300,96,FALSE)/HLOOKUP("BC",A1:CV300,96,FALSE))</f>
      </c>
      <c r="AH96" s="12826">
        <f>HLOOKUP("BC",A1:CV300,96,FALSE) - HLOOKUP("BC Miss",A1:CV300,96,FALSE)</f>
      </c>
      <c r="AI96" s="12827">
        <f>IF(HLOOKUP("Gs",A1:CV300,96,FALSE)=0,0,HLOOKUP("Gs - BC",A1:CV300,96,FALSE)/HLOOKUP("Gs",A1:CV300,96,FALSE))</f>
      </c>
      <c r="AJ96" t="n" s="12828">
        <v>0.0</v>
      </c>
      <c r="AK96" t="n" s="12829">
        <v>0.0</v>
      </c>
      <c r="AL96" s="12830">
        <f>HLOOKUP("BC",A1:CV300,96,FALSE) - (HLOOKUP("PK Gs",A1:CV300,96,FALSE) + HLOOKUP("PK Miss",A1:CV300,96,FALSE))</f>
      </c>
      <c r="AM96" s="12831">
        <f>HLOOKUP("BC Miss",A1:CV300,96,FALSE) - HLOOKUP("PK Miss",A1:CV300,96,FALSE)</f>
      </c>
      <c r="AN96" s="12832">
        <f>IF(HLOOKUP("BC - Open",A1:CV300,96,FALSE)=0,0,HLOOKUP("BC - Open Miss",A1:CV300,96,FALSE)/HLOOKUP("BC - Open",A1:CV300,96,FALSE))</f>
      </c>
      <c r="AO96" t="n" s="12833">
        <v>0.0</v>
      </c>
      <c r="AP96" s="12834">
        <f>IF(HLOOKUP("Gs",A1:CV300,96,FALSE)=0,0,HLOOKUP("GIB",A1:CV300,96,FALSE)/HLOOKUP("Gs",A1:CV300,96,FALSE))</f>
      </c>
      <c r="AQ96" t="n" s="12835">
        <v>0.0</v>
      </c>
      <c r="AR96" s="12836">
        <f>IF(HLOOKUP("Gs",A1:CV300,96,FALSE)=0,0,HLOOKUP("Gs - Open",A1:CV300,96,FALSE)/HLOOKUP("Gs",A1:CV300,96,FALSE))</f>
      </c>
      <c r="AS96" t="n" s="12837">
        <v>1.08</v>
      </c>
      <c r="AT96" t="n" s="12838">
        <v>0.16</v>
      </c>
      <c r="AU96" s="12839">
        <f>IF(HLOOKUP("Mins",A1:CV300,96,FALSE)=0,0,HLOOKUP("Pts",A1:CV300,96,FALSE)/HLOOKUP("Mins",A1:CV300,96,FALSE)* 90)</f>
      </c>
      <c r="AV96" s="12840">
        <f>IF(HLOOKUP("Apps",A1:CV300,96,FALSE)=0,0,HLOOKUP("Pts",A1:CV300,96,FALSE)/HLOOKUP("Apps",A1:CV300,96,FALSE)* 1)</f>
      </c>
      <c r="AW96" s="12841">
        <f>IF(HLOOKUP("Mins",A1:CV300,96,FALSE)=0,0,HLOOKUP("Gs",A1:CV300,96,FALSE)/HLOOKUP("Mins",A1:CV300,96,FALSE)* 90)</f>
      </c>
      <c r="AX96" s="12842">
        <f>IF(HLOOKUP("Mins",A1:CV300,96,FALSE)=0,0,HLOOKUP("Bonus",A1:CV300,96,FALSE)/HLOOKUP("Mins",A1:CV300,96,FALSE)* 90)</f>
      </c>
      <c r="AY96" s="12843">
        <f>IF(HLOOKUP("Mins",A1:CV300,96,FALSE)=0,0,HLOOKUP("BPS",A1:CV300,96,FALSE)/HLOOKUP("Mins",A1:CV300,96,FALSE)* 90)</f>
      </c>
      <c r="AZ96" s="12844">
        <f>IF(HLOOKUP("Mins",A1:CV300,96,FALSE)=0,0,HLOOKUP("Base BPS",A1:CV300,96,FALSE)/HLOOKUP("Mins",A1:CV300,96,FALSE)* 90)</f>
      </c>
      <c r="BA96" s="12845">
        <f>IF(HLOOKUP("Mins",A1:CV300,96,FALSE)=0,0,HLOOKUP("PenTchs",A1:CV300,96,FALSE)/HLOOKUP("Mins",A1:CV300,96,FALSE)* 90)</f>
      </c>
      <c r="BB96" s="12846">
        <f>IF(HLOOKUP("Mins",A1:CV300,96,FALSE)=0,0,HLOOKUP("Shots",A1:CV300,96,FALSE)/HLOOKUP("Mins",A1:CV300,96,FALSE)* 90)</f>
      </c>
      <c r="BC96" s="12847">
        <f>IF(HLOOKUP("Mins",A1:CV300,96,FALSE)=0,0,HLOOKUP("SIB",A1:CV300,96,FALSE)/HLOOKUP("Mins",A1:CV300,96,FALSE)* 90)</f>
      </c>
      <c r="BD96" s="12848">
        <f>IF(HLOOKUP("Mins",A1:CV300,96,FALSE)=0,0,HLOOKUP("S6YD",A1:CV300,96,FALSE)/HLOOKUP("Mins",A1:CV300,96,FALSE)* 90)</f>
      </c>
      <c r="BE96" s="12849">
        <f>IF(HLOOKUP("Mins",A1:CV300,96,FALSE)=0,0,HLOOKUP("Headers",A1:CV300,96,FALSE)/HLOOKUP("Mins",A1:CV300,96,FALSE)* 90)</f>
      </c>
      <c r="BF96" s="12850">
        <f>IF(HLOOKUP("Mins",A1:CV300,96,FALSE)=0,0,HLOOKUP("SOT",A1:CV300,96,FALSE)/HLOOKUP("Mins",A1:CV300,96,FALSE)* 90)</f>
      </c>
      <c r="BG96" s="12851">
        <f>IF(HLOOKUP("Mins",A1:CV300,96,FALSE)=0,0,HLOOKUP("As",A1:CV300,96,FALSE)/HLOOKUP("Mins",A1:CV300,96,FALSE)* 90)</f>
      </c>
      <c r="BH96" s="12852">
        <f>IF(HLOOKUP("Mins",A1:CV300,96,FALSE)=0,0,HLOOKUP("FPL As",A1:CV300,96,FALSE)/HLOOKUP("Mins",A1:CV300,96,FALSE)* 90)</f>
      </c>
      <c r="BI96" s="12853">
        <f>IF(HLOOKUP("Mins",A1:CV300,96,FALSE)=0,0,HLOOKUP("BC Created",A1:CV300,96,FALSE)/HLOOKUP("Mins",A1:CV300,96,FALSE)* 90)</f>
      </c>
      <c r="BJ96" s="12854">
        <f>IF(HLOOKUP("Mins",A1:CV300,96,FALSE)=0,0,HLOOKUP("KP",A1:CV300,96,FALSE)/HLOOKUP("Mins",A1:CV300,96,FALSE)* 90)</f>
      </c>
      <c r="BK96" s="12855">
        <f>IF(HLOOKUP("Mins",A1:CV300,96,FALSE)=0,0,HLOOKUP("BC",A1:CV300,96,FALSE)/HLOOKUP("Mins",A1:CV300,96,FALSE)* 90)</f>
      </c>
      <c r="BL96" s="12856">
        <f>IF(HLOOKUP("Mins",A1:CV300,96,FALSE)=0,0,HLOOKUP("BC Miss",A1:CV300,96,FALSE)/HLOOKUP("Mins",A1:CV300,96,FALSE)* 90)</f>
      </c>
      <c r="BM96" s="12857">
        <f>IF(HLOOKUP("Mins",A1:CV300,96,FALSE)=0,0,HLOOKUP("Gs - BC",A1:CV300,96,FALSE)/HLOOKUP("Mins",A1:CV300,96,FALSE)* 90)</f>
      </c>
      <c r="BN96" s="12858">
        <f>IF(HLOOKUP("Mins",A1:CV300,96,FALSE)=0,0,HLOOKUP("GIB",A1:CV300,96,FALSE)/HLOOKUP("Mins",A1:CV300,96,FALSE)* 90)</f>
      </c>
      <c r="BO96" s="12859">
        <f>IF(HLOOKUP("Mins",A1:CV300,96,FALSE)=0,0,HLOOKUP("Gs - Open",A1:CV300,96,FALSE)/HLOOKUP("Mins",A1:CV300,96,FALSE)* 90)</f>
      </c>
      <c r="BP96" s="12860">
        <f>IF(HLOOKUP("Mins",A1:CV300,96,FALSE)=0,0,HLOOKUP("ICT Index",A1:CV300,96,FALSE)/HLOOKUP("Mins",A1:CV300,96,FALSE)* 90)</f>
      </c>
      <c r="BQ96" s="12861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</c>
      <c r="BR96" s="12862">
        <f>0.0825*HLOOKUP("KP/90",A1:CV300,96,FALSE)</f>
      </c>
      <c r="BS96" s="12863">
        <f>6*HLOOKUP("xG/90",A1:CV300,96,FALSE)+3*HLOOKUP("xA/90",A1:CV300,96,FALSE)</f>
      </c>
      <c r="BT96" s="12864">
        <f>HLOOKUP("xPts/90",A1:CV300,96,FALSE)-(6*0.75*(HLOOKUP("PK Gs",A1:CV300,96,FALSE)+HLOOKUP("PK Miss",A1:CV300,96,FALSE))*90/HLOOKUP("Mins",A1:CV300,96,FALSE))</f>
      </c>
      <c r="BU96" s="12865">
        <f>IF(HLOOKUP("Mins",A1:CV300,96,FALSE)=0,0,HLOOKUP("fsXG",A1:CV300,96,FALSE)/HLOOKUP("Mins",A1:CV300,96,FALSE)* 90)</f>
      </c>
      <c r="BV96" s="12866">
        <f>IF(HLOOKUP("Mins",A1:CV300,96,FALSE)=0,0,HLOOKUP("fsXA",A1:CV300,96,FALSE)/HLOOKUP("Mins",A1:CV300,96,FALSE)* 90)</f>
      </c>
      <c r="BW96" s="12867">
        <f>6*HLOOKUP("fsXG/90",A1:CV300,96,FALSE)+3*HLOOKUP("fsXA/90",A1:CV300,96,FALSE)</f>
      </c>
      <c r="BX96" t="n" s="12868">
        <v>0.2153172791004181</v>
      </c>
      <c r="BY96" t="n" s="12869">
        <v>0.026816189289093018</v>
      </c>
      <c r="BZ96" s="12870">
        <f>6*HLOOKUP("uXG/90",A1:CV300,96,FALSE)+3*HLOOKUP("uXA/90",A1:CV300,96,FALSE)</f>
      </c>
    </row>
    <row r="97">
      <c r="A97" t="s" s="12871">
        <v>262</v>
      </c>
      <c r="B97" t="s" s="12872">
        <v>85</v>
      </c>
      <c r="C97" t="n" s="12873">
        <v>4.5</v>
      </c>
      <c r="D97" t="n" s="12874">
        <v>514.0</v>
      </c>
      <c r="E97" t="n" s="12875">
        <v>6.0</v>
      </c>
      <c r="F97" t="n" s="12876">
        <v>81.0</v>
      </c>
      <c r="G97" t="n" s="12877">
        <v>0.0</v>
      </c>
      <c r="H97" t="n" s="12878">
        <v>3.0</v>
      </c>
      <c r="I97" t="n" s="12879">
        <v>410.0</v>
      </c>
      <c r="J97" s="12880">
        <f>HLOOKUP("BPS",A1:CV300,97,FALSE)-((-6*HLOOKUP("OG",A1:CV300,97,FALSE))+(-6*HLOOKUP("PK Miss",A1:CV300,97,FALSE))+(9*HLOOKUP("FPL As",A1:CV300,97,FALSE))+(12*HLOOKUP("CS",A1:CV300,97,FALSE))+(12*HLOOKUP("Gs",A1:CV300,97,FALSE)))</f>
      </c>
      <c r="K97" t="n" s="12881">
        <v>0.0</v>
      </c>
      <c r="L97" t="n" s="12882">
        <v>9.0</v>
      </c>
      <c r="M97" t="n" s="12883">
        <v>8.0</v>
      </c>
      <c r="N97" t="n" s="12884">
        <v>2.0</v>
      </c>
      <c r="O97" t="n" s="12885">
        <v>2.0</v>
      </c>
      <c r="P97" s="12886">
        <f>IF(HLOOKUP("Shots",A1:CV300,97,FALSE)=0,0,HLOOKUP("SIB",A1:CV300,97,FALSE)/HLOOKUP("Shots",A1:CV300,97,FALSE))</f>
      </c>
      <c r="Q97" t="n" s="12887">
        <v>0.0</v>
      </c>
      <c r="R97" s="12888">
        <f>IF(HLOOKUP("Shots",A1:CV300,97,FALSE)=0,0,HLOOKUP("S6YD",A1:CV300,97,FALSE)/HLOOKUP("Shots",A1:CV300,97,FALSE))</f>
      </c>
      <c r="S97" t="n" s="12889">
        <v>1.0</v>
      </c>
      <c r="T97" s="12890">
        <f>IF(HLOOKUP("Shots",A1:CV300,97,FALSE)=0,0,HLOOKUP("Headers",A1:CV300,97,FALSE)/HLOOKUP("Shots",A1:CV300,97,FALSE))</f>
      </c>
      <c r="U97" t="n" s="12891">
        <v>0.0</v>
      </c>
      <c r="V97" s="12892">
        <f>IF(HLOOKUP("Shots",A1:CV300,97,FALSE)=0,0,HLOOKUP("SOT",A1:CV300,97,FALSE)/HLOOKUP("Shots",A1:CV300,97,FALSE))</f>
      </c>
      <c r="W97" s="12893">
        <f>IF(HLOOKUP("Shots",A1:CV300,97,FALSE)=0,0,HLOOKUP("Gs",A1:CV300,97,FALSE)/HLOOKUP("Shots",A1:CV300,97,FALSE))</f>
      </c>
      <c r="X97" t="n" s="12894">
        <v>0.0</v>
      </c>
      <c r="Y97" t="n" s="12895">
        <v>0.0</v>
      </c>
      <c r="Z97" t="n" s="12896">
        <v>3.0</v>
      </c>
      <c r="AA97" s="12897">
        <f>IF(HLOOKUP("KP",A1:CV300,97,FALSE)=0,0,HLOOKUP("As",A1:CV300,97,FALSE)/HLOOKUP("KP",A1:CV300,97,FALSE))</f>
      </c>
      <c r="AB97" t="n" s="12898">
        <v>16.6</v>
      </c>
      <c r="AC97" t="n" s="12899">
        <v>0.0</v>
      </c>
      <c r="AD97" t="n" s="12900">
        <v>0.0</v>
      </c>
      <c r="AE97" t="n" s="12901">
        <v>0.0</v>
      </c>
      <c r="AF97" t="n" s="12902">
        <v>0.0</v>
      </c>
      <c r="AG97" s="12903">
        <f>IF(HLOOKUP("BC",A1:CV300,97,FALSE)=0,0,HLOOKUP("Gs - BC",A1:CV300,97,FALSE)/HLOOKUP("BC",A1:CV300,97,FALSE))</f>
      </c>
      <c r="AH97" s="12904">
        <f>HLOOKUP("BC",A1:CV300,97,FALSE) - HLOOKUP("BC Miss",A1:CV300,97,FALSE)</f>
      </c>
      <c r="AI97" s="12905">
        <f>IF(HLOOKUP("Gs",A1:CV300,97,FALSE)=0,0,HLOOKUP("Gs - BC",A1:CV300,97,FALSE)/HLOOKUP("Gs",A1:CV300,97,FALSE))</f>
      </c>
      <c r="AJ97" t="n" s="12906">
        <v>0.0</v>
      </c>
      <c r="AK97" t="n" s="12907">
        <v>0.0</v>
      </c>
      <c r="AL97" s="12908">
        <f>HLOOKUP("BC",A1:CV300,97,FALSE) - (HLOOKUP("PK Gs",A1:CV300,97,FALSE) + HLOOKUP("PK Miss",A1:CV300,97,FALSE))</f>
      </c>
      <c r="AM97" s="12909">
        <f>HLOOKUP("BC Miss",A1:CV300,97,FALSE) - HLOOKUP("PK Miss",A1:CV300,97,FALSE)</f>
      </c>
      <c r="AN97" s="12910">
        <f>IF(HLOOKUP("BC - Open",A1:CV300,97,FALSE)=0,0,HLOOKUP("BC - Open Miss",A1:CV300,97,FALSE)/HLOOKUP("BC - Open",A1:CV300,97,FALSE))</f>
      </c>
      <c r="AO97" t="n" s="12911">
        <v>0.0</v>
      </c>
      <c r="AP97" s="12912">
        <f>IF(HLOOKUP("Gs",A1:CV300,97,FALSE)=0,0,HLOOKUP("GIB",A1:CV300,97,FALSE)/HLOOKUP("Gs",A1:CV300,97,FALSE))</f>
      </c>
      <c r="AQ97" t="n" s="12913">
        <v>0.0</v>
      </c>
      <c r="AR97" s="12914">
        <f>IF(HLOOKUP("Gs",A1:CV300,97,FALSE)=0,0,HLOOKUP("Gs - Open",A1:CV300,97,FALSE)/HLOOKUP("Gs",A1:CV300,97,FALSE))</f>
      </c>
      <c r="AS97" t="n" s="12915">
        <v>0.08</v>
      </c>
      <c r="AT97" t="n" s="12916">
        <v>0.06</v>
      </c>
      <c r="AU97" s="12917">
        <f>IF(HLOOKUP("Mins",A1:CV300,97,FALSE)=0,0,HLOOKUP("Pts",A1:CV300,97,FALSE)/HLOOKUP("Mins",A1:CV300,97,FALSE)* 90)</f>
      </c>
      <c r="AV97" s="12918">
        <f>IF(HLOOKUP("Apps",A1:CV300,97,FALSE)=0,0,HLOOKUP("Pts",A1:CV300,97,FALSE)/HLOOKUP("Apps",A1:CV300,97,FALSE)* 1)</f>
      </c>
      <c r="AW97" s="12919">
        <f>IF(HLOOKUP("Mins",A1:CV300,97,FALSE)=0,0,HLOOKUP("Gs",A1:CV300,97,FALSE)/HLOOKUP("Mins",A1:CV300,97,FALSE)* 90)</f>
      </c>
      <c r="AX97" s="12920">
        <f>IF(HLOOKUP("Mins",A1:CV300,97,FALSE)=0,0,HLOOKUP("Bonus",A1:CV300,97,FALSE)/HLOOKUP("Mins",A1:CV300,97,FALSE)* 90)</f>
      </c>
      <c r="AY97" s="12921">
        <f>IF(HLOOKUP("Mins",A1:CV300,97,FALSE)=0,0,HLOOKUP("BPS",A1:CV300,97,FALSE)/HLOOKUP("Mins",A1:CV300,97,FALSE)* 90)</f>
      </c>
      <c r="AZ97" s="12922">
        <f>IF(HLOOKUP("Mins",A1:CV300,97,FALSE)=0,0,HLOOKUP("Base BPS",A1:CV300,97,FALSE)/HLOOKUP("Mins",A1:CV300,97,FALSE)* 90)</f>
      </c>
      <c r="BA97" s="12923">
        <f>IF(HLOOKUP("Mins",A1:CV300,97,FALSE)=0,0,HLOOKUP("PenTchs",A1:CV300,97,FALSE)/HLOOKUP("Mins",A1:CV300,97,FALSE)* 90)</f>
      </c>
      <c r="BB97" s="12924">
        <f>IF(HLOOKUP("Mins",A1:CV300,97,FALSE)=0,0,HLOOKUP("Shots",A1:CV300,97,FALSE)/HLOOKUP("Mins",A1:CV300,97,FALSE)* 90)</f>
      </c>
      <c r="BC97" s="12925">
        <f>IF(HLOOKUP("Mins",A1:CV300,97,FALSE)=0,0,HLOOKUP("SIB",A1:CV300,97,FALSE)/HLOOKUP("Mins",A1:CV300,97,FALSE)* 90)</f>
      </c>
      <c r="BD97" s="12926">
        <f>IF(HLOOKUP("Mins",A1:CV300,97,FALSE)=0,0,HLOOKUP("S6YD",A1:CV300,97,FALSE)/HLOOKUP("Mins",A1:CV300,97,FALSE)* 90)</f>
      </c>
      <c r="BE97" s="12927">
        <f>IF(HLOOKUP("Mins",A1:CV300,97,FALSE)=0,0,HLOOKUP("Headers",A1:CV300,97,FALSE)/HLOOKUP("Mins",A1:CV300,97,FALSE)* 90)</f>
      </c>
      <c r="BF97" s="12928">
        <f>IF(HLOOKUP("Mins",A1:CV300,97,FALSE)=0,0,HLOOKUP("SOT",A1:CV300,97,FALSE)/HLOOKUP("Mins",A1:CV300,97,FALSE)* 90)</f>
      </c>
      <c r="BG97" s="12929">
        <f>IF(HLOOKUP("Mins",A1:CV300,97,FALSE)=0,0,HLOOKUP("As",A1:CV300,97,FALSE)/HLOOKUP("Mins",A1:CV300,97,FALSE)* 90)</f>
      </c>
      <c r="BH97" s="12930">
        <f>IF(HLOOKUP("Mins",A1:CV300,97,FALSE)=0,0,HLOOKUP("FPL As",A1:CV300,97,FALSE)/HLOOKUP("Mins",A1:CV300,97,FALSE)* 90)</f>
      </c>
      <c r="BI97" s="12931">
        <f>IF(HLOOKUP("Mins",A1:CV300,97,FALSE)=0,0,HLOOKUP("BC Created",A1:CV300,97,FALSE)/HLOOKUP("Mins",A1:CV300,97,FALSE)* 90)</f>
      </c>
      <c r="BJ97" s="12932">
        <f>IF(HLOOKUP("Mins",A1:CV300,97,FALSE)=0,0,HLOOKUP("KP",A1:CV300,97,FALSE)/HLOOKUP("Mins",A1:CV300,97,FALSE)* 90)</f>
      </c>
      <c r="BK97" s="12933">
        <f>IF(HLOOKUP("Mins",A1:CV300,97,FALSE)=0,0,HLOOKUP("BC",A1:CV300,97,FALSE)/HLOOKUP("Mins",A1:CV300,97,FALSE)* 90)</f>
      </c>
      <c r="BL97" s="12934">
        <f>IF(HLOOKUP("Mins",A1:CV300,97,FALSE)=0,0,HLOOKUP("BC Miss",A1:CV300,97,FALSE)/HLOOKUP("Mins",A1:CV300,97,FALSE)* 90)</f>
      </c>
      <c r="BM97" s="12935">
        <f>IF(HLOOKUP("Mins",A1:CV300,97,FALSE)=0,0,HLOOKUP("Gs - BC",A1:CV300,97,FALSE)/HLOOKUP("Mins",A1:CV300,97,FALSE)* 90)</f>
      </c>
      <c r="BN97" s="12936">
        <f>IF(HLOOKUP("Mins",A1:CV300,97,FALSE)=0,0,HLOOKUP("GIB",A1:CV300,97,FALSE)/HLOOKUP("Mins",A1:CV300,97,FALSE)* 90)</f>
      </c>
      <c r="BO97" s="12937">
        <f>IF(HLOOKUP("Mins",A1:CV300,97,FALSE)=0,0,HLOOKUP("Gs - Open",A1:CV300,97,FALSE)/HLOOKUP("Mins",A1:CV300,97,FALSE)* 90)</f>
      </c>
      <c r="BP97" s="12938">
        <f>IF(HLOOKUP("Mins",A1:CV300,97,FALSE)=0,0,HLOOKUP("ICT Index",A1:CV300,97,FALSE)/HLOOKUP("Mins",A1:CV300,97,FALSE)* 90)</f>
      </c>
      <c r="BQ97" s="12939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</c>
      <c r="BR97" s="12940">
        <f>0.0825*HLOOKUP("KP/90",A1:CV300,97,FALSE)</f>
      </c>
      <c r="BS97" s="12941">
        <f>6*HLOOKUP("xG/90",A1:CV300,97,FALSE)+3*HLOOKUP("xA/90",A1:CV300,97,FALSE)</f>
      </c>
      <c r="BT97" s="12942">
        <f>HLOOKUP("xPts/90",A1:CV300,97,FALSE)-(6*0.75*(HLOOKUP("PK Gs",A1:CV300,97,FALSE)+HLOOKUP("PK Miss",A1:CV300,97,FALSE))*90/HLOOKUP("Mins",A1:CV300,97,FALSE))</f>
      </c>
      <c r="BU97" s="12943">
        <f>IF(HLOOKUP("Mins",A1:CV300,97,FALSE)=0,0,HLOOKUP("fsXG",A1:CV300,97,FALSE)/HLOOKUP("Mins",A1:CV300,97,FALSE)* 90)</f>
      </c>
      <c r="BV97" s="12944">
        <f>IF(HLOOKUP("Mins",A1:CV300,97,FALSE)=0,0,HLOOKUP("fsXA",A1:CV300,97,FALSE)/HLOOKUP("Mins",A1:CV300,97,FALSE)* 90)</f>
      </c>
      <c r="BW97" s="12945">
        <f>6*HLOOKUP("fsXG/90",A1:CV300,97,FALSE)+3*HLOOKUP("fsXA/90",A1:CV300,97,FALSE)</f>
      </c>
      <c r="BX97" t="n" s="12946">
        <v>0.011022686026990414</v>
      </c>
      <c r="BY97" t="n" s="12947">
        <v>0.02808883972465992</v>
      </c>
      <c r="BZ97" s="12948">
        <f>6*HLOOKUP("uXG/90",A1:CV300,97,FALSE)+3*HLOOKUP("uXA/90",A1:CV300,97,FALSE)</f>
      </c>
    </row>
    <row r="98">
      <c r="A98" t="s" s="12949">
        <v>263</v>
      </c>
      <c r="B98" t="s" s="12950">
        <v>105</v>
      </c>
      <c r="C98" t="n" s="12951">
        <v>6.300000190734863</v>
      </c>
      <c r="D98" t="n" s="12952">
        <v>143.0</v>
      </c>
      <c r="E98" t="n" s="12953">
        <v>2.0</v>
      </c>
      <c r="F98" t="n" s="12954">
        <v>21.0</v>
      </c>
      <c r="G98" t="n" s="12955">
        <v>0.0</v>
      </c>
      <c r="H98" t="n" s="12956">
        <v>0.0</v>
      </c>
      <c r="I98" t="n" s="12957">
        <v>105.0</v>
      </c>
      <c r="J98" s="12958">
        <f>HLOOKUP("BPS",A1:CV300,98,FALSE)-((-6*HLOOKUP("OG",A1:CV300,98,FALSE))+(-6*HLOOKUP("PK Miss",A1:CV300,98,FALSE))+(9*HLOOKUP("FPL As",A1:CV300,98,FALSE))+(12*HLOOKUP("CS",A1:CV300,98,FALSE))+(12*HLOOKUP("Gs",A1:CV300,98,FALSE)))</f>
      </c>
      <c r="K98" t="n" s="12959">
        <v>0.0</v>
      </c>
      <c r="L98" t="n" s="12960">
        <v>3.0</v>
      </c>
      <c r="M98" t="n" s="12961">
        <v>0.0</v>
      </c>
      <c r="N98" t="n" s="12962">
        <v>0.0</v>
      </c>
      <c r="O98" t="n" s="12963">
        <v>0.0</v>
      </c>
      <c r="P98" s="12964">
        <f>IF(HLOOKUP("Shots",A1:CV300,98,FALSE)=0,0,HLOOKUP("SIB",A1:CV300,98,FALSE)/HLOOKUP("Shots",A1:CV300,98,FALSE))</f>
      </c>
      <c r="Q98" t="n" s="12965">
        <v>0.0</v>
      </c>
      <c r="R98" s="12966">
        <f>IF(HLOOKUP("Shots",A1:CV300,98,FALSE)=0,0,HLOOKUP("S6YD",A1:CV300,98,FALSE)/HLOOKUP("Shots",A1:CV300,98,FALSE))</f>
      </c>
      <c r="S98" t="n" s="12967">
        <v>0.0</v>
      </c>
      <c r="T98" s="12968">
        <f>IF(HLOOKUP("Shots",A1:CV300,98,FALSE)=0,0,HLOOKUP("Headers",A1:CV300,98,FALSE)/HLOOKUP("Shots",A1:CV300,98,FALSE))</f>
      </c>
      <c r="U98" t="n" s="12969">
        <v>0.0</v>
      </c>
      <c r="V98" s="12970">
        <f>IF(HLOOKUP("Shots",A1:CV300,98,FALSE)=0,0,HLOOKUP("SOT",A1:CV300,98,FALSE)/HLOOKUP("Shots",A1:CV300,98,FALSE))</f>
      </c>
      <c r="W98" s="12971">
        <f>IF(HLOOKUP("Shots",A1:CV300,98,FALSE)=0,0,HLOOKUP("Gs",A1:CV300,98,FALSE)/HLOOKUP("Shots",A1:CV300,98,FALSE))</f>
      </c>
      <c r="X98" t="n" s="12972">
        <v>0.0</v>
      </c>
      <c r="Y98" t="n" s="12973">
        <v>0.0</v>
      </c>
      <c r="Z98" t="n" s="12974">
        <v>0.0</v>
      </c>
      <c r="AA98" s="12975">
        <f>IF(HLOOKUP("KP",A1:CV300,98,FALSE)=0,0,HLOOKUP("As",A1:CV300,98,FALSE)/HLOOKUP("KP",A1:CV300,98,FALSE))</f>
      </c>
      <c r="AB98" t="n" s="12976">
        <v>2.3</v>
      </c>
      <c r="AC98" t="n" s="12977">
        <v>0.0</v>
      </c>
      <c r="AD98" t="n" s="12978">
        <v>0.0</v>
      </c>
      <c r="AE98" t="n" s="12979">
        <v>0.0</v>
      </c>
      <c r="AF98" t="n" s="12980">
        <v>0.0</v>
      </c>
      <c r="AG98" s="12981">
        <f>IF(HLOOKUP("BC",A1:CV300,98,FALSE)=0,0,HLOOKUP("Gs - BC",A1:CV300,98,FALSE)/HLOOKUP("BC",A1:CV300,98,FALSE))</f>
      </c>
      <c r="AH98" s="12982">
        <f>HLOOKUP("BC",A1:CV300,98,FALSE) - HLOOKUP("BC Miss",A1:CV300,98,FALSE)</f>
      </c>
      <c r="AI98" s="12983">
        <f>IF(HLOOKUP("Gs",A1:CV300,98,FALSE)=0,0,HLOOKUP("Gs - BC",A1:CV300,98,FALSE)/HLOOKUP("Gs",A1:CV300,98,FALSE))</f>
      </c>
      <c r="AJ98" t="n" s="12984">
        <v>0.0</v>
      </c>
      <c r="AK98" t="n" s="12985">
        <v>0.0</v>
      </c>
      <c r="AL98" s="12986">
        <f>HLOOKUP("BC",A1:CV300,98,FALSE) - (HLOOKUP("PK Gs",A1:CV300,98,FALSE) + HLOOKUP("PK Miss",A1:CV300,98,FALSE))</f>
      </c>
      <c r="AM98" s="12987">
        <f>HLOOKUP("BC Miss",A1:CV300,98,FALSE) - HLOOKUP("PK Miss",A1:CV300,98,FALSE)</f>
      </c>
      <c r="AN98" s="12988">
        <f>IF(HLOOKUP("BC - Open",A1:CV300,98,FALSE)=0,0,HLOOKUP("BC - Open Miss",A1:CV300,98,FALSE)/HLOOKUP("BC - Open",A1:CV300,98,FALSE))</f>
      </c>
      <c r="AO98" t="n" s="12989">
        <v>0.0</v>
      </c>
      <c r="AP98" s="12990">
        <f>IF(HLOOKUP("Gs",A1:CV300,98,FALSE)=0,0,HLOOKUP("GIB",A1:CV300,98,FALSE)/HLOOKUP("Gs",A1:CV300,98,FALSE))</f>
      </c>
      <c r="AQ98" t="n" s="12991">
        <v>0.0</v>
      </c>
      <c r="AR98" s="12992">
        <f>IF(HLOOKUP("Gs",A1:CV300,98,FALSE)=0,0,HLOOKUP("Gs - Open",A1:CV300,98,FALSE)/HLOOKUP("Gs",A1:CV300,98,FALSE))</f>
      </c>
      <c r="AS98" t="n" s="12993">
        <v>0.0</v>
      </c>
      <c r="AT98" t="n" s="12994">
        <v>0.03</v>
      </c>
      <c r="AU98" s="12995">
        <f>IF(HLOOKUP("Mins",A1:CV300,98,FALSE)=0,0,HLOOKUP("Pts",A1:CV300,98,FALSE)/HLOOKUP("Mins",A1:CV300,98,FALSE)* 90)</f>
      </c>
      <c r="AV98" s="12996">
        <f>IF(HLOOKUP("Apps",A1:CV300,98,FALSE)=0,0,HLOOKUP("Pts",A1:CV300,98,FALSE)/HLOOKUP("Apps",A1:CV300,98,FALSE)* 1)</f>
      </c>
      <c r="AW98" s="12997">
        <f>IF(HLOOKUP("Mins",A1:CV300,98,FALSE)=0,0,HLOOKUP("Gs",A1:CV300,98,FALSE)/HLOOKUP("Mins",A1:CV300,98,FALSE)* 90)</f>
      </c>
      <c r="AX98" s="12998">
        <f>IF(HLOOKUP("Mins",A1:CV300,98,FALSE)=0,0,HLOOKUP("Bonus",A1:CV300,98,FALSE)/HLOOKUP("Mins",A1:CV300,98,FALSE)* 90)</f>
      </c>
      <c r="AY98" s="12999">
        <f>IF(HLOOKUP("Mins",A1:CV300,98,FALSE)=0,0,HLOOKUP("BPS",A1:CV300,98,FALSE)/HLOOKUP("Mins",A1:CV300,98,FALSE)* 90)</f>
      </c>
      <c r="AZ98" s="13000">
        <f>IF(HLOOKUP("Mins",A1:CV300,98,FALSE)=0,0,HLOOKUP("Base BPS",A1:CV300,98,FALSE)/HLOOKUP("Mins",A1:CV300,98,FALSE)* 90)</f>
      </c>
      <c r="BA98" s="13001">
        <f>IF(HLOOKUP("Mins",A1:CV300,98,FALSE)=0,0,HLOOKUP("PenTchs",A1:CV300,98,FALSE)/HLOOKUP("Mins",A1:CV300,98,FALSE)* 90)</f>
      </c>
      <c r="BB98" s="13002">
        <f>IF(HLOOKUP("Mins",A1:CV300,98,FALSE)=0,0,HLOOKUP("Shots",A1:CV300,98,FALSE)/HLOOKUP("Mins",A1:CV300,98,FALSE)* 90)</f>
      </c>
      <c r="BC98" s="13003">
        <f>IF(HLOOKUP("Mins",A1:CV300,98,FALSE)=0,0,HLOOKUP("SIB",A1:CV300,98,FALSE)/HLOOKUP("Mins",A1:CV300,98,FALSE)* 90)</f>
      </c>
      <c r="BD98" s="13004">
        <f>IF(HLOOKUP("Mins",A1:CV300,98,FALSE)=0,0,HLOOKUP("S6YD",A1:CV300,98,FALSE)/HLOOKUP("Mins",A1:CV300,98,FALSE)* 90)</f>
      </c>
      <c r="BE98" s="13005">
        <f>IF(HLOOKUP("Mins",A1:CV300,98,FALSE)=0,0,HLOOKUP("Headers",A1:CV300,98,FALSE)/HLOOKUP("Mins",A1:CV300,98,FALSE)* 90)</f>
      </c>
      <c r="BF98" s="13006">
        <f>IF(HLOOKUP("Mins",A1:CV300,98,FALSE)=0,0,HLOOKUP("SOT",A1:CV300,98,FALSE)/HLOOKUP("Mins",A1:CV300,98,FALSE)* 90)</f>
      </c>
      <c r="BG98" s="13007">
        <f>IF(HLOOKUP("Mins",A1:CV300,98,FALSE)=0,0,HLOOKUP("As",A1:CV300,98,FALSE)/HLOOKUP("Mins",A1:CV300,98,FALSE)* 90)</f>
      </c>
      <c r="BH98" s="13008">
        <f>IF(HLOOKUP("Mins",A1:CV300,98,FALSE)=0,0,HLOOKUP("FPL As",A1:CV300,98,FALSE)/HLOOKUP("Mins",A1:CV300,98,FALSE)* 90)</f>
      </c>
      <c r="BI98" s="13009">
        <f>IF(HLOOKUP("Mins",A1:CV300,98,FALSE)=0,0,HLOOKUP("BC Created",A1:CV300,98,FALSE)/HLOOKUP("Mins",A1:CV300,98,FALSE)* 90)</f>
      </c>
      <c r="BJ98" s="13010">
        <f>IF(HLOOKUP("Mins",A1:CV300,98,FALSE)=0,0,HLOOKUP("KP",A1:CV300,98,FALSE)/HLOOKUP("Mins",A1:CV300,98,FALSE)* 90)</f>
      </c>
      <c r="BK98" s="13011">
        <f>IF(HLOOKUP("Mins",A1:CV300,98,FALSE)=0,0,HLOOKUP("BC",A1:CV300,98,FALSE)/HLOOKUP("Mins",A1:CV300,98,FALSE)* 90)</f>
      </c>
      <c r="BL98" s="13012">
        <f>IF(HLOOKUP("Mins",A1:CV300,98,FALSE)=0,0,HLOOKUP("BC Miss",A1:CV300,98,FALSE)/HLOOKUP("Mins",A1:CV300,98,FALSE)* 90)</f>
      </c>
      <c r="BM98" s="13013">
        <f>IF(HLOOKUP("Mins",A1:CV300,98,FALSE)=0,0,HLOOKUP("Gs - BC",A1:CV300,98,FALSE)/HLOOKUP("Mins",A1:CV300,98,FALSE)* 90)</f>
      </c>
      <c r="BN98" s="13014">
        <f>IF(HLOOKUP("Mins",A1:CV300,98,FALSE)=0,0,HLOOKUP("GIB",A1:CV300,98,FALSE)/HLOOKUP("Mins",A1:CV300,98,FALSE)* 90)</f>
      </c>
      <c r="BO98" s="13015">
        <f>IF(HLOOKUP("Mins",A1:CV300,98,FALSE)=0,0,HLOOKUP("Gs - Open",A1:CV300,98,FALSE)/HLOOKUP("Mins",A1:CV300,98,FALSE)* 90)</f>
      </c>
      <c r="BP98" s="13016">
        <f>IF(HLOOKUP("Mins",A1:CV300,98,FALSE)=0,0,HLOOKUP("ICT Index",A1:CV300,98,FALSE)/HLOOKUP("Mins",A1:CV300,98,FALSE)* 90)</f>
      </c>
      <c r="BQ98" s="13017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</c>
      <c r="BR98" s="13018">
        <f>0.0825*HLOOKUP("KP/90",A1:CV300,98,FALSE)</f>
      </c>
      <c r="BS98" s="13019">
        <f>6*HLOOKUP("xG/90",A1:CV300,98,FALSE)+3*HLOOKUP("xA/90",A1:CV300,98,FALSE)</f>
      </c>
      <c r="BT98" s="13020">
        <f>HLOOKUP("xPts/90",A1:CV300,98,FALSE)-(6*0.75*(HLOOKUP("PK Gs",A1:CV300,98,FALSE)+HLOOKUP("PK Miss",A1:CV300,98,FALSE))*90/HLOOKUP("Mins",A1:CV300,98,FALSE))</f>
      </c>
      <c r="BU98" s="13021">
        <f>IF(HLOOKUP("Mins",A1:CV300,98,FALSE)=0,0,HLOOKUP("fsXG",A1:CV300,98,FALSE)/HLOOKUP("Mins",A1:CV300,98,FALSE)* 90)</f>
      </c>
      <c r="BV98" s="13022">
        <f>IF(HLOOKUP("Mins",A1:CV300,98,FALSE)=0,0,HLOOKUP("fsXA",A1:CV300,98,FALSE)/HLOOKUP("Mins",A1:CV300,98,FALSE)* 90)</f>
      </c>
      <c r="BW98" s="13023">
        <f>6*HLOOKUP("fsXG/90",A1:CV300,98,FALSE)+3*HLOOKUP("fsXA/90",A1:CV300,98,FALSE)</f>
      </c>
      <c r="BX98" t="n" s="13024">
        <v>0.0</v>
      </c>
      <c r="BY98" t="n" s="13025">
        <v>0.0</v>
      </c>
      <c r="BZ98" s="13026">
        <f>6*HLOOKUP("uXG/90",A1:CV300,98,FALSE)+3*HLOOKUP("uXA/90",A1:CV300,98,FALSE)</f>
      </c>
    </row>
    <row r="99">
      <c r="A99" t="s" s="13027">
        <v>264</v>
      </c>
      <c r="B99" t="s" s="13028">
        <v>102</v>
      </c>
      <c r="C99" t="n" s="13029">
        <v>5.0</v>
      </c>
      <c r="D99" t="n" s="13030">
        <v>70.0</v>
      </c>
      <c r="E99" t="n" s="13031">
        <v>3.0</v>
      </c>
      <c r="F99" t="n" s="13032">
        <v>51.0</v>
      </c>
      <c r="G99" t="n" s="13033">
        <v>0.0</v>
      </c>
      <c r="H99" t="n" s="13034">
        <v>2.0</v>
      </c>
      <c r="I99" t="n" s="13035">
        <v>241.0</v>
      </c>
      <c r="J99" s="13036">
        <f>HLOOKUP("BPS",A1:CV300,99,FALSE)-((-6*HLOOKUP("OG",A1:CV300,99,FALSE))+(-6*HLOOKUP("PK Miss",A1:CV300,99,FALSE))+(9*HLOOKUP("FPL As",A1:CV300,99,FALSE))+(12*HLOOKUP("CS",A1:CV300,99,FALSE))+(12*HLOOKUP("Gs",A1:CV300,99,FALSE)))</f>
      </c>
      <c r="K99" t="n" s="13037">
        <v>0.0</v>
      </c>
      <c r="L99" t="n" s="13038">
        <v>4.0</v>
      </c>
      <c r="M99" t="n" s="13039">
        <v>1.0</v>
      </c>
      <c r="N99" t="n" s="13040">
        <v>3.0</v>
      </c>
      <c r="O99" t="n" s="13041">
        <v>1.0</v>
      </c>
      <c r="P99" s="13042">
        <f>IF(HLOOKUP("Shots",A1:CV300,99,FALSE)=0,0,HLOOKUP("SIB",A1:CV300,99,FALSE)/HLOOKUP("Shots",A1:CV300,99,FALSE))</f>
      </c>
      <c r="Q99" t="n" s="13043">
        <v>0.0</v>
      </c>
      <c r="R99" s="13044">
        <f>IF(HLOOKUP("Shots",A1:CV300,99,FALSE)=0,0,HLOOKUP("S6YD",A1:CV300,99,FALSE)/HLOOKUP("Shots",A1:CV300,99,FALSE))</f>
      </c>
      <c r="S99" t="n" s="13045">
        <v>0.0</v>
      </c>
      <c r="T99" s="13046">
        <f>IF(HLOOKUP("Shots",A1:CV300,99,FALSE)=0,0,HLOOKUP("Headers",A1:CV300,99,FALSE)/HLOOKUP("Shots",A1:CV300,99,FALSE))</f>
      </c>
      <c r="U99" t="n" s="13047">
        <v>1.0</v>
      </c>
      <c r="V99" s="13048">
        <f>IF(HLOOKUP("Shots",A1:CV300,99,FALSE)=0,0,HLOOKUP("SOT",A1:CV300,99,FALSE)/HLOOKUP("Shots",A1:CV300,99,FALSE))</f>
      </c>
      <c r="W99" s="13049">
        <f>IF(HLOOKUP("Shots",A1:CV300,99,FALSE)=0,0,HLOOKUP("Gs",A1:CV300,99,FALSE)/HLOOKUP("Shots",A1:CV300,99,FALSE))</f>
      </c>
      <c r="X99" t="n" s="13050">
        <v>0.0</v>
      </c>
      <c r="Y99" t="n" s="13051">
        <v>1.0</v>
      </c>
      <c r="Z99" t="n" s="13052">
        <v>0.0</v>
      </c>
      <c r="AA99" s="13053">
        <f>IF(HLOOKUP("KP",A1:CV300,99,FALSE)=0,0,HLOOKUP("As",A1:CV300,99,FALSE)/HLOOKUP("KP",A1:CV300,99,FALSE))</f>
      </c>
      <c r="AB99" t="n" s="13054">
        <v>5.3</v>
      </c>
      <c r="AC99" t="n" s="13055">
        <v>50.0</v>
      </c>
      <c r="AD99" t="n" s="13056">
        <v>0.0</v>
      </c>
      <c r="AE99" t="n" s="13057">
        <v>0.0</v>
      </c>
      <c r="AF99" t="n" s="13058">
        <v>0.0</v>
      </c>
      <c r="AG99" s="13059">
        <f>IF(HLOOKUP("BC",A1:CV300,99,FALSE)=0,0,HLOOKUP("Gs - BC",A1:CV300,99,FALSE)/HLOOKUP("BC",A1:CV300,99,FALSE))</f>
      </c>
      <c r="AH99" s="13060">
        <f>HLOOKUP("BC",A1:CV300,99,FALSE) - HLOOKUP("BC Miss",A1:CV300,99,FALSE)</f>
      </c>
      <c r="AI99" s="13061">
        <f>IF(HLOOKUP("Gs",A1:CV300,99,FALSE)=0,0,HLOOKUP("Gs - BC",A1:CV300,99,FALSE)/HLOOKUP("Gs",A1:CV300,99,FALSE))</f>
      </c>
      <c r="AJ99" t="n" s="13062">
        <v>0.0</v>
      </c>
      <c r="AK99" t="n" s="13063">
        <v>0.0</v>
      </c>
      <c r="AL99" s="13064">
        <f>HLOOKUP("BC",A1:CV300,99,FALSE) - (HLOOKUP("PK Gs",A1:CV300,99,FALSE) + HLOOKUP("PK Miss",A1:CV300,99,FALSE))</f>
      </c>
      <c r="AM99" s="13065">
        <f>HLOOKUP("BC Miss",A1:CV300,99,FALSE) - HLOOKUP("PK Miss",A1:CV300,99,FALSE)</f>
      </c>
      <c r="AN99" s="13066">
        <f>IF(HLOOKUP("BC - Open",A1:CV300,99,FALSE)=0,0,HLOOKUP("BC - Open Miss",A1:CV300,99,FALSE)/HLOOKUP("BC - Open",A1:CV300,99,FALSE))</f>
      </c>
      <c r="AO99" t="n" s="13067">
        <v>0.0</v>
      </c>
      <c r="AP99" s="13068">
        <f>IF(HLOOKUP("Gs",A1:CV300,99,FALSE)=0,0,HLOOKUP("GIB",A1:CV300,99,FALSE)/HLOOKUP("Gs",A1:CV300,99,FALSE))</f>
      </c>
      <c r="AQ99" t="n" s="13069">
        <v>0.0</v>
      </c>
      <c r="AR99" s="13070">
        <f>IF(HLOOKUP("Gs",A1:CV300,99,FALSE)=0,0,HLOOKUP("Gs - Open",A1:CV300,99,FALSE)/HLOOKUP("Gs",A1:CV300,99,FALSE))</f>
      </c>
      <c r="AS99" t="n" s="13071">
        <v>0.1</v>
      </c>
      <c r="AT99" t="n" s="13072">
        <v>0.01</v>
      </c>
      <c r="AU99" s="13073">
        <f>IF(HLOOKUP("Mins",A1:CV300,99,FALSE)=0,0,HLOOKUP("Pts",A1:CV300,99,FALSE)/HLOOKUP("Mins",A1:CV300,99,FALSE)* 90)</f>
      </c>
      <c r="AV99" s="13074">
        <f>IF(HLOOKUP("Apps",A1:CV300,99,FALSE)=0,0,HLOOKUP("Pts",A1:CV300,99,FALSE)/HLOOKUP("Apps",A1:CV300,99,FALSE)* 1)</f>
      </c>
      <c r="AW99" s="13075">
        <f>IF(HLOOKUP("Mins",A1:CV300,99,FALSE)=0,0,HLOOKUP("Gs",A1:CV300,99,FALSE)/HLOOKUP("Mins",A1:CV300,99,FALSE)* 90)</f>
      </c>
      <c r="AX99" s="13076">
        <f>IF(HLOOKUP("Mins",A1:CV300,99,FALSE)=0,0,HLOOKUP("Bonus",A1:CV300,99,FALSE)/HLOOKUP("Mins",A1:CV300,99,FALSE)* 90)</f>
      </c>
      <c r="AY99" s="13077">
        <f>IF(HLOOKUP("Mins",A1:CV300,99,FALSE)=0,0,HLOOKUP("BPS",A1:CV300,99,FALSE)/HLOOKUP("Mins",A1:CV300,99,FALSE)* 90)</f>
      </c>
      <c r="AZ99" s="13078">
        <f>IF(HLOOKUP("Mins",A1:CV300,99,FALSE)=0,0,HLOOKUP("Base BPS",A1:CV300,99,FALSE)/HLOOKUP("Mins",A1:CV300,99,FALSE)* 90)</f>
      </c>
      <c r="BA99" s="13079">
        <f>IF(HLOOKUP("Mins",A1:CV300,99,FALSE)=0,0,HLOOKUP("PenTchs",A1:CV300,99,FALSE)/HLOOKUP("Mins",A1:CV300,99,FALSE)* 90)</f>
      </c>
      <c r="BB99" s="13080">
        <f>IF(HLOOKUP("Mins",A1:CV300,99,FALSE)=0,0,HLOOKUP("Shots",A1:CV300,99,FALSE)/HLOOKUP("Mins",A1:CV300,99,FALSE)* 90)</f>
      </c>
      <c r="BC99" s="13081">
        <f>IF(HLOOKUP("Mins",A1:CV300,99,FALSE)=0,0,HLOOKUP("SIB",A1:CV300,99,FALSE)/HLOOKUP("Mins",A1:CV300,99,FALSE)* 90)</f>
      </c>
      <c r="BD99" s="13082">
        <f>IF(HLOOKUP("Mins",A1:CV300,99,FALSE)=0,0,HLOOKUP("S6YD",A1:CV300,99,FALSE)/HLOOKUP("Mins",A1:CV300,99,FALSE)* 90)</f>
      </c>
      <c r="BE99" s="13083">
        <f>IF(HLOOKUP("Mins",A1:CV300,99,FALSE)=0,0,HLOOKUP("Headers",A1:CV300,99,FALSE)/HLOOKUP("Mins",A1:CV300,99,FALSE)* 90)</f>
      </c>
      <c r="BF99" s="13084">
        <f>IF(HLOOKUP("Mins",A1:CV300,99,FALSE)=0,0,HLOOKUP("SOT",A1:CV300,99,FALSE)/HLOOKUP("Mins",A1:CV300,99,FALSE)* 90)</f>
      </c>
      <c r="BG99" s="13085">
        <f>IF(HLOOKUP("Mins",A1:CV300,99,FALSE)=0,0,HLOOKUP("As",A1:CV300,99,FALSE)/HLOOKUP("Mins",A1:CV300,99,FALSE)* 90)</f>
      </c>
      <c r="BH99" s="13086">
        <f>IF(HLOOKUP("Mins",A1:CV300,99,FALSE)=0,0,HLOOKUP("FPL As",A1:CV300,99,FALSE)/HLOOKUP("Mins",A1:CV300,99,FALSE)* 90)</f>
      </c>
      <c r="BI99" s="13087">
        <f>IF(HLOOKUP("Mins",A1:CV300,99,FALSE)=0,0,HLOOKUP("BC Created",A1:CV300,99,FALSE)/HLOOKUP("Mins",A1:CV300,99,FALSE)* 90)</f>
      </c>
      <c r="BJ99" s="13088">
        <f>IF(HLOOKUP("Mins",A1:CV300,99,FALSE)=0,0,HLOOKUP("KP",A1:CV300,99,FALSE)/HLOOKUP("Mins",A1:CV300,99,FALSE)* 90)</f>
      </c>
      <c r="BK99" s="13089">
        <f>IF(HLOOKUP("Mins",A1:CV300,99,FALSE)=0,0,HLOOKUP("BC",A1:CV300,99,FALSE)/HLOOKUP("Mins",A1:CV300,99,FALSE)* 90)</f>
      </c>
      <c r="BL99" s="13090">
        <f>IF(HLOOKUP("Mins",A1:CV300,99,FALSE)=0,0,HLOOKUP("BC Miss",A1:CV300,99,FALSE)/HLOOKUP("Mins",A1:CV300,99,FALSE)* 90)</f>
      </c>
      <c r="BM99" s="13091">
        <f>IF(HLOOKUP("Mins",A1:CV300,99,FALSE)=0,0,HLOOKUP("Gs - BC",A1:CV300,99,FALSE)/HLOOKUP("Mins",A1:CV300,99,FALSE)* 90)</f>
      </c>
      <c r="BN99" s="13092">
        <f>IF(HLOOKUP("Mins",A1:CV300,99,FALSE)=0,0,HLOOKUP("GIB",A1:CV300,99,FALSE)/HLOOKUP("Mins",A1:CV300,99,FALSE)* 90)</f>
      </c>
      <c r="BO99" s="13093">
        <f>IF(HLOOKUP("Mins",A1:CV300,99,FALSE)=0,0,HLOOKUP("Gs - Open",A1:CV300,99,FALSE)/HLOOKUP("Mins",A1:CV300,99,FALSE)* 90)</f>
      </c>
      <c r="BP99" s="13094">
        <f>IF(HLOOKUP("Mins",A1:CV300,99,FALSE)=0,0,HLOOKUP("ICT Index",A1:CV300,99,FALSE)/HLOOKUP("Mins",A1:CV300,99,FALSE)* 90)</f>
      </c>
      <c r="BQ99" s="13095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</c>
      <c r="BR99" s="13096">
        <f>0.0825*HLOOKUP("KP/90",A1:CV300,99,FALSE)</f>
      </c>
      <c r="BS99" s="13097">
        <f>6*HLOOKUP("xG/90",A1:CV300,99,FALSE)+3*HLOOKUP("xA/90",A1:CV300,99,FALSE)</f>
      </c>
      <c r="BT99" s="13098">
        <f>HLOOKUP("xPts/90",A1:CV300,99,FALSE)-(6*0.75*(HLOOKUP("PK Gs",A1:CV300,99,FALSE)+HLOOKUP("PK Miss",A1:CV300,99,FALSE))*90/HLOOKUP("Mins",A1:CV300,99,FALSE))</f>
      </c>
      <c r="BU99" s="13099">
        <f>IF(HLOOKUP("Mins",A1:CV300,99,FALSE)=0,0,HLOOKUP("fsXG",A1:CV300,99,FALSE)/HLOOKUP("Mins",A1:CV300,99,FALSE)* 90)</f>
      </c>
      <c r="BV99" s="13100">
        <f>IF(HLOOKUP("Mins",A1:CV300,99,FALSE)=0,0,HLOOKUP("fsXA",A1:CV300,99,FALSE)/HLOOKUP("Mins",A1:CV300,99,FALSE)* 90)</f>
      </c>
      <c r="BW99" s="13101">
        <f>6*HLOOKUP("fsXG/90",A1:CV300,99,FALSE)+3*HLOOKUP("fsXA/90",A1:CV300,99,FALSE)</f>
      </c>
      <c r="BX99" t="n" s="13102">
        <v>0.06029956787824631</v>
      </c>
      <c r="BY99" t="n" s="13103">
        <v>0.0</v>
      </c>
      <c r="BZ99" s="13104">
        <f>6*HLOOKUP("uXG/90",A1:CV300,99,FALSE)+3*HLOOKUP("uXA/90",A1:CV300,99,FALSE)</f>
      </c>
    </row>
    <row r="100">
      <c r="A100" t="s" s="13105">
        <v>265</v>
      </c>
      <c r="B100" t="s" s="13106">
        <v>92</v>
      </c>
      <c r="C100" t="n" s="13107">
        <v>5.0</v>
      </c>
      <c r="D100" t="n" s="13108">
        <v>211.0</v>
      </c>
      <c r="E100" t="n" s="13109">
        <v>3.0</v>
      </c>
      <c r="F100" t="n" s="13110">
        <v>44.0</v>
      </c>
      <c r="G100" t="n" s="13111">
        <v>0.0</v>
      </c>
      <c r="H100" t="n" s="13112">
        <v>5.0</v>
      </c>
      <c r="I100" t="n" s="13113">
        <v>280.0</v>
      </c>
      <c r="J100" s="13114">
        <f>HLOOKUP("BPS",A1:CV300,100,FALSE)-((-6*HLOOKUP("OG",A1:CV300,100,FALSE))+(-6*HLOOKUP("PK Miss",A1:CV300,100,FALSE))+(9*HLOOKUP("FPL As",A1:CV300,100,FALSE))+(12*HLOOKUP("CS",A1:CV300,100,FALSE))+(12*HLOOKUP("Gs",A1:CV300,100,FALSE)))</f>
      </c>
      <c r="K100" t="n" s="13115">
        <v>0.0</v>
      </c>
      <c r="L100" t="n" s="13116">
        <v>3.0</v>
      </c>
      <c r="M100" t="n" s="13117">
        <v>1.0</v>
      </c>
      <c r="N100" t="n" s="13118">
        <v>0.0</v>
      </c>
      <c r="O100" t="n" s="13119">
        <v>0.0</v>
      </c>
      <c r="P100" s="13120">
        <f>IF(HLOOKUP("Shots",A1:CV300,100,FALSE)=0,0,HLOOKUP("SIB",A1:CV300,100,FALSE)/HLOOKUP("Shots",A1:CV300,100,FALSE))</f>
      </c>
      <c r="Q100" t="n" s="13121">
        <v>0.0</v>
      </c>
      <c r="R100" s="13122">
        <f>IF(HLOOKUP("Shots",A1:CV300,100,FALSE)=0,0,HLOOKUP("S6YD",A1:CV300,100,FALSE)/HLOOKUP("Shots",A1:CV300,100,FALSE))</f>
      </c>
      <c r="S100" t="n" s="13123">
        <v>0.0</v>
      </c>
      <c r="T100" s="13124">
        <f>IF(HLOOKUP("Shots",A1:CV300,100,FALSE)=0,0,HLOOKUP("Headers",A1:CV300,100,FALSE)/HLOOKUP("Shots",A1:CV300,100,FALSE))</f>
      </c>
      <c r="U100" t="n" s="13125">
        <v>0.0</v>
      </c>
      <c r="V100" s="13126">
        <f>IF(HLOOKUP("Shots",A1:CV300,100,FALSE)=0,0,HLOOKUP("SOT",A1:CV300,100,FALSE)/HLOOKUP("Shots",A1:CV300,100,FALSE))</f>
      </c>
      <c r="W100" s="13127">
        <f>IF(HLOOKUP("Shots",A1:CV300,100,FALSE)=0,0,HLOOKUP("Gs",A1:CV300,100,FALSE)/HLOOKUP("Shots",A1:CV300,100,FALSE))</f>
      </c>
      <c r="X100" t="n" s="13128">
        <v>0.0</v>
      </c>
      <c r="Y100" t="n" s="13129">
        <v>0.0</v>
      </c>
      <c r="Z100" t="n" s="13130">
        <v>0.0</v>
      </c>
      <c r="AA100" s="13131">
        <f>IF(HLOOKUP("KP",A1:CV300,100,FALSE)=0,0,HLOOKUP("As",A1:CV300,100,FALSE)/HLOOKUP("KP",A1:CV300,100,FALSE))</f>
      </c>
      <c r="AB100" t="n" s="13132">
        <v>3.8</v>
      </c>
      <c r="AC100" t="n" s="13133">
        <v>0.0</v>
      </c>
      <c r="AD100" t="n" s="13134">
        <v>0.0</v>
      </c>
      <c r="AE100" t="n" s="13135">
        <v>0.0</v>
      </c>
      <c r="AF100" t="n" s="13136">
        <v>0.0</v>
      </c>
      <c r="AG100" s="13137">
        <f>IF(HLOOKUP("BC",A1:CV300,100,FALSE)=0,0,HLOOKUP("Gs - BC",A1:CV300,100,FALSE)/HLOOKUP("BC",A1:CV300,100,FALSE))</f>
      </c>
      <c r="AH100" s="13138">
        <f>HLOOKUP("BC",A1:CV300,100,FALSE) - HLOOKUP("BC Miss",A1:CV300,100,FALSE)</f>
      </c>
      <c r="AI100" s="13139">
        <f>IF(HLOOKUP("Gs",A1:CV300,100,FALSE)=0,0,HLOOKUP("Gs - BC",A1:CV300,100,FALSE)/HLOOKUP("Gs",A1:CV300,100,FALSE))</f>
      </c>
      <c r="AJ100" t="n" s="13140">
        <v>0.0</v>
      </c>
      <c r="AK100" t="n" s="13141">
        <v>0.0</v>
      </c>
      <c r="AL100" s="13142">
        <f>HLOOKUP("BC",A1:CV300,100,FALSE) - (HLOOKUP("PK Gs",A1:CV300,100,FALSE) + HLOOKUP("PK Miss",A1:CV300,100,FALSE))</f>
      </c>
      <c r="AM100" s="13143">
        <f>HLOOKUP("BC Miss",A1:CV300,100,FALSE) - HLOOKUP("PK Miss",A1:CV300,100,FALSE)</f>
      </c>
      <c r="AN100" s="13144">
        <f>IF(HLOOKUP("BC - Open",A1:CV300,100,FALSE)=0,0,HLOOKUP("BC - Open Miss",A1:CV300,100,FALSE)/HLOOKUP("BC - Open",A1:CV300,100,FALSE))</f>
      </c>
      <c r="AO100" t="n" s="13145">
        <v>0.0</v>
      </c>
      <c r="AP100" s="13146">
        <f>IF(HLOOKUP("Gs",A1:CV300,100,FALSE)=0,0,HLOOKUP("GIB",A1:CV300,100,FALSE)/HLOOKUP("Gs",A1:CV300,100,FALSE))</f>
      </c>
      <c r="AQ100" t="n" s="13147">
        <v>0.0</v>
      </c>
      <c r="AR100" s="13148">
        <f>IF(HLOOKUP("Gs",A1:CV300,100,FALSE)=0,0,HLOOKUP("Gs - Open",A1:CV300,100,FALSE)/HLOOKUP("Gs",A1:CV300,100,FALSE))</f>
      </c>
      <c r="AS100" t="n" s="13149">
        <v>0.0</v>
      </c>
      <c r="AT100" t="n" s="13150">
        <v>0.05</v>
      </c>
      <c r="AU100" s="13151">
        <f>IF(HLOOKUP("Mins",A1:CV300,100,FALSE)=0,0,HLOOKUP("Pts",A1:CV300,100,FALSE)/HLOOKUP("Mins",A1:CV300,100,FALSE)* 90)</f>
      </c>
      <c r="AV100" s="13152">
        <f>IF(HLOOKUP("Apps",A1:CV300,100,FALSE)=0,0,HLOOKUP("Pts",A1:CV300,100,FALSE)/HLOOKUP("Apps",A1:CV300,100,FALSE)* 1)</f>
      </c>
      <c r="AW100" s="13153">
        <f>IF(HLOOKUP("Mins",A1:CV300,100,FALSE)=0,0,HLOOKUP("Gs",A1:CV300,100,FALSE)/HLOOKUP("Mins",A1:CV300,100,FALSE)* 90)</f>
      </c>
      <c r="AX100" s="13154">
        <f>IF(HLOOKUP("Mins",A1:CV300,100,FALSE)=0,0,HLOOKUP("Bonus",A1:CV300,100,FALSE)/HLOOKUP("Mins",A1:CV300,100,FALSE)* 90)</f>
      </c>
      <c r="AY100" s="13155">
        <f>IF(HLOOKUP("Mins",A1:CV300,100,FALSE)=0,0,HLOOKUP("BPS",A1:CV300,100,FALSE)/HLOOKUP("Mins",A1:CV300,100,FALSE)* 90)</f>
      </c>
      <c r="AZ100" s="13156">
        <f>IF(HLOOKUP("Mins",A1:CV300,100,FALSE)=0,0,HLOOKUP("Base BPS",A1:CV300,100,FALSE)/HLOOKUP("Mins",A1:CV300,100,FALSE)* 90)</f>
      </c>
      <c r="BA100" s="13157">
        <f>IF(HLOOKUP("Mins",A1:CV300,100,FALSE)=0,0,HLOOKUP("PenTchs",A1:CV300,100,FALSE)/HLOOKUP("Mins",A1:CV300,100,FALSE)* 90)</f>
      </c>
      <c r="BB100" s="13158">
        <f>IF(HLOOKUP("Mins",A1:CV300,100,FALSE)=0,0,HLOOKUP("Shots",A1:CV300,100,FALSE)/HLOOKUP("Mins",A1:CV300,100,FALSE)* 90)</f>
      </c>
      <c r="BC100" s="13159">
        <f>IF(HLOOKUP("Mins",A1:CV300,100,FALSE)=0,0,HLOOKUP("SIB",A1:CV300,100,FALSE)/HLOOKUP("Mins",A1:CV300,100,FALSE)* 90)</f>
      </c>
      <c r="BD100" s="13160">
        <f>IF(HLOOKUP("Mins",A1:CV300,100,FALSE)=0,0,HLOOKUP("S6YD",A1:CV300,100,FALSE)/HLOOKUP("Mins",A1:CV300,100,FALSE)* 90)</f>
      </c>
      <c r="BE100" s="13161">
        <f>IF(HLOOKUP("Mins",A1:CV300,100,FALSE)=0,0,HLOOKUP("Headers",A1:CV300,100,FALSE)/HLOOKUP("Mins",A1:CV300,100,FALSE)* 90)</f>
      </c>
      <c r="BF100" s="13162">
        <f>IF(HLOOKUP("Mins",A1:CV300,100,FALSE)=0,0,HLOOKUP("SOT",A1:CV300,100,FALSE)/HLOOKUP("Mins",A1:CV300,100,FALSE)* 90)</f>
      </c>
      <c r="BG100" s="13163">
        <f>IF(HLOOKUP("Mins",A1:CV300,100,FALSE)=0,0,HLOOKUP("As",A1:CV300,100,FALSE)/HLOOKUP("Mins",A1:CV300,100,FALSE)* 90)</f>
      </c>
      <c r="BH100" s="13164">
        <f>IF(HLOOKUP("Mins",A1:CV300,100,FALSE)=0,0,HLOOKUP("FPL As",A1:CV300,100,FALSE)/HLOOKUP("Mins",A1:CV300,100,FALSE)* 90)</f>
      </c>
      <c r="BI100" s="13165">
        <f>IF(HLOOKUP("Mins",A1:CV300,100,FALSE)=0,0,HLOOKUP("BC Created",A1:CV300,100,FALSE)/HLOOKUP("Mins",A1:CV300,100,FALSE)* 90)</f>
      </c>
      <c r="BJ100" s="13166">
        <f>IF(HLOOKUP("Mins",A1:CV300,100,FALSE)=0,0,HLOOKUP("KP",A1:CV300,100,FALSE)/HLOOKUP("Mins",A1:CV300,100,FALSE)* 90)</f>
      </c>
      <c r="BK100" s="13167">
        <f>IF(HLOOKUP("Mins",A1:CV300,100,FALSE)=0,0,HLOOKUP("BC",A1:CV300,100,FALSE)/HLOOKUP("Mins",A1:CV300,100,FALSE)* 90)</f>
      </c>
      <c r="BL100" s="13168">
        <f>IF(HLOOKUP("Mins",A1:CV300,100,FALSE)=0,0,HLOOKUP("BC Miss",A1:CV300,100,FALSE)/HLOOKUP("Mins",A1:CV300,100,FALSE)* 90)</f>
      </c>
      <c r="BM100" s="13169">
        <f>IF(HLOOKUP("Mins",A1:CV300,100,FALSE)=0,0,HLOOKUP("Gs - BC",A1:CV300,100,FALSE)/HLOOKUP("Mins",A1:CV300,100,FALSE)* 90)</f>
      </c>
      <c r="BN100" s="13170">
        <f>IF(HLOOKUP("Mins",A1:CV300,100,FALSE)=0,0,HLOOKUP("GIB",A1:CV300,100,FALSE)/HLOOKUP("Mins",A1:CV300,100,FALSE)* 90)</f>
      </c>
      <c r="BO100" s="13171">
        <f>IF(HLOOKUP("Mins",A1:CV300,100,FALSE)=0,0,HLOOKUP("Gs - Open",A1:CV300,100,FALSE)/HLOOKUP("Mins",A1:CV300,100,FALSE)* 90)</f>
      </c>
      <c r="BP100" s="13172">
        <f>IF(HLOOKUP("Mins",A1:CV300,100,FALSE)=0,0,HLOOKUP("ICT Index",A1:CV300,100,FALSE)/HLOOKUP("Mins",A1:CV300,100,FALSE)* 90)</f>
      </c>
      <c r="BQ100" s="13173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</c>
      <c r="BR100" s="13174">
        <f>0.0825*HLOOKUP("KP/90",A1:CV300,100,FALSE)</f>
      </c>
      <c r="BS100" s="13175">
        <f>6*HLOOKUP("xG/90",A1:CV300,100,FALSE)+3*HLOOKUP("xA/90",A1:CV300,100,FALSE)</f>
      </c>
      <c r="BT100" s="13176">
        <f>HLOOKUP("xPts/90",A1:CV300,100,FALSE)-(6*0.75*(HLOOKUP("PK Gs",A1:CV300,100,FALSE)+HLOOKUP("PK Miss",A1:CV300,100,FALSE))*90/HLOOKUP("Mins",A1:CV300,100,FALSE))</f>
      </c>
      <c r="BU100" s="13177">
        <f>IF(HLOOKUP("Mins",A1:CV300,100,FALSE)=0,0,HLOOKUP("fsXG",A1:CV300,100,FALSE)/HLOOKUP("Mins",A1:CV300,100,FALSE)* 90)</f>
      </c>
      <c r="BV100" s="13178">
        <f>IF(HLOOKUP("Mins",A1:CV300,100,FALSE)=0,0,HLOOKUP("fsXA",A1:CV300,100,FALSE)/HLOOKUP("Mins",A1:CV300,100,FALSE)* 90)</f>
      </c>
      <c r="BW100" s="13179">
        <f>6*HLOOKUP("fsXG/90",A1:CV300,100,FALSE)+3*HLOOKUP("fsXA/90",A1:CV300,100,FALSE)</f>
      </c>
      <c r="BX100" t="n" s="13180">
        <v>0.0</v>
      </c>
      <c r="BY100" t="n" s="13181">
        <v>0.0</v>
      </c>
      <c r="BZ100" s="13182">
        <f>6*HLOOKUP("uXG/90",A1:CV300,100,FALSE)+3*HLOOKUP("uXA/90",A1:CV300,100,FALSE)</f>
      </c>
    </row>
    <row r="101">
      <c r="A101" t="s" s="13183">
        <v>266</v>
      </c>
      <c r="B101" t="s" s="13184">
        <v>131</v>
      </c>
      <c r="C101" t="n" s="13185">
        <v>4.400000095367432</v>
      </c>
      <c r="D101" t="n" s="13186">
        <v>540.0</v>
      </c>
      <c r="E101" t="n" s="13187">
        <v>6.0</v>
      </c>
      <c r="F101" t="n" s="13188">
        <v>53.0</v>
      </c>
      <c r="G101" t="n" s="13189">
        <v>0.0</v>
      </c>
      <c r="H101" t="n" s="13190">
        <v>1.0</v>
      </c>
      <c r="I101" t="n" s="13191">
        <v>294.0</v>
      </c>
      <c r="J101" s="13192">
        <f>HLOOKUP("BPS",A1:CV300,101,FALSE)-((-6*HLOOKUP("OG",A1:CV300,101,FALSE))+(-6*HLOOKUP("PK Miss",A1:CV300,101,FALSE))+(9*HLOOKUP("FPL As",A1:CV300,101,FALSE))+(12*HLOOKUP("CS",A1:CV300,101,FALSE))+(12*HLOOKUP("Gs",A1:CV300,101,FALSE)))</f>
      </c>
      <c r="K101" t="n" s="13193">
        <v>0.0</v>
      </c>
      <c r="L101" t="n" s="13194">
        <v>4.0</v>
      </c>
      <c r="M101" t="n" s="13195">
        <v>6.0</v>
      </c>
      <c r="N101" t="n" s="13196">
        <v>5.0</v>
      </c>
      <c r="O101" t="n" s="13197">
        <v>4.0</v>
      </c>
      <c r="P101" s="13198">
        <f>IF(HLOOKUP("Shots",A1:CV300,101,FALSE)=0,0,HLOOKUP("SIB",A1:CV300,101,FALSE)/HLOOKUP("Shots",A1:CV300,101,FALSE))</f>
      </c>
      <c r="Q101" t="n" s="13199">
        <v>0.0</v>
      </c>
      <c r="R101" s="13200">
        <f>IF(HLOOKUP("Shots",A1:CV300,101,FALSE)=0,0,HLOOKUP("S6YD",A1:CV300,101,FALSE)/HLOOKUP("Shots",A1:CV300,101,FALSE))</f>
      </c>
      <c r="S101" t="n" s="13201">
        <v>3.0</v>
      </c>
      <c r="T101" s="13202">
        <f>IF(HLOOKUP("Shots",A1:CV300,101,FALSE)=0,0,HLOOKUP("Headers",A1:CV300,101,FALSE)/HLOOKUP("Shots",A1:CV300,101,FALSE))</f>
      </c>
      <c r="U101" t="n" s="13203">
        <v>0.0</v>
      </c>
      <c r="V101" s="13204">
        <f>IF(HLOOKUP("Shots",A1:CV300,101,FALSE)=0,0,HLOOKUP("SOT",A1:CV300,101,FALSE)/HLOOKUP("Shots",A1:CV300,101,FALSE))</f>
      </c>
      <c r="W101" s="13205">
        <f>IF(HLOOKUP("Shots",A1:CV300,101,FALSE)=0,0,HLOOKUP("Gs",A1:CV300,101,FALSE)/HLOOKUP("Shots",A1:CV300,101,FALSE))</f>
      </c>
      <c r="X101" t="n" s="13206">
        <v>0.0</v>
      </c>
      <c r="Y101" t="n" s="13207">
        <v>1.0</v>
      </c>
      <c r="Z101" t="n" s="13208">
        <v>2.0</v>
      </c>
      <c r="AA101" s="13209">
        <f>IF(HLOOKUP("KP",A1:CV300,101,FALSE)=0,0,HLOOKUP("As",A1:CV300,101,FALSE)/HLOOKUP("KP",A1:CV300,101,FALSE))</f>
      </c>
      <c r="AB101" t="n" s="13210">
        <v>20.0</v>
      </c>
      <c r="AC101" t="n" s="13211">
        <v>0.0</v>
      </c>
      <c r="AD101" t="n" s="13212">
        <v>0.0</v>
      </c>
      <c r="AE101" t="n" s="13213">
        <v>1.0</v>
      </c>
      <c r="AF101" t="n" s="13214">
        <v>1.0</v>
      </c>
      <c r="AG101" s="13215">
        <f>IF(HLOOKUP("BC",A1:CV300,101,FALSE)=0,0,HLOOKUP("Gs - BC",A1:CV300,101,FALSE)/HLOOKUP("BC",A1:CV300,101,FALSE))</f>
      </c>
      <c r="AH101" s="13216">
        <f>HLOOKUP("BC",A1:CV300,101,FALSE) - HLOOKUP("BC Miss",A1:CV300,101,FALSE)</f>
      </c>
      <c r="AI101" s="13217">
        <f>IF(HLOOKUP("Gs",A1:CV300,101,FALSE)=0,0,HLOOKUP("Gs - BC",A1:CV300,101,FALSE)/HLOOKUP("Gs",A1:CV300,101,FALSE))</f>
      </c>
      <c r="AJ101" t="n" s="13218">
        <v>0.0</v>
      </c>
      <c r="AK101" t="n" s="13219">
        <v>0.0</v>
      </c>
      <c r="AL101" s="13220">
        <f>HLOOKUP("BC",A1:CV300,101,FALSE) - (HLOOKUP("PK Gs",A1:CV300,101,FALSE) + HLOOKUP("PK Miss",A1:CV300,101,FALSE))</f>
      </c>
      <c r="AM101" s="13221">
        <f>HLOOKUP("BC Miss",A1:CV300,101,FALSE) - HLOOKUP("PK Miss",A1:CV300,101,FALSE)</f>
      </c>
      <c r="AN101" s="13222">
        <f>IF(HLOOKUP("BC - Open",A1:CV300,101,FALSE)=0,0,HLOOKUP("BC - Open Miss",A1:CV300,101,FALSE)/HLOOKUP("BC - Open",A1:CV300,101,FALSE))</f>
      </c>
      <c r="AO101" t="n" s="13223">
        <v>0.0</v>
      </c>
      <c r="AP101" s="13224">
        <f>IF(HLOOKUP("Gs",A1:CV300,101,FALSE)=0,0,HLOOKUP("GIB",A1:CV300,101,FALSE)/HLOOKUP("Gs",A1:CV300,101,FALSE))</f>
      </c>
      <c r="AQ101" t="n" s="13225">
        <v>0.0</v>
      </c>
      <c r="AR101" s="13226">
        <f>IF(HLOOKUP("Gs",A1:CV300,101,FALSE)=0,0,HLOOKUP("Gs - Open",A1:CV300,101,FALSE)/HLOOKUP("Gs",A1:CV300,101,FALSE))</f>
      </c>
      <c r="AS101" t="n" s="13227">
        <v>0.5</v>
      </c>
      <c r="AT101" t="n" s="13228">
        <v>0.06</v>
      </c>
      <c r="AU101" s="13229">
        <f>IF(HLOOKUP("Mins",A1:CV300,101,FALSE)=0,0,HLOOKUP("Pts",A1:CV300,101,FALSE)/HLOOKUP("Mins",A1:CV300,101,FALSE)* 90)</f>
      </c>
      <c r="AV101" s="13230">
        <f>IF(HLOOKUP("Apps",A1:CV300,101,FALSE)=0,0,HLOOKUP("Pts",A1:CV300,101,FALSE)/HLOOKUP("Apps",A1:CV300,101,FALSE)* 1)</f>
      </c>
      <c r="AW101" s="13231">
        <f>IF(HLOOKUP("Mins",A1:CV300,101,FALSE)=0,0,HLOOKUP("Gs",A1:CV300,101,FALSE)/HLOOKUP("Mins",A1:CV300,101,FALSE)* 90)</f>
      </c>
      <c r="AX101" s="13232">
        <f>IF(HLOOKUP("Mins",A1:CV300,101,FALSE)=0,0,HLOOKUP("Bonus",A1:CV300,101,FALSE)/HLOOKUP("Mins",A1:CV300,101,FALSE)* 90)</f>
      </c>
      <c r="AY101" s="13233">
        <f>IF(HLOOKUP("Mins",A1:CV300,101,FALSE)=0,0,HLOOKUP("BPS",A1:CV300,101,FALSE)/HLOOKUP("Mins",A1:CV300,101,FALSE)* 90)</f>
      </c>
      <c r="AZ101" s="13234">
        <f>IF(HLOOKUP("Mins",A1:CV300,101,FALSE)=0,0,HLOOKUP("Base BPS",A1:CV300,101,FALSE)/HLOOKUP("Mins",A1:CV300,101,FALSE)* 90)</f>
      </c>
      <c r="BA101" s="13235">
        <f>IF(HLOOKUP("Mins",A1:CV300,101,FALSE)=0,0,HLOOKUP("PenTchs",A1:CV300,101,FALSE)/HLOOKUP("Mins",A1:CV300,101,FALSE)* 90)</f>
      </c>
      <c r="BB101" s="13236">
        <f>IF(HLOOKUP("Mins",A1:CV300,101,FALSE)=0,0,HLOOKUP("Shots",A1:CV300,101,FALSE)/HLOOKUP("Mins",A1:CV300,101,FALSE)* 90)</f>
      </c>
      <c r="BC101" s="13237">
        <f>IF(HLOOKUP("Mins",A1:CV300,101,FALSE)=0,0,HLOOKUP("SIB",A1:CV300,101,FALSE)/HLOOKUP("Mins",A1:CV300,101,FALSE)* 90)</f>
      </c>
      <c r="BD101" s="13238">
        <f>IF(HLOOKUP("Mins",A1:CV300,101,FALSE)=0,0,HLOOKUP("S6YD",A1:CV300,101,FALSE)/HLOOKUP("Mins",A1:CV300,101,FALSE)* 90)</f>
      </c>
      <c r="BE101" s="13239">
        <f>IF(HLOOKUP("Mins",A1:CV300,101,FALSE)=0,0,HLOOKUP("Headers",A1:CV300,101,FALSE)/HLOOKUP("Mins",A1:CV300,101,FALSE)* 90)</f>
      </c>
      <c r="BF101" s="13240">
        <f>IF(HLOOKUP("Mins",A1:CV300,101,FALSE)=0,0,HLOOKUP("SOT",A1:CV300,101,FALSE)/HLOOKUP("Mins",A1:CV300,101,FALSE)* 90)</f>
      </c>
      <c r="BG101" s="13241">
        <f>IF(HLOOKUP("Mins",A1:CV300,101,FALSE)=0,0,HLOOKUP("As",A1:CV300,101,FALSE)/HLOOKUP("Mins",A1:CV300,101,FALSE)* 90)</f>
      </c>
      <c r="BH101" s="13242">
        <f>IF(HLOOKUP("Mins",A1:CV300,101,FALSE)=0,0,HLOOKUP("FPL As",A1:CV300,101,FALSE)/HLOOKUP("Mins",A1:CV300,101,FALSE)* 90)</f>
      </c>
      <c r="BI101" s="13243">
        <f>IF(HLOOKUP("Mins",A1:CV300,101,FALSE)=0,0,HLOOKUP("BC Created",A1:CV300,101,FALSE)/HLOOKUP("Mins",A1:CV300,101,FALSE)* 90)</f>
      </c>
      <c r="BJ101" s="13244">
        <f>IF(HLOOKUP("Mins",A1:CV300,101,FALSE)=0,0,HLOOKUP("KP",A1:CV300,101,FALSE)/HLOOKUP("Mins",A1:CV300,101,FALSE)* 90)</f>
      </c>
      <c r="BK101" s="13245">
        <f>IF(HLOOKUP("Mins",A1:CV300,101,FALSE)=0,0,HLOOKUP("BC",A1:CV300,101,FALSE)/HLOOKUP("Mins",A1:CV300,101,FALSE)* 90)</f>
      </c>
      <c r="BL101" s="13246">
        <f>IF(HLOOKUP("Mins",A1:CV300,101,FALSE)=0,0,HLOOKUP("BC Miss",A1:CV300,101,FALSE)/HLOOKUP("Mins",A1:CV300,101,FALSE)* 90)</f>
      </c>
      <c r="BM101" s="13247">
        <f>IF(HLOOKUP("Mins",A1:CV300,101,FALSE)=0,0,HLOOKUP("Gs - BC",A1:CV300,101,FALSE)/HLOOKUP("Mins",A1:CV300,101,FALSE)* 90)</f>
      </c>
      <c r="BN101" s="13248">
        <f>IF(HLOOKUP("Mins",A1:CV300,101,FALSE)=0,0,HLOOKUP("GIB",A1:CV300,101,FALSE)/HLOOKUP("Mins",A1:CV300,101,FALSE)* 90)</f>
      </c>
      <c r="BO101" s="13249">
        <f>IF(HLOOKUP("Mins",A1:CV300,101,FALSE)=0,0,HLOOKUP("Gs - Open",A1:CV300,101,FALSE)/HLOOKUP("Mins",A1:CV300,101,FALSE)* 90)</f>
      </c>
      <c r="BP101" s="13250">
        <f>IF(HLOOKUP("Mins",A1:CV300,101,FALSE)=0,0,HLOOKUP("ICT Index",A1:CV300,101,FALSE)/HLOOKUP("Mins",A1:CV300,101,FALSE)* 90)</f>
      </c>
      <c r="BQ101" s="13251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</c>
      <c r="BR101" s="13252">
        <f>0.0825*HLOOKUP("KP/90",A1:CV300,101,FALSE)</f>
      </c>
      <c r="BS101" s="13253">
        <f>6*HLOOKUP("xG/90",A1:CV300,101,FALSE)+3*HLOOKUP("xA/90",A1:CV300,101,FALSE)</f>
      </c>
      <c r="BT101" s="13254">
        <f>HLOOKUP("xPts/90",A1:CV300,101,FALSE)-(6*0.75*(HLOOKUP("PK Gs",A1:CV300,101,FALSE)+HLOOKUP("PK Miss",A1:CV300,101,FALSE))*90/HLOOKUP("Mins",A1:CV300,101,FALSE))</f>
      </c>
      <c r="BU101" s="13255">
        <f>IF(HLOOKUP("Mins",A1:CV300,101,FALSE)=0,0,HLOOKUP("fsXG",A1:CV300,101,FALSE)/HLOOKUP("Mins",A1:CV300,101,FALSE)* 90)</f>
      </c>
      <c r="BV101" s="13256">
        <f>IF(HLOOKUP("Mins",A1:CV300,101,FALSE)=0,0,HLOOKUP("fsXA",A1:CV300,101,FALSE)/HLOOKUP("Mins",A1:CV300,101,FALSE)* 90)</f>
      </c>
      <c r="BW101" s="13257">
        <f>6*HLOOKUP("fsXG/90",A1:CV300,101,FALSE)+3*HLOOKUP("fsXA/90",A1:CV300,101,FALSE)</f>
      </c>
      <c r="BX101" t="n" s="13258">
        <v>0.09531142562627792</v>
      </c>
      <c r="BY101" t="n" s="13259">
        <v>0.014546219259500504</v>
      </c>
      <c r="BZ101" s="13260">
        <f>6*HLOOKUP("uXG/90",A1:CV300,101,FALSE)+3*HLOOKUP("uXA/90",A1:CV300,101,FALSE)</f>
      </c>
    </row>
    <row r="102">
      <c r="A102" t="s" s="13261">
        <v>267</v>
      </c>
      <c r="B102" t="s" s="13262">
        <v>109</v>
      </c>
      <c r="C102" t="n" s="13263">
        <v>4.400000095367432</v>
      </c>
      <c r="D102" t="n" s="13264">
        <v>246.0</v>
      </c>
      <c r="E102" t="n" s="13265">
        <v>4.0</v>
      </c>
      <c r="F102" t="n" s="13266">
        <v>54.0</v>
      </c>
      <c r="G102" t="n" s="13267">
        <v>0.0</v>
      </c>
      <c r="H102" t="n" s="13268">
        <v>3.0</v>
      </c>
      <c r="I102" t="n" s="13269">
        <v>263.0</v>
      </c>
      <c r="J102" s="13270">
        <f>HLOOKUP("BPS",A1:CV300,102,FALSE)-((-6*HLOOKUP("OG",A1:CV300,102,FALSE))+(-6*HLOOKUP("PK Miss",A1:CV300,102,FALSE))+(9*HLOOKUP("FPL As",A1:CV300,102,FALSE))+(12*HLOOKUP("CS",A1:CV300,102,FALSE))+(12*HLOOKUP("Gs",A1:CV300,102,FALSE)))</f>
      </c>
      <c r="K102" t="n" s="13271">
        <v>0.0</v>
      </c>
      <c r="L102" t="n" s="13272">
        <v>5.0</v>
      </c>
      <c r="M102" t="n" s="13273">
        <v>7.0</v>
      </c>
      <c r="N102" t="n" s="13274">
        <v>1.0</v>
      </c>
      <c r="O102" t="n" s="13275">
        <v>1.0</v>
      </c>
      <c r="P102" s="13276">
        <f>IF(HLOOKUP("Shots",A1:CV300,102,FALSE)=0,0,HLOOKUP("SIB",A1:CV300,102,FALSE)/HLOOKUP("Shots",A1:CV300,102,FALSE))</f>
      </c>
      <c r="Q102" t="n" s="13277">
        <v>0.0</v>
      </c>
      <c r="R102" s="13278">
        <f>IF(HLOOKUP("Shots",A1:CV300,102,FALSE)=0,0,HLOOKUP("S6YD",A1:CV300,102,FALSE)/HLOOKUP("Shots",A1:CV300,102,FALSE))</f>
      </c>
      <c r="S102" t="n" s="13279">
        <v>0.0</v>
      </c>
      <c r="T102" s="13280">
        <f>IF(HLOOKUP("Shots",A1:CV300,102,FALSE)=0,0,HLOOKUP("Headers",A1:CV300,102,FALSE)/HLOOKUP("Shots",A1:CV300,102,FALSE))</f>
      </c>
      <c r="U102" t="n" s="13281">
        <v>0.0</v>
      </c>
      <c r="V102" s="13282">
        <f>IF(HLOOKUP("Shots",A1:CV300,102,FALSE)=0,0,HLOOKUP("SOT",A1:CV300,102,FALSE)/HLOOKUP("Shots",A1:CV300,102,FALSE))</f>
      </c>
      <c r="W102" s="13283">
        <f>IF(HLOOKUP("Shots",A1:CV300,102,FALSE)=0,0,HLOOKUP("Gs",A1:CV300,102,FALSE)/HLOOKUP("Shots",A1:CV300,102,FALSE))</f>
      </c>
      <c r="X102" t="n" s="13284">
        <v>0.0</v>
      </c>
      <c r="Y102" t="n" s="13285">
        <v>1.0</v>
      </c>
      <c r="Z102" t="n" s="13286">
        <v>4.0</v>
      </c>
      <c r="AA102" s="13287">
        <f>IF(HLOOKUP("KP",A1:CV300,102,FALSE)=0,0,HLOOKUP("As",A1:CV300,102,FALSE)/HLOOKUP("KP",A1:CV300,102,FALSE))</f>
      </c>
      <c r="AB102" t="n" s="13288">
        <v>12.3</v>
      </c>
      <c r="AC102" t="n" s="13289">
        <v>0.0</v>
      </c>
      <c r="AD102" t="n" s="13290">
        <v>1.0</v>
      </c>
      <c r="AE102" t="n" s="13291">
        <v>0.0</v>
      </c>
      <c r="AF102" t="n" s="13292">
        <v>0.0</v>
      </c>
      <c r="AG102" s="13293">
        <f>IF(HLOOKUP("BC",A1:CV300,102,FALSE)=0,0,HLOOKUP("Gs - BC",A1:CV300,102,FALSE)/HLOOKUP("BC",A1:CV300,102,FALSE))</f>
      </c>
      <c r="AH102" s="13294">
        <f>HLOOKUP("BC",A1:CV300,102,FALSE) - HLOOKUP("BC Miss",A1:CV300,102,FALSE)</f>
      </c>
      <c r="AI102" s="13295">
        <f>IF(HLOOKUP("Gs",A1:CV300,102,FALSE)=0,0,HLOOKUP("Gs - BC",A1:CV300,102,FALSE)/HLOOKUP("Gs",A1:CV300,102,FALSE))</f>
      </c>
      <c r="AJ102" t="n" s="13296">
        <v>0.0</v>
      </c>
      <c r="AK102" t="n" s="13297">
        <v>0.0</v>
      </c>
      <c r="AL102" s="13298">
        <f>HLOOKUP("BC",A1:CV300,102,FALSE) - (HLOOKUP("PK Gs",A1:CV300,102,FALSE) + HLOOKUP("PK Miss",A1:CV300,102,FALSE))</f>
      </c>
      <c r="AM102" s="13299">
        <f>HLOOKUP("BC Miss",A1:CV300,102,FALSE) - HLOOKUP("PK Miss",A1:CV300,102,FALSE)</f>
      </c>
      <c r="AN102" s="13300">
        <f>IF(HLOOKUP("BC - Open",A1:CV300,102,FALSE)=0,0,HLOOKUP("BC - Open Miss",A1:CV300,102,FALSE)/HLOOKUP("BC - Open",A1:CV300,102,FALSE))</f>
      </c>
      <c r="AO102" t="n" s="13301">
        <v>0.0</v>
      </c>
      <c r="AP102" s="13302">
        <f>IF(HLOOKUP("Gs",A1:CV300,102,FALSE)=0,0,HLOOKUP("GIB",A1:CV300,102,FALSE)/HLOOKUP("Gs",A1:CV300,102,FALSE))</f>
      </c>
      <c r="AQ102" t="n" s="13303">
        <v>0.0</v>
      </c>
      <c r="AR102" s="13304">
        <f>IF(HLOOKUP("Gs",A1:CV300,102,FALSE)=0,0,HLOOKUP("Gs - Open",A1:CV300,102,FALSE)/HLOOKUP("Gs",A1:CV300,102,FALSE))</f>
      </c>
      <c r="AS102" t="n" s="13305">
        <v>0.03</v>
      </c>
      <c r="AT102" t="n" s="13306">
        <v>0.2</v>
      </c>
      <c r="AU102" s="13307">
        <f>IF(HLOOKUP("Mins",A1:CV300,102,FALSE)=0,0,HLOOKUP("Pts",A1:CV300,102,FALSE)/HLOOKUP("Mins",A1:CV300,102,FALSE)* 90)</f>
      </c>
      <c r="AV102" s="13308">
        <f>IF(HLOOKUP("Apps",A1:CV300,102,FALSE)=0,0,HLOOKUP("Pts",A1:CV300,102,FALSE)/HLOOKUP("Apps",A1:CV300,102,FALSE)* 1)</f>
      </c>
      <c r="AW102" s="13309">
        <f>IF(HLOOKUP("Mins",A1:CV300,102,FALSE)=0,0,HLOOKUP("Gs",A1:CV300,102,FALSE)/HLOOKUP("Mins",A1:CV300,102,FALSE)* 90)</f>
      </c>
      <c r="AX102" s="13310">
        <f>IF(HLOOKUP("Mins",A1:CV300,102,FALSE)=0,0,HLOOKUP("Bonus",A1:CV300,102,FALSE)/HLOOKUP("Mins",A1:CV300,102,FALSE)* 90)</f>
      </c>
      <c r="AY102" s="13311">
        <f>IF(HLOOKUP("Mins",A1:CV300,102,FALSE)=0,0,HLOOKUP("BPS",A1:CV300,102,FALSE)/HLOOKUP("Mins",A1:CV300,102,FALSE)* 90)</f>
      </c>
      <c r="AZ102" s="13312">
        <f>IF(HLOOKUP("Mins",A1:CV300,102,FALSE)=0,0,HLOOKUP("Base BPS",A1:CV300,102,FALSE)/HLOOKUP("Mins",A1:CV300,102,FALSE)* 90)</f>
      </c>
      <c r="BA102" s="13313">
        <f>IF(HLOOKUP("Mins",A1:CV300,102,FALSE)=0,0,HLOOKUP("PenTchs",A1:CV300,102,FALSE)/HLOOKUP("Mins",A1:CV300,102,FALSE)* 90)</f>
      </c>
      <c r="BB102" s="13314">
        <f>IF(HLOOKUP("Mins",A1:CV300,102,FALSE)=0,0,HLOOKUP("Shots",A1:CV300,102,FALSE)/HLOOKUP("Mins",A1:CV300,102,FALSE)* 90)</f>
      </c>
      <c r="BC102" s="13315">
        <f>IF(HLOOKUP("Mins",A1:CV300,102,FALSE)=0,0,HLOOKUP("SIB",A1:CV300,102,FALSE)/HLOOKUP("Mins",A1:CV300,102,FALSE)* 90)</f>
      </c>
      <c r="BD102" s="13316">
        <f>IF(HLOOKUP("Mins",A1:CV300,102,FALSE)=0,0,HLOOKUP("S6YD",A1:CV300,102,FALSE)/HLOOKUP("Mins",A1:CV300,102,FALSE)* 90)</f>
      </c>
      <c r="BE102" s="13317">
        <f>IF(HLOOKUP("Mins",A1:CV300,102,FALSE)=0,0,HLOOKUP("Headers",A1:CV300,102,FALSE)/HLOOKUP("Mins",A1:CV300,102,FALSE)* 90)</f>
      </c>
      <c r="BF102" s="13318">
        <f>IF(HLOOKUP("Mins",A1:CV300,102,FALSE)=0,0,HLOOKUP("SOT",A1:CV300,102,FALSE)/HLOOKUP("Mins",A1:CV300,102,FALSE)* 90)</f>
      </c>
      <c r="BG102" s="13319">
        <f>IF(HLOOKUP("Mins",A1:CV300,102,FALSE)=0,0,HLOOKUP("As",A1:CV300,102,FALSE)/HLOOKUP("Mins",A1:CV300,102,FALSE)* 90)</f>
      </c>
      <c r="BH102" s="13320">
        <f>IF(HLOOKUP("Mins",A1:CV300,102,FALSE)=0,0,HLOOKUP("FPL As",A1:CV300,102,FALSE)/HLOOKUP("Mins",A1:CV300,102,FALSE)* 90)</f>
      </c>
      <c r="BI102" s="13321">
        <f>IF(HLOOKUP("Mins",A1:CV300,102,FALSE)=0,0,HLOOKUP("BC Created",A1:CV300,102,FALSE)/HLOOKUP("Mins",A1:CV300,102,FALSE)* 90)</f>
      </c>
      <c r="BJ102" s="13322">
        <f>IF(HLOOKUP("Mins",A1:CV300,102,FALSE)=0,0,HLOOKUP("KP",A1:CV300,102,FALSE)/HLOOKUP("Mins",A1:CV300,102,FALSE)* 90)</f>
      </c>
      <c r="BK102" s="13323">
        <f>IF(HLOOKUP("Mins",A1:CV300,102,FALSE)=0,0,HLOOKUP("BC",A1:CV300,102,FALSE)/HLOOKUP("Mins",A1:CV300,102,FALSE)* 90)</f>
      </c>
      <c r="BL102" s="13324">
        <f>IF(HLOOKUP("Mins",A1:CV300,102,FALSE)=0,0,HLOOKUP("BC Miss",A1:CV300,102,FALSE)/HLOOKUP("Mins",A1:CV300,102,FALSE)* 90)</f>
      </c>
      <c r="BM102" s="13325">
        <f>IF(HLOOKUP("Mins",A1:CV300,102,FALSE)=0,0,HLOOKUP("Gs - BC",A1:CV300,102,FALSE)/HLOOKUP("Mins",A1:CV300,102,FALSE)* 90)</f>
      </c>
      <c r="BN102" s="13326">
        <f>IF(HLOOKUP("Mins",A1:CV300,102,FALSE)=0,0,HLOOKUP("GIB",A1:CV300,102,FALSE)/HLOOKUP("Mins",A1:CV300,102,FALSE)* 90)</f>
      </c>
      <c r="BO102" s="13327">
        <f>IF(HLOOKUP("Mins",A1:CV300,102,FALSE)=0,0,HLOOKUP("Gs - Open",A1:CV300,102,FALSE)/HLOOKUP("Mins",A1:CV300,102,FALSE)* 90)</f>
      </c>
      <c r="BP102" s="13328">
        <f>IF(HLOOKUP("Mins",A1:CV300,102,FALSE)=0,0,HLOOKUP("ICT Index",A1:CV300,102,FALSE)/HLOOKUP("Mins",A1:CV300,102,FALSE)* 90)</f>
      </c>
      <c r="BQ102" s="13329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</c>
      <c r="BR102" s="13330">
        <f>0.0825*HLOOKUP("KP/90",A1:CV300,102,FALSE)</f>
      </c>
      <c r="BS102" s="13331">
        <f>6*HLOOKUP("xG/90",A1:CV300,102,FALSE)+3*HLOOKUP("xA/90",A1:CV300,102,FALSE)</f>
      </c>
      <c r="BT102" s="13332">
        <f>HLOOKUP("xPts/90",A1:CV300,102,FALSE)-(6*0.75*(HLOOKUP("PK Gs",A1:CV300,102,FALSE)+HLOOKUP("PK Miss",A1:CV300,102,FALSE))*90/HLOOKUP("Mins",A1:CV300,102,FALSE))</f>
      </c>
      <c r="BU102" s="13333">
        <f>IF(HLOOKUP("Mins",A1:CV300,102,FALSE)=0,0,HLOOKUP("fsXG",A1:CV300,102,FALSE)/HLOOKUP("Mins",A1:CV300,102,FALSE)* 90)</f>
      </c>
      <c r="BV102" s="13334">
        <f>IF(HLOOKUP("Mins",A1:CV300,102,FALSE)=0,0,HLOOKUP("fsXA",A1:CV300,102,FALSE)/HLOOKUP("Mins",A1:CV300,102,FALSE)* 90)</f>
      </c>
      <c r="BW102" s="13335">
        <f>6*HLOOKUP("fsXG/90",A1:CV300,102,FALSE)+3*HLOOKUP("fsXA/90",A1:CV300,102,FALSE)</f>
      </c>
      <c r="BX102" t="n" s="13336">
        <v>0.012239880859851837</v>
      </c>
      <c r="BY102" t="n" s="13337">
        <v>0.19902579486370087</v>
      </c>
      <c r="BZ102" s="13338">
        <f>6*HLOOKUP("uXG/90",A1:CV300,102,FALSE)+3*HLOOKUP("uXA/90",A1:CV300,102,FALSE)</f>
      </c>
    </row>
    <row r="103">
      <c r="A103" t="s" s="13339">
        <v>268</v>
      </c>
      <c r="B103" t="s" s="13340">
        <v>85</v>
      </c>
      <c r="C103" t="n" s="13341">
        <v>5.099999904632568</v>
      </c>
      <c r="D103" t="n" s="13342">
        <v>540.0</v>
      </c>
      <c r="E103" t="n" s="13343">
        <v>6.0</v>
      </c>
      <c r="F103" t="n" s="13344">
        <v>107.0</v>
      </c>
      <c r="G103" t="n" s="13345">
        <v>0.0</v>
      </c>
      <c r="H103" t="n" s="13346">
        <v>7.0</v>
      </c>
      <c r="I103" t="n" s="13347">
        <v>420.0</v>
      </c>
      <c r="J103" s="13348">
        <f>HLOOKUP("BPS",A1:CV300,103,FALSE)-((-6*HLOOKUP("OG",A1:CV300,103,FALSE))+(-6*HLOOKUP("PK Miss",A1:CV300,103,FALSE))+(9*HLOOKUP("FPL As",A1:CV300,103,FALSE))+(12*HLOOKUP("CS",A1:CV300,103,FALSE))+(12*HLOOKUP("Gs",A1:CV300,103,FALSE)))</f>
      </c>
      <c r="K103" t="n" s="13349">
        <v>0.0</v>
      </c>
      <c r="L103" t="n" s="13350">
        <v>9.0</v>
      </c>
      <c r="M103" t="n" s="13351">
        <v>11.0</v>
      </c>
      <c r="N103" t="n" s="13352">
        <v>1.0</v>
      </c>
      <c r="O103" t="n" s="13353">
        <v>1.0</v>
      </c>
      <c r="P103" s="13354">
        <f>IF(HLOOKUP("Shots",A1:CV300,103,FALSE)=0,0,HLOOKUP("SIB",A1:CV300,103,FALSE)/HLOOKUP("Shots",A1:CV300,103,FALSE))</f>
      </c>
      <c r="Q103" t="n" s="13355">
        <v>0.0</v>
      </c>
      <c r="R103" s="13356">
        <f>IF(HLOOKUP("Shots",A1:CV300,103,FALSE)=0,0,HLOOKUP("S6YD",A1:CV300,103,FALSE)/HLOOKUP("Shots",A1:CV300,103,FALSE))</f>
      </c>
      <c r="S103" t="n" s="13357">
        <v>0.0</v>
      </c>
      <c r="T103" s="13358">
        <f>IF(HLOOKUP("Shots",A1:CV300,103,FALSE)=0,0,HLOOKUP("Headers",A1:CV300,103,FALSE)/HLOOKUP("Shots",A1:CV300,103,FALSE))</f>
      </c>
      <c r="U103" t="n" s="13359">
        <v>0.0</v>
      </c>
      <c r="V103" s="13360">
        <f>IF(HLOOKUP("Shots",A1:CV300,103,FALSE)=0,0,HLOOKUP("SOT",A1:CV300,103,FALSE)/HLOOKUP("Shots",A1:CV300,103,FALSE))</f>
      </c>
      <c r="W103" s="13361">
        <f>IF(HLOOKUP("Shots",A1:CV300,103,FALSE)=0,0,HLOOKUP("Gs",A1:CV300,103,FALSE)/HLOOKUP("Shots",A1:CV300,103,FALSE))</f>
      </c>
      <c r="X103" t="n" s="13362">
        <v>0.0</v>
      </c>
      <c r="Y103" t="n" s="13363">
        <v>4.0</v>
      </c>
      <c r="Z103" t="n" s="13364">
        <v>2.0</v>
      </c>
      <c r="AA103" s="13365">
        <f>IF(HLOOKUP("KP",A1:CV300,103,FALSE)=0,0,HLOOKUP("As",A1:CV300,103,FALSE)/HLOOKUP("KP",A1:CV300,103,FALSE))</f>
      </c>
      <c r="AB103" t="n" s="13366">
        <v>14.9</v>
      </c>
      <c r="AC103" t="n" s="13367">
        <v>0.0</v>
      </c>
      <c r="AD103" t="n" s="13368">
        <v>0.0</v>
      </c>
      <c r="AE103" t="n" s="13369">
        <v>0.0</v>
      </c>
      <c r="AF103" t="n" s="13370">
        <v>0.0</v>
      </c>
      <c r="AG103" s="13371">
        <f>IF(HLOOKUP("BC",A1:CV300,103,FALSE)=0,0,HLOOKUP("Gs - BC",A1:CV300,103,FALSE)/HLOOKUP("BC",A1:CV300,103,FALSE))</f>
      </c>
      <c r="AH103" s="13372">
        <f>HLOOKUP("BC",A1:CV300,103,FALSE) - HLOOKUP("BC Miss",A1:CV300,103,FALSE)</f>
      </c>
      <c r="AI103" s="13373">
        <f>IF(HLOOKUP("Gs",A1:CV300,103,FALSE)=0,0,HLOOKUP("Gs - BC",A1:CV300,103,FALSE)/HLOOKUP("Gs",A1:CV300,103,FALSE))</f>
      </c>
      <c r="AJ103" t="n" s="13374">
        <v>0.0</v>
      </c>
      <c r="AK103" t="n" s="13375">
        <v>0.0</v>
      </c>
      <c r="AL103" s="13376">
        <f>HLOOKUP("BC",A1:CV300,103,FALSE) - (HLOOKUP("PK Gs",A1:CV300,103,FALSE) + HLOOKUP("PK Miss",A1:CV300,103,FALSE))</f>
      </c>
      <c r="AM103" s="13377">
        <f>HLOOKUP("BC Miss",A1:CV300,103,FALSE) - HLOOKUP("PK Miss",A1:CV300,103,FALSE)</f>
      </c>
      <c r="AN103" s="13378">
        <f>IF(HLOOKUP("BC - Open",A1:CV300,103,FALSE)=0,0,HLOOKUP("BC - Open Miss",A1:CV300,103,FALSE)/HLOOKUP("BC - Open",A1:CV300,103,FALSE))</f>
      </c>
      <c r="AO103" t="n" s="13379">
        <v>0.0</v>
      </c>
      <c r="AP103" s="13380">
        <f>IF(HLOOKUP("Gs",A1:CV300,103,FALSE)=0,0,HLOOKUP("GIB",A1:CV300,103,FALSE)/HLOOKUP("Gs",A1:CV300,103,FALSE))</f>
      </c>
      <c r="AQ103" t="n" s="13381">
        <v>0.0</v>
      </c>
      <c r="AR103" s="13382">
        <f>IF(HLOOKUP("Gs",A1:CV300,103,FALSE)=0,0,HLOOKUP("Gs - Open",A1:CV300,103,FALSE)/HLOOKUP("Gs",A1:CV300,103,FALSE))</f>
      </c>
      <c r="AS103" t="n" s="13383">
        <v>0.07</v>
      </c>
      <c r="AT103" t="n" s="13384">
        <v>0.13</v>
      </c>
      <c r="AU103" s="13385">
        <f>IF(HLOOKUP("Mins",A1:CV300,103,FALSE)=0,0,HLOOKUP("Pts",A1:CV300,103,FALSE)/HLOOKUP("Mins",A1:CV300,103,FALSE)* 90)</f>
      </c>
      <c r="AV103" s="13386">
        <f>IF(HLOOKUP("Apps",A1:CV300,103,FALSE)=0,0,HLOOKUP("Pts",A1:CV300,103,FALSE)/HLOOKUP("Apps",A1:CV300,103,FALSE)* 1)</f>
      </c>
      <c r="AW103" s="13387">
        <f>IF(HLOOKUP("Mins",A1:CV300,103,FALSE)=0,0,HLOOKUP("Gs",A1:CV300,103,FALSE)/HLOOKUP("Mins",A1:CV300,103,FALSE)* 90)</f>
      </c>
      <c r="AX103" s="13388">
        <f>IF(HLOOKUP("Mins",A1:CV300,103,FALSE)=0,0,HLOOKUP("Bonus",A1:CV300,103,FALSE)/HLOOKUP("Mins",A1:CV300,103,FALSE)* 90)</f>
      </c>
      <c r="AY103" s="13389">
        <f>IF(HLOOKUP("Mins",A1:CV300,103,FALSE)=0,0,HLOOKUP("BPS",A1:CV300,103,FALSE)/HLOOKUP("Mins",A1:CV300,103,FALSE)* 90)</f>
      </c>
      <c r="AZ103" s="13390">
        <f>IF(HLOOKUP("Mins",A1:CV300,103,FALSE)=0,0,HLOOKUP("Base BPS",A1:CV300,103,FALSE)/HLOOKUP("Mins",A1:CV300,103,FALSE)* 90)</f>
      </c>
      <c r="BA103" s="13391">
        <f>IF(HLOOKUP("Mins",A1:CV300,103,FALSE)=0,0,HLOOKUP("PenTchs",A1:CV300,103,FALSE)/HLOOKUP("Mins",A1:CV300,103,FALSE)* 90)</f>
      </c>
      <c r="BB103" s="13392">
        <f>IF(HLOOKUP("Mins",A1:CV300,103,FALSE)=0,0,HLOOKUP("Shots",A1:CV300,103,FALSE)/HLOOKUP("Mins",A1:CV300,103,FALSE)* 90)</f>
      </c>
      <c r="BC103" s="13393">
        <f>IF(HLOOKUP("Mins",A1:CV300,103,FALSE)=0,0,HLOOKUP("SIB",A1:CV300,103,FALSE)/HLOOKUP("Mins",A1:CV300,103,FALSE)* 90)</f>
      </c>
      <c r="BD103" s="13394">
        <f>IF(HLOOKUP("Mins",A1:CV300,103,FALSE)=0,0,HLOOKUP("S6YD",A1:CV300,103,FALSE)/HLOOKUP("Mins",A1:CV300,103,FALSE)* 90)</f>
      </c>
      <c r="BE103" s="13395">
        <f>IF(HLOOKUP("Mins",A1:CV300,103,FALSE)=0,0,HLOOKUP("Headers",A1:CV300,103,FALSE)/HLOOKUP("Mins",A1:CV300,103,FALSE)* 90)</f>
      </c>
      <c r="BF103" s="13396">
        <f>IF(HLOOKUP("Mins",A1:CV300,103,FALSE)=0,0,HLOOKUP("SOT",A1:CV300,103,FALSE)/HLOOKUP("Mins",A1:CV300,103,FALSE)* 90)</f>
      </c>
      <c r="BG103" s="13397">
        <f>IF(HLOOKUP("Mins",A1:CV300,103,FALSE)=0,0,HLOOKUP("As",A1:CV300,103,FALSE)/HLOOKUP("Mins",A1:CV300,103,FALSE)* 90)</f>
      </c>
      <c r="BH103" s="13398">
        <f>IF(HLOOKUP("Mins",A1:CV300,103,FALSE)=0,0,HLOOKUP("FPL As",A1:CV300,103,FALSE)/HLOOKUP("Mins",A1:CV300,103,FALSE)* 90)</f>
      </c>
      <c r="BI103" s="13399">
        <f>IF(HLOOKUP("Mins",A1:CV300,103,FALSE)=0,0,HLOOKUP("BC Created",A1:CV300,103,FALSE)/HLOOKUP("Mins",A1:CV300,103,FALSE)* 90)</f>
      </c>
      <c r="BJ103" s="13400">
        <f>IF(HLOOKUP("Mins",A1:CV300,103,FALSE)=0,0,HLOOKUP("KP",A1:CV300,103,FALSE)/HLOOKUP("Mins",A1:CV300,103,FALSE)* 90)</f>
      </c>
      <c r="BK103" s="13401">
        <f>IF(HLOOKUP("Mins",A1:CV300,103,FALSE)=0,0,HLOOKUP("BC",A1:CV300,103,FALSE)/HLOOKUP("Mins",A1:CV300,103,FALSE)* 90)</f>
      </c>
      <c r="BL103" s="13402">
        <f>IF(HLOOKUP("Mins",A1:CV300,103,FALSE)=0,0,HLOOKUP("BC Miss",A1:CV300,103,FALSE)/HLOOKUP("Mins",A1:CV300,103,FALSE)* 90)</f>
      </c>
      <c r="BM103" s="13403">
        <f>IF(HLOOKUP("Mins",A1:CV300,103,FALSE)=0,0,HLOOKUP("Gs - BC",A1:CV300,103,FALSE)/HLOOKUP("Mins",A1:CV300,103,FALSE)* 90)</f>
      </c>
      <c r="BN103" s="13404">
        <f>IF(HLOOKUP("Mins",A1:CV300,103,FALSE)=0,0,HLOOKUP("GIB",A1:CV300,103,FALSE)/HLOOKUP("Mins",A1:CV300,103,FALSE)* 90)</f>
      </c>
      <c r="BO103" s="13405">
        <f>IF(HLOOKUP("Mins",A1:CV300,103,FALSE)=0,0,HLOOKUP("Gs - Open",A1:CV300,103,FALSE)/HLOOKUP("Mins",A1:CV300,103,FALSE)* 90)</f>
      </c>
      <c r="BP103" s="13406">
        <f>IF(HLOOKUP("Mins",A1:CV300,103,FALSE)=0,0,HLOOKUP("ICT Index",A1:CV300,103,FALSE)/HLOOKUP("Mins",A1:CV300,103,FALSE)* 90)</f>
      </c>
      <c r="BQ103" s="13407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</c>
      <c r="BR103" s="13408">
        <f>0.0825*HLOOKUP("KP/90",A1:CV300,103,FALSE)</f>
      </c>
      <c r="BS103" s="13409">
        <f>6*HLOOKUP("xG/90",A1:CV300,103,FALSE)+3*HLOOKUP("xA/90",A1:CV300,103,FALSE)</f>
      </c>
      <c r="BT103" s="13410">
        <f>HLOOKUP("xPts/90",A1:CV300,103,FALSE)-(6*0.75*(HLOOKUP("PK Gs",A1:CV300,103,FALSE)+HLOOKUP("PK Miss",A1:CV300,103,FALSE))*90/HLOOKUP("Mins",A1:CV300,103,FALSE))</f>
      </c>
      <c r="BU103" s="13411">
        <f>IF(HLOOKUP("Mins",A1:CV300,103,FALSE)=0,0,HLOOKUP("fsXG",A1:CV300,103,FALSE)/HLOOKUP("Mins",A1:CV300,103,FALSE)* 90)</f>
      </c>
      <c r="BV103" s="13412">
        <f>IF(HLOOKUP("Mins",A1:CV300,103,FALSE)=0,0,HLOOKUP("fsXA",A1:CV300,103,FALSE)/HLOOKUP("Mins",A1:CV300,103,FALSE)* 90)</f>
      </c>
      <c r="BW103" s="13413">
        <f>6*HLOOKUP("fsXG/90",A1:CV300,103,FALSE)+3*HLOOKUP("fsXA/90",A1:CV300,103,FALSE)</f>
      </c>
      <c r="BX103" t="n" s="13414">
        <v>0.02020646259188652</v>
      </c>
      <c r="BY103" t="n" s="13415">
        <v>0.008638683706521988</v>
      </c>
      <c r="BZ103" s="13416">
        <f>6*HLOOKUP("uXG/90",A1:CV300,103,FALSE)+3*HLOOKUP("uXA/90",A1:CV300,103,FALSE)</f>
      </c>
    </row>
    <row r="104">
      <c r="A104" t="s" s="13417">
        <v>269</v>
      </c>
      <c r="B104" t="s" s="13418">
        <v>134</v>
      </c>
      <c r="C104" t="n" s="13419">
        <v>7.0</v>
      </c>
      <c r="D104" t="n" s="13420">
        <v>628.0</v>
      </c>
      <c r="E104" t="n" s="13421">
        <v>7.0</v>
      </c>
      <c r="F104" t="n" s="13422">
        <v>132.0</v>
      </c>
      <c r="G104" t="n" s="13423">
        <v>0.0</v>
      </c>
      <c r="H104" t="n" s="13424">
        <v>15.0</v>
      </c>
      <c r="I104" t="n" s="13425">
        <v>597.0</v>
      </c>
      <c r="J104" s="13426">
        <f>HLOOKUP("BPS",A1:CV300,104,FALSE)-((-6*HLOOKUP("OG",A1:CV300,104,FALSE))+(-6*HLOOKUP("PK Miss",A1:CV300,104,FALSE))+(9*HLOOKUP("FPL As",A1:CV300,104,FALSE))+(12*HLOOKUP("CS",A1:CV300,104,FALSE))+(12*HLOOKUP("Gs",A1:CV300,104,FALSE)))</f>
      </c>
      <c r="K104" t="n" s="13427">
        <v>0.0</v>
      </c>
      <c r="L104" t="n" s="13428">
        <v>11.0</v>
      </c>
      <c r="M104" t="n" s="13429">
        <v>18.0</v>
      </c>
      <c r="N104" t="n" s="13430">
        <v>3.0</v>
      </c>
      <c r="O104" t="n" s="13431">
        <v>2.0</v>
      </c>
      <c r="P104" s="13432">
        <f>IF(HLOOKUP("Shots",A1:CV300,104,FALSE)=0,0,HLOOKUP("SIB",A1:CV300,104,FALSE)/HLOOKUP("Shots",A1:CV300,104,FALSE))</f>
      </c>
      <c r="Q104" t="n" s="13433">
        <v>0.0</v>
      </c>
      <c r="R104" s="13434">
        <f>IF(HLOOKUP("Shots",A1:CV300,104,FALSE)=0,0,HLOOKUP("S6YD",A1:CV300,104,FALSE)/HLOOKUP("Shots",A1:CV300,104,FALSE))</f>
      </c>
      <c r="S104" t="n" s="13435">
        <v>0.0</v>
      </c>
      <c r="T104" s="13436">
        <f>IF(HLOOKUP("Shots",A1:CV300,104,FALSE)=0,0,HLOOKUP("Headers",A1:CV300,104,FALSE)/HLOOKUP("Shots",A1:CV300,104,FALSE))</f>
      </c>
      <c r="U104" t="n" s="13437">
        <v>0.0</v>
      </c>
      <c r="V104" s="13438">
        <f>IF(HLOOKUP("Shots",A1:CV300,104,FALSE)=0,0,HLOOKUP("SOT",A1:CV300,104,FALSE)/HLOOKUP("Shots",A1:CV300,104,FALSE))</f>
      </c>
      <c r="W104" s="13439">
        <f>IF(HLOOKUP("Shots",A1:CV300,104,FALSE)=0,0,HLOOKUP("Gs",A1:CV300,104,FALSE)/HLOOKUP("Shots",A1:CV300,104,FALSE))</f>
      </c>
      <c r="X104" t="n" s="13440">
        <v>1.0</v>
      </c>
      <c r="Y104" t="n" s="13441">
        <v>6.0</v>
      </c>
      <c r="Z104" t="n" s="13442">
        <v>11.0</v>
      </c>
      <c r="AA104" s="13443">
        <f>IF(HLOOKUP("KP",A1:CV300,104,FALSE)=0,0,HLOOKUP("As",A1:CV300,104,FALSE)/HLOOKUP("KP",A1:CV300,104,FALSE))</f>
      </c>
      <c r="AB104" t="n" s="13444">
        <v>35.6</v>
      </c>
      <c r="AC104" t="n" s="13445">
        <v>7.0</v>
      </c>
      <c r="AD104" t="n" s="13446">
        <v>2.0</v>
      </c>
      <c r="AE104" t="n" s="13447">
        <v>1.0</v>
      </c>
      <c r="AF104" t="n" s="13448">
        <v>1.0</v>
      </c>
      <c r="AG104" s="13449">
        <f>IF(HLOOKUP("BC",A1:CV300,104,FALSE)=0,0,HLOOKUP("Gs - BC",A1:CV300,104,FALSE)/HLOOKUP("BC",A1:CV300,104,FALSE))</f>
      </c>
      <c r="AH104" s="13450">
        <f>HLOOKUP("BC",A1:CV300,104,FALSE) - HLOOKUP("BC Miss",A1:CV300,104,FALSE)</f>
      </c>
      <c r="AI104" s="13451">
        <f>IF(HLOOKUP("Gs",A1:CV300,104,FALSE)=0,0,HLOOKUP("Gs - BC",A1:CV300,104,FALSE)/HLOOKUP("Gs",A1:CV300,104,FALSE))</f>
      </c>
      <c r="AJ104" t="n" s="13452">
        <v>0.0</v>
      </c>
      <c r="AK104" t="n" s="13453">
        <v>0.0</v>
      </c>
      <c r="AL104" s="13454">
        <f>HLOOKUP("BC",A1:CV300,104,FALSE) - (HLOOKUP("PK Gs",A1:CV300,104,FALSE) + HLOOKUP("PK Miss",A1:CV300,104,FALSE))</f>
      </c>
      <c r="AM104" s="13455">
        <f>HLOOKUP("BC Miss",A1:CV300,104,FALSE) - HLOOKUP("PK Miss",A1:CV300,104,FALSE)</f>
      </c>
      <c r="AN104" s="13456">
        <f>IF(HLOOKUP("BC - Open",A1:CV300,104,FALSE)=0,0,HLOOKUP("BC - Open Miss",A1:CV300,104,FALSE)/HLOOKUP("BC - Open",A1:CV300,104,FALSE))</f>
      </c>
      <c r="AO104" t="n" s="13457">
        <v>0.0</v>
      </c>
      <c r="AP104" s="13458">
        <f>IF(HLOOKUP("Gs",A1:CV300,104,FALSE)=0,0,HLOOKUP("GIB",A1:CV300,104,FALSE)/HLOOKUP("Gs",A1:CV300,104,FALSE))</f>
      </c>
      <c r="AQ104" t="n" s="13459">
        <v>0.0</v>
      </c>
      <c r="AR104" s="13460">
        <f>IF(HLOOKUP("Gs",A1:CV300,104,FALSE)=0,0,HLOOKUP("Gs - Open",A1:CV300,104,FALSE)/HLOOKUP("Gs",A1:CV300,104,FALSE))</f>
      </c>
      <c r="AS104" t="n" s="13461">
        <v>0.43</v>
      </c>
      <c r="AT104" t="n" s="13462">
        <v>1.08</v>
      </c>
      <c r="AU104" s="13463">
        <f>IF(HLOOKUP("Mins",A1:CV300,104,FALSE)=0,0,HLOOKUP("Pts",A1:CV300,104,FALSE)/HLOOKUP("Mins",A1:CV300,104,FALSE)* 90)</f>
      </c>
      <c r="AV104" s="13464">
        <f>IF(HLOOKUP("Apps",A1:CV300,104,FALSE)=0,0,HLOOKUP("Pts",A1:CV300,104,FALSE)/HLOOKUP("Apps",A1:CV300,104,FALSE)* 1)</f>
      </c>
      <c r="AW104" s="13465">
        <f>IF(HLOOKUP("Mins",A1:CV300,104,FALSE)=0,0,HLOOKUP("Gs",A1:CV300,104,FALSE)/HLOOKUP("Mins",A1:CV300,104,FALSE)* 90)</f>
      </c>
      <c r="AX104" s="13466">
        <f>IF(HLOOKUP("Mins",A1:CV300,104,FALSE)=0,0,HLOOKUP("Bonus",A1:CV300,104,FALSE)/HLOOKUP("Mins",A1:CV300,104,FALSE)* 90)</f>
      </c>
      <c r="AY104" s="13467">
        <f>IF(HLOOKUP("Mins",A1:CV300,104,FALSE)=0,0,HLOOKUP("BPS",A1:CV300,104,FALSE)/HLOOKUP("Mins",A1:CV300,104,FALSE)* 90)</f>
      </c>
      <c r="AZ104" s="13468">
        <f>IF(HLOOKUP("Mins",A1:CV300,104,FALSE)=0,0,HLOOKUP("Base BPS",A1:CV300,104,FALSE)/HLOOKUP("Mins",A1:CV300,104,FALSE)* 90)</f>
      </c>
      <c r="BA104" s="13469">
        <f>IF(HLOOKUP("Mins",A1:CV300,104,FALSE)=0,0,HLOOKUP("PenTchs",A1:CV300,104,FALSE)/HLOOKUP("Mins",A1:CV300,104,FALSE)* 90)</f>
      </c>
      <c r="BB104" s="13470">
        <f>IF(HLOOKUP("Mins",A1:CV300,104,FALSE)=0,0,HLOOKUP("Shots",A1:CV300,104,FALSE)/HLOOKUP("Mins",A1:CV300,104,FALSE)* 90)</f>
      </c>
      <c r="BC104" s="13471">
        <f>IF(HLOOKUP("Mins",A1:CV300,104,FALSE)=0,0,HLOOKUP("SIB",A1:CV300,104,FALSE)/HLOOKUP("Mins",A1:CV300,104,FALSE)* 90)</f>
      </c>
      <c r="BD104" s="13472">
        <f>IF(HLOOKUP("Mins",A1:CV300,104,FALSE)=0,0,HLOOKUP("S6YD",A1:CV300,104,FALSE)/HLOOKUP("Mins",A1:CV300,104,FALSE)* 90)</f>
      </c>
      <c r="BE104" s="13473">
        <f>IF(HLOOKUP("Mins",A1:CV300,104,FALSE)=0,0,HLOOKUP("Headers",A1:CV300,104,FALSE)/HLOOKUP("Mins",A1:CV300,104,FALSE)* 90)</f>
      </c>
      <c r="BF104" s="13474">
        <f>IF(HLOOKUP("Mins",A1:CV300,104,FALSE)=0,0,HLOOKUP("SOT",A1:CV300,104,FALSE)/HLOOKUP("Mins",A1:CV300,104,FALSE)* 90)</f>
      </c>
      <c r="BG104" s="13475">
        <f>IF(HLOOKUP("Mins",A1:CV300,104,FALSE)=0,0,HLOOKUP("As",A1:CV300,104,FALSE)/HLOOKUP("Mins",A1:CV300,104,FALSE)* 90)</f>
      </c>
      <c r="BH104" s="13476">
        <f>IF(HLOOKUP("Mins",A1:CV300,104,FALSE)=0,0,HLOOKUP("FPL As",A1:CV300,104,FALSE)/HLOOKUP("Mins",A1:CV300,104,FALSE)* 90)</f>
      </c>
      <c r="BI104" s="13477">
        <f>IF(HLOOKUP("Mins",A1:CV300,104,FALSE)=0,0,HLOOKUP("BC Created",A1:CV300,104,FALSE)/HLOOKUP("Mins",A1:CV300,104,FALSE)* 90)</f>
      </c>
      <c r="BJ104" s="13478">
        <f>IF(HLOOKUP("Mins",A1:CV300,104,FALSE)=0,0,HLOOKUP("KP",A1:CV300,104,FALSE)/HLOOKUP("Mins",A1:CV300,104,FALSE)* 90)</f>
      </c>
      <c r="BK104" s="13479">
        <f>IF(HLOOKUP("Mins",A1:CV300,104,FALSE)=0,0,HLOOKUP("BC",A1:CV300,104,FALSE)/HLOOKUP("Mins",A1:CV300,104,FALSE)* 90)</f>
      </c>
      <c r="BL104" s="13480">
        <f>IF(HLOOKUP("Mins",A1:CV300,104,FALSE)=0,0,HLOOKUP("BC Miss",A1:CV300,104,FALSE)/HLOOKUP("Mins",A1:CV300,104,FALSE)* 90)</f>
      </c>
      <c r="BM104" s="13481">
        <f>IF(HLOOKUP("Mins",A1:CV300,104,FALSE)=0,0,HLOOKUP("Gs - BC",A1:CV300,104,FALSE)/HLOOKUP("Mins",A1:CV300,104,FALSE)* 90)</f>
      </c>
      <c r="BN104" s="13482">
        <f>IF(HLOOKUP("Mins",A1:CV300,104,FALSE)=0,0,HLOOKUP("GIB",A1:CV300,104,FALSE)/HLOOKUP("Mins",A1:CV300,104,FALSE)* 90)</f>
      </c>
      <c r="BO104" s="13483">
        <f>IF(HLOOKUP("Mins",A1:CV300,104,FALSE)=0,0,HLOOKUP("Gs - Open",A1:CV300,104,FALSE)/HLOOKUP("Mins",A1:CV300,104,FALSE)* 90)</f>
      </c>
      <c r="BP104" s="13484">
        <f>IF(HLOOKUP("Mins",A1:CV300,104,FALSE)=0,0,HLOOKUP("ICT Index",A1:CV300,104,FALSE)/HLOOKUP("Mins",A1:CV300,104,FALSE)* 90)</f>
      </c>
      <c r="BQ104" s="13485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</c>
      <c r="BR104" s="13486">
        <f>0.0825*HLOOKUP("KP/90",A1:CV300,104,FALSE)</f>
      </c>
      <c r="BS104" s="13487">
        <f>6*HLOOKUP("xG/90",A1:CV300,104,FALSE)+3*HLOOKUP("xA/90",A1:CV300,104,FALSE)</f>
      </c>
      <c r="BT104" s="13488">
        <f>HLOOKUP("xPts/90",A1:CV300,104,FALSE)-(6*0.75*(HLOOKUP("PK Gs",A1:CV300,104,FALSE)+HLOOKUP("PK Miss",A1:CV300,104,FALSE))*90/HLOOKUP("Mins",A1:CV300,104,FALSE))</f>
      </c>
      <c r="BU104" s="13489">
        <f>IF(HLOOKUP("Mins",A1:CV300,104,FALSE)=0,0,HLOOKUP("fsXG",A1:CV300,104,FALSE)/HLOOKUP("Mins",A1:CV300,104,FALSE)* 90)</f>
      </c>
      <c r="BV104" s="13490">
        <f>IF(HLOOKUP("Mins",A1:CV300,104,FALSE)=0,0,HLOOKUP("fsXA",A1:CV300,104,FALSE)/HLOOKUP("Mins",A1:CV300,104,FALSE)* 90)</f>
      </c>
      <c r="BW104" s="13491">
        <f>6*HLOOKUP("fsXG/90",A1:CV300,104,FALSE)+3*HLOOKUP("fsXA/90",A1:CV300,104,FALSE)</f>
      </c>
      <c r="BX104" t="n" s="13492">
        <v>0.05433954671025276</v>
      </c>
      <c r="BY104" t="n" s="13493">
        <v>0.22735486924648285</v>
      </c>
      <c r="BZ104" s="13494">
        <f>6*HLOOKUP("uXG/90",A1:CV300,104,FALSE)+3*HLOOKUP("uXA/90",A1:CV300,104,FALSE)</f>
      </c>
    </row>
    <row r="105">
      <c r="A105" t="s" s="13495">
        <v>270</v>
      </c>
      <c r="B105" t="s" s="13496">
        <v>122</v>
      </c>
      <c r="C105" t="n" s="13497">
        <v>4.099999904632568</v>
      </c>
      <c r="D105" t="n" s="13498">
        <v>323.0</v>
      </c>
      <c r="E105" t="n" s="13499">
        <v>4.0</v>
      </c>
      <c r="F105" t="n" s="13500">
        <v>32.0</v>
      </c>
      <c r="G105" t="n" s="13501">
        <v>0.0</v>
      </c>
      <c r="H105" t="n" s="13502">
        <v>1.0</v>
      </c>
      <c r="I105" t="n" s="13503">
        <v>141.0</v>
      </c>
      <c r="J105" s="13504">
        <f>HLOOKUP("BPS",A1:CV300,105,FALSE)-((-6*HLOOKUP("OG",A1:CV300,105,FALSE))+(-6*HLOOKUP("PK Miss",A1:CV300,105,FALSE))+(9*HLOOKUP("FPL As",A1:CV300,105,FALSE))+(12*HLOOKUP("CS",A1:CV300,105,FALSE))+(12*HLOOKUP("Gs",A1:CV300,105,FALSE)))</f>
      </c>
      <c r="K105" t="n" s="13505">
        <v>0.0</v>
      </c>
      <c r="L105" t="n" s="13506">
        <v>3.0</v>
      </c>
      <c r="M105" t="n" s="13507">
        <v>11.0</v>
      </c>
      <c r="N105" t="n" s="13508">
        <v>3.0</v>
      </c>
      <c r="O105" t="n" s="13509">
        <v>2.0</v>
      </c>
      <c r="P105" s="13510">
        <f>IF(HLOOKUP("Shots",A1:CV300,105,FALSE)=0,0,HLOOKUP("SIB",A1:CV300,105,FALSE)/HLOOKUP("Shots",A1:CV300,105,FALSE))</f>
      </c>
      <c r="Q105" t="n" s="13511">
        <v>1.0</v>
      </c>
      <c r="R105" s="13512">
        <f>IF(HLOOKUP("Shots",A1:CV300,105,FALSE)=0,0,HLOOKUP("S6YD",A1:CV300,105,FALSE)/HLOOKUP("Shots",A1:CV300,105,FALSE))</f>
      </c>
      <c r="S105" t="n" s="13513">
        <v>0.0</v>
      </c>
      <c r="T105" s="13514">
        <f>IF(HLOOKUP("Shots",A1:CV300,105,FALSE)=0,0,HLOOKUP("Headers",A1:CV300,105,FALSE)/HLOOKUP("Shots",A1:CV300,105,FALSE))</f>
      </c>
      <c r="U105" t="n" s="13515">
        <v>0.0</v>
      </c>
      <c r="V105" s="13516">
        <f>IF(HLOOKUP("Shots",A1:CV300,105,FALSE)=0,0,HLOOKUP("SOT",A1:CV300,105,FALSE)/HLOOKUP("Shots",A1:CV300,105,FALSE))</f>
      </c>
      <c r="W105" s="13517">
        <f>IF(HLOOKUP("Shots",A1:CV300,105,FALSE)=0,0,HLOOKUP("Gs",A1:CV300,105,FALSE)/HLOOKUP("Shots",A1:CV300,105,FALSE))</f>
      </c>
      <c r="X105" t="n" s="13518">
        <v>0.0</v>
      </c>
      <c r="Y105" t="n" s="13519">
        <v>1.0</v>
      </c>
      <c r="Z105" t="n" s="13520">
        <v>3.0</v>
      </c>
      <c r="AA105" s="13521">
        <f>IF(HLOOKUP("KP",A1:CV300,105,FALSE)=0,0,HLOOKUP("As",A1:CV300,105,FALSE)/HLOOKUP("KP",A1:CV300,105,FALSE))</f>
      </c>
      <c r="AB105" t="n" s="13522">
        <v>12.0</v>
      </c>
      <c r="AC105" t="n" s="13523">
        <v>17.0</v>
      </c>
      <c r="AD105" t="n" s="13524">
        <v>0.0</v>
      </c>
      <c r="AE105" t="n" s="13525">
        <v>1.0</v>
      </c>
      <c r="AF105" t="n" s="13526">
        <v>1.0</v>
      </c>
      <c r="AG105" s="13527">
        <f>IF(HLOOKUP("BC",A1:CV300,105,FALSE)=0,0,HLOOKUP("Gs - BC",A1:CV300,105,FALSE)/HLOOKUP("BC",A1:CV300,105,FALSE))</f>
      </c>
      <c r="AH105" s="13528">
        <f>HLOOKUP("BC",A1:CV300,105,FALSE) - HLOOKUP("BC Miss",A1:CV300,105,FALSE)</f>
      </c>
      <c r="AI105" s="13529">
        <f>IF(HLOOKUP("Gs",A1:CV300,105,FALSE)=0,0,HLOOKUP("Gs - BC",A1:CV300,105,FALSE)/HLOOKUP("Gs",A1:CV300,105,FALSE))</f>
      </c>
      <c r="AJ105" t="n" s="13530">
        <v>0.0</v>
      </c>
      <c r="AK105" t="n" s="13531">
        <v>0.0</v>
      </c>
      <c r="AL105" s="13532">
        <f>HLOOKUP("BC",A1:CV300,105,FALSE) - (HLOOKUP("PK Gs",A1:CV300,105,FALSE) + HLOOKUP("PK Miss",A1:CV300,105,FALSE))</f>
      </c>
      <c r="AM105" s="13533">
        <f>HLOOKUP("BC Miss",A1:CV300,105,FALSE) - HLOOKUP("PK Miss",A1:CV300,105,FALSE)</f>
      </c>
      <c r="AN105" s="13534">
        <f>IF(HLOOKUP("BC - Open",A1:CV300,105,FALSE)=0,0,HLOOKUP("BC - Open Miss",A1:CV300,105,FALSE)/HLOOKUP("BC - Open",A1:CV300,105,FALSE))</f>
      </c>
      <c r="AO105" t="n" s="13535">
        <v>0.0</v>
      </c>
      <c r="AP105" s="13536">
        <f>IF(HLOOKUP("Gs",A1:CV300,105,FALSE)=0,0,HLOOKUP("GIB",A1:CV300,105,FALSE)/HLOOKUP("Gs",A1:CV300,105,FALSE))</f>
      </c>
      <c r="AQ105" t="n" s="13537">
        <v>0.0</v>
      </c>
      <c r="AR105" s="13538">
        <f>IF(HLOOKUP("Gs",A1:CV300,105,FALSE)=0,0,HLOOKUP("Gs - Open",A1:CV300,105,FALSE)/HLOOKUP("Gs",A1:CV300,105,FALSE))</f>
      </c>
      <c r="AS105" t="n" s="13539">
        <v>0.88</v>
      </c>
      <c r="AT105" t="n" s="13540">
        <v>0.12</v>
      </c>
      <c r="AU105" s="13541">
        <f>IF(HLOOKUP("Mins",A1:CV300,105,FALSE)=0,0,HLOOKUP("Pts",A1:CV300,105,FALSE)/HLOOKUP("Mins",A1:CV300,105,FALSE)* 90)</f>
      </c>
      <c r="AV105" s="13542">
        <f>IF(HLOOKUP("Apps",A1:CV300,105,FALSE)=0,0,HLOOKUP("Pts",A1:CV300,105,FALSE)/HLOOKUP("Apps",A1:CV300,105,FALSE)* 1)</f>
      </c>
      <c r="AW105" s="13543">
        <f>IF(HLOOKUP("Mins",A1:CV300,105,FALSE)=0,0,HLOOKUP("Gs",A1:CV300,105,FALSE)/HLOOKUP("Mins",A1:CV300,105,FALSE)* 90)</f>
      </c>
      <c r="AX105" s="13544">
        <f>IF(HLOOKUP("Mins",A1:CV300,105,FALSE)=0,0,HLOOKUP("Bonus",A1:CV300,105,FALSE)/HLOOKUP("Mins",A1:CV300,105,FALSE)* 90)</f>
      </c>
      <c r="AY105" s="13545">
        <f>IF(HLOOKUP("Mins",A1:CV300,105,FALSE)=0,0,HLOOKUP("BPS",A1:CV300,105,FALSE)/HLOOKUP("Mins",A1:CV300,105,FALSE)* 90)</f>
      </c>
      <c r="AZ105" s="13546">
        <f>IF(HLOOKUP("Mins",A1:CV300,105,FALSE)=0,0,HLOOKUP("Base BPS",A1:CV300,105,FALSE)/HLOOKUP("Mins",A1:CV300,105,FALSE)* 90)</f>
      </c>
      <c r="BA105" s="13547">
        <f>IF(HLOOKUP("Mins",A1:CV300,105,FALSE)=0,0,HLOOKUP("PenTchs",A1:CV300,105,FALSE)/HLOOKUP("Mins",A1:CV300,105,FALSE)* 90)</f>
      </c>
      <c r="BB105" s="13548">
        <f>IF(HLOOKUP("Mins",A1:CV300,105,FALSE)=0,0,HLOOKUP("Shots",A1:CV300,105,FALSE)/HLOOKUP("Mins",A1:CV300,105,FALSE)* 90)</f>
      </c>
      <c r="BC105" s="13549">
        <f>IF(HLOOKUP("Mins",A1:CV300,105,FALSE)=0,0,HLOOKUP("SIB",A1:CV300,105,FALSE)/HLOOKUP("Mins",A1:CV300,105,FALSE)* 90)</f>
      </c>
      <c r="BD105" s="13550">
        <f>IF(HLOOKUP("Mins",A1:CV300,105,FALSE)=0,0,HLOOKUP("S6YD",A1:CV300,105,FALSE)/HLOOKUP("Mins",A1:CV300,105,FALSE)* 90)</f>
      </c>
      <c r="BE105" s="13551">
        <f>IF(HLOOKUP("Mins",A1:CV300,105,FALSE)=0,0,HLOOKUP("Headers",A1:CV300,105,FALSE)/HLOOKUP("Mins",A1:CV300,105,FALSE)* 90)</f>
      </c>
      <c r="BF105" s="13552">
        <f>IF(HLOOKUP("Mins",A1:CV300,105,FALSE)=0,0,HLOOKUP("SOT",A1:CV300,105,FALSE)/HLOOKUP("Mins",A1:CV300,105,FALSE)* 90)</f>
      </c>
      <c r="BG105" s="13553">
        <f>IF(HLOOKUP("Mins",A1:CV300,105,FALSE)=0,0,HLOOKUP("As",A1:CV300,105,FALSE)/HLOOKUP("Mins",A1:CV300,105,FALSE)* 90)</f>
      </c>
      <c r="BH105" s="13554">
        <f>IF(HLOOKUP("Mins",A1:CV300,105,FALSE)=0,0,HLOOKUP("FPL As",A1:CV300,105,FALSE)/HLOOKUP("Mins",A1:CV300,105,FALSE)* 90)</f>
      </c>
      <c r="BI105" s="13555">
        <f>IF(HLOOKUP("Mins",A1:CV300,105,FALSE)=0,0,HLOOKUP("BC Created",A1:CV300,105,FALSE)/HLOOKUP("Mins",A1:CV300,105,FALSE)* 90)</f>
      </c>
      <c r="BJ105" s="13556">
        <f>IF(HLOOKUP("Mins",A1:CV300,105,FALSE)=0,0,HLOOKUP("KP",A1:CV300,105,FALSE)/HLOOKUP("Mins",A1:CV300,105,FALSE)* 90)</f>
      </c>
      <c r="BK105" s="13557">
        <f>IF(HLOOKUP("Mins",A1:CV300,105,FALSE)=0,0,HLOOKUP("BC",A1:CV300,105,FALSE)/HLOOKUP("Mins",A1:CV300,105,FALSE)* 90)</f>
      </c>
      <c r="BL105" s="13558">
        <f>IF(HLOOKUP("Mins",A1:CV300,105,FALSE)=0,0,HLOOKUP("BC Miss",A1:CV300,105,FALSE)/HLOOKUP("Mins",A1:CV300,105,FALSE)* 90)</f>
      </c>
      <c r="BM105" s="13559">
        <f>IF(HLOOKUP("Mins",A1:CV300,105,FALSE)=0,0,HLOOKUP("Gs - BC",A1:CV300,105,FALSE)/HLOOKUP("Mins",A1:CV300,105,FALSE)* 90)</f>
      </c>
      <c r="BN105" s="13560">
        <f>IF(HLOOKUP("Mins",A1:CV300,105,FALSE)=0,0,HLOOKUP("GIB",A1:CV300,105,FALSE)/HLOOKUP("Mins",A1:CV300,105,FALSE)* 90)</f>
      </c>
      <c r="BO105" s="13561">
        <f>IF(HLOOKUP("Mins",A1:CV300,105,FALSE)=0,0,HLOOKUP("Gs - Open",A1:CV300,105,FALSE)/HLOOKUP("Mins",A1:CV300,105,FALSE)* 90)</f>
      </c>
      <c r="BP105" s="13562">
        <f>IF(HLOOKUP("Mins",A1:CV300,105,FALSE)=0,0,HLOOKUP("ICT Index",A1:CV300,105,FALSE)/HLOOKUP("Mins",A1:CV300,105,FALSE)* 90)</f>
      </c>
      <c r="BQ105" s="13563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</c>
      <c r="BR105" s="13564">
        <f>0.0825*HLOOKUP("KP/90",A1:CV300,105,FALSE)</f>
      </c>
      <c r="BS105" s="13565">
        <f>6*HLOOKUP("xG/90",A1:CV300,105,FALSE)+3*HLOOKUP("xA/90",A1:CV300,105,FALSE)</f>
      </c>
      <c r="BT105" s="13566">
        <f>HLOOKUP("xPts/90",A1:CV300,105,FALSE)-(6*0.75*(HLOOKUP("PK Gs",A1:CV300,105,FALSE)+HLOOKUP("PK Miss",A1:CV300,105,FALSE))*90/HLOOKUP("Mins",A1:CV300,105,FALSE))</f>
      </c>
      <c r="BU105" s="13567">
        <f>IF(HLOOKUP("Mins",A1:CV300,105,FALSE)=0,0,HLOOKUP("fsXG",A1:CV300,105,FALSE)/HLOOKUP("Mins",A1:CV300,105,FALSE)* 90)</f>
      </c>
      <c r="BV105" s="13568">
        <f>IF(HLOOKUP("Mins",A1:CV300,105,FALSE)=0,0,HLOOKUP("fsXA",A1:CV300,105,FALSE)/HLOOKUP("Mins",A1:CV300,105,FALSE)* 90)</f>
      </c>
      <c r="BW105" s="13569">
        <f>6*HLOOKUP("fsXG/90",A1:CV300,105,FALSE)+3*HLOOKUP("fsXA/90",A1:CV300,105,FALSE)</f>
      </c>
      <c r="BX105" t="n" s="13570">
        <v>0.2130737155675888</v>
      </c>
      <c r="BY105" t="n" s="13571">
        <v>0.021090185269713402</v>
      </c>
      <c r="BZ105" s="13572">
        <f>6*HLOOKUP("uXG/90",A1:CV300,105,FALSE)+3*HLOOKUP("uXA/90",A1:CV300,105,FALSE)</f>
      </c>
    </row>
    <row r="106">
      <c r="A106" t="s" s="13573">
        <v>271</v>
      </c>
      <c r="B106" t="s" s="13574">
        <v>87</v>
      </c>
      <c r="C106" t="n" s="13575">
        <v>4.199999809265137</v>
      </c>
      <c r="D106" t="n" s="13576">
        <v>90.0</v>
      </c>
      <c r="E106" t="n" s="13577">
        <v>1.0</v>
      </c>
      <c r="F106" t="n" s="13578">
        <v>19.0</v>
      </c>
      <c r="G106" t="n" s="13579">
        <v>0.0</v>
      </c>
      <c r="H106" t="n" s="13580">
        <v>5.0</v>
      </c>
      <c r="I106" t="n" s="13581">
        <v>154.0</v>
      </c>
      <c r="J106" s="13582">
        <f>HLOOKUP("BPS",A1:CV300,106,FALSE)-((-6*HLOOKUP("OG",A1:CV300,106,FALSE))+(-6*HLOOKUP("PK Miss",A1:CV300,106,FALSE))+(9*HLOOKUP("FPL As",A1:CV300,106,FALSE))+(12*HLOOKUP("CS",A1:CV300,106,FALSE))+(12*HLOOKUP("Gs",A1:CV300,106,FALSE)))</f>
      </c>
      <c r="K106" t="n" s="13583">
        <v>0.0</v>
      </c>
      <c r="L106" t="n" s="13584">
        <v>1.0</v>
      </c>
      <c r="M106" t="n" s="13585">
        <v>0.0</v>
      </c>
      <c r="N106" t="n" s="13586">
        <v>0.0</v>
      </c>
      <c r="O106" t="n" s="13587">
        <v>0.0</v>
      </c>
      <c r="P106" s="13588">
        <f>IF(HLOOKUP("Shots",A1:CV300,106,FALSE)=0,0,HLOOKUP("SIB",A1:CV300,106,FALSE)/HLOOKUP("Shots",A1:CV300,106,FALSE))</f>
      </c>
      <c r="Q106" t="n" s="13589">
        <v>0.0</v>
      </c>
      <c r="R106" s="13590">
        <f>IF(HLOOKUP("Shots",A1:CV300,106,FALSE)=0,0,HLOOKUP("S6YD",A1:CV300,106,FALSE)/HLOOKUP("Shots",A1:CV300,106,FALSE))</f>
      </c>
      <c r="S106" t="n" s="13591">
        <v>0.0</v>
      </c>
      <c r="T106" s="13592">
        <f>IF(HLOOKUP("Shots",A1:CV300,106,FALSE)=0,0,HLOOKUP("Headers",A1:CV300,106,FALSE)/HLOOKUP("Shots",A1:CV300,106,FALSE))</f>
      </c>
      <c r="U106" t="n" s="13593">
        <v>0.0</v>
      </c>
      <c r="V106" s="13594">
        <f>IF(HLOOKUP("Shots",A1:CV300,106,FALSE)=0,0,HLOOKUP("SOT",A1:CV300,106,FALSE)/HLOOKUP("Shots",A1:CV300,106,FALSE))</f>
      </c>
      <c r="W106" s="13595">
        <f>IF(HLOOKUP("Shots",A1:CV300,106,FALSE)=0,0,HLOOKUP("Gs",A1:CV300,106,FALSE)/HLOOKUP("Shots",A1:CV300,106,FALSE))</f>
      </c>
      <c r="X106" t="n" s="13596">
        <v>0.0</v>
      </c>
      <c r="Y106" t="n" s="13597">
        <v>1.0</v>
      </c>
      <c r="Z106" t="n" s="13598">
        <v>2.0</v>
      </c>
      <c r="AA106" s="13599">
        <f>IF(HLOOKUP("KP",A1:CV300,106,FALSE)=0,0,HLOOKUP("As",A1:CV300,106,FALSE)/HLOOKUP("KP",A1:CV300,106,FALSE))</f>
      </c>
      <c r="AB106" t="n" s="13600">
        <v>4.7</v>
      </c>
      <c r="AC106" t="n" s="13601">
        <v>0.0</v>
      </c>
      <c r="AD106" t="n" s="13602">
        <v>0.0</v>
      </c>
      <c r="AE106" t="n" s="13603">
        <v>0.0</v>
      </c>
      <c r="AF106" t="n" s="13604">
        <v>0.0</v>
      </c>
      <c r="AG106" s="13605">
        <f>IF(HLOOKUP("BC",A1:CV300,106,FALSE)=0,0,HLOOKUP("Gs - BC",A1:CV300,106,FALSE)/HLOOKUP("BC",A1:CV300,106,FALSE))</f>
      </c>
      <c r="AH106" s="13606">
        <f>HLOOKUP("BC",A1:CV300,106,FALSE) - HLOOKUP("BC Miss",A1:CV300,106,FALSE)</f>
      </c>
      <c r="AI106" s="13607">
        <f>IF(HLOOKUP("Gs",A1:CV300,106,FALSE)=0,0,HLOOKUP("Gs - BC",A1:CV300,106,FALSE)/HLOOKUP("Gs",A1:CV300,106,FALSE))</f>
      </c>
      <c r="AJ106" t="n" s="13608">
        <v>0.0</v>
      </c>
      <c r="AK106" t="n" s="13609">
        <v>0.0</v>
      </c>
      <c r="AL106" s="13610">
        <f>HLOOKUP("BC",A1:CV300,106,FALSE) - (HLOOKUP("PK Gs",A1:CV300,106,FALSE) + HLOOKUP("PK Miss",A1:CV300,106,FALSE))</f>
      </c>
      <c r="AM106" s="13611">
        <f>HLOOKUP("BC Miss",A1:CV300,106,FALSE) - HLOOKUP("PK Miss",A1:CV300,106,FALSE)</f>
      </c>
      <c r="AN106" s="13612">
        <f>IF(HLOOKUP("BC - Open",A1:CV300,106,FALSE)=0,0,HLOOKUP("BC - Open Miss",A1:CV300,106,FALSE)/HLOOKUP("BC - Open",A1:CV300,106,FALSE))</f>
      </c>
      <c r="AO106" t="n" s="13613">
        <v>0.0</v>
      </c>
      <c r="AP106" s="13614">
        <f>IF(HLOOKUP("Gs",A1:CV300,106,FALSE)=0,0,HLOOKUP("GIB",A1:CV300,106,FALSE)/HLOOKUP("Gs",A1:CV300,106,FALSE))</f>
      </c>
      <c r="AQ106" t="n" s="13615">
        <v>0.0</v>
      </c>
      <c r="AR106" s="13616">
        <f>IF(HLOOKUP("Gs",A1:CV300,106,FALSE)=0,0,HLOOKUP("Gs - Open",A1:CV300,106,FALSE)/HLOOKUP("Gs",A1:CV300,106,FALSE))</f>
      </c>
      <c r="AS106" t="n" s="13617">
        <v>0.0</v>
      </c>
      <c r="AT106" t="n" s="13618">
        <v>0.07</v>
      </c>
      <c r="AU106" s="13619">
        <f>IF(HLOOKUP("Mins",A1:CV300,106,FALSE)=0,0,HLOOKUP("Pts",A1:CV300,106,FALSE)/HLOOKUP("Mins",A1:CV300,106,FALSE)* 90)</f>
      </c>
      <c r="AV106" s="13620">
        <f>IF(HLOOKUP("Apps",A1:CV300,106,FALSE)=0,0,HLOOKUP("Pts",A1:CV300,106,FALSE)/HLOOKUP("Apps",A1:CV300,106,FALSE)* 1)</f>
      </c>
      <c r="AW106" s="13621">
        <f>IF(HLOOKUP("Mins",A1:CV300,106,FALSE)=0,0,HLOOKUP("Gs",A1:CV300,106,FALSE)/HLOOKUP("Mins",A1:CV300,106,FALSE)* 90)</f>
      </c>
      <c r="AX106" s="13622">
        <f>IF(HLOOKUP("Mins",A1:CV300,106,FALSE)=0,0,HLOOKUP("Bonus",A1:CV300,106,FALSE)/HLOOKUP("Mins",A1:CV300,106,FALSE)* 90)</f>
      </c>
      <c r="AY106" s="13623">
        <f>IF(HLOOKUP("Mins",A1:CV300,106,FALSE)=0,0,HLOOKUP("BPS",A1:CV300,106,FALSE)/HLOOKUP("Mins",A1:CV300,106,FALSE)* 90)</f>
      </c>
      <c r="AZ106" s="13624">
        <f>IF(HLOOKUP("Mins",A1:CV300,106,FALSE)=0,0,HLOOKUP("Base BPS",A1:CV300,106,FALSE)/HLOOKUP("Mins",A1:CV300,106,FALSE)* 90)</f>
      </c>
      <c r="BA106" s="13625">
        <f>IF(HLOOKUP("Mins",A1:CV300,106,FALSE)=0,0,HLOOKUP("PenTchs",A1:CV300,106,FALSE)/HLOOKUP("Mins",A1:CV300,106,FALSE)* 90)</f>
      </c>
      <c r="BB106" s="13626">
        <f>IF(HLOOKUP("Mins",A1:CV300,106,FALSE)=0,0,HLOOKUP("Shots",A1:CV300,106,FALSE)/HLOOKUP("Mins",A1:CV300,106,FALSE)* 90)</f>
      </c>
      <c r="BC106" s="13627">
        <f>IF(HLOOKUP("Mins",A1:CV300,106,FALSE)=0,0,HLOOKUP("SIB",A1:CV300,106,FALSE)/HLOOKUP("Mins",A1:CV300,106,FALSE)* 90)</f>
      </c>
      <c r="BD106" s="13628">
        <f>IF(HLOOKUP("Mins",A1:CV300,106,FALSE)=0,0,HLOOKUP("S6YD",A1:CV300,106,FALSE)/HLOOKUP("Mins",A1:CV300,106,FALSE)* 90)</f>
      </c>
      <c r="BE106" s="13629">
        <f>IF(HLOOKUP("Mins",A1:CV300,106,FALSE)=0,0,HLOOKUP("Headers",A1:CV300,106,FALSE)/HLOOKUP("Mins",A1:CV300,106,FALSE)* 90)</f>
      </c>
      <c r="BF106" s="13630">
        <f>IF(HLOOKUP("Mins",A1:CV300,106,FALSE)=0,0,HLOOKUP("SOT",A1:CV300,106,FALSE)/HLOOKUP("Mins",A1:CV300,106,FALSE)* 90)</f>
      </c>
      <c r="BG106" s="13631">
        <f>IF(HLOOKUP("Mins",A1:CV300,106,FALSE)=0,0,HLOOKUP("As",A1:CV300,106,FALSE)/HLOOKUP("Mins",A1:CV300,106,FALSE)* 90)</f>
      </c>
      <c r="BH106" s="13632">
        <f>IF(HLOOKUP("Mins",A1:CV300,106,FALSE)=0,0,HLOOKUP("FPL As",A1:CV300,106,FALSE)/HLOOKUP("Mins",A1:CV300,106,FALSE)* 90)</f>
      </c>
      <c r="BI106" s="13633">
        <f>IF(HLOOKUP("Mins",A1:CV300,106,FALSE)=0,0,HLOOKUP("BC Created",A1:CV300,106,FALSE)/HLOOKUP("Mins",A1:CV300,106,FALSE)* 90)</f>
      </c>
      <c r="BJ106" s="13634">
        <f>IF(HLOOKUP("Mins",A1:CV300,106,FALSE)=0,0,HLOOKUP("KP",A1:CV300,106,FALSE)/HLOOKUP("Mins",A1:CV300,106,FALSE)* 90)</f>
      </c>
      <c r="BK106" s="13635">
        <f>IF(HLOOKUP("Mins",A1:CV300,106,FALSE)=0,0,HLOOKUP("BC",A1:CV300,106,FALSE)/HLOOKUP("Mins",A1:CV300,106,FALSE)* 90)</f>
      </c>
      <c r="BL106" s="13636">
        <f>IF(HLOOKUP("Mins",A1:CV300,106,FALSE)=0,0,HLOOKUP("BC Miss",A1:CV300,106,FALSE)/HLOOKUP("Mins",A1:CV300,106,FALSE)* 90)</f>
      </c>
      <c r="BM106" s="13637">
        <f>IF(HLOOKUP("Mins",A1:CV300,106,FALSE)=0,0,HLOOKUP("Gs - BC",A1:CV300,106,FALSE)/HLOOKUP("Mins",A1:CV300,106,FALSE)* 90)</f>
      </c>
      <c r="BN106" s="13638">
        <f>IF(HLOOKUP("Mins",A1:CV300,106,FALSE)=0,0,HLOOKUP("GIB",A1:CV300,106,FALSE)/HLOOKUP("Mins",A1:CV300,106,FALSE)* 90)</f>
      </c>
      <c r="BO106" s="13639">
        <f>IF(HLOOKUP("Mins",A1:CV300,106,FALSE)=0,0,HLOOKUP("Gs - Open",A1:CV300,106,FALSE)/HLOOKUP("Mins",A1:CV300,106,FALSE)* 90)</f>
      </c>
      <c r="BP106" s="13640">
        <f>IF(HLOOKUP("Mins",A1:CV300,106,FALSE)=0,0,HLOOKUP("ICT Index",A1:CV300,106,FALSE)/HLOOKUP("Mins",A1:CV300,106,FALSE)* 90)</f>
      </c>
      <c r="BQ106" s="13641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</c>
      <c r="BR106" s="13642">
        <f>0.0825*HLOOKUP("KP/90",A1:CV300,106,FALSE)</f>
      </c>
      <c r="BS106" s="13643">
        <f>6*HLOOKUP("xG/90",A1:CV300,106,FALSE)+3*HLOOKUP("xA/90",A1:CV300,106,FALSE)</f>
      </c>
      <c r="BT106" s="13644">
        <f>HLOOKUP("xPts/90",A1:CV300,106,FALSE)-(6*0.75*(HLOOKUP("PK Gs",A1:CV300,106,FALSE)+HLOOKUP("PK Miss",A1:CV300,106,FALSE))*90/HLOOKUP("Mins",A1:CV300,106,FALSE))</f>
      </c>
      <c r="BU106" s="13645">
        <f>IF(HLOOKUP("Mins",A1:CV300,106,FALSE)=0,0,HLOOKUP("fsXG",A1:CV300,106,FALSE)/HLOOKUP("Mins",A1:CV300,106,FALSE)* 90)</f>
      </c>
      <c r="BV106" s="13646">
        <f>IF(HLOOKUP("Mins",A1:CV300,106,FALSE)=0,0,HLOOKUP("fsXA",A1:CV300,106,FALSE)/HLOOKUP("Mins",A1:CV300,106,FALSE)* 90)</f>
      </c>
      <c r="BW106" s="13647">
        <f>6*HLOOKUP("fsXG/90",A1:CV300,106,FALSE)+3*HLOOKUP("fsXA/90",A1:CV300,106,FALSE)</f>
      </c>
      <c r="BX106" t="n" s="13648">
        <v>0.0</v>
      </c>
      <c r="BY106" t="n" s="13649">
        <v>0.060997482389211655</v>
      </c>
      <c r="BZ106" s="13650">
        <f>6*HLOOKUP("uXG/90",A1:CV300,106,FALSE)+3*HLOOKUP("uXA/90",A1:CV300,106,FALSE)</f>
      </c>
    </row>
    <row r="107">
      <c r="A107" t="s" s="13651">
        <v>272</v>
      </c>
      <c r="B107" t="s" s="13652">
        <v>116</v>
      </c>
      <c r="C107" t="n" s="13653">
        <v>4.400000095367432</v>
      </c>
      <c r="D107" t="n" s="13654">
        <v>540.0</v>
      </c>
      <c r="E107" t="n" s="13655">
        <v>6.0</v>
      </c>
      <c r="F107" t="n" s="13656">
        <v>68.0</v>
      </c>
      <c r="G107" t="n" s="13657">
        <v>0.0</v>
      </c>
      <c r="H107" t="n" s="13658">
        <v>3.0</v>
      </c>
      <c r="I107" t="n" s="13659">
        <v>380.0</v>
      </c>
      <c r="J107" s="13660">
        <f>HLOOKUP("BPS",A1:CV300,107,FALSE)-((-6*HLOOKUP("OG",A1:CV300,107,FALSE))+(-6*HLOOKUP("PK Miss",A1:CV300,107,FALSE))+(9*HLOOKUP("FPL As",A1:CV300,107,FALSE))+(12*HLOOKUP("CS",A1:CV300,107,FALSE))+(12*HLOOKUP("Gs",A1:CV300,107,FALSE)))</f>
      </c>
      <c r="K107" t="n" s="13661">
        <v>0.0</v>
      </c>
      <c r="L107" t="n" s="13662">
        <v>8.0</v>
      </c>
      <c r="M107" t="n" s="13663">
        <v>2.0</v>
      </c>
      <c r="N107" t="n" s="13664">
        <v>0.0</v>
      </c>
      <c r="O107" t="n" s="13665">
        <v>0.0</v>
      </c>
      <c r="P107" s="13666">
        <f>IF(HLOOKUP("Shots",A1:CV300,107,FALSE)=0,0,HLOOKUP("SIB",A1:CV300,107,FALSE)/HLOOKUP("Shots",A1:CV300,107,FALSE))</f>
      </c>
      <c r="Q107" t="n" s="13667">
        <v>0.0</v>
      </c>
      <c r="R107" s="13668">
        <f>IF(HLOOKUP("Shots",A1:CV300,107,FALSE)=0,0,HLOOKUP("S6YD",A1:CV300,107,FALSE)/HLOOKUP("Shots",A1:CV300,107,FALSE))</f>
      </c>
      <c r="S107" t="n" s="13669">
        <v>0.0</v>
      </c>
      <c r="T107" s="13670">
        <f>IF(HLOOKUP("Shots",A1:CV300,107,FALSE)=0,0,HLOOKUP("Headers",A1:CV300,107,FALSE)/HLOOKUP("Shots",A1:CV300,107,FALSE))</f>
      </c>
      <c r="U107" t="n" s="13671">
        <v>0.0</v>
      </c>
      <c r="V107" s="13672">
        <f>IF(HLOOKUP("Shots",A1:CV300,107,FALSE)=0,0,HLOOKUP("SOT",A1:CV300,107,FALSE)/HLOOKUP("Shots",A1:CV300,107,FALSE))</f>
      </c>
      <c r="W107" s="13673">
        <f>IF(HLOOKUP("Shots",A1:CV300,107,FALSE)=0,0,HLOOKUP("Gs",A1:CV300,107,FALSE)/HLOOKUP("Shots",A1:CV300,107,FALSE))</f>
      </c>
      <c r="X107" t="n" s="13674">
        <v>0.0</v>
      </c>
      <c r="Y107" t="n" s="13675">
        <v>0.0</v>
      </c>
      <c r="Z107" t="n" s="13676">
        <v>1.0</v>
      </c>
      <c r="AA107" s="13677">
        <f>IF(HLOOKUP("KP",A1:CV300,107,FALSE)=0,0,HLOOKUP("As",A1:CV300,107,FALSE)/HLOOKUP("KP",A1:CV300,107,FALSE))</f>
      </c>
      <c r="AB107" t="n" s="13678">
        <v>12.9</v>
      </c>
      <c r="AC107" t="n" s="13679">
        <v>0.0</v>
      </c>
      <c r="AD107" t="n" s="13680">
        <v>0.0</v>
      </c>
      <c r="AE107" t="n" s="13681">
        <v>0.0</v>
      </c>
      <c r="AF107" t="n" s="13682">
        <v>0.0</v>
      </c>
      <c r="AG107" s="13683">
        <f>IF(HLOOKUP("BC",A1:CV300,107,FALSE)=0,0,HLOOKUP("Gs - BC",A1:CV300,107,FALSE)/HLOOKUP("BC",A1:CV300,107,FALSE))</f>
      </c>
      <c r="AH107" s="13684">
        <f>HLOOKUP("BC",A1:CV300,107,FALSE) - HLOOKUP("BC Miss",A1:CV300,107,FALSE)</f>
      </c>
      <c r="AI107" s="13685">
        <f>IF(HLOOKUP("Gs",A1:CV300,107,FALSE)=0,0,HLOOKUP("Gs - BC",A1:CV300,107,FALSE)/HLOOKUP("Gs",A1:CV300,107,FALSE))</f>
      </c>
      <c r="AJ107" t="n" s="13686">
        <v>0.0</v>
      </c>
      <c r="AK107" t="n" s="13687">
        <v>0.0</v>
      </c>
      <c r="AL107" s="13688">
        <f>HLOOKUP("BC",A1:CV300,107,FALSE) - (HLOOKUP("PK Gs",A1:CV300,107,FALSE) + HLOOKUP("PK Miss",A1:CV300,107,FALSE))</f>
      </c>
      <c r="AM107" s="13689">
        <f>HLOOKUP("BC Miss",A1:CV300,107,FALSE) - HLOOKUP("PK Miss",A1:CV300,107,FALSE)</f>
      </c>
      <c r="AN107" s="13690">
        <f>IF(HLOOKUP("BC - Open",A1:CV300,107,FALSE)=0,0,HLOOKUP("BC - Open Miss",A1:CV300,107,FALSE)/HLOOKUP("BC - Open",A1:CV300,107,FALSE))</f>
      </c>
      <c r="AO107" t="n" s="13691">
        <v>0.0</v>
      </c>
      <c r="AP107" s="13692">
        <f>IF(HLOOKUP("Gs",A1:CV300,107,FALSE)=0,0,HLOOKUP("GIB",A1:CV300,107,FALSE)/HLOOKUP("Gs",A1:CV300,107,FALSE))</f>
      </c>
      <c r="AQ107" t="n" s="13693">
        <v>0.0</v>
      </c>
      <c r="AR107" s="13694">
        <f>IF(HLOOKUP("Gs",A1:CV300,107,FALSE)=0,0,HLOOKUP("Gs - Open",A1:CV300,107,FALSE)/HLOOKUP("Gs",A1:CV300,107,FALSE))</f>
      </c>
      <c r="AS107" t="n" s="13695">
        <v>0.0</v>
      </c>
      <c r="AT107" t="n" s="13696">
        <v>0.01</v>
      </c>
      <c r="AU107" s="13697">
        <f>IF(HLOOKUP("Mins",A1:CV300,107,FALSE)=0,0,HLOOKUP("Pts",A1:CV300,107,FALSE)/HLOOKUP("Mins",A1:CV300,107,FALSE)* 90)</f>
      </c>
      <c r="AV107" s="13698">
        <f>IF(HLOOKUP("Apps",A1:CV300,107,FALSE)=0,0,HLOOKUP("Pts",A1:CV300,107,FALSE)/HLOOKUP("Apps",A1:CV300,107,FALSE)* 1)</f>
      </c>
      <c r="AW107" s="13699">
        <f>IF(HLOOKUP("Mins",A1:CV300,107,FALSE)=0,0,HLOOKUP("Gs",A1:CV300,107,FALSE)/HLOOKUP("Mins",A1:CV300,107,FALSE)* 90)</f>
      </c>
      <c r="AX107" s="13700">
        <f>IF(HLOOKUP("Mins",A1:CV300,107,FALSE)=0,0,HLOOKUP("Bonus",A1:CV300,107,FALSE)/HLOOKUP("Mins",A1:CV300,107,FALSE)* 90)</f>
      </c>
      <c r="AY107" s="13701">
        <f>IF(HLOOKUP("Mins",A1:CV300,107,FALSE)=0,0,HLOOKUP("BPS",A1:CV300,107,FALSE)/HLOOKUP("Mins",A1:CV300,107,FALSE)* 90)</f>
      </c>
      <c r="AZ107" s="13702">
        <f>IF(HLOOKUP("Mins",A1:CV300,107,FALSE)=0,0,HLOOKUP("Base BPS",A1:CV300,107,FALSE)/HLOOKUP("Mins",A1:CV300,107,FALSE)* 90)</f>
      </c>
      <c r="BA107" s="13703">
        <f>IF(HLOOKUP("Mins",A1:CV300,107,FALSE)=0,0,HLOOKUP("PenTchs",A1:CV300,107,FALSE)/HLOOKUP("Mins",A1:CV300,107,FALSE)* 90)</f>
      </c>
      <c r="BB107" s="13704">
        <f>IF(HLOOKUP("Mins",A1:CV300,107,FALSE)=0,0,HLOOKUP("Shots",A1:CV300,107,FALSE)/HLOOKUP("Mins",A1:CV300,107,FALSE)* 90)</f>
      </c>
      <c r="BC107" s="13705">
        <f>IF(HLOOKUP("Mins",A1:CV300,107,FALSE)=0,0,HLOOKUP("SIB",A1:CV300,107,FALSE)/HLOOKUP("Mins",A1:CV300,107,FALSE)* 90)</f>
      </c>
      <c r="BD107" s="13706">
        <f>IF(HLOOKUP("Mins",A1:CV300,107,FALSE)=0,0,HLOOKUP("S6YD",A1:CV300,107,FALSE)/HLOOKUP("Mins",A1:CV300,107,FALSE)* 90)</f>
      </c>
      <c r="BE107" s="13707">
        <f>IF(HLOOKUP("Mins",A1:CV300,107,FALSE)=0,0,HLOOKUP("Headers",A1:CV300,107,FALSE)/HLOOKUP("Mins",A1:CV300,107,FALSE)* 90)</f>
      </c>
      <c r="BF107" s="13708">
        <f>IF(HLOOKUP("Mins",A1:CV300,107,FALSE)=0,0,HLOOKUP("SOT",A1:CV300,107,FALSE)/HLOOKUP("Mins",A1:CV300,107,FALSE)* 90)</f>
      </c>
      <c r="BG107" s="13709">
        <f>IF(HLOOKUP("Mins",A1:CV300,107,FALSE)=0,0,HLOOKUP("As",A1:CV300,107,FALSE)/HLOOKUP("Mins",A1:CV300,107,FALSE)* 90)</f>
      </c>
      <c r="BH107" s="13710">
        <f>IF(HLOOKUP("Mins",A1:CV300,107,FALSE)=0,0,HLOOKUP("FPL As",A1:CV300,107,FALSE)/HLOOKUP("Mins",A1:CV300,107,FALSE)* 90)</f>
      </c>
      <c r="BI107" s="13711">
        <f>IF(HLOOKUP("Mins",A1:CV300,107,FALSE)=0,0,HLOOKUP("BC Created",A1:CV300,107,FALSE)/HLOOKUP("Mins",A1:CV300,107,FALSE)* 90)</f>
      </c>
      <c r="BJ107" s="13712">
        <f>IF(HLOOKUP("Mins",A1:CV300,107,FALSE)=0,0,HLOOKUP("KP",A1:CV300,107,FALSE)/HLOOKUP("Mins",A1:CV300,107,FALSE)* 90)</f>
      </c>
      <c r="BK107" s="13713">
        <f>IF(HLOOKUP("Mins",A1:CV300,107,FALSE)=0,0,HLOOKUP("BC",A1:CV300,107,FALSE)/HLOOKUP("Mins",A1:CV300,107,FALSE)* 90)</f>
      </c>
      <c r="BL107" s="13714">
        <f>IF(HLOOKUP("Mins",A1:CV300,107,FALSE)=0,0,HLOOKUP("BC Miss",A1:CV300,107,FALSE)/HLOOKUP("Mins",A1:CV300,107,FALSE)* 90)</f>
      </c>
      <c r="BM107" s="13715">
        <f>IF(HLOOKUP("Mins",A1:CV300,107,FALSE)=0,0,HLOOKUP("Gs - BC",A1:CV300,107,FALSE)/HLOOKUP("Mins",A1:CV300,107,FALSE)* 90)</f>
      </c>
      <c r="BN107" s="13716">
        <f>IF(HLOOKUP("Mins",A1:CV300,107,FALSE)=0,0,HLOOKUP("GIB",A1:CV300,107,FALSE)/HLOOKUP("Mins",A1:CV300,107,FALSE)* 90)</f>
      </c>
      <c r="BO107" s="13717">
        <f>IF(HLOOKUP("Mins",A1:CV300,107,FALSE)=0,0,HLOOKUP("Gs - Open",A1:CV300,107,FALSE)/HLOOKUP("Mins",A1:CV300,107,FALSE)* 90)</f>
      </c>
      <c r="BP107" s="13718">
        <f>IF(HLOOKUP("Mins",A1:CV300,107,FALSE)=0,0,HLOOKUP("ICT Index",A1:CV300,107,FALSE)/HLOOKUP("Mins",A1:CV300,107,FALSE)* 90)</f>
      </c>
      <c r="BQ107" s="13719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</c>
      <c r="BR107" s="13720">
        <f>0.0825*HLOOKUP("KP/90",A1:CV300,107,FALSE)</f>
      </c>
      <c r="BS107" s="13721">
        <f>6*HLOOKUP("xG/90",A1:CV300,107,FALSE)+3*HLOOKUP("xA/90",A1:CV300,107,FALSE)</f>
      </c>
      <c r="BT107" s="13722">
        <f>HLOOKUP("xPts/90",A1:CV300,107,FALSE)-(6*0.75*(HLOOKUP("PK Gs",A1:CV300,107,FALSE)+HLOOKUP("PK Miss",A1:CV300,107,FALSE))*90/HLOOKUP("Mins",A1:CV300,107,FALSE))</f>
      </c>
      <c r="BU107" s="13723">
        <f>IF(HLOOKUP("Mins",A1:CV300,107,FALSE)=0,0,HLOOKUP("fsXG",A1:CV300,107,FALSE)/HLOOKUP("Mins",A1:CV300,107,FALSE)* 90)</f>
      </c>
      <c r="BV107" s="13724">
        <f>IF(HLOOKUP("Mins",A1:CV300,107,FALSE)=0,0,HLOOKUP("fsXA",A1:CV300,107,FALSE)/HLOOKUP("Mins",A1:CV300,107,FALSE)* 90)</f>
      </c>
      <c r="BW107" s="13725">
        <f>6*HLOOKUP("fsXG/90",A1:CV300,107,FALSE)+3*HLOOKUP("fsXA/90",A1:CV300,107,FALSE)</f>
      </c>
      <c r="BX107" t="n" s="13726">
        <v>0.0</v>
      </c>
      <c r="BY107" t="n" s="13727">
        <v>0.006272186525166035</v>
      </c>
      <c r="BZ107" s="13728">
        <f>6*HLOOKUP("uXG/90",A1:CV300,107,FALSE)+3*HLOOKUP("uXA/90",A1:CV300,107,FALSE)</f>
      </c>
    </row>
    <row r="108">
      <c r="A108" t="s" s="13729">
        <v>273</v>
      </c>
      <c r="B108" t="s" s="13730">
        <v>80</v>
      </c>
      <c r="C108" t="n" s="13731">
        <v>5.400000095367432</v>
      </c>
      <c r="D108" t="n" s="13732">
        <v>270.0</v>
      </c>
      <c r="E108" t="n" s="13733">
        <v>3.0</v>
      </c>
      <c r="F108" t="n" s="13734">
        <v>23.0</v>
      </c>
      <c r="G108" t="n" s="13735">
        <v>1.0</v>
      </c>
      <c r="H108" t="n" s="13736">
        <v>3.0</v>
      </c>
      <c r="I108" t="n" s="13737">
        <v>102.0</v>
      </c>
      <c r="J108" s="13738">
        <f>HLOOKUP("BPS",A1:CV300,108,FALSE)-((-6*HLOOKUP("OG",A1:CV300,108,FALSE))+(-6*HLOOKUP("PK Miss",A1:CV300,108,FALSE))+(9*HLOOKUP("FPL As",A1:CV300,108,FALSE))+(12*HLOOKUP("CS",A1:CV300,108,FALSE))+(12*HLOOKUP("Gs",A1:CV300,108,FALSE)))</f>
      </c>
      <c r="K108" t="n" s="13739">
        <v>0.0</v>
      </c>
      <c r="L108" t="n" s="13740">
        <v>2.0</v>
      </c>
      <c r="M108" t="n" s="13741">
        <v>5.0</v>
      </c>
      <c r="N108" t="n" s="13742">
        <v>2.0</v>
      </c>
      <c r="O108" t="n" s="13743">
        <v>1.0</v>
      </c>
      <c r="P108" s="13744">
        <f>IF(HLOOKUP("Shots",A1:CV300,108,FALSE)=0,0,HLOOKUP("SIB",A1:CV300,108,FALSE)/HLOOKUP("Shots",A1:CV300,108,FALSE))</f>
      </c>
      <c r="Q108" t="n" s="13745">
        <v>0.0</v>
      </c>
      <c r="R108" s="13746">
        <f>IF(HLOOKUP("Shots",A1:CV300,108,FALSE)=0,0,HLOOKUP("S6YD",A1:CV300,108,FALSE)/HLOOKUP("Shots",A1:CV300,108,FALSE))</f>
      </c>
      <c r="S108" t="n" s="13747">
        <v>0.0</v>
      </c>
      <c r="T108" s="13748">
        <f>IF(HLOOKUP("Shots",A1:CV300,108,FALSE)=0,0,HLOOKUP("Headers",A1:CV300,108,FALSE)/HLOOKUP("Shots",A1:CV300,108,FALSE))</f>
      </c>
      <c r="U108" t="n" s="13749">
        <v>1.0</v>
      </c>
      <c r="V108" s="13750">
        <f>IF(HLOOKUP("Shots",A1:CV300,108,FALSE)=0,0,HLOOKUP("SOT",A1:CV300,108,FALSE)/HLOOKUP("Shots",A1:CV300,108,FALSE))</f>
      </c>
      <c r="W108" s="13751">
        <f>IF(HLOOKUP("Shots",A1:CV300,108,FALSE)=0,0,HLOOKUP("Gs",A1:CV300,108,FALSE)/HLOOKUP("Shots",A1:CV300,108,FALSE))</f>
      </c>
      <c r="X108" t="n" s="13752">
        <v>0.0</v>
      </c>
      <c r="Y108" t="n" s="13753">
        <v>0.0</v>
      </c>
      <c r="Z108" t="n" s="13754">
        <v>0.0</v>
      </c>
      <c r="AA108" s="13755">
        <f>IF(HLOOKUP("KP",A1:CV300,108,FALSE)=0,0,HLOOKUP("As",A1:CV300,108,FALSE)/HLOOKUP("KP",A1:CV300,108,FALSE))</f>
      </c>
      <c r="AB108" t="n" s="13756">
        <v>11.2</v>
      </c>
      <c r="AC108" t="n" s="13757">
        <v>17.0</v>
      </c>
      <c r="AD108" t="n" s="13758">
        <v>0.0</v>
      </c>
      <c r="AE108" t="n" s="13759">
        <v>0.0</v>
      </c>
      <c r="AF108" t="n" s="13760">
        <v>0.0</v>
      </c>
      <c r="AG108" s="13761">
        <f>IF(HLOOKUP("BC",A1:CV300,108,FALSE)=0,0,HLOOKUP("Gs - BC",A1:CV300,108,FALSE)/HLOOKUP("BC",A1:CV300,108,FALSE))</f>
      </c>
      <c r="AH108" s="13762">
        <f>HLOOKUP("BC",A1:CV300,108,FALSE) - HLOOKUP("BC Miss",A1:CV300,108,FALSE)</f>
      </c>
      <c r="AI108" s="13763">
        <f>IF(HLOOKUP("Gs",A1:CV300,108,FALSE)=0,0,HLOOKUP("Gs - BC",A1:CV300,108,FALSE)/HLOOKUP("Gs",A1:CV300,108,FALSE))</f>
      </c>
      <c r="AJ108" t="n" s="13764">
        <v>0.0</v>
      </c>
      <c r="AK108" t="n" s="13765">
        <v>0.0</v>
      </c>
      <c r="AL108" s="13766">
        <f>HLOOKUP("BC",A1:CV300,108,FALSE) - (HLOOKUP("PK Gs",A1:CV300,108,FALSE) + HLOOKUP("PK Miss",A1:CV300,108,FALSE))</f>
      </c>
      <c r="AM108" s="13767">
        <f>HLOOKUP("BC Miss",A1:CV300,108,FALSE) - HLOOKUP("PK Miss",A1:CV300,108,FALSE)</f>
      </c>
      <c r="AN108" s="13768">
        <f>IF(HLOOKUP("BC - Open",A1:CV300,108,FALSE)=0,0,HLOOKUP("BC - Open Miss",A1:CV300,108,FALSE)/HLOOKUP("BC - Open",A1:CV300,108,FALSE))</f>
      </c>
      <c r="AO108" t="n" s="13769">
        <v>0.0</v>
      </c>
      <c r="AP108" s="13770">
        <f>IF(HLOOKUP("Gs",A1:CV300,108,FALSE)=0,0,HLOOKUP("GIB",A1:CV300,108,FALSE)/HLOOKUP("Gs",A1:CV300,108,FALSE))</f>
      </c>
      <c r="AQ108" t="n" s="13771">
        <v>1.0</v>
      </c>
      <c r="AR108" s="13772">
        <f>IF(HLOOKUP("Gs",A1:CV300,108,FALSE)=0,0,HLOOKUP("Gs - Open",A1:CV300,108,FALSE)/HLOOKUP("Gs",A1:CV300,108,FALSE))</f>
      </c>
      <c r="AS108" t="n" s="13773">
        <v>0.11</v>
      </c>
      <c r="AT108" t="n" s="13774">
        <v>0.07</v>
      </c>
      <c r="AU108" s="13775">
        <f>IF(HLOOKUP("Mins",A1:CV300,108,FALSE)=0,0,HLOOKUP("Pts",A1:CV300,108,FALSE)/HLOOKUP("Mins",A1:CV300,108,FALSE)* 90)</f>
      </c>
      <c r="AV108" s="13776">
        <f>IF(HLOOKUP("Apps",A1:CV300,108,FALSE)=0,0,HLOOKUP("Pts",A1:CV300,108,FALSE)/HLOOKUP("Apps",A1:CV300,108,FALSE)* 1)</f>
      </c>
      <c r="AW108" s="13777">
        <f>IF(HLOOKUP("Mins",A1:CV300,108,FALSE)=0,0,HLOOKUP("Gs",A1:CV300,108,FALSE)/HLOOKUP("Mins",A1:CV300,108,FALSE)* 90)</f>
      </c>
      <c r="AX108" s="13778">
        <f>IF(HLOOKUP("Mins",A1:CV300,108,FALSE)=0,0,HLOOKUP("Bonus",A1:CV300,108,FALSE)/HLOOKUP("Mins",A1:CV300,108,FALSE)* 90)</f>
      </c>
      <c r="AY108" s="13779">
        <f>IF(HLOOKUP("Mins",A1:CV300,108,FALSE)=0,0,HLOOKUP("BPS",A1:CV300,108,FALSE)/HLOOKUP("Mins",A1:CV300,108,FALSE)* 90)</f>
      </c>
      <c r="AZ108" s="13780">
        <f>IF(HLOOKUP("Mins",A1:CV300,108,FALSE)=0,0,HLOOKUP("Base BPS",A1:CV300,108,FALSE)/HLOOKUP("Mins",A1:CV300,108,FALSE)* 90)</f>
      </c>
      <c r="BA108" s="13781">
        <f>IF(HLOOKUP("Mins",A1:CV300,108,FALSE)=0,0,HLOOKUP("PenTchs",A1:CV300,108,FALSE)/HLOOKUP("Mins",A1:CV300,108,FALSE)* 90)</f>
      </c>
      <c r="BB108" s="13782">
        <f>IF(HLOOKUP("Mins",A1:CV300,108,FALSE)=0,0,HLOOKUP("Shots",A1:CV300,108,FALSE)/HLOOKUP("Mins",A1:CV300,108,FALSE)* 90)</f>
      </c>
      <c r="BC108" s="13783">
        <f>IF(HLOOKUP("Mins",A1:CV300,108,FALSE)=0,0,HLOOKUP("SIB",A1:CV300,108,FALSE)/HLOOKUP("Mins",A1:CV300,108,FALSE)* 90)</f>
      </c>
      <c r="BD108" s="13784">
        <f>IF(HLOOKUP("Mins",A1:CV300,108,FALSE)=0,0,HLOOKUP("S6YD",A1:CV300,108,FALSE)/HLOOKUP("Mins",A1:CV300,108,FALSE)* 90)</f>
      </c>
      <c r="BE108" s="13785">
        <f>IF(HLOOKUP("Mins",A1:CV300,108,FALSE)=0,0,HLOOKUP("Headers",A1:CV300,108,FALSE)/HLOOKUP("Mins",A1:CV300,108,FALSE)* 90)</f>
      </c>
      <c r="BF108" s="13786">
        <f>IF(HLOOKUP("Mins",A1:CV300,108,FALSE)=0,0,HLOOKUP("SOT",A1:CV300,108,FALSE)/HLOOKUP("Mins",A1:CV300,108,FALSE)* 90)</f>
      </c>
      <c r="BG108" s="13787">
        <f>IF(HLOOKUP("Mins",A1:CV300,108,FALSE)=0,0,HLOOKUP("As",A1:CV300,108,FALSE)/HLOOKUP("Mins",A1:CV300,108,FALSE)* 90)</f>
      </c>
      <c r="BH108" s="13788">
        <f>IF(HLOOKUP("Mins",A1:CV300,108,FALSE)=0,0,HLOOKUP("FPL As",A1:CV300,108,FALSE)/HLOOKUP("Mins",A1:CV300,108,FALSE)* 90)</f>
      </c>
      <c r="BI108" s="13789">
        <f>IF(HLOOKUP("Mins",A1:CV300,108,FALSE)=0,0,HLOOKUP("BC Created",A1:CV300,108,FALSE)/HLOOKUP("Mins",A1:CV300,108,FALSE)* 90)</f>
      </c>
      <c r="BJ108" s="13790">
        <f>IF(HLOOKUP("Mins",A1:CV300,108,FALSE)=0,0,HLOOKUP("KP",A1:CV300,108,FALSE)/HLOOKUP("Mins",A1:CV300,108,FALSE)* 90)</f>
      </c>
      <c r="BK108" s="13791">
        <f>IF(HLOOKUP("Mins",A1:CV300,108,FALSE)=0,0,HLOOKUP("BC",A1:CV300,108,FALSE)/HLOOKUP("Mins",A1:CV300,108,FALSE)* 90)</f>
      </c>
      <c r="BL108" s="13792">
        <f>IF(HLOOKUP("Mins",A1:CV300,108,FALSE)=0,0,HLOOKUP("BC Miss",A1:CV300,108,FALSE)/HLOOKUP("Mins",A1:CV300,108,FALSE)* 90)</f>
      </c>
      <c r="BM108" s="13793">
        <f>IF(HLOOKUP("Mins",A1:CV300,108,FALSE)=0,0,HLOOKUP("Gs - BC",A1:CV300,108,FALSE)/HLOOKUP("Mins",A1:CV300,108,FALSE)* 90)</f>
      </c>
      <c r="BN108" s="13794">
        <f>IF(HLOOKUP("Mins",A1:CV300,108,FALSE)=0,0,HLOOKUP("GIB",A1:CV300,108,FALSE)/HLOOKUP("Mins",A1:CV300,108,FALSE)* 90)</f>
      </c>
      <c r="BO108" s="13795">
        <f>IF(HLOOKUP("Mins",A1:CV300,108,FALSE)=0,0,HLOOKUP("Gs - Open",A1:CV300,108,FALSE)/HLOOKUP("Mins",A1:CV300,108,FALSE)* 90)</f>
      </c>
      <c r="BP108" s="13796">
        <f>IF(HLOOKUP("Mins",A1:CV300,108,FALSE)=0,0,HLOOKUP("ICT Index",A1:CV300,108,FALSE)/HLOOKUP("Mins",A1:CV300,108,FALSE)* 90)</f>
      </c>
      <c r="BQ108" s="13797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</c>
      <c r="BR108" s="13798">
        <f>0.0825*HLOOKUP("KP/90",A1:CV300,108,FALSE)</f>
      </c>
      <c r="BS108" s="13799">
        <f>6*HLOOKUP("xG/90",A1:CV300,108,FALSE)+3*HLOOKUP("xA/90",A1:CV300,108,FALSE)</f>
      </c>
      <c r="BT108" s="13800">
        <f>HLOOKUP("xPts/90",A1:CV300,108,FALSE)-(6*0.75*(HLOOKUP("PK Gs",A1:CV300,108,FALSE)+HLOOKUP("PK Miss",A1:CV300,108,FALSE))*90/HLOOKUP("Mins",A1:CV300,108,FALSE))</f>
      </c>
      <c r="BU108" s="13801">
        <f>IF(HLOOKUP("Mins",A1:CV300,108,FALSE)=0,0,HLOOKUP("fsXG",A1:CV300,108,FALSE)/HLOOKUP("Mins",A1:CV300,108,FALSE)* 90)</f>
      </c>
      <c r="BV108" s="13802">
        <f>IF(HLOOKUP("Mins",A1:CV300,108,FALSE)=0,0,HLOOKUP("fsXA",A1:CV300,108,FALSE)/HLOOKUP("Mins",A1:CV300,108,FALSE)* 90)</f>
      </c>
      <c r="BW108" s="13803">
        <f>6*HLOOKUP("fsXG/90",A1:CV300,108,FALSE)+3*HLOOKUP("fsXA/90",A1:CV300,108,FALSE)</f>
      </c>
      <c r="BX108" t="n" s="13804">
        <v>0.040782369673252106</v>
      </c>
      <c r="BY108" t="n" s="13805">
        <v>0.0</v>
      </c>
      <c r="BZ108" s="13806">
        <f>6*HLOOKUP("uXG/90",A1:CV300,108,FALSE)+3*HLOOKUP("uXA/90",A1:CV300,108,FALSE)</f>
      </c>
    </row>
    <row r="109">
      <c r="A109" t="s" s="13807">
        <v>274</v>
      </c>
      <c r="B109" t="s" s="13808">
        <v>109</v>
      </c>
      <c r="C109" t="n" s="13809">
        <v>4.0</v>
      </c>
      <c r="D109" t="n" s="13810">
        <v>91.0</v>
      </c>
      <c r="E109" t="n" s="13811">
        <v>2.0</v>
      </c>
      <c r="F109" t="n" s="13812">
        <v>6.0</v>
      </c>
      <c r="G109" t="n" s="13813">
        <v>0.0</v>
      </c>
      <c r="H109" t="n" s="13814">
        <v>0.0</v>
      </c>
      <c r="I109" t="n" s="13815">
        <v>25.0</v>
      </c>
      <c r="J109" s="13816">
        <f>HLOOKUP("BPS",A1:CV300,109,FALSE)-((-6*HLOOKUP("OG",A1:CV300,109,FALSE))+(-6*HLOOKUP("PK Miss",A1:CV300,109,FALSE))+(9*HLOOKUP("FPL As",A1:CV300,109,FALSE))+(12*HLOOKUP("CS",A1:CV300,109,FALSE))+(12*HLOOKUP("Gs",A1:CV300,109,FALSE)))</f>
      </c>
      <c r="K109" t="n" s="13817">
        <v>0.0</v>
      </c>
      <c r="L109" t="n" s="13818">
        <v>0.0</v>
      </c>
      <c r="M109" t="n" s="13819">
        <v>2.0</v>
      </c>
      <c r="N109" t="n" s="13820">
        <v>1.0</v>
      </c>
      <c r="O109" t="n" s="13821">
        <v>1.0</v>
      </c>
      <c r="P109" s="13822">
        <f>IF(HLOOKUP("Shots",A1:CV300,109,FALSE)=0,0,HLOOKUP("SIB",A1:CV300,109,FALSE)/HLOOKUP("Shots",A1:CV300,109,FALSE))</f>
      </c>
      <c r="Q109" t="n" s="13823">
        <v>0.0</v>
      </c>
      <c r="R109" s="13824">
        <f>IF(HLOOKUP("Shots",A1:CV300,109,FALSE)=0,0,HLOOKUP("S6YD",A1:CV300,109,FALSE)/HLOOKUP("Shots",A1:CV300,109,FALSE))</f>
      </c>
      <c r="S109" t="n" s="13825">
        <v>0.0</v>
      </c>
      <c r="T109" s="13826">
        <f>IF(HLOOKUP("Shots",A1:CV300,109,FALSE)=0,0,HLOOKUP("Headers",A1:CV300,109,FALSE)/HLOOKUP("Shots",A1:CV300,109,FALSE))</f>
      </c>
      <c r="U109" t="n" s="13827">
        <v>0.0</v>
      </c>
      <c r="V109" s="13828">
        <f>IF(HLOOKUP("Shots",A1:CV300,109,FALSE)=0,0,HLOOKUP("SOT",A1:CV300,109,FALSE)/HLOOKUP("Shots",A1:CV300,109,FALSE))</f>
      </c>
      <c r="W109" s="13829">
        <f>IF(HLOOKUP("Shots",A1:CV300,109,FALSE)=0,0,HLOOKUP("Gs",A1:CV300,109,FALSE)/HLOOKUP("Shots",A1:CV300,109,FALSE))</f>
      </c>
      <c r="X109" t="n" s="13830">
        <v>0.0</v>
      </c>
      <c r="Y109" t="n" s="13831">
        <v>0.0</v>
      </c>
      <c r="Z109" t="n" s="13832">
        <v>0.0</v>
      </c>
      <c r="AA109" s="13833">
        <f>IF(HLOOKUP("KP",A1:CV300,109,FALSE)=0,0,HLOOKUP("As",A1:CV300,109,FALSE)/HLOOKUP("KP",A1:CV300,109,FALSE))</f>
      </c>
      <c r="AB109" t="n" s="13834">
        <v>2.9</v>
      </c>
      <c r="AC109" t="n" s="13835">
        <v>0.0</v>
      </c>
      <c r="AD109" t="n" s="13836">
        <v>0.0</v>
      </c>
      <c r="AE109" t="n" s="13837">
        <v>0.0</v>
      </c>
      <c r="AF109" t="n" s="13838">
        <v>0.0</v>
      </c>
      <c r="AG109" s="13839">
        <f>IF(HLOOKUP("BC",A1:CV300,109,FALSE)=0,0,HLOOKUP("Gs - BC",A1:CV300,109,FALSE)/HLOOKUP("BC",A1:CV300,109,FALSE))</f>
      </c>
      <c r="AH109" s="13840">
        <f>HLOOKUP("BC",A1:CV300,109,FALSE) - HLOOKUP("BC Miss",A1:CV300,109,FALSE)</f>
      </c>
      <c r="AI109" s="13841">
        <f>IF(HLOOKUP("Gs",A1:CV300,109,FALSE)=0,0,HLOOKUP("Gs - BC",A1:CV300,109,FALSE)/HLOOKUP("Gs",A1:CV300,109,FALSE))</f>
      </c>
      <c r="AJ109" t="n" s="13842">
        <v>0.0</v>
      </c>
      <c r="AK109" t="n" s="13843">
        <v>0.0</v>
      </c>
      <c r="AL109" s="13844">
        <f>HLOOKUP("BC",A1:CV300,109,FALSE) - (HLOOKUP("PK Gs",A1:CV300,109,FALSE) + HLOOKUP("PK Miss",A1:CV300,109,FALSE))</f>
      </c>
      <c r="AM109" s="13845">
        <f>HLOOKUP("BC Miss",A1:CV300,109,FALSE) - HLOOKUP("PK Miss",A1:CV300,109,FALSE)</f>
      </c>
      <c r="AN109" s="13846">
        <f>IF(HLOOKUP("BC - Open",A1:CV300,109,FALSE)=0,0,HLOOKUP("BC - Open Miss",A1:CV300,109,FALSE)/HLOOKUP("BC - Open",A1:CV300,109,FALSE))</f>
      </c>
      <c r="AO109" t="n" s="13847">
        <v>0.0</v>
      </c>
      <c r="AP109" s="13848">
        <f>IF(HLOOKUP("Gs",A1:CV300,109,FALSE)=0,0,HLOOKUP("GIB",A1:CV300,109,FALSE)/HLOOKUP("Gs",A1:CV300,109,FALSE))</f>
      </c>
      <c r="AQ109" t="n" s="13849">
        <v>0.0</v>
      </c>
      <c r="AR109" s="13850">
        <f>IF(HLOOKUP("Gs",A1:CV300,109,FALSE)=0,0,HLOOKUP("Gs - Open",A1:CV300,109,FALSE)/HLOOKUP("Gs",A1:CV300,109,FALSE))</f>
      </c>
      <c r="AS109" t="n" s="13851">
        <v>0.05</v>
      </c>
      <c r="AT109" t="n" s="13852">
        <v>0.03</v>
      </c>
      <c r="AU109" s="13853">
        <f>IF(HLOOKUP("Mins",A1:CV300,109,FALSE)=0,0,HLOOKUP("Pts",A1:CV300,109,FALSE)/HLOOKUP("Mins",A1:CV300,109,FALSE)* 90)</f>
      </c>
      <c r="AV109" s="13854">
        <f>IF(HLOOKUP("Apps",A1:CV300,109,FALSE)=0,0,HLOOKUP("Pts",A1:CV300,109,FALSE)/HLOOKUP("Apps",A1:CV300,109,FALSE)* 1)</f>
      </c>
      <c r="AW109" s="13855">
        <f>IF(HLOOKUP("Mins",A1:CV300,109,FALSE)=0,0,HLOOKUP("Gs",A1:CV300,109,FALSE)/HLOOKUP("Mins",A1:CV300,109,FALSE)* 90)</f>
      </c>
      <c r="AX109" s="13856">
        <f>IF(HLOOKUP("Mins",A1:CV300,109,FALSE)=0,0,HLOOKUP("Bonus",A1:CV300,109,FALSE)/HLOOKUP("Mins",A1:CV300,109,FALSE)* 90)</f>
      </c>
      <c r="AY109" s="13857">
        <f>IF(HLOOKUP("Mins",A1:CV300,109,FALSE)=0,0,HLOOKUP("BPS",A1:CV300,109,FALSE)/HLOOKUP("Mins",A1:CV300,109,FALSE)* 90)</f>
      </c>
      <c r="AZ109" s="13858">
        <f>IF(HLOOKUP("Mins",A1:CV300,109,FALSE)=0,0,HLOOKUP("Base BPS",A1:CV300,109,FALSE)/HLOOKUP("Mins",A1:CV300,109,FALSE)* 90)</f>
      </c>
      <c r="BA109" s="13859">
        <f>IF(HLOOKUP("Mins",A1:CV300,109,FALSE)=0,0,HLOOKUP("PenTchs",A1:CV300,109,FALSE)/HLOOKUP("Mins",A1:CV300,109,FALSE)* 90)</f>
      </c>
      <c r="BB109" s="13860">
        <f>IF(HLOOKUP("Mins",A1:CV300,109,FALSE)=0,0,HLOOKUP("Shots",A1:CV300,109,FALSE)/HLOOKUP("Mins",A1:CV300,109,FALSE)* 90)</f>
      </c>
      <c r="BC109" s="13861">
        <f>IF(HLOOKUP("Mins",A1:CV300,109,FALSE)=0,0,HLOOKUP("SIB",A1:CV300,109,FALSE)/HLOOKUP("Mins",A1:CV300,109,FALSE)* 90)</f>
      </c>
      <c r="BD109" s="13862">
        <f>IF(HLOOKUP("Mins",A1:CV300,109,FALSE)=0,0,HLOOKUP("S6YD",A1:CV300,109,FALSE)/HLOOKUP("Mins",A1:CV300,109,FALSE)* 90)</f>
      </c>
      <c r="BE109" s="13863">
        <f>IF(HLOOKUP("Mins",A1:CV300,109,FALSE)=0,0,HLOOKUP("Headers",A1:CV300,109,FALSE)/HLOOKUP("Mins",A1:CV300,109,FALSE)* 90)</f>
      </c>
      <c r="BF109" s="13864">
        <f>IF(HLOOKUP("Mins",A1:CV300,109,FALSE)=0,0,HLOOKUP("SOT",A1:CV300,109,FALSE)/HLOOKUP("Mins",A1:CV300,109,FALSE)* 90)</f>
      </c>
      <c r="BG109" s="13865">
        <f>IF(HLOOKUP("Mins",A1:CV300,109,FALSE)=0,0,HLOOKUP("As",A1:CV300,109,FALSE)/HLOOKUP("Mins",A1:CV300,109,FALSE)* 90)</f>
      </c>
      <c r="BH109" s="13866">
        <f>IF(HLOOKUP("Mins",A1:CV300,109,FALSE)=0,0,HLOOKUP("FPL As",A1:CV300,109,FALSE)/HLOOKUP("Mins",A1:CV300,109,FALSE)* 90)</f>
      </c>
      <c r="BI109" s="13867">
        <f>IF(HLOOKUP("Mins",A1:CV300,109,FALSE)=0,0,HLOOKUP("BC Created",A1:CV300,109,FALSE)/HLOOKUP("Mins",A1:CV300,109,FALSE)* 90)</f>
      </c>
      <c r="BJ109" s="13868">
        <f>IF(HLOOKUP("Mins",A1:CV300,109,FALSE)=0,0,HLOOKUP("KP",A1:CV300,109,FALSE)/HLOOKUP("Mins",A1:CV300,109,FALSE)* 90)</f>
      </c>
      <c r="BK109" s="13869">
        <f>IF(HLOOKUP("Mins",A1:CV300,109,FALSE)=0,0,HLOOKUP("BC",A1:CV300,109,FALSE)/HLOOKUP("Mins",A1:CV300,109,FALSE)* 90)</f>
      </c>
      <c r="BL109" s="13870">
        <f>IF(HLOOKUP("Mins",A1:CV300,109,FALSE)=0,0,HLOOKUP("BC Miss",A1:CV300,109,FALSE)/HLOOKUP("Mins",A1:CV300,109,FALSE)* 90)</f>
      </c>
      <c r="BM109" s="13871">
        <f>IF(HLOOKUP("Mins",A1:CV300,109,FALSE)=0,0,HLOOKUP("Gs - BC",A1:CV300,109,FALSE)/HLOOKUP("Mins",A1:CV300,109,FALSE)* 90)</f>
      </c>
      <c r="BN109" s="13872">
        <f>IF(HLOOKUP("Mins",A1:CV300,109,FALSE)=0,0,HLOOKUP("GIB",A1:CV300,109,FALSE)/HLOOKUP("Mins",A1:CV300,109,FALSE)* 90)</f>
      </c>
      <c r="BO109" s="13873">
        <f>IF(HLOOKUP("Mins",A1:CV300,109,FALSE)=0,0,HLOOKUP("Gs - Open",A1:CV300,109,FALSE)/HLOOKUP("Mins",A1:CV300,109,FALSE)* 90)</f>
      </c>
      <c r="BP109" s="13874">
        <f>IF(HLOOKUP("Mins",A1:CV300,109,FALSE)=0,0,HLOOKUP("ICT Index",A1:CV300,109,FALSE)/HLOOKUP("Mins",A1:CV300,109,FALSE)* 90)</f>
      </c>
      <c r="BQ109" s="13875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</c>
      <c r="BR109" s="13876">
        <f>0.0825*HLOOKUP("KP/90",A1:CV300,109,FALSE)</f>
      </c>
      <c r="BS109" s="13877">
        <f>6*HLOOKUP("xG/90",A1:CV300,109,FALSE)+3*HLOOKUP("xA/90",A1:CV300,109,FALSE)</f>
      </c>
      <c r="BT109" s="13878">
        <f>HLOOKUP("xPts/90",A1:CV300,109,FALSE)-(6*0.75*(HLOOKUP("PK Gs",A1:CV300,109,FALSE)+HLOOKUP("PK Miss",A1:CV300,109,FALSE))*90/HLOOKUP("Mins",A1:CV300,109,FALSE))</f>
      </c>
      <c r="BU109" s="13879">
        <f>IF(HLOOKUP("Mins",A1:CV300,109,FALSE)=0,0,HLOOKUP("fsXG",A1:CV300,109,FALSE)/HLOOKUP("Mins",A1:CV300,109,FALSE)* 90)</f>
      </c>
      <c r="BV109" s="13880">
        <f>IF(HLOOKUP("Mins",A1:CV300,109,FALSE)=0,0,HLOOKUP("fsXA",A1:CV300,109,FALSE)/HLOOKUP("Mins",A1:CV300,109,FALSE)* 90)</f>
      </c>
      <c r="BW109" s="13881">
        <f>6*HLOOKUP("fsXG/90",A1:CV300,109,FALSE)+3*HLOOKUP("fsXA/90",A1:CV300,109,FALSE)</f>
      </c>
      <c r="BX109" t="n" s="13882">
        <v>0.049731750041246414</v>
      </c>
      <c r="BY109" t="n" s="13883">
        <v>0.0</v>
      </c>
      <c r="BZ109" s="13884">
        <f>6*HLOOKUP("uXG/90",A1:CV300,109,FALSE)+3*HLOOKUP("uXA/90",A1:CV300,109,FALSE)</f>
      </c>
    </row>
    <row r="110">
      <c r="A110" t="s" s="13885">
        <v>275</v>
      </c>
      <c r="B110" t="s" s="13886">
        <v>114</v>
      </c>
      <c r="C110" t="n" s="13887">
        <v>4.699999809265137</v>
      </c>
      <c r="D110" t="n" s="13888">
        <v>630.0</v>
      </c>
      <c r="E110" t="n" s="13889">
        <v>7.0</v>
      </c>
      <c r="F110" t="n" s="13890">
        <v>59.0</v>
      </c>
      <c r="G110" t="n" s="13891">
        <v>0.0</v>
      </c>
      <c r="H110" t="n" s="13892">
        <v>5.0</v>
      </c>
      <c r="I110" t="n" s="13893">
        <v>292.0</v>
      </c>
      <c r="J110" s="13894">
        <f>HLOOKUP("BPS",A1:CV300,110,FALSE)-((-6*HLOOKUP("OG",A1:CV300,110,FALSE))+(-6*HLOOKUP("PK Miss",A1:CV300,110,FALSE))+(9*HLOOKUP("FPL As",A1:CV300,110,FALSE))+(12*HLOOKUP("CS",A1:CV300,110,FALSE))+(12*HLOOKUP("Gs",A1:CV300,110,FALSE)))</f>
      </c>
      <c r="K110" t="n" s="13895">
        <v>0.0</v>
      </c>
      <c r="L110" t="n" s="13896">
        <v>4.0</v>
      </c>
      <c r="M110" t="n" s="13897">
        <v>3.0</v>
      </c>
      <c r="N110" t="n" s="13898">
        <v>2.0</v>
      </c>
      <c r="O110" t="n" s="13899">
        <v>1.0</v>
      </c>
      <c r="P110" s="13900">
        <f>IF(HLOOKUP("Shots",A1:CV300,110,FALSE)=0,0,HLOOKUP("SIB",A1:CV300,110,FALSE)/HLOOKUP("Shots",A1:CV300,110,FALSE))</f>
      </c>
      <c r="Q110" t="n" s="13901">
        <v>0.0</v>
      </c>
      <c r="R110" s="13902">
        <f>IF(HLOOKUP("Shots",A1:CV300,110,FALSE)=0,0,HLOOKUP("S6YD",A1:CV300,110,FALSE)/HLOOKUP("Shots",A1:CV300,110,FALSE))</f>
      </c>
      <c r="S110" t="n" s="13903">
        <v>1.0</v>
      </c>
      <c r="T110" s="13904">
        <f>IF(HLOOKUP("Shots",A1:CV300,110,FALSE)=0,0,HLOOKUP("Headers",A1:CV300,110,FALSE)/HLOOKUP("Shots",A1:CV300,110,FALSE))</f>
      </c>
      <c r="U110" t="n" s="13905">
        <v>0.0</v>
      </c>
      <c r="V110" s="13906">
        <f>IF(HLOOKUP("Shots",A1:CV300,110,FALSE)=0,0,HLOOKUP("SOT",A1:CV300,110,FALSE)/HLOOKUP("Shots",A1:CV300,110,FALSE))</f>
      </c>
      <c r="W110" s="13907">
        <f>IF(HLOOKUP("Shots",A1:CV300,110,FALSE)=0,0,HLOOKUP("Gs",A1:CV300,110,FALSE)/HLOOKUP("Shots",A1:CV300,110,FALSE))</f>
      </c>
      <c r="X110" t="n" s="13908">
        <v>0.0</v>
      </c>
      <c r="Y110" t="n" s="13909">
        <v>0.0</v>
      </c>
      <c r="Z110" t="n" s="13910">
        <v>10.0</v>
      </c>
      <c r="AA110" s="13911">
        <f>IF(HLOOKUP("KP",A1:CV300,110,FALSE)=0,0,HLOOKUP("As",A1:CV300,110,FALSE)/HLOOKUP("KP",A1:CV300,110,FALSE))</f>
      </c>
      <c r="AB110" t="n" s="13912">
        <v>28.2</v>
      </c>
      <c r="AC110" t="n" s="13913">
        <v>0.0</v>
      </c>
      <c r="AD110" t="n" s="13914">
        <v>1.0</v>
      </c>
      <c r="AE110" t="n" s="13915">
        <v>0.0</v>
      </c>
      <c r="AF110" t="n" s="13916">
        <v>0.0</v>
      </c>
      <c r="AG110" s="13917">
        <f>IF(HLOOKUP("BC",A1:CV300,110,FALSE)=0,0,HLOOKUP("Gs - BC",A1:CV300,110,FALSE)/HLOOKUP("BC",A1:CV300,110,FALSE))</f>
      </c>
      <c r="AH110" s="13918">
        <f>HLOOKUP("BC",A1:CV300,110,FALSE) - HLOOKUP("BC Miss",A1:CV300,110,FALSE)</f>
      </c>
      <c r="AI110" s="13919">
        <f>IF(HLOOKUP("Gs",A1:CV300,110,FALSE)=0,0,HLOOKUP("Gs - BC",A1:CV300,110,FALSE)/HLOOKUP("Gs",A1:CV300,110,FALSE))</f>
      </c>
      <c r="AJ110" t="n" s="13920">
        <v>0.0</v>
      </c>
      <c r="AK110" t="n" s="13921">
        <v>0.0</v>
      </c>
      <c r="AL110" s="13922">
        <f>HLOOKUP("BC",A1:CV300,110,FALSE) - (HLOOKUP("PK Gs",A1:CV300,110,FALSE) + HLOOKUP("PK Miss",A1:CV300,110,FALSE))</f>
      </c>
      <c r="AM110" s="13923">
        <f>HLOOKUP("BC Miss",A1:CV300,110,FALSE) - HLOOKUP("PK Miss",A1:CV300,110,FALSE)</f>
      </c>
      <c r="AN110" s="13924">
        <f>IF(HLOOKUP("BC - Open",A1:CV300,110,FALSE)=0,0,HLOOKUP("BC - Open Miss",A1:CV300,110,FALSE)/HLOOKUP("BC - Open",A1:CV300,110,FALSE))</f>
      </c>
      <c r="AO110" t="n" s="13925">
        <v>0.0</v>
      </c>
      <c r="AP110" s="13926">
        <f>IF(HLOOKUP("Gs",A1:CV300,110,FALSE)=0,0,HLOOKUP("GIB",A1:CV300,110,FALSE)/HLOOKUP("Gs",A1:CV300,110,FALSE))</f>
      </c>
      <c r="AQ110" t="n" s="13927">
        <v>0.0</v>
      </c>
      <c r="AR110" s="13928">
        <f>IF(HLOOKUP("Gs",A1:CV300,110,FALSE)=0,0,HLOOKUP("Gs - Open",A1:CV300,110,FALSE)/HLOOKUP("Gs",A1:CV300,110,FALSE))</f>
      </c>
      <c r="AS110" t="n" s="13929">
        <v>0.11</v>
      </c>
      <c r="AT110" t="n" s="13930">
        <v>0.8</v>
      </c>
      <c r="AU110" s="13931">
        <f>IF(HLOOKUP("Mins",A1:CV300,110,FALSE)=0,0,HLOOKUP("Pts",A1:CV300,110,FALSE)/HLOOKUP("Mins",A1:CV300,110,FALSE)* 90)</f>
      </c>
      <c r="AV110" s="13932">
        <f>IF(HLOOKUP("Apps",A1:CV300,110,FALSE)=0,0,HLOOKUP("Pts",A1:CV300,110,FALSE)/HLOOKUP("Apps",A1:CV300,110,FALSE)* 1)</f>
      </c>
      <c r="AW110" s="13933">
        <f>IF(HLOOKUP("Mins",A1:CV300,110,FALSE)=0,0,HLOOKUP("Gs",A1:CV300,110,FALSE)/HLOOKUP("Mins",A1:CV300,110,FALSE)* 90)</f>
      </c>
      <c r="AX110" s="13934">
        <f>IF(HLOOKUP("Mins",A1:CV300,110,FALSE)=0,0,HLOOKUP("Bonus",A1:CV300,110,FALSE)/HLOOKUP("Mins",A1:CV300,110,FALSE)* 90)</f>
      </c>
      <c r="AY110" s="13935">
        <f>IF(HLOOKUP("Mins",A1:CV300,110,FALSE)=0,0,HLOOKUP("BPS",A1:CV300,110,FALSE)/HLOOKUP("Mins",A1:CV300,110,FALSE)* 90)</f>
      </c>
      <c r="AZ110" s="13936">
        <f>IF(HLOOKUP("Mins",A1:CV300,110,FALSE)=0,0,HLOOKUP("Base BPS",A1:CV300,110,FALSE)/HLOOKUP("Mins",A1:CV300,110,FALSE)* 90)</f>
      </c>
      <c r="BA110" s="13937">
        <f>IF(HLOOKUP("Mins",A1:CV300,110,FALSE)=0,0,HLOOKUP("PenTchs",A1:CV300,110,FALSE)/HLOOKUP("Mins",A1:CV300,110,FALSE)* 90)</f>
      </c>
      <c r="BB110" s="13938">
        <f>IF(HLOOKUP("Mins",A1:CV300,110,FALSE)=0,0,HLOOKUP("Shots",A1:CV300,110,FALSE)/HLOOKUP("Mins",A1:CV300,110,FALSE)* 90)</f>
      </c>
      <c r="BC110" s="13939">
        <f>IF(HLOOKUP("Mins",A1:CV300,110,FALSE)=0,0,HLOOKUP("SIB",A1:CV300,110,FALSE)/HLOOKUP("Mins",A1:CV300,110,FALSE)* 90)</f>
      </c>
      <c r="BD110" s="13940">
        <f>IF(HLOOKUP("Mins",A1:CV300,110,FALSE)=0,0,HLOOKUP("S6YD",A1:CV300,110,FALSE)/HLOOKUP("Mins",A1:CV300,110,FALSE)* 90)</f>
      </c>
      <c r="BE110" s="13941">
        <f>IF(HLOOKUP("Mins",A1:CV300,110,FALSE)=0,0,HLOOKUP("Headers",A1:CV300,110,FALSE)/HLOOKUP("Mins",A1:CV300,110,FALSE)* 90)</f>
      </c>
      <c r="BF110" s="13942">
        <f>IF(HLOOKUP("Mins",A1:CV300,110,FALSE)=0,0,HLOOKUP("SOT",A1:CV300,110,FALSE)/HLOOKUP("Mins",A1:CV300,110,FALSE)* 90)</f>
      </c>
      <c r="BG110" s="13943">
        <f>IF(HLOOKUP("Mins",A1:CV300,110,FALSE)=0,0,HLOOKUP("As",A1:CV300,110,FALSE)/HLOOKUP("Mins",A1:CV300,110,FALSE)* 90)</f>
      </c>
      <c r="BH110" s="13944">
        <f>IF(HLOOKUP("Mins",A1:CV300,110,FALSE)=0,0,HLOOKUP("FPL As",A1:CV300,110,FALSE)/HLOOKUP("Mins",A1:CV300,110,FALSE)* 90)</f>
      </c>
      <c r="BI110" s="13945">
        <f>IF(HLOOKUP("Mins",A1:CV300,110,FALSE)=0,0,HLOOKUP("BC Created",A1:CV300,110,FALSE)/HLOOKUP("Mins",A1:CV300,110,FALSE)* 90)</f>
      </c>
      <c r="BJ110" s="13946">
        <f>IF(HLOOKUP("Mins",A1:CV300,110,FALSE)=0,0,HLOOKUP("KP",A1:CV300,110,FALSE)/HLOOKUP("Mins",A1:CV300,110,FALSE)* 90)</f>
      </c>
      <c r="BK110" s="13947">
        <f>IF(HLOOKUP("Mins",A1:CV300,110,FALSE)=0,0,HLOOKUP("BC",A1:CV300,110,FALSE)/HLOOKUP("Mins",A1:CV300,110,FALSE)* 90)</f>
      </c>
      <c r="BL110" s="13948">
        <f>IF(HLOOKUP("Mins",A1:CV300,110,FALSE)=0,0,HLOOKUP("BC Miss",A1:CV300,110,FALSE)/HLOOKUP("Mins",A1:CV300,110,FALSE)* 90)</f>
      </c>
      <c r="BM110" s="13949">
        <f>IF(HLOOKUP("Mins",A1:CV300,110,FALSE)=0,0,HLOOKUP("Gs - BC",A1:CV300,110,FALSE)/HLOOKUP("Mins",A1:CV300,110,FALSE)* 90)</f>
      </c>
      <c r="BN110" s="13950">
        <f>IF(HLOOKUP("Mins",A1:CV300,110,FALSE)=0,0,HLOOKUP("GIB",A1:CV300,110,FALSE)/HLOOKUP("Mins",A1:CV300,110,FALSE)* 90)</f>
      </c>
      <c r="BO110" s="13951">
        <f>IF(HLOOKUP("Mins",A1:CV300,110,FALSE)=0,0,HLOOKUP("Gs - Open",A1:CV300,110,FALSE)/HLOOKUP("Mins",A1:CV300,110,FALSE)* 90)</f>
      </c>
      <c r="BP110" s="13952">
        <f>IF(HLOOKUP("Mins",A1:CV300,110,FALSE)=0,0,HLOOKUP("ICT Index",A1:CV300,110,FALSE)/HLOOKUP("Mins",A1:CV300,110,FALSE)* 90)</f>
      </c>
      <c r="BQ110" s="13953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</c>
      <c r="BR110" s="13954">
        <f>0.0825*HLOOKUP("KP/90",A1:CV300,110,FALSE)</f>
      </c>
      <c r="BS110" s="13955">
        <f>6*HLOOKUP("xG/90",A1:CV300,110,FALSE)+3*HLOOKUP("xA/90",A1:CV300,110,FALSE)</f>
      </c>
      <c r="BT110" s="13956">
        <f>HLOOKUP("xPts/90",A1:CV300,110,FALSE)-(6*0.75*(HLOOKUP("PK Gs",A1:CV300,110,FALSE)+HLOOKUP("PK Miss",A1:CV300,110,FALSE))*90/HLOOKUP("Mins",A1:CV300,110,FALSE))</f>
      </c>
      <c r="BU110" s="13957">
        <f>IF(HLOOKUP("Mins",A1:CV300,110,FALSE)=0,0,HLOOKUP("fsXG",A1:CV300,110,FALSE)/HLOOKUP("Mins",A1:CV300,110,FALSE)* 90)</f>
      </c>
      <c r="BV110" s="13958">
        <f>IF(HLOOKUP("Mins",A1:CV300,110,FALSE)=0,0,HLOOKUP("fsXA",A1:CV300,110,FALSE)/HLOOKUP("Mins",A1:CV300,110,FALSE)* 90)</f>
      </c>
      <c r="BW110" s="13959">
        <f>6*HLOOKUP("fsXG/90",A1:CV300,110,FALSE)+3*HLOOKUP("fsXA/90",A1:CV300,110,FALSE)</f>
      </c>
      <c r="BX110" t="n" s="13960">
        <v>0.009217747487127781</v>
      </c>
      <c r="BY110" t="n" s="13961">
        <v>0.12828058004379272</v>
      </c>
      <c r="BZ110" s="13962">
        <f>6*HLOOKUP("uXG/90",A1:CV300,110,FALSE)+3*HLOOKUP("uXA/90",A1:CV300,110,FALSE)</f>
      </c>
    </row>
    <row r="111">
      <c r="A111" t="s" s="13963">
        <v>276</v>
      </c>
      <c r="B111" t="s" s="13964">
        <v>80</v>
      </c>
      <c r="C111" t="n" s="13965">
        <v>4.900000095367432</v>
      </c>
      <c r="D111" t="n" s="13966">
        <v>180.0</v>
      </c>
      <c r="E111" t="n" s="13967">
        <v>2.0</v>
      </c>
      <c r="F111" t="n" s="13968">
        <v>52.0</v>
      </c>
      <c r="G111" t="n" s="13969">
        <v>1.0</v>
      </c>
      <c r="H111" t="n" s="13970">
        <v>5.0</v>
      </c>
      <c r="I111" t="n" s="13971">
        <v>286.0</v>
      </c>
      <c r="J111" s="13972">
        <f>HLOOKUP("BPS",A1:CV300,111,FALSE)-((-6*HLOOKUP("OG",A1:CV300,111,FALSE))+(-6*HLOOKUP("PK Miss",A1:CV300,111,FALSE))+(9*HLOOKUP("FPL As",A1:CV300,111,FALSE))+(12*HLOOKUP("CS",A1:CV300,111,FALSE))+(12*HLOOKUP("Gs",A1:CV300,111,FALSE)))</f>
      </c>
      <c r="K111" t="n" s="13973">
        <v>0.0</v>
      </c>
      <c r="L111" t="n" s="13974">
        <v>3.0</v>
      </c>
      <c r="M111" t="n" s="13975">
        <v>2.0</v>
      </c>
      <c r="N111" t="n" s="13976">
        <v>1.0</v>
      </c>
      <c r="O111" t="n" s="13977">
        <v>1.0</v>
      </c>
      <c r="P111" s="13978">
        <f>IF(HLOOKUP("Shots",A1:CV300,111,FALSE)=0,0,HLOOKUP("SIB",A1:CV300,111,FALSE)/HLOOKUP("Shots",A1:CV300,111,FALSE))</f>
      </c>
      <c r="Q111" t="n" s="13979">
        <v>1.0</v>
      </c>
      <c r="R111" s="13980">
        <f>IF(HLOOKUP("Shots",A1:CV300,111,FALSE)=0,0,HLOOKUP("S6YD",A1:CV300,111,FALSE)/HLOOKUP("Shots",A1:CV300,111,FALSE))</f>
      </c>
      <c r="S111" t="n" s="13981">
        <v>0.0</v>
      </c>
      <c r="T111" s="13982">
        <f>IF(HLOOKUP("Shots",A1:CV300,111,FALSE)=0,0,HLOOKUP("Headers",A1:CV300,111,FALSE)/HLOOKUP("Shots",A1:CV300,111,FALSE))</f>
      </c>
      <c r="U111" t="n" s="13983">
        <v>1.0</v>
      </c>
      <c r="V111" s="13984">
        <f>IF(HLOOKUP("Shots",A1:CV300,111,FALSE)=0,0,HLOOKUP("SOT",A1:CV300,111,FALSE)/HLOOKUP("Shots",A1:CV300,111,FALSE))</f>
      </c>
      <c r="W111" s="13985">
        <f>IF(HLOOKUP("Shots",A1:CV300,111,FALSE)=0,0,HLOOKUP("Gs",A1:CV300,111,FALSE)/HLOOKUP("Shots",A1:CV300,111,FALSE))</f>
      </c>
      <c r="X111" t="n" s="13986">
        <v>0.0</v>
      </c>
      <c r="Y111" t="n" s="13987">
        <v>0.0</v>
      </c>
      <c r="Z111" t="n" s="13988">
        <v>0.0</v>
      </c>
      <c r="AA111" s="13989">
        <f>IF(HLOOKUP("KP",A1:CV300,111,FALSE)=0,0,HLOOKUP("As",A1:CV300,111,FALSE)/HLOOKUP("KP",A1:CV300,111,FALSE))</f>
      </c>
      <c r="AB111" t="n" s="13990">
        <v>10.8</v>
      </c>
      <c r="AC111" t="n" s="13991">
        <v>33.0</v>
      </c>
      <c r="AD111" t="n" s="13992">
        <v>0.0</v>
      </c>
      <c r="AE111" t="n" s="13993">
        <v>1.0</v>
      </c>
      <c r="AF111" t="n" s="13994">
        <v>0.0</v>
      </c>
      <c r="AG111" s="13995">
        <f>IF(HLOOKUP("BC",A1:CV300,111,FALSE)=0,0,HLOOKUP("Gs - BC",A1:CV300,111,FALSE)/HLOOKUP("BC",A1:CV300,111,FALSE))</f>
      </c>
      <c r="AH111" s="13996">
        <f>HLOOKUP("BC",A1:CV300,111,FALSE) - HLOOKUP("BC Miss",A1:CV300,111,FALSE)</f>
      </c>
      <c r="AI111" s="13997">
        <f>IF(HLOOKUP("Gs",A1:CV300,111,FALSE)=0,0,HLOOKUP("Gs - BC",A1:CV300,111,FALSE)/HLOOKUP("Gs",A1:CV300,111,FALSE))</f>
      </c>
      <c r="AJ111" t="n" s="13998">
        <v>0.0</v>
      </c>
      <c r="AK111" t="n" s="13999">
        <v>0.0</v>
      </c>
      <c r="AL111" s="14000">
        <f>HLOOKUP("BC",A1:CV300,111,FALSE) - (HLOOKUP("PK Gs",A1:CV300,111,FALSE) + HLOOKUP("PK Miss",A1:CV300,111,FALSE))</f>
      </c>
      <c r="AM111" s="14001">
        <f>HLOOKUP("BC Miss",A1:CV300,111,FALSE) - HLOOKUP("PK Miss",A1:CV300,111,FALSE)</f>
      </c>
      <c r="AN111" s="14002">
        <f>IF(HLOOKUP("BC - Open",A1:CV300,111,FALSE)=0,0,HLOOKUP("BC - Open Miss",A1:CV300,111,FALSE)/HLOOKUP("BC - Open",A1:CV300,111,FALSE))</f>
      </c>
      <c r="AO111" t="n" s="14003">
        <v>1.0</v>
      </c>
      <c r="AP111" s="14004">
        <f>IF(HLOOKUP("Gs",A1:CV300,111,FALSE)=0,0,HLOOKUP("GIB",A1:CV300,111,FALSE)/HLOOKUP("Gs",A1:CV300,111,FALSE))</f>
      </c>
      <c r="AQ111" t="n" s="14005">
        <v>0.0</v>
      </c>
      <c r="AR111" s="14006">
        <f>IF(HLOOKUP("Gs",A1:CV300,111,FALSE)=0,0,HLOOKUP("Gs - Open",A1:CV300,111,FALSE)/HLOOKUP("Gs",A1:CV300,111,FALSE))</f>
      </c>
      <c r="AS111" t="n" s="14007">
        <v>0.61</v>
      </c>
      <c r="AT111" t="n" s="14008">
        <v>0.01</v>
      </c>
      <c r="AU111" s="14009">
        <f>IF(HLOOKUP("Mins",A1:CV300,111,FALSE)=0,0,HLOOKUP("Pts",A1:CV300,111,FALSE)/HLOOKUP("Mins",A1:CV300,111,FALSE)* 90)</f>
      </c>
      <c r="AV111" s="14010">
        <f>IF(HLOOKUP("Apps",A1:CV300,111,FALSE)=0,0,HLOOKUP("Pts",A1:CV300,111,FALSE)/HLOOKUP("Apps",A1:CV300,111,FALSE)* 1)</f>
      </c>
      <c r="AW111" s="14011">
        <f>IF(HLOOKUP("Mins",A1:CV300,111,FALSE)=0,0,HLOOKUP("Gs",A1:CV300,111,FALSE)/HLOOKUP("Mins",A1:CV300,111,FALSE)* 90)</f>
      </c>
      <c r="AX111" s="14012">
        <f>IF(HLOOKUP("Mins",A1:CV300,111,FALSE)=0,0,HLOOKUP("Bonus",A1:CV300,111,FALSE)/HLOOKUP("Mins",A1:CV300,111,FALSE)* 90)</f>
      </c>
      <c r="AY111" s="14013">
        <f>IF(HLOOKUP("Mins",A1:CV300,111,FALSE)=0,0,HLOOKUP("BPS",A1:CV300,111,FALSE)/HLOOKUP("Mins",A1:CV300,111,FALSE)* 90)</f>
      </c>
      <c r="AZ111" s="14014">
        <f>IF(HLOOKUP("Mins",A1:CV300,111,FALSE)=0,0,HLOOKUP("Base BPS",A1:CV300,111,FALSE)/HLOOKUP("Mins",A1:CV300,111,FALSE)* 90)</f>
      </c>
      <c r="BA111" s="14015">
        <f>IF(HLOOKUP("Mins",A1:CV300,111,FALSE)=0,0,HLOOKUP("PenTchs",A1:CV300,111,FALSE)/HLOOKUP("Mins",A1:CV300,111,FALSE)* 90)</f>
      </c>
      <c r="BB111" s="14016">
        <f>IF(HLOOKUP("Mins",A1:CV300,111,FALSE)=0,0,HLOOKUP("Shots",A1:CV300,111,FALSE)/HLOOKUP("Mins",A1:CV300,111,FALSE)* 90)</f>
      </c>
      <c r="BC111" s="14017">
        <f>IF(HLOOKUP("Mins",A1:CV300,111,FALSE)=0,0,HLOOKUP("SIB",A1:CV300,111,FALSE)/HLOOKUP("Mins",A1:CV300,111,FALSE)* 90)</f>
      </c>
      <c r="BD111" s="14018">
        <f>IF(HLOOKUP("Mins",A1:CV300,111,FALSE)=0,0,HLOOKUP("S6YD",A1:CV300,111,FALSE)/HLOOKUP("Mins",A1:CV300,111,FALSE)* 90)</f>
      </c>
      <c r="BE111" s="14019">
        <f>IF(HLOOKUP("Mins",A1:CV300,111,FALSE)=0,0,HLOOKUP("Headers",A1:CV300,111,FALSE)/HLOOKUP("Mins",A1:CV300,111,FALSE)* 90)</f>
      </c>
      <c r="BF111" s="14020">
        <f>IF(HLOOKUP("Mins",A1:CV300,111,FALSE)=0,0,HLOOKUP("SOT",A1:CV300,111,FALSE)/HLOOKUP("Mins",A1:CV300,111,FALSE)* 90)</f>
      </c>
      <c r="BG111" s="14021">
        <f>IF(HLOOKUP("Mins",A1:CV300,111,FALSE)=0,0,HLOOKUP("As",A1:CV300,111,FALSE)/HLOOKUP("Mins",A1:CV300,111,FALSE)* 90)</f>
      </c>
      <c r="BH111" s="14022">
        <f>IF(HLOOKUP("Mins",A1:CV300,111,FALSE)=0,0,HLOOKUP("FPL As",A1:CV300,111,FALSE)/HLOOKUP("Mins",A1:CV300,111,FALSE)* 90)</f>
      </c>
      <c r="BI111" s="14023">
        <f>IF(HLOOKUP("Mins",A1:CV300,111,FALSE)=0,0,HLOOKUP("BC Created",A1:CV300,111,FALSE)/HLOOKUP("Mins",A1:CV300,111,FALSE)* 90)</f>
      </c>
      <c r="BJ111" s="14024">
        <f>IF(HLOOKUP("Mins",A1:CV300,111,FALSE)=0,0,HLOOKUP("KP",A1:CV300,111,FALSE)/HLOOKUP("Mins",A1:CV300,111,FALSE)* 90)</f>
      </c>
      <c r="BK111" s="14025">
        <f>IF(HLOOKUP("Mins",A1:CV300,111,FALSE)=0,0,HLOOKUP("BC",A1:CV300,111,FALSE)/HLOOKUP("Mins",A1:CV300,111,FALSE)* 90)</f>
      </c>
      <c r="BL111" s="14026">
        <f>IF(HLOOKUP("Mins",A1:CV300,111,FALSE)=0,0,HLOOKUP("BC Miss",A1:CV300,111,FALSE)/HLOOKUP("Mins",A1:CV300,111,FALSE)* 90)</f>
      </c>
      <c r="BM111" s="14027">
        <f>IF(HLOOKUP("Mins",A1:CV300,111,FALSE)=0,0,HLOOKUP("Gs - BC",A1:CV300,111,FALSE)/HLOOKUP("Mins",A1:CV300,111,FALSE)* 90)</f>
      </c>
      <c r="BN111" s="14028">
        <f>IF(HLOOKUP("Mins",A1:CV300,111,FALSE)=0,0,HLOOKUP("GIB",A1:CV300,111,FALSE)/HLOOKUP("Mins",A1:CV300,111,FALSE)* 90)</f>
      </c>
      <c r="BO111" s="14029">
        <f>IF(HLOOKUP("Mins",A1:CV300,111,FALSE)=0,0,HLOOKUP("Gs - Open",A1:CV300,111,FALSE)/HLOOKUP("Mins",A1:CV300,111,FALSE)* 90)</f>
      </c>
      <c r="BP111" s="14030">
        <f>IF(HLOOKUP("Mins",A1:CV300,111,FALSE)=0,0,HLOOKUP("ICT Index",A1:CV300,111,FALSE)/HLOOKUP("Mins",A1:CV300,111,FALSE)* 90)</f>
      </c>
      <c r="BQ111" s="14031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</c>
      <c r="BR111" s="14032">
        <f>0.0825*HLOOKUP("KP/90",A1:CV300,111,FALSE)</f>
      </c>
      <c r="BS111" s="14033">
        <f>6*HLOOKUP("xG/90",A1:CV300,111,FALSE)+3*HLOOKUP("xA/90",A1:CV300,111,FALSE)</f>
      </c>
      <c r="BT111" s="14034">
        <f>HLOOKUP("xPts/90",A1:CV300,111,FALSE)-(6*0.75*(HLOOKUP("PK Gs",A1:CV300,111,FALSE)+HLOOKUP("PK Miss",A1:CV300,111,FALSE))*90/HLOOKUP("Mins",A1:CV300,111,FALSE))</f>
      </c>
      <c r="BU111" s="14035">
        <f>IF(HLOOKUP("Mins",A1:CV300,111,FALSE)=0,0,HLOOKUP("fsXG",A1:CV300,111,FALSE)/HLOOKUP("Mins",A1:CV300,111,FALSE)* 90)</f>
      </c>
      <c r="BV111" s="14036">
        <f>IF(HLOOKUP("Mins",A1:CV300,111,FALSE)=0,0,HLOOKUP("fsXA",A1:CV300,111,FALSE)/HLOOKUP("Mins",A1:CV300,111,FALSE)* 90)</f>
      </c>
      <c r="BW111" s="14037">
        <f>6*HLOOKUP("fsXG/90",A1:CV300,111,FALSE)+3*HLOOKUP("fsXA/90",A1:CV300,111,FALSE)</f>
      </c>
      <c r="BX111" t="n" s="14038">
        <v>0.39517730474472046</v>
      </c>
      <c r="BY111" t="n" s="14039">
        <v>0.0</v>
      </c>
      <c r="BZ111" s="14040">
        <f>6*HLOOKUP("uXG/90",A1:CV300,111,FALSE)+3*HLOOKUP("uXA/90",A1:CV300,111,FALSE)</f>
      </c>
    </row>
    <row r="112">
      <c r="A112" t="s" s="14041">
        <v>277</v>
      </c>
      <c r="B112" t="s" s="14042">
        <v>114</v>
      </c>
      <c r="C112" t="n" s="14043">
        <v>4.400000095367432</v>
      </c>
      <c r="D112" t="n" s="14044">
        <v>450.0</v>
      </c>
      <c r="E112" t="n" s="14045">
        <v>5.0</v>
      </c>
      <c r="F112" t="n" s="14046">
        <v>44.0</v>
      </c>
      <c r="G112" t="n" s="14047">
        <v>2.0</v>
      </c>
      <c r="H112" t="n" s="14048">
        <v>2.0</v>
      </c>
      <c r="I112" t="n" s="14049">
        <v>256.0</v>
      </c>
      <c r="J112" s="14050">
        <f>HLOOKUP("BPS",A1:CV300,112,FALSE)-((-6*HLOOKUP("OG",A1:CV300,112,FALSE))+(-6*HLOOKUP("PK Miss",A1:CV300,112,FALSE))+(9*HLOOKUP("FPL As",A1:CV300,112,FALSE))+(12*HLOOKUP("CS",A1:CV300,112,FALSE))+(12*HLOOKUP("Gs",A1:CV300,112,FALSE)))</f>
      </c>
      <c r="K112" t="n" s="14051">
        <v>0.0</v>
      </c>
      <c r="L112" t="n" s="14052">
        <v>3.0</v>
      </c>
      <c r="M112" t="n" s="14053">
        <v>2.0</v>
      </c>
      <c r="N112" t="n" s="14054">
        <v>2.0</v>
      </c>
      <c r="O112" t="n" s="14055">
        <v>2.0</v>
      </c>
      <c r="P112" s="14056">
        <f>IF(HLOOKUP("Shots",A1:CV300,112,FALSE)=0,0,HLOOKUP("SIB",A1:CV300,112,FALSE)/HLOOKUP("Shots",A1:CV300,112,FALSE))</f>
      </c>
      <c r="Q112" t="n" s="14057">
        <v>0.0</v>
      </c>
      <c r="R112" s="14058">
        <f>IF(HLOOKUP("Shots",A1:CV300,112,FALSE)=0,0,HLOOKUP("S6YD",A1:CV300,112,FALSE)/HLOOKUP("Shots",A1:CV300,112,FALSE))</f>
      </c>
      <c r="S112" t="n" s="14059">
        <v>1.0</v>
      </c>
      <c r="T112" s="14060">
        <f>IF(HLOOKUP("Shots",A1:CV300,112,FALSE)=0,0,HLOOKUP("Headers",A1:CV300,112,FALSE)/HLOOKUP("Shots",A1:CV300,112,FALSE))</f>
      </c>
      <c r="U112" t="n" s="14061">
        <v>2.0</v>
      </c>
      <c r="V112" s="14062">
        <f>IF(HLOOKUP("Shots",A1:CV300,112,FALSE)=0,0,HLOOKUP("SOT",A1:CV300,112,FALSE)/HLOOKUP("Shots",A1:CV300,112,FALSE))</f>
      </c>
      <c r="W112" s="14063">
        <f>IF(HLOOKUP("Shots",A1:CV300,112,FALSE)=0,0,HLOOKUP("Gs",A1:CV300,112,FALSE)/HLOOKUP("Shots",A1:CV300,112,FALSE))</f>
      </c>
      <c r="X112" t="n" s="14064">
        <v>0.0</v>
      </c>
      <c r="Y112" t="n" s="14065">
        <v>0.0</v>
      </c>
      <c r="Z112" t="n" s="14066">
        <v>0.0</v>
      </c>
      <c r="AA112" s="14067">
        <f>IF(HLOOKUP("KP",A1:CV300,112,FALSE)=0,0,HLOOKUP("As",A1:CV300,112,FALSE)/HLOOKUP("KP",A1:CV300,112,FALSE))</f>
      </c>
      <c r="AB112" t="n" s="14068">
        <v>19.3</v>
      </c>
      <c r="AC112" t="n" s="14069">
        <v>40.0</v>
      </c>
      <c r="AD112" t="n" s="14070">
        <v>0.0</v>
      </c>
      <c r="AE112" t="n" s="14071">
        <v>1.0</v>
      </c>
      <c r="AF112" t="n" s="14072">
        <v>0.0</v>
      </c>
      <c r="AG112" s="14073">
        <f>IF(HLOOKUP("BC",A1:CV300,112,FALSE)=0,0,HLOOKUP("Gs - BC",A1:CV300,112,FALSE)/HLOOKUP("BC",A1:CV300,112,FALSE))</f>
      </c>
      <c r="AH112" s="14074">
        <f>HLOOKUP("BC",A1:CV300,112,FALSE) - HLOOKUP("BC Miss",A1:CV300,112,FALSE)</f>
      </c>
      <c r="AI112" s="14075">
        <f>IF(HLOOKUP("Gs",A1:CV300,112,FALSE)=0,0,HLOOKUP("Gs - BC",A1:CV300,112,FALSE)/HLOOKUP("Gs",A1:CV300,112,FALSE))</f>
      </c>
      <c r="AJ112" t="n" s="14076">
        <v>0.0</v>
      </c>
      <c r="AK112" t="n" s="14077">
        <v>0.0</v>
      </c>
      <c r="AL112" s="14078">
        <f>HLOOKUP("BC",A1:CV300,112,FALSE) - (HLOOKUP("PK Gs",A1:CV300,112,FALSE) + HLOOKUP("PK Miss",A1:CV300,112,FALSE))</f>
      </c>
      <c r="AM112" s="14079">
        <f>HLOOKUP("BC Miss",A1:CV300,112,FALSE) - HLOOKUP("PK Miss",A1:CV300,112,FALSE)</f>
      </c>
      <c r="AN112" s="14080">
        <f>IF(HLOOKUP("BC - Open",A1:CV300,112,FALSE)=0,0,HLOOKUP("BC - Open Miss",A1:CV300,112,FALSE)/HLOOKUP("BC - Open",A1:CV300,112,FALSE))</f>
      </c>
      <c r="AO112" t="n" s="14081">
        <v>2.0</v>
      </c>
      <c r="AP112" s="14082">
        <f>IF(HLOOKUP("Gs",A1:CV300,112,FALSE)=0,0,HLOOKUP("GIB",A1:CV300,112,FALSE)/HLOOKUP("Gs",A1:CV300,112,FALSE))</f>
      </c>
      <c r="AQ112" t="n" s="14083">
        <v>0.0</v>
      </c>
      <c r="AR112" s="14084">
        <f>IF(HLOOKUP("Gs",A1:CV300,112,FALSE)=0,0,HLOOKUP("Gs - Open",A1:CV300,112,FALSE)/HLOOKUP("Gs",A1:CV300,112,FALSE))</f>
      </c>
      <c r="AS112" t="n" s="14085">
        <v>0.26</v>
      </c>
      <c r="AT112" t="n" s="14086">
        <v>0.02</v>
      </c>
      <c r="AU112" s="14087">
        <f>IF(HLOOKUP("Mins",A1:CV300,112,FALSE)=0,0,HLOOKUP("Pts",A1:CV300,112,FALSE)/HLOOKUP("Mins",A1:CV300,112,FALSE)* 90)</f>
      </c>
      <c r="AV112" s="14088">
        <f>IF(HLOOKUP("Apps",A1:CV300,112,FALSE)=0,0,HLOOKUP("Pts",A1:CV300,112,FALSE)/HLOOKUP("Apps",A1:CV300,112,FALSE)* 1)</f>
      </c>
      <c r="AW112" s="14089">
        <f>IF(HLOOKUP("Mins",A1:CV300,112,FALSE)=0,0,HLOOKUP("Gs",A1:CV300,112,FALSE)/HLOOKUP("Mins",A1:CV300,112,FALSE)* 90)</f>
      </c>
      <c r="AX112" s="14090">
        <f>IF(HLOOKUP("Mins",A1:CV300,112,FALSE)=0,0,HLOOKUP("Bonus",A1:CV300,112,FALSE)/HLOOKUP("Mins",A1:CV300,112,FALSE)* 90)</f>
      </c>
      <c r="AY112" s="14091">
        <f>IF(HLOOKUP("Mins",A1:CV300,112,FALSE)=0,0,HLOOKUP("BPS",A1:CV300,112,FALSE)/HLOOKUP("Mins",A1:CV300,112,FALSE)* 90)</f>
      </c>
      <c r="AZ112" s="14092">
        <f>IF(HLOOKUP("Mins",A1:CV300,112,FALSE)=0,0,HLOOKUP("Base BPS",A1:CV300,112,FALSE)/HLOOKUP("Mins",A1:CV300,112,FALSE)* 90)</f>
      </c>
      <c r="BA112" s="14093">
        <f>IF(HLOOKUP("Mins",A1:CV300,112,FALSE)=0,0,HLOOKUP("PenTchs",A1:CV300,112,FALSE)/HLOOKUP("Mins",A1:CV300,112,FALSE)* 90)</f>
      </c>
      <c r="BB112" s="14094">
        <f>IF(HLOOKUP("Mins",A1:CV300,112,FALSE)=0,0,HLOOKUP("Shots",A1:CV300,112,FALSE)/HLOOKUP("Mins",A1:CV300,112,FALSE)* 90)</f>
      </c>
      <c r="BC112" s="14095">
        <f>IF(HLOOKUP("Mins",A1:CV300,112,FALSE)=0,0,HLOOKUP("SIB",A1:CV300,112,FALSE)/HLOOKUP("Mins",A1:CV300,112,FALSE)* 90)</f>
      </c>
      <c r="BD112" s="14096">
        <f>IF(HLOOKUP("Mins",A1:CV300,112,FALSE)=0,0,HLOOKUP("S6YD",A1:CV300,112,FALSE)/HLOOKUP("Mins",A1:CV300,112,FALSE)* 90)</f>
      </c>
      <c r="BE112" s="14097">
        <f>IF(HLOOKUP("Mins",A1:CV300,112,FALSE)=0,0,HLOOKUP("Headers",A1:CV300,112,FALSE)/HLOOKUP("Mins",A1:CV300,112,FALSE)* 90)</f>
      </c>
      <c r="BF112" s="14098">
        <f>IF(HLOOKUP("Mins",A1:CV300,112,FALSE)=0,0,HLOOKUP("SOT",A1:CV300,112,FALSE)/HLOOKUP("Mins",A1:CV300,112,FALSE)* 90)</f>
      </c>
      <c r="BG112" s="14099">
        <f>IF(HLOOKUP("Mins",A1:CV300,112,FALSE)=0,0,HLOOKUP("As",A1:CV300,112,FALSE)/HLOOKUP("Mins",A1:CV300,112,FALSE)* 90)</f>
      </c>
      <c r="BH112" s="14100">
        <f>IF(HLOOKUP("Mins",A1:CV300,112,FALSE)=0,0,HLOOKUP("FPL As",A1:CV300,112,FALSE)/HLOOKUP("Mins",A1:CV300,112,FALSE)* 90)</f>
      </c>
      <c r="BI112" s="14101">
        <f>IF(HLOOKUP("Mins",A1:CV300,112,FALSE)=0,0,HLOOKUP("BC Created",A1:CV300,112,FALSE)/HLOOKUP("Mins",A1:CV300,112,FALSE)* 90)</f>
      </c>
      <c r="BJ112" s="14102">
        <f>IF(HLOOKUP("Mins",A1:CV300,112,FALSE)=0,0,HLOOKUP("KP",A1:CV300,112,FALSE)/HLOOKUP("Mins",A1:CV300,112,FALSE)* 90)</f>
      </c>
      <c r="BK112" s="14103">
        <f>IF(HLOOKUP("Mins",A1:CV300,112,FALSE)=0,0,HLOOKUP("BC",A1:CV300,112,FALSE)/HLOOKUP("Mins",A1:CV300,112,FALSE)* 90)</f>
      </c>
      <c r="BL112" s="14104">
        <f>IF(HLOOKUP("Mins",A1:CV300,112,FALSE)=0,0,HLOOKUP("BC Miss",A1:CV300,112,FALSE)/HLOOKUP("Mins",A1:CV300,112,FALSE)* 90)</f>
      </c>
      <c r="BM112" s="14105">
        <f>IF(HLOOKUP("Mins",A1:CV300,112,FALSE)=0,0,HLOOKUP("Gs - BC",A1:CV300,112,FALSE)/HLOOKUP("Mins",A1:CV300,112,FALSE)* 90)</f>
      </c>
      <c r="BN112" s="14106">
        <f>IF(HLOOKUP("Mins",A1:CV300,112,FALSE)=0,0,HLOOKUP("GIB",A1:CV300,112,FALSE)/HLOOKUP("Mins",A1:CV300,112,FALSE)* 90)</f>
      </c>
      <c r="BO112" s="14107">
        <f>IF(HLOOKUP("Mins",A1:CV300,112,FALSE)=0,0,HLOOKUP("Gs - Open",A1:CV300,112,FALSE)/HLOOKUP("Mins",A1:CV300,112,FALSE)* 90)</f>
      </c>
      <c r="BP112" s="14108">
        <f>IF(HLOOKUP("Mins",A1:CV300,112,FALSE)=0,0,HLOOKUP("ICT Index",A1:CV300,112,FALSE)/HLOOKUP("Mins",A1:CV300,112,FALSE)* 90)</f>
      </c>
      <c r="BQ112" s="14109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</c>
      <c r="BR112" s="14110">
        <f>0.0825*HLOOKUP("KP/90",A1:CV300,112,FALSE)</f>
      </c>
      <c r="BS112" s="14111">
        <f>6*HLOOKUP("xG/90",A1:CV300,112,FALSE)+3*HLOOKUP("xA/90",A1:CV300,112,FALSE)</f>
      </c>
      <c r="BT112" s="14112">
        <f>HLOOKUP("xPts/90",A1:CV300,112,FALSE)-(6*0.75*(HLOOKUP("PK Gs",A1:CV300,112,FALSE)+HLOOKUP("PK Miss",A1:CV300,112,FALSE))*90/HLOOKUP("Mins",A1:CV300,112,FALSE))</f>
      </c>
      <c r="BU112" s="14113">
        <f>IF(HLOOKUP("Mins",A1:CV300,112,FALSE)=0,0,HLOOKUP("fsXG",A1:CV300,112,FALSE)/HLOOKUP("Mins",A1:CV300,112,FALSE)* 90)</f>
      </c>
      <c r="BV112" s="14114">
        <f>IF(HLOOKUP("Mins",A1:CV300,112,FALSE)=0,0,HLOOKUP("fsXA",A1:CV300,112,FALSE)/HLOOKUP("Mins",A1:CV300,112,FALSE)* 90)</f>
      </c>
      <c r="BW112" s="14115">
        <f>6*HLOOKUP("fsXG/90",A1:CV300,112,FALSE)+3*HLOOKUP("fsXA/90",A1:CV300,112,FALSE)</f>
      </c>
      <c r="BX112" t="n" s="14116">
        <v>0.09614839404821396</v>
      </c>
      <c r="BY112" t="n" s="14117">
        <v>0.0</v>
      </c>
      <c r="BZ112" s="14118">
        <f>6*HLOOKUP("uXG/90",A1:CV300,112,FALSE)+3*HLOOKUP("uXA/90",A1:CV300,112,FALSE)</f>
      </c>
    </row>
    <row r="113">
      <c r="A113" t="s" s="14119">
        <v>278</v>
      </c>
      <c r="B113" t="s" s="14120">
        <v>85</v>
      </c>
      <c r="C113" t="n" s="14121">
        <v>4.599999904632568</v>
      </c>
      <c r="D113" t="n" s="14122">
        <v>540.0</v>
      </c>
      <c r="E113" t="n" s="14123">
        <v>6.0</v>
      </c>
      <c r="F113" t="n" s="14124">
        <v>86.0</v>
      </c>
      <c r="G113" t="n" s="14125">
        <v>0.0</v>
      </c>
      <c r="H113" t="n" s="14126">
        <v>4.0</v>
      </c>
      <c r="I113" t="n" s="14127">
        <v>407.0</v>
      </c>
      <c r="J113" s="14128">
        <f>HLOOKUP("BPS",A1:CV300,113,FALSE)-((-6*HLOOKUP("OG",A1:CV300,113,FALSE))+(-6*HLOOKUP("PK Miss",A1:CV300,113,FALSE))+(9*HLOOKUP("FPL As",A1:CV300,113,FALSE))+(12*HLOOKUP("CS",A1:CV300,113,FALSE))+(12*HLOOKUP("Gs",A1:CV300,113,FALSE)))</f>
      </c>
      <c r="K113" t="n" s="14129">
        <v>0.0</v>
      </c>
      <c r="L113" t="n" s="14130">
        <v>9.0</v>
      </c>
      <c r="M113" t="n" s="14131">
        <v>7.0</v>
      </c>
      <c r="N113" t="n" s="14132">
        <v>5.0</v>
      </c>
      <c r="O113" t="n" s="14133">
        <v>5.0</v>
      </c>
      <c r="P113" s="14134">
        <f>IF(HLOOKUP("Shots",A1:CV300,113,FALSE)=0,0,HLOOKUP("SIB",A1:CV300,113,FALSE)/HLOOKUP("Shots",A1:CV300,113,FALSE))</f>
      </c>
      <c r="Q113" t="n" s="14135">
        <v>2.0</v>
      </c>
      <c r="R113" s="14136">
        <f>IF(HLOOKUP("Shots",A1:CV300,113,FALSE)=0,0,HLOOKUP("S6YD",A1:CV300,113,FALSE)/HLOOKUP("Shots",A1:CV300,113,FALSE))</f>
      </c>
      <c r="S113" t="n" s="14137">
        <v>2.0</v>
      </c>
      <c r="T113" s="14138">
        <f>IF(HLOOKUP("Shots",A1:CV300,113,FALSE)=0,0,HLOOKUP("Headers",A1:CV300,113,FALSE)/HLOOKUP("Shots",A1:CV300,113,FALSE))</f>
      </c>
      <c r="U113" t="n" s="14139">
        <v>0.0</v>
      </c>
      <c r="V113" s="14140">
        <f>IF(HLOOKUP("Shots",A1:CV300,113,FALSE)=0,0,HLOOKUP("SOT",A1:CV300,113,FALSE)/HLOOKUP("Shots",A1:CV300,113,FALSE))</f>
      </c>
      <c r="W113" s="14141">
        <f>IF(HLOOKUP("Shots",A1:CV300,113,FALSE)=0,0,HLOOKUP("Gs",A1:CV300,113,FALSE)/HLOOKUP("Shots",A1:CV300,113,FALSE))</f>
      </c>
      <c r="X113" t="n" s="14142">
        <v>0.0</v>
      </c>
      <c r="Y113" t="n" s="14143">
        <v>1.0</v>
      </c>
      <c r="Z113" t="n" s="14144">
        <v>0.0</v>
      </c>
      <c r="AA113" s="14145">
        <f>IF(HLOOKUP("KP",A1:CV300,113,FALSE)=0,0,HLOOKUP("As",A1:CV300,113,FALSE)/HLOOKUP("KP",A1:CV300,113,FALSE))</f>
      </c>
      <c r="AB113" t="n" s="14146">
        <v>15.9</v>
      </c>
      <c r="AC113" t="n" s="14147">
        <v>20.0</v>
      </c>
      <c r="AD113" t="n" s="14148">
        <v>0.0</v>
      </c>
      <c r="AE113" t="n" s="14149">
        <v>1.0</v>
      </c>
      <c r="AF113" t="n" s="14150">
        <v>1.0</v>
      </c>
      <c r="AG113" s="14151">
        <f>IF(HLOOKUP("BC",A1:CV300,113,FALSE)=0,0,HLOOKUP("Gs - BC",A1:CV300,113,FALSE)/HLOOKUP("BC",A1:CV300,113,FALSE))</f>
      </c>
      <c r="AH113" s="14152">
        <f>HLOOKUP("BC",A1:CV300,113,FALSE) - HLOOKUP("BC Miss",A1:CV300,113,FALSE)</f>
      </c>
      <c r="AI113" s="14153">
        <f>IF(HLOOKUP("Gs",A1:CV300,113,FALSE)=0,0,HLOOKUP("Gs - BC",A1:CV300,113,FALSE)/HLOOKUP("Gs",A1:CV300,113,FALSE))</f>
      </c>
      <c r="AJ113" t="n" s="14154">
        <v>0.0</v>
      </c>
      <c r="AK113" t="n" s="14155">
        <v>0.0</v>
      </c>
      <c r="AL113" s="14156">
        <f>HLOOKUP("BC",A1:CV300,113,FALSE) - (HLOOKUP("PK Gs",A1:CV300,113,FALSE) + HLOOKUP("PK Miss",A1:CV300,113,FALSE))</f>
      </c>
      <c r="AM113" s="14157">
        <f>HLOOKUP("BC Miss",A1:CV300,113,FALSE) - HLOOKUP("PK Miss",A1:CV300,113,FALSE)</f>
      </c>
      <c r="AN113" s="14158">
        <f>IF(HLOOKUP("BC - Open",A1:CV300,113,FALSE)=0,0,HLOOKUP("BC - Open Miss",A1:CV300,113,FALSE)/HLOOKUP("BC - Open",A1:CV300,113,FALSE))</f>
      </c>
      <c r="AO113" t="n" s="14159">
        <v>0.0</v>
      </c>
      <c r="AP113" s="14160">
        <f>IF(HLOOKUP("Gs",A1:CV300,113,FALSE)=0,0,HLOOKUP("GIB",A1:CV300,113,FALSE)/HLOOKUP("Gs",A1:CV300,113,FALSE))</f>
      </c>
      <c r="AQ113" t="n" s="14161">
        <v>0.0</v>
      </c>
      <c r="AR113" s="14162">
        <f>IF(HLOOKUP("Gs",A1:CV300,113,FALSE)=0,0,HLOOKUP("Gs - Open",A1:CV300,113,FALSE)/HLOOKUP("Gs",A1:CV300,113,FALSE))</f>
      </c>
      <c r="AS113" t="n" s="14163">
        <v>0.68</v>
      </c>
      <c r="AT113" t="n" s="14164">
        <v>0.02</v>
      </c>
      <c r="AU113" s="14165">
        <f>IF(HLOOKUP("Mins",A1:CV300,113,FALSE)=0,0,HLOOKUP("Pts",A1:CV300,113,FALSE)/HLOOKUP("Mins",A1:CV300,113,FALSE)* 90)</f>
      </c>
      <c r="AV113" s="14166">
        <f>IF(HLOOKUP("Apps",A1:CV300,113,FALSE)=0,0,HLOOKUP("Pts",A1:CV300,113,FALSE)/HLOOKUP("Apps",A1:CV300,113,FALSE)* 1)</f>
      </c>
      <c r="AW113" s="14167">
        <f>IF(HLOOKUP("Mins",A1:CV300,113,FALSE)=0,0,HLOOKUP("Gs",A1:CV300,113,FALSE)/HLOOKUP("Mins",A1:CV300,113,FALSE)* 90)</f>
      </c>
      <c r="AX113" s="14168">
        <f>IF(HLOOKUP("Mins",A1:CV300,113,FALSE)=0,0,HLOOKUP("Bonus",A1:CV300,113,FALSE)/HLOOKUP("Mins",A1:CV300,113,FALSE)* 90)</f>
      </c>
      <c r="AY113" s="14169">
        <f>IF(HLOOKUP("Mins",A1:CV300,113,FALSE)=0,0,HLOOKUP("BPS",A1:CV300,113,FALSE)/HLOOKUP("Mins",A1:CV300,113,FALSE)* 90)</f>
      </c>
      <c r="AZ113" s="14170">
        <f>IF(HLOOKUP("Mins",A1:CV300,113,FALSE)=0,0,HLOOKUP("Base BPS",A1:CV300,113,FALSE)/HLOOKUP("Mins",A1:CV300,113,FALSE)* 90)</f>
      </c>
      <c r="BA113" s="14171">
        <f>IF(HLOOKUP("Mins",A1:CV300,113,FALSE)=0,0,HLOOKUP("PenTchs",A1:CV300,113,FALSE)/HLOOKUP("Mins",A1:CV300,113,FALSE)* 90)</f>
      </c>
      <c r="BB113" s="14172">
        <f>IF(HLOOKUP("Mins",A1:CV300,113,FALSE)=0,0,HLOOKUP("Shots",A1:CV300,113,FALSE)/HLOOKUP("Mins",A1:CV300,113,FALSE)* 90)</f>
      </c>
      <c r="BC113" s="14173">
        <f>IF(HLOOKUP("Mins",A1:CV300,113,FALSE)=0,0,HLOOKUP("SIB",A1:CV300,113,FALSE)/HLOOKUP("Mins",A1:CV300,113,FALSE)* 90)</f>
      </c>
      <c r="BD113" s="14174">
        <f>IF(HLOOKUP("Mins",A1:CV300,113,FALSE)=0,0,HLOOKUP("S6YD",A1:CV300,113,FALSE)/HLOOKUP("Mins",A1:CV300,113,FALSE)* 90)</f>
      </c>
      <c r="BE113" s="14175">
        <f>IF(HLOOKUP("Mins",A1:CV300,113,FALSE)=0,0,HLOOKUP("Headers",A1:CV300,113,FALSE)/HLOOKUP("Mins",A1:CV300,113,FALSE)* 90)</f>
      </c>
      <c r="BF113" s="14176">
        <f>IF(HLOOKUP("Mins",A1:CV300,113,FALSE)=0,0,HLOOKUP("SOT",A1:CV300,113,FALSE)/HLOOKUP("Mins",A1:CV300,113,FALSE)* 90)</f>
      </c>
      <c r="BG113" s="14177">
        <f>IF(HLOOKUP("Mins",A1:CV300,113,FALSE)=0,0,HLOOKUP("As",A1:CV300,113,FALSE)/HLOOKUP("Mins",A1:CV300,113,FALSE)* 90)</f>
      </c>
      <c r="BH113" s="14178">
        <f>IF(HLOOKUP("Mins",A1:CV300,113,FALSE)=0,0,HLOOKUP("FPL As",A1:CV300,113,FALSE)/HLOOKUP("Mins",A1:CV300,113,FALSE)* 90)</f>
      </c>
      <c r="BI113" s="14179">
        <f>IF(HLOOKUP("Mins",A1:CV300,113,FALSE)=0,0,HLOOKUP("BC Created",A1:CV300,113,FALSE)/HLOOKUP("Mins",A1:CV300,113,FALSE)* 90)</f>
      </c>
      <c r="BJ113" s="14180">
        <f>IF(HLOOKUP("Mins",A1:CV300,113,FALSE)=0,0,HLOOKUP("KP",A1:CV300,113,FALSE)/HLOOKUP("Mins",A1:CV300,113,FALSE)* 90)</f>
      </c>
      <c r="BK113" s="14181">
        <f>IF(HLOOKUP("Mins",A1:CV300,113,FALSE)=0,0,HLOOKUP("BC",A1:CV300,113,FALSE)/HLOOKUP("Mins",A1:CV300,113,FALSE)* 90)</f>
      </c>
      <c r="BL113" s="14182">
        <f>IF(HLOOKUP("Mins",A1:CV300,113,FALSE)=0,0,HLOOKUP("BC Miss",A1:CV300,113,FALSE)/HLOOKUP("Mins",A1:CV300,113,FALSE)* 90)</f>
      </c>
      <c r="BM113" s="14183">
        <f>IF(HLOOKUP("Mins",A1:CV300,113,FALSE)=0,0,HLOOKUP("Gs - BC",A1:CV300,113,FALSE)/HLOOKUP("Mins",A1:CV300,113,FALSE)* 90)</f>
      </c>
      <c r="BN113" s="14184">
        <f>IF(HLOOKUP("Mins",A1:CV300,113,FALSE)=0,0,HLOOKUP("GIB",A1:CV300,113,FALSE)/HLOOKUP("Mins",A1:CV300,113,FALSE)* 90)</f>
      </c>
      <c r="BO113" s="14185">
        <f>IF(HLOOKUP("Mins",A1:CV300,113,FALSE)=0,0,HLOOKUP("Gs - Open",A1:CV300,113,FALSE)/HLOOKUP("Mins",A1:CV300,113,FALSE)* 90)</f>
      </c>
      <c r="BP113" s="14186">
        <f>IF(HLOOKUP("Mins",A1:CV300,113,FALSE)=0,0,HLOOKUP("ICT Index",A1:CV300,113,FALSE)/HLOOKUP("Mins",A1:CV300,113,FALSE)* 90)</f>
      </c>
      <c r="BQ113" s="14187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</c>
      <c r="BR113" s="14188">
        <f>0.0825*HLOOKUP("KP/90",A1:CV300,113,FALSE)</f>
      </c>
      <c r="BS113" s="14189">
        <f>6*HLOOKUP("xG/90",A1:CV300,113,FALSE)+3*HLOOKUP("xA/90",A1:CV300,113,FALSE)</f>
      </c>
      <c r="BT113" s="14190">
        <f>HLOOKUP("xPts/90",A1:CV300,113,FALSE)-(6*0.75*(HLOOKUP("PK Gs",A1:CV300,113,FALSE)+HLOOKUP("PK Miss",A1:CV300,113,FALSE))*90/HLOOKUP("Mins",A1:CV300,113,FALSE))</f>
      </c>
      <c r="BU113" s="14191">
        <f>IF(HLOOKUP("Mins",A1:CV300,113,FALSE)=0,0,HLOOKUP("fsXG",A1:CV300,113,FALSE)/HLOOKUP("Mins",A1:CV300,113,FALSE)* 90)</f>
      </c>
      <c r="BV113" s="14192">
        <f>IF(HLOOKUP("Mins",A1:CV300,113,FALSE)=0,0,HLOOKUP("fsXA",A1:CV300,113,FALSE)/HLOOKUP("Mins",A1:CV300,113,FALSE)* 90)</f>
      </c>
      <c r="BW113" s="14193">
        <f>6*HLOOKUP("fsXG/90",A1:CV300,113,FALSE)+3*HLOOKUP("fsXA/90",A1:CV300,113,FALSE)</f>
      </c>
      <c r="BX113" t="n" s="14194">
        <v>0.15623287856578827</v>
      </c>
      <c r="BY113" t="n" s="14195">
        <v>0.0</v>
      </c>
      <c r="BZ113" s="14196">
        <f>6*HLOOKUP("uXG/90",A1:CV300,113,FALSE)+3*HLOOKUP("uXA/90",A1:CV300,113,FALSE)</f>
      </c>
    </row>
    <row r="114">
      <c r="A114" t="s" s="14197">
        <v>279</v>
      </c>
      <c r="B114" t="s" s="14198">
        <v>107</v>
      </c>
      <c r="C114" t="n" s="14199">
        <v>4.300000190734863</v>
      </c>
      <c r="D114" t="n" s="14200">
        <v>29.0</v>
      </c>
      <c r="E114" t="n" s="14201">
        <v>1.0</v>
      </c>
      <c r="F114" t="n" s="14202">
        <v>16.0</v>
      </c>
      <c r="G114" t="n" s="14203">
        <v>0.0</v>
      </c>
      <c r="H114" t="n" s="14204">
        <v>0.0</v>
      </c>
      <c r="I114" t="n" s="14205">
        <v>76.0</v>
      </c>
      <c r="J114" s="14206">
        <f>HLOOKUP("BPS",A1:CV300,114,FALSE)-((-6*HLOOKUP("OG",A1:CV300,114,FALSE))+(-6*HLOOKUP("PK Miss",A1:CV300,114,FALSE))+(9*HLOOKUP("FPL As",A1:CV300,114,FALSE))+(12*HLOOKUP("CS",A1:CV300,114,FALSE))+(12*HLOOKUP("Gs",A1:CV300,114,FALSE)))</f>
      </c>
      <c r="K114" t="n" s="14207">
        <v>0.0</v>
      </c>
      <c r="L114" t="n" s="14208">
        <v>1.0</v>
      </c>
      <c r="M114" t="n" s="14209">
        <v>1.0</v>
      </c>
      <c r="N114" t="n" s="14210">
        <v>0.0</v>
      </c>
      <c r="O114" t="n" s="14211">
        <v>0.0</v>
      </c>
      <c r="P114" s="14212">
        <f>IF(HLOOKUP("Shots",A1:CV300,114,FALSE)=0,0,HLOOKUP("SIB",A1:CV300,114,FALSE)/HLOOKUP("Shots",A1:CV300,114,FALSE))</f>
      </c>
      <c r="Q114" t="n" s="14213">
        <v>0.0</v>
      </c>
      <c r="R114" s="14214">
        <f>IF(HLOOKUP("Shots",A1:CV300,114,FALSE)=0,0,HLOOKUP("S6YD",A1:CV300,114,FALSE)/HLOOKUP("Shots",A1:CV300,114,FALSE))</f>
      </c>
      <c r="S114" t="n" s="14215">
        <v>0.0</v>
      </c>
      <c r="T114" s="14216">
        <f>IF(HLOOKUP("Shots",A1:CV300,114,FALSE)=0,0,HLOOKUP("Headers",A1:CV300,114,FALSE)/HLOOKUP("Shots",A1:CV300,114,FALSE))</f>
      </c>
      <c r="U114" t="n" s="14217">
        <v>0.0</v>
      </c>
      <c r="V114" s="14218">
        <f>IF(HLOOKUP("Shots",A1:CV300,114,FALSE)=0,0,HLOOKUP("SOT",A1:CV300,114,FALSE)/HLOOKUP("Shots",A1:CV300,114,FALSE))</f>
      </c>
      <c r="W114" s="14219">
        <f>IF(HLOOKUP("Shots",A1:CV300,114,FALSE)=0,0,HLOOKUP("Gs",A1:CV300,114,FALSE)/HLOOKUP("Shots",A1:CV300,114,FALSE))</f>
      </c>
      <c r="X114" t="n" s="14220">
        <v>0.0</v>
      </c>
      <c r="Y114" t="n" s="14221">
        <v>1.0</v>
      </c>
      <c r="Z114" t="n" s="14222">
        <v>0.0</v>
      </c>
      <c r="AA114" s="14223">
        <f>IF(HLOOKUP("KP",A1:CV300,114,FALSE)=0,0,HLOOKUP("As",A1:CV300,114,FALSE)/HLOOKUP("KP",A1:CV300,114,FALSE))</f>
      </c>
      <c r="AB114" t="n" s="14224">
        <v>1.1</v>
      </c>
      <c r="AC114" t="n" s="14225">
        <v>0.0</v>
      </c>
      <c r="AD114" t="n" s="14226">
        <v>0.0</v>
      </c>
      <c r="AE114" t="n" s="14227">
        <v>0.0</v>
      </c>
      <c r="AF114" t="n" s="14228">
        <v>0.0</v>
      </c>
      <c r="AG114" s="14229">
        <f>IF(HLOOKUP("BC",A1:CV300,114,FALSE)=0,0,HLOOKUP("Gs - BC",A1:CV300,114,FALSE)/HLOOKUP("BC",A1:CV300,114,FALSE))</f>
      </c>
      <c r="AH114" s="14230">
        <f>HLOOKUP("BC",A1:CV300,114,FALSE) - HLOOKUP("BC Miss",A1:CV300,114,FALSE)</f>
      </c>
      <c r="AI114" s="14231">
        <f>IF(HLOOKUP("Gs",A1:CV300,114,FALSE)=0,0,HLOOKUP("Gs - BC",A1:CV300,114,FALSE)/HLOOKUP("Gs",A1:CV300,114,FALSE))</f>
      </c>
      <c r="AJ114" t="n" s="14232">
        <v>0.0</v>
      </c>
      <c r="AK114" t="n" s="14233">
        <v>0.0</v>
      </c>
      <c r="AL114" s="14234">
        <f>HLOOKUP("BC",A1:CV300,114,FALSE) - (HLOOKUP("PK Gs",A1:CV300,114,FALSE) + HLOOKUP("PK Miss",A1:CV300,114,FALSE))</f>
      </c>
      <c r="AM114" s="14235">
        <f>HLOOKUP("BC Miss",A1:CV300,114,FALSE) - HLOOKUP("PK Miss",A1:CV300,114,FALSE)</f>
      </c>
      <c r="AN114" s="14236">
        <f>IF(HLOOKUP("BC - Open",A1:CV300,114,FALSE)=0,0,HLOOKUP("BC - Open Miss",A1:CV300,114,FALSE)/HLOOKUP("BC - Open",A1:CV300,114,FALSE))</f>
      </c>
      <c r="AO114" t="n" s="14237">
        <v>0.0</v>
      </c>
      <c r="AP114" s="14238">
        <f>IF(HLOOKUP("Gs",A1:CV300,114,FALSE)=0,0,HLOOKUP("GIB",A1:CV300,114,FALSE)/HLOOKUP("Gs",A1:CV300,114,FALSE))</f>
      </c>
      <c r="AQ114" t="n" s="14239">
        <v>0.0</v>
      </c>
      <c r="AR114" s="14240">
        <f>IF(HLOOKUP("Gs",A1:CV300,114,FALSE)=0,0,HLOOKUP("Gs - Open",A1:CV300,114,FALSE)/HLOOKUP("Gs",A1:CV300,114,FALSE))</f>
      </c>
      <c r="AS114" t="n" s="14241">
        <v>0.0</v>
      </c>
      <c r="AT114" t="n" s="14242">
        <v>0.0</v>
      </c>
      <c r="AU114" s="14243">
        <f>IF(HLOOKUP("Mins",A1:CV300,114,FALSE)=0,0,HLOOKUP("Pts",A1:CV300,114,FALSE)/HLOOKUP("Mins",A1:CV300,114,FALSE)* 90)</f>
      </c>
      <c r="AV114" s="14244">
        <f>IF(HLOOKUP("Apps",A1:CV300,114,FALSE)=0,0,HLOOKUP("Pts",A1:CV300,114,FALSE)/HLOOKUP("Apps",A1:CV300,114,FALSE)* 1)</f>
      </c>
      <c r="AW114" s="14245">
        <f>IF(HLOOKUP("Mins",A1:CV300,114,FALSE)=0,0,HLOOKUP("Gs",A1:CV300,114,FALSE)/HLOOKUP("Mins",A1:CV300,114,FALSE)* 90)</f>
      </c>
      <c r="AX114" s="14246">
        <f>IF(HLOOKUP("Mins",A1:CV300,114,FALSE)=0,0,HLOOKUP("Bonus",A1:CV300,114,FALSE)/HLOOKUP("Mins",A1:CV300,114,FALSE)* 90)</f>
      </c>
      <c r="AY114" s="14247">
        <f>IF(HLOOKUP("Mins",A1:CV300,114,FALSE)=0,0,HLOOKUP("BPS",A1:CV300,114,FALSE)/HLOOKUP("Mins",A1:CV300,114,FALSE)* 90)</f>
      </c>
      <c r="AZ114" s="14248">
        <f>IF(HLOOKUP("Mins",A1:CV300,114,FALSE)=0,0,HLOOKUP("Base BPS",A1:CV300,114,FALSE)/HLOOKUP("Mins",A1:CV300,114,FALSE)* 90)</f>
      </c>
      <c r="BA114" s="14249">
        <f>IF(HLOOKUP("Mins",A1:CV300,114,FALSE)=0,0,HLOOKUP("PenTchs",A1:CV300,114,FALSE)/HLOOKUP("Mins",A1:CV300,114,FALSE)* 90)</f>
      </c>
      <c r="BB114" s="14250">
        <f>IF(HLOOKUP("Mins",A1:CV300,114,FALSE)=0,0,HLOOKUP("Shots",A1:CV300,114,FALSE)/HLOOKUP("Mins",A1:CV300,114,FALSE)* 90)</f>
      </c>
      <c r="BC114" s="14251">
        <f>IF(HLOOKUP("Mins",A1:CV300,114,FALSE)=0,0,HLOOKUP("SIB",A1:CV300,114,FALSE)/HLOOKUP("Mins",A1:CV300,114,FALSE)* 90)</f>
      </c>
      <c r="BD114" s="14252">
        <f>IF(HLOOKUP("Mins",A1:CV300,114,FALSE)=0,0,HLOOKUP("S6YD",A1:CV300,114,FALSE)/HLOOKUP("Mins",A1:CV300,114,FALSE)* 90)</f>
      </c>
      <c r="BE114" s="14253">
        <f>IF(HLOOKUP("Mins",A1:CV300,114,FALSE)=0,0,HLOOKUP("Headers",A1:CV300,114,FALSE)/HLOOKUP("Mins",A1:CV300,114,FALSE)* 90)</f>
      </c>
      <c r="BF114" s="14254">
        <f>IF(HLOOKUP("Mins",A1:CV300,114,FALSE)=0,0,HLOOKUP("SOT",A1:CV300,114,FALSE)/HLOOKUP("Mins",A1:CV300,114,FALSE)* 90)</f>
      </c>
      <c r="BG114" s="14255">
        <f>IF(HLOOKUP("Mins",A1:CV300,114,FALSE)=0,0,HLOOKUP("As",A1:CV300,114,FALSE)/HLOOKUP("Mins",A1:CV300,114,FALSE)* 90)</f>
      </c>
      <c r="BH114" s="14256">
        <f>IF(HLOOKUP("Mins",A1:CV300,114,FALSE)=0,0,HLOOKUP("FPL As",A1:CV300,114,FALSE)/HLOOKUP("Mins",A1:CV300,114,FALSE)* 90)</f>
      </c>
      <c r="BI114" s="14257">
        <f>IF(HLOOKUP("Mins",A1:CV300,114,FALSE)=0,0,HLOOKUP("BC Created",A1:CV300,114,FALSE)/HLOOKUP("Mins",A1:CV300,114,FALSE)* 90)</f>
      </c>
      <c r="BJ114" s="14258">
        <f>IF(HLOOKUP("Mins",A1:CV300,114,FALSE)=0,0,HLOOKUP("KP",A1:CV300,114,FALSE)/HLOOKUP("Mins",A1:CV300,114,FALSE)* 90)</f>
      </c>
      <c r="BK114" s="14259">
        <f>IF(HLOOKUP("Mins",A1:CV300,114,FALSE)=0,0,HLOOKUP("BC",A1:CV300,114,FALSE)/HLOOKUP("Mins",A1:CV300,114,FALSE)* 90)</f>
      </c>
      <c r="BL114" s="14260">
        <f>IF(HLOOKUP("Mins",A1:CV300,114,FALSE)=0,0,HLOOKUP("BC Miss",A1:CV300,114,FALSE)/HLOOKUP("Mins",A1:CV300,114,FALSE)* 90)</f>
      </c>
      <c r="BM114" s="14261">
        <f>IF(HLOOKUP("Mins",A1:CV300,114,FALSE)=0,0,HLOOKUP("Gs - BC",A1:CV300,114,FALSE)/HLOOKUP("Mins",A1:CV300,114,FALSE)* 90)</f>
      </c>
      <c r="BN114" s="14262">
        <f>IF(HLOOKUP("Mins",A1:CV300,114,FALSE)=0,0,HLOOKUP("GIB",A1:CV300,114,FALSE)/HLOOKUP("Mins",A1:CV300,114,FALSE)* 90)</f>
      </c>
      <c r="BO114" s="14263">
        <f>IF(HLOOKUP("Mins",A1:CV300,114,FALSE)=0,0,HLOOKUP("Gs - Open",A1:CV300,114,FALSE)/HLOOKUP("Mins",A1:CV300,114,FALSE)* 90)</f>
      </c>
      <c r="BP114" s="14264">
        <f>IF(HLOOKUP("Mins",A1:CV300,114,FALSE)=0,0,HLOOKUP("ICT Index",A1:CV300,114,FALSE)/HLOOKUP("Mins",A1:CV300,114,FALSE)* 90)</f>
      </c>
      <c r="BQ114" s="14265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</c>
      <c r="BR114" s="14266">
        <f>0.0825*HLOOKUP("KP/90",A1:CV300,114,FALSE)</f>
      </c>
      <c r="BS114" s="14267">
        <f>6*HLOOKUP("xG/90",A1:CV300,114,FALSE)+3*HLOOKUP("xA/90",A1:CV300,114,FALSE)</f>
      </c>
      <c r="BT114" s="14268">
        <f>HLOOKUP("xPts/90",A1:CV300,114,FALSE)-(6*0.75*(HLOOKUP("PK Gs",A1:CV300,114,FALSE)+HLOOKUP("PK Miss",A1:CV300,114,FALSE))*90/HLOOKUP("Mins",A1:CV300,114,FALSE))</f>
      </c>
      <c r="BU114" s="14269">
        <f>IF(HLOOKUP("Mins",A1:CV300,114,FALSE)=0,0,HLOOKUP("fsXG",A1:CV300,114,FALSE)/HLOOKUP("Mins",A1:CV300,114,FALSE)* 90)</f>
      </c>
      <c r="BV114" s="14270">
        <f>IF(HLOOKUP("Mins",A1:CV300,114,FALSE)=0,0,HLOOKUP("fsXA",A1:CV300,114,FALSE)/HLOOKUP("Mins",A1:CV300,114,FALSE)* 90)</f>
      </c>
      <c r="BW114" s="14271">
        <f>6*HLOOKUP("fsXG/90",A1:CV300,114,FALSE)+3*HLOOKUP("fsXA/90",A1:CV300,114,FALSE)</f>
      </c>
      <c r="BX114" t="n" s="14272">
        <v>0.0</v>
      </c>
      <c r="BY114" t="n" s="14273">
        <v>0.0</v>
      </c>
      <c r="BZ114" s="14274">
        <f>6*HLOOKUP("uXG/90",A1:CV300,114,FALSE)+3*HLOOKUP("uXA/90",A1:CV300,114,FALSE)</f>
      </c>
    </row>
    <row r="115">
      <c r="A115" t="s" s="14275">
        <v>280</v>
      </c>
      <c r="B115" t="s" s="14276">
        <v>102</v>
      </c>
      <c r="C115" t="n" s="14277">
        <v>4.400000095367432</v>
      </c>
      <c r="D115" t="n" s="14278">
        <v>99.0</v>
      </c>
      <c r="E115" t="n" s="14279">
        <v>2.0</v>
      </c>
      <c r="F115" t="n" s="14280">
        <v>23.0</v>
      </c>
      <c r="G115" t="n" s="14281">
        <v>0.0</v>
      </c>
      <c r="H115" t="n" s="14282">
        <v>0.0</v>
      </c>
      <c r="I115" t="n" s="14283">
        <v>96.0</v>
      </c>
      <c r="J115" s="14284">
        <f>HLOOKUP("BPS",A1:CV300,115,FALSE)-((-6*HLOOKUP("OG",A1:CV300,115,FALSE))+(-6*HLOOKUP("PK Miss",A1:CV300,115,FALSE))+(9*HLOOKUP("FPL As",A1:CV300,115,FALSE))+(12*HLOOKUP("CS",A1:CV300,115,FALSE))+(12*HLOOKUP("Gs",A1:CV300,115,FALSE)))</f>
      </c>
      <c r="K115" t="n" s="14285">
        <v>0.0</v>
      </c>
      <c r="L115" t="n" s="14286">
        <v>1.0</v>
      </c>
      <c r="M115" t="n" s="14287">
        <v>1.0</v>
      </c>
      <c r="N115" t="n" s="14288">
        <v>0.0</v>
      </c>
      <c r="O115" t="n" s="14289">
        <v>0.0</v>
      </c>
      <c r="P115" s="14290">
        <f>IF(HLOOKUP("Shots",A1:CV300,115,FALSE)=0,0,HLOOKUP("SIB",A1:CV300,115,FALSE)/HLOOKUP("Shots",A1:CV300,115,FALSE))</f>
      </c>
      <c r="Q115" t="n" s="14291">
        <v>0.0</v>
      </c>
      <c r="R115" s="14292">
        <f>IF(HLOOKUP("Shots",A1:CV300,115,FALSE)=0,0,HLOOKUP("S6YD",A1:CV300,115,FALSE)/HLOOKUP("Shots",A1:CV300,115,FALSE))</f>
      </c>
      <c r="S115" t="n" s="14293">
        <v>0.0</v>
      </c>
      <c r="T115" s="14294">
        <f>IF(HLOOKUP("Shots",A1:CV300,115,FALSE)=0,0,HLOOKUP("Headers",A1:CV300,115,FALSE)/HLOOKUP("Shots",A1:CV300,115,FALSE))</f>
      </c>
      <c r="U115" t="n" s="14295">
        <v>0.0</v>
      </c>
      <c r="V115" s="14296">
        <f>IF(HLOOKUP("Shots",A1:CV300,115,FALSE)=0,0,HLOOKUP("SOT",A1:CV300,115,FALSE)/HLOOKUP("Shots",A1:CV300,115,FALSE))</f>
      </c>
      <c r="W115" s="14297">
        <f>IF(HLOOKUP("Shots",A1:CV300,115,FALSE)=0,0,HLOOKUP("Gs",A1:CV300,115,FALSE)/HLOOKUP("Shots",A1:CV300,115,FALSE))</f>
      </c>
      <c r="X115" t="n" s="14298">
        <v>0.0</v>
      </c>
      <c r="Y115" t="n" s="14299">
        <v>0.0</v>
      </c>
      <c r="Z115" t="n" s="14300">
        <v>1.0</v>
      </c>
      <c r="AA115" s="14301">
        <f>IF(HLOOKUP("KP",A1:CV300,115,FALSE)=0,0,HLOOKUP("As",A1:CV300,115,FALSE)/HLOOKUP("KP",A1:CV300,115,FALSE))</f>
      </c>
      <c r="AB115" t="n" s="14302">
        <v>2.6</v>
      </c>
      <c r="AC115" t="n" s="14303">
        <v>0.0</v>
      </c>
      <c r="AD115" t="n" s="14304">
        <v>0.0</v>
      </c>
      <c r="AE115" t="n" s="14305">
        <v>0.0</v>
      </c>
      <c r="AF115" t="n" s="14306">
        <v>0.0</v>
      </c>
      <c r="AG115" s="14307">
        <f>IF(HLOOKUP("BC",A1:CV300,115,FALSE)=0,0,HLOOKUP("Gs - BC",A1:CV300,115,FALSE)/HLOOKUP("BC",A1:CV300,115,FALSE))</f>
      </c>
      <c r="AH115" s="14308">
        <f>HLOOKUP("BC",A1:CV300,115,FALSE) - HLOOKUP("BC Miss",A1:CV300,115,FALSE)</f>
      </c>
      <c r="AI115" s="14309">
        <f>IF(HLOOKUP("Gs",A1:CV300,115,FALSE)=0,0,HLOOKUP("Gs - BC",A1:CV300,115,FALSE)/HLOOKUP("Gs",A1:CV300,115,FALSE))</f>
      </c>
      <c r="AJ115" t="n" s="14310">
        <v>0.0</v>
      </c>
      <c r="AK115" t="n" s="14311">
        <v>0.0</v>
      </c>
      <c r="AL115" s="14312">
        <f>HLOOKUP("BC",A1:CV300,115,FALSE) - (HLOOKUP("PK Gs",A1:CV300,115,FALSE) + HLOOKUP("PK Miss",A1:CV300,115,FALSE))</f>
      </c>
      <c r="AM115" s="14313">
        <f>HLOOKUP("BC Miss",A1:CV300,115,FALSE) - HLOOKUP("PK Miss",A1:CV300,115,FALSE)</f>
      </c>
      <c r="AN115" s="14314">
        <f>IF(HLOOKUP("BC - Open",A1:CV300,115,FALSE)=0,0,HLOOKUP("BC - Open Miss",A1:CV300,115,FALSE)/HLOOKUP("BC - Open",A1:CV300,115,FALSE))</f>
      </c>
      <c r="AO115" t="n" s="14315">
        <v>0.0</v>
      </c>
      <c r="AP115" s="14316">
        <f>IF(HLOOKUP("Gs",A1:CV300,115,FALSE)=0,0,HLOOKUP("GIB",A1:CV300,115,FALSE)/HLOOKUP("Gs",A1:CV300,115,FALSE))</f>
      </c>
      <c r="AQ115" t="n" s="14317">
        <v>0.0</v>
      </c>
      <c r="AR115" s="14318">
        <f>IF(HLOOKUP("Gs",A1:CV300,115,FALSE)=0,0,HLOOKUP("Gs - Open",A1:CV300,115,FALSE)/HLOOKUP("Gs",A1:CV300,115,FALSE))</f>
      </c>
      <c r="AS115" t="n" s="14319">
        <v>0.0</v>
      </c>
      <c r="AT115" t="n" s="14320">
        <v>0.2</v>
      </c>
      <c r="AU115" s="14321">
        <f>IF(HLOOKUP("Mins",A1:CV300,115,FALSE)=0,0,HLOOKUP("Pts",A1:CV300,115,FALSE)/HLOOKUP("Mins",A1:CV300,115,FALSE)* 90)</f>
      </c>
      <c r="AV115" s="14322">
        <f>IF(HLOOKUP("Apps",A1:CV300,115,FALSE)=0,0,HLOOKUP("Pts",A1:CV300,115,FALSE)/HLOOKUP("Apps",A1:CV300,115,FALSE)* 1)</f>
      </c>
      <c r="AW115" s="14323">
        <f>IF(HLOOKUP("Mins",A1:CV300,115,FALSE)=0,0,HLOOKUP("Gs",A1:CV300,115,FALSE)/HLOOKUP("Mins",A1:CV300,115,FALSE)* 90)</f>
      </c>
      <c r="AX115" s="14324">
        <f>IF(HLOOKUP("Mins",A1:CV300,115,FALSE)=0,0,HLOOKUP("Bonus",A1:CV300,115,FALSE)/HLOOKUP("Mins",A1:CV300,115,FALSE)* 90)</f>
      </c>
      <c r="AY115" s="14325">
        <f>IF(HLOOKUP("Mins",A1:CV300,115,FALSE)=0,0,HLOOKUP("BPS",A1:CV300,115,FALSE)/HLOOKUP("Mins",A1:CV300,115,FALSE)* 90)</f>
      </c>
      <c r="AZ115" s="14326">
        <f>IF(HLOOKUP("Mins",A1:CV300,115,FALSE)=0,0,HLOOKUP("Base BPS",A1:CV300,115,FALSE)/HLOOKUP("Mins",A1:CV300,115,FALSE)* 90)</f>
      </c>
      <c r="BA115" s="14327">
        <f>IF(HLOOKUP("Mins",A1:CV300,115,FALSE)=0,0,HLOOKUP("PenTchs",A1:CV300,115,FALSE)/HLOOKUP("Mins",A1:CV300,115,FALSE)* 90)</f>
      </c>
      <c r="BB115" s="14328">
        <f>IF(HLOOKUP("Mins",A1:CV300,115,FALSE)=0,0,HLOOKUP("Shots",A1:CV300,115,FALSE)/HLOOKUP("Mins",A1:CV300,115,FALSE)* 90)</f>
      </c>
      <c r="BC115" s="14329">
        <f>IF(HLOOKUP("Mins",A1:CV300,115,FALSE)=0,0,HLOOKUP("SIB",A1:CV300,115,FALSE)/HLOOKUP("Mins",A1:CV300,115,FALSE)* 90)</f>
      </c>
      <c r="BD115" s="14330">
        <f>IF(HLOOKUP("Mins",A1:CV300,115,FALSE)=0,0,HLOOKUP("S6YD",A1:CV300,115,FALSE)/HLOOKUP("Mins",A1:CV300,115,FALSE)* 90)</f>
      </c>
      <c r="BE115" s="14331">
        <f>IF(HLOOKUP("Mins",A1:CV300,115,FALSE)=0,0,HLOOKUP("Headers",A1:CV300,115,FALSE)/HLOOKUP("Mins",A1:CV300,115,FALSE)* 90)</f>
      </c>
      <c r="BF115" s="14332">
        <f>IF(HLOOKUP("Mins",A1:CV300,115,FALSE)=0,0,HLOOKUP("SOT",A1:CV300,115,FALSE)/HLOOKUP("Mins",A1:CV300,115,FALSE)* 90)</f>
      </c>
      <c r="BG115" s="14333">
        <f>IF(HLOOKUP("Mins",A1:CV300,115,FALSE)=0,0,HLOOKUP("As",A1:CV300,115,FALSE)/HLOOKUP("Mins",A1:CV300,115,FALSE)* 90)</f>
      </c>
      <c r="BH115" s="14334">
        <f>IF(HLOOKUP("Mins",A1:CV300,115,FALSE)=0,0,HLOOKUP("FPL As",A1:CV300,115,FALSE)/HLOOKUP("Mins",A1:CV300,115,FALSE)* 90)</f>
      </c>
      <c r="BI115" s="14335">
        <f>IF(HLOOKUP("Mins",A1:CV300,115,FALSE)=0,0,HLOOKUP("BC Created",A1:CV300,115,FALSE)/HLOOKUP("Mins",A1:CV300,115,FALSE)* 90)</f>
      </c>
      <c r="BJ115" s="14336">
        <f>IF(HLOOKUP("Mins",A1:CV300,115,FALSE)=0,0,HLOOKUP("KP",A1:CV300,115,FALSE)/HLOOKUP("Mins",A1:CV300,115,FALSE)* 90)</f>
      </c>
      <c r="BK115" s="14337">
        <f>IF(HLOOKUP("Mins",A1:CV300,115,FALSE)=0,0,HLOOKUP("BC",A1:CV300,115,FALSE)/HLOOKUP("Mins",A1:CV300,115,FALSE)* 90)</f>
      </c>
      <c r="BL115" s="14338">
        <f>IF(HLOOKUP("Mins",A1:CV300,115,FALSE)=0,0,HLOOKUP("BC Miss",A1:CV300,115,FALSE)/HLOOKUP("Mins",A1:CV300,115,FALSE)* 90)</f>
      </c>
      <c r="BM115" s="14339">
        <f>IF(HLOOKUP("Mins",A1:CV300,115,FALSE)=0,0,HLOOKUP("Gs - BC",A1:CV300,115,FALSE)/HLOOKUP("Mins",A1:CV300,115,FALSE)* 90)</f>
      </c>
      <c r="BN115" s="14340">
        <f>IF(HLOOKUP("Mins",A1:CV300,115,FALSE)=0,0,HLOOKUP("GIB",A1:CV300,115,FALSE)/HLOOKUP("Mins",A1:CV300,115,FALSE)* 90)</f>
      </c>
      <c r="BO115" s="14341">
        <f>IF(HLOOKUP("Mins",A1:CV300,115,FALSE)=0,0,HLOOKUP("Gs - Open",A1:CV300,115,FALSE)/HLOOKUP("Mins",A1:CV300,115,FALSE)* 90)</f>
      </c>
      <c r="BP115" s="14342">
        <f>IF(HLOOKUP("Mins",A1:CV300,115,FALSE)=0,0,HLOOKUP("ICT Index",A1:CV300,115,FALSE)/HLOOKUP("Mins",A1:CV300,115,FALSE)* 90)</f>
      </c>
      <c r="BQ115" s="14343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</c>
      <c r="BR115" s="14344">
        <f>0.0825*HLOOKUP("KP/90",A1:CV300,115,FALSE)</f>
      </c>
      <c r="BS115" s="14345">
        <f>6*HLOOKUP("xG/90",A1:CV300,115,FALSE)+3*HLOOKUP("xA/90",A1:CV300,115,FALSE)</f>
      </c>
      <c r="BT115" s="14346">
        <f>HLOOKUP("xPts/90",A1:CV300,115,FALSE)-(6*0.75*(HLOOKUP("PK Gs",A1:CV300,115,FALSE)+HLOOKUP("PK Miss",A1:CV300,115,FALSE))*90/HLOOKUP("Mins",A1:CV300,115,FALSE))</f>
      </c>
      <c r="BU115" s="14347">
        <f>IF(HLOOKUP("Mins",A1:CV300,115,FALSE)=0,0,HLOOKUP("fsXG",A1:CV300,115,FALSE)/HLOOKUP("Mins",A1:CV300,115,FALSE)* 90)</f>
      </c>
      <c r="BV115" s="14348">
        <f>IF(HLOOKUP("Mins",A1:CV300,115,FALSE)=0,0,HLOOKUP("fsXA",A1:CV300,115,FALSE)/HLOOKUP("Mins",A1:CV300,115,FALSE)* 90)</f>
      </c>
      <c r="BW115" s="14349">
        <f>6*HLOOKUP("fsXG/90",A1:CV300,115,FALSE)+3*HLOOKUP("fsXA/90",A1:CV300,115,FALSE)</f>
      </c>
      <c r="BX115" t="n" s="14350">
        <v>0.0</v>
      </c>
      <c r="BY115" t="n" s="14351">
        <v>0.11249091476202011</v>
      </c>
      <c r="BZ115" s="14352">
        <f>6*HLOOKUP("uXG/90",A1:CV300,115,FALSE)+3*HLOOKUP("uXA/90",A1:CV300,115,FALSE)</f>
      </c>
    </row>
    <row r="116">
      <c r="A116" t="s" s="14353">
        <v>281</v>
      </c>
      <c r="B116" t="s" s="14354">
        <v>102</v>
      </c>
      <c r="C116" t="n" s="14355">
        <v>5.300000190734863</v>
      </c>
      <c r="D116" t="n" s="14356">
        <v>273.0</v>
      </c>
      <c r="E116" t="n" s="14357">
        <v>4.0</v>
      </c>
      <c r="F116" t="n" s="14358">
        <v>21.0</v>
      </c>
      <c r="G116" t="n" s="14359">
        <v>0.0</v>
      </c>
      <c r="H116" t="n" s="14360">
        <v>0.0</v>
      </c>
      <c r="I116" t="n" s="14361">
        <v>112.0</v>
      </c>
      <c r="J116" s="14362">
        <f>HLOOKUP("BPS",A1:CV300,116,FALSE)-((-6*HLOOKUP("OG",A1:CV300,116,FALSE))+(-6*HLOOKUP("PK Miss",A1:CV300,116,FALSE))+(9*HLOOKUP("FPL As",A1:CV300,116,FALSE))+(12*HLOOKUP("CS",A1:CV300,116,FALSE))+(12*HLOOKUP("Gs",A1:CV300,116,FALSE)))</f>
      </c>
      <c r="K116" t="n" s="14363">
        <v>0.0</v>
      </c>
      <c r="L116" t="n" s="14364">
        <v>3.0</v>
      </c>
      <c r="M116" t="n" s="14365">
        <v>1.0</v>
      </c>
      <c r="N116" t="n" s="14366">
        <v>3.0</v>
      </c>
      <c r="O116" t="n" s="14367">
        <v>0.0</v>
      </c>
      <c r="P116" s="14368">
        <f>IF(HLOOKUP("Shots",A1:CV300,116,FALSE)=0,0,HLOOKUP("SIB",A1:CV300,116,FALSE)/HLOOKUP("Shots",A1:CV300,116,FALSE))</f>
      </c>
      <c r="Q116" t="n" s="14369">
        <v>0.0</v>
      </c>
      <c r="R116" s="14370">
        <f>IF(HLOOKUP("Shots",A1:CV300,116,FALSE)=0,0,HLOOKUP("S6YD",A1:CV300,116,FALSE)/HLOOKUP("Shots",A1:CV300,116,FALSE))</f>
      </c>
      <c r="S116" t="n" s="14371">
        <v>0.0</v>
      </c>
      <c r="T116" s="14372">
        <f>IF(HLOOKUP("Shots",A1:CV300,116,FALSE)=0,0,HLOOKUP("Headers",A1:CV300,116,FALSE)/HLOOKUP("Shots",A1:CV300,116,FALSE))</f>
      </c>
      <c r="U116" t="n" s="14373">
        <v>0.0</v>
      </c>
      <c r="V116" s="14374">
        <f>IF(HLOOKUP("Shots",A1:CV300,116,FALSE)=0,0,HLOOKUP("SOT",A1:CV300,116,FALSE)/HLOOKUP("Shots",A1:CV300,116,FALSE))</f>
      </c>
      <c r="W116" s="14375">
        <f>IF(HLOOKUP("Shots",A1:CV300,116,FALSE)=0,0,HLOOKUP("Gs",A1:CV300,116,FALSE)/HLOOKUP("Shots",A1:CV300,116,FALSE))</f>
      </c>
      <c r="X116" t="n" s="14376">
        <v>0.0</v>
      </c>
      <c r="Y116" t="n" s="14377">
        <v>0.0</v>
      </c>
      <c r="Z116" t="n" s="14378">
        <v>7.0</v>
      </c>
      <c r="AA116" s="14379">
        <f>IF(HLOOKUP("KP",A1:CV300,116,FALSE)=0,0,HLOOKUP("As",A1:CV300,116,FALSE)/HLOOKUP("KP",A1:CV300,116,FALSE))</f>
      </c>
      <c r="AB116" t="n" s="14380">
        <v>16.6</v>
      </c>
      <c r="AC116" t="n" s="14381">
        <v>0.0</v>
      </c>
      <c r="AD116" t="n" s="14382">
        <v>0.0</v>
      </c>
      <c r="AE116" t="n" s="14383">
        <v>0.0</v>
      </c>
      <c r="AF116" t="n" s="14384">
        <v>0.0</v>
      </c>
      <c r="AG116" s="14385">
        <f>IF(HLOOKUP("BC",A1:CV300,116,FALSE)=0,0,HLOOKUP("Gs - BC",A1:CV300,116,FALSE)/HLOOKUP("BC",A1:CV300,116,FALSE))</f>
      </c>
      <c r="AH116" s="14386">
        <f>HLOOKUP("BC",A1:CV300,116,FALSE) - HLOOKUP("BC Miss",A1:CV300,116,FALSE)</f>
      </c>
      <c r="AI116" s="14387">
        <f>IF(HLOOKUP("Gs",A1:CV300,116,FALSE)=0,0,HLOOKUP("Gs - BC",A1:CV300,116,FALSE)/HLOOKUP("Gs",A1:CV300,116,FALSE))</f>
      </c>
      <c r="AJ116" t="n" s="14388">
        <v>0.0</v>
      </c>
      <c r="AK116" t="n" s="14389">
        <v>0.0</v>
      </c>
      <c r="AL116" s="14390">
        <f>HLOOKUP("BC",A1:CV300,116,FALSE) - (HLOOKUP("PK Gs",A1:CV300,116,FALSE) + HLOOKUP("PK Miss",A1:CV300,116,FALSE))</f>
      </c>
      <c r="AM116" s="14391">
        <f>HLOOKUP("BC Miss",A1:CV300,116,FALSE) - HLOOKUP("PK Miss",A1:CV300,116,FALSE)</f>
      </c>
      <c r="AN116" s="14392">
        <f>IF(HLOOKUP("BC - Open",A1:CV300,116,FALSE)=0,0,HLOOKUP("BC - Open Miss",A1:CV300,116,FALSE)/HLOOKUP("BC - Open",A1:CV300,116,FALSE))</f>
      </c>
      <c r="AO116" t="n" s="14393">
        <v>0.0</v>
      </c>
      <c r="AP116" s="14394">
        <f>IF(HLOOKUP("Gs",A1:CV300,116,FALSE)=0,0,HLOOKUP("GIB",A1:CV300,116,FALSE)/HLOOKUP("Gs",A1:CV300,116,FALSE))</f>
      </c>
      <c r="AQ116" t="n" s="14395">
        <v>0.0</v>
      </c>
      <c r="AR116" s="14396">
        <f>IF(HLOOKUP("Gs",A1:CV300,116,FALSE)=0,0,HLOOKUP("Gs - Open",A1:CV300,116,FALSE)/HLOOKUP("Gs",A1:CV300,116,FALSE))</f>
      </c>
      <c r="AS116" t="n" s="14397">
        <v>0.1</v>
      </c>
      <c r="AT116" t="n" s="14398">
        <v>0.22</v>
      </c>
      <c r="AU116" s="14399">
        <f>IF(HLOOKUP("Mins",A1:CV300,116,FALSE)=0,0,HLOOKUP("Pts",A1:CV300,116,FALSE)/HLOOKUP("Mins",A1:CV300,116,FALSE)* 90)</f>
      </c>
      <c r="AV116" s="14400">
        <f>IF(HLOOKUP("Apps",A1:CV300,116,FALSE)=0,0,HLOOKUP("Pts",A1:CV300,116,FALSE)/HLOOKUP("Apps",A1:CV300,116,FALSE)* 1)</f>
      </c>
      <c r="AW116" s="14401">
        <f>IF(HLOOKUP("Mins",A1:CV300,116,FALSE)=0,0,HLOOKUP("Gs",A1:CV300,116,FALSE)/HLOOKUP("Mins",A1:CV300,116,FALSE)* 90)</f>
      </c>
      <c r="AX116" s="14402">
        <f>IF(HLOOKUP("Mins",A1:CV300,116,FALSE)=0,0,HLOOKUP("Bonus",A1:CV300,116,FALSE)/HLOOKUP("Mins",A1:CV300,116,FALSE)* 90)</f>
      </c>
      <c r="AY116" s="14403">
        <f>IF(HLOOKUP("Mins",A1:CV300,116,FALSE)=0,0,HLOOKUP("BPS",A1:CV300,116,FALSE)/HLOOKUP("Mins",A1:CV300,116,FALSE)* 90)</f>
      </c>
      <c r="AZ116" s="14404">
        <f>IF(HLOOKUP("Mins",A1:CV300,116,FALSE)=0,0,HLOOKUP("Base BPS",A1:CV300,116,FALSE)/HLOOKUP("Mins",A1:CV300,116,FALSE)* 90)</f>
      </c>
      <c r="BA116" s="14405">
        <f>IF(HLOOKUP("Mins",A1:CV300,116,FALSE)=0,0,HLOOKUP("PenTchs",A1:CV300,116,FALSE)/HLOOKUP("Mins",A1:CV300,116,FALSE)* 90)</f>
      </c>
      <c r="BB116" s="14406">
        <f>IF(HLOOKUP("Mins",A1:CV300,116,FALSE)=0,0,HLOOKUP("Shots",A1:CV300,116,FALSE)/HLOOKUP("Mins",A1:CV300,116,FALSE)* 90)</f>
      </c>
      <c r="BC116" s="14407">
        <f>IF(HLOOKUP("Mins",A1:CV300,116,FALSE)=0,0,HLOOKUP("SIB",A1:CV300,116,FALSE)/HLOOKUP("Mins",A1:CV300,116,FALSE)* 90)</f>
      </c>
      <c r="BD116" s="14408">
        <f>IF(HLOOKUP("Mins",A1:CV300,116,FALSE)=0,0,HLOOKUP("S6YD",A1:CV300,116,FALSE)/HLOOKUP("Mins",A1:CV300,116,FALSE)* 90)</f>
      </c>
      <c r="BE116" s="14409">
        <f>IF(HLOOKUP("Mins",A1:CV300,116,FALSE)=0,0,HLOOKUP("Headers",A1:CV300,116,FALSE)/HLOOKUP("Mins",A1:CV300,116,FALSE)* 90)</f>
      </c>
      <c r="BF116" s="14410">
        <f>IF(HLOOKUP("Mins",A1:CV300,116,FALSE)=0,0,HLOOKUP("SOT",A1:CV300,116,FALSE)/HLOOKUP("Mins",A1:CV300,116,FALSE)* 90)</f>
      </c>
      <c r="BG116" s="14411">
        <f>IF(HLOOKUP("Mins",A1:CV300,116,FALSE)=0,0,HLOOKUP("As",A1:CV300,116,FALSE)/HLOOKUP("Mins",A1:CV300,116,FALSE)* 90)</f>
      </c>
      <c r="BH116" s="14412">
        <f>IF(HLOOKUP("Mins",A1:CV300,116,FALSE)=0,0,HLOOKUP("FPL As",A1:CV300,116,FALSE)/HLOOKUP("Mins",A1:CV300,116,FALSE)* 90)</f>
      </c>
      <c r="BI116" s="14413">
        <f>IF(HLOOKUP("Mins",A1:CV300,116,FALSE)=0,0,HLOOKUP("BC Created",A1:CV300,116,FALSE)/HLOOKUP("Mins",A1:CV300,116,FALSE)* 90)</f>
      </c>
      <c r="BJ116" s="14414">
        <f>IF(HLOOKUP("Mins",A1:CV300,116,FALSE)=0,0,HLOOKUP("KP",A1:CV300,116,FALSE)/HLOOKUP("Mins",A1:CV300,116,FALSE)* 90)</f>
      </c>
      <c r="BK116" s="14415">
        <f>IF(HLOOKUP("Mins",A1:CV300,116,FALSE)=0,0,HLOOKUP("BC",A1:CV300,116,FALSE)/HLOOKUP("Mins",A1:CV300,116,FALSE)* 90)</f>
      </c>
      <c r="BL116" s="14416">
        <f>IF(HLOOKUP("Mins",A1:CV300,116,FALSE)=0,0,HLOOKUP("BC Miss",A1:CV300,116,FALSE)/HLOOKUP("Mins",A1:CV300,116,FALSE)* 90)</f>
      </c>
      <c r="BM116" s="14417">
        <f>IF(HLOOKUP("Mins",A1:CV300,116,FALSE)=0,0,HLOOKUP("Gs - BC",A1:CV300,116,FALSE)/HLOOKUP("Mins",A1:CV300,116,FALSE)* 90)</f>
      </c>
      <c r="BN116" s="14418">
        <f>IF(HLOOKUP("Mins",A1:CV300,116,FALSE)=0,0,HLOOKUP("GIB",A1:CV300,116,FALSE)/HLOOKUP("Mins",A1:CV300,116,FALSE)* 90)</f>
      </c>
      <c r="BO116" s="14419">
        <f>IF(HLOOKUP("Mins",A1:CV300,116,FALSE)=0,0,HLOOKUP("Gs - Open",A1:CV300,116,FALSE)/HLOOKUP("Mins",A1:CV300,116,FALSE)* 90)</f>
      </c>
      <c r="BP116" s="14420">
        <f>IF(HLOOKUP("Mins",A1:CV300,116,FALSE)=0,0,HLOOKUP("ICT Index",A1:CV300,116,FALSE)/HLOOKUP("Mins",A1:CV300,116,FALSE)* 90)</f>
      </c>
      <c r="BQ116" s="14421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</c>
      <c r="BR116" s="14422">
        <f>0.0825*HLOOKUP("KP/90",A1:CV300,116,FALSE)</f>
      </c>
      <c r="BS116" s="14423">
        <f>6*HLOOKUP("xG/90",A1:CV300,116,FALSE)+3*HLOOKUP("xA/90",A1:CV300,116,FALSE)</f>
      </c>
      <c r="BT116" s="14424">
        <f>HLOOKUP("xPts/90",A1:CV300,116,FALSE)-(6*0.75*(HLOOKUP("PK Gs",A1:CV300,116,FALSE)+HLOOKUP("PK Miss",A1:CV300,116,FALSE))*90/HLOOKUP("Mins",A1:CV300,116,FALSE))</f>
      </c>
      <c r="BU116" s="14425">
        <f>IF(HLOOKUP("Mins",A1:CV300,116,FALSE)=0,0,HLOOKUP("fsXG",A1:CV300,116,FALSE)/HLOOKUP("Mins",A1:CV300,116,FALSE)* 90)</f>
      </c>
      <c r="BV116" s="14426">
        <f>IF(HLOOKUP("Mins",A1:CV300,116,FALSE)=0,0,HLOOKUP("fsXA",A1:CV300,116,FALSE)/HLOOKUP("Mins",A1:CV300,116,FALSE)* 90)</f>
      </c>
      <c r="BW116" s="14427">
        <f>6*HLOOKUP("fsXG/90",A1:CV300,116,FALSE)+3*HLOOKUP("fsXA/90",A1:CV300,116,FALSE)</f>
      </c>
      <c r="BX116" t="n" s="14428">
        <v>0.024587325751781464</v>
      </c>
      <c r="BY116" t="n" s="14429">
        <v>0.05116577073931694</v>
      </c>
      <c r="BZ116" s="14430">
        <f>6*HLOOKUP("uXG/90",A1:CV300,116,FALSE)+3*HLOOKUP("uXA/90",A1:CV300,116,FALSE)</f>
      </c>
    </row>
    <row r="117">
      <c r="A117" t="s" s="14431">
        <v>282</v>
      </c>
      <c r="B117" t="s" s="14432">
        <v>85</v>
      </c>
      <c r="C117" t="n" s="14433">
        <v>4.699999809265137</v>
      </c>
      <c r="D117" t="n" s="14434">
        <v>540.0</v>
      </c>
      <c r="E117" t="n" s="14435">
        <v>6.0</v>
      </c>
      <c r="F117" t="n" s="14436">
        <v>88.0</v>
      </c>
      <c r="G117" t="n" s="14437">
        <v>0.0</v>
      </c>
      <c r="H117" t="n" s="14438">
        <v>6.0</v>
      </c>
      <c r="I117" t="n" s="14439">
        <v>446.0</v>
      </c>
      <c r="J117" s="14440">
        <f>HLOOKUP("BPS",A1:CV300,117,FALSE)-((-6*HLOOKUP("OG",A1:CV300,117,FALSE))+(-6*HLOOKUP("PK Miss",A1:CV300,117,FALSE))+(9*HLOOKUP("FPL As",A1:CV300,117,FALSE))+(12*HLOOKUP("CS",A1:CV300,117,FALSE))+(12*HLOOKUP("Gs",A1:CV300,117,FALSE)))</f>
      </c>
      <c r="K117" t="n" s="14441">
        <v>0.0</v>
      </c>
      <c r="L117" t="n" s="14442">
        <v>9.0</v>
      </c>
      <c r="M117" t="n" s="14443">
        <v>9.0</v>
      </c>
      <c r="N117" t="n" s="14444">
        <v>2.0</v>
      </c>
      <c r="O117" t="n" s="14445">
        <v>1.0</v>
      </c>
      <c r="P117" s="14446">
        <f>IF(HLOOKUP("Shots",A1:CV300,117,FALSE)=0,0,HLOOKUP("SIB",A1:CV300,117,FALSE)/HLOOKUP("Shots",A1:CV300,117,FALSE))</f>
      </c>
      <c r="Q117" t="n" s="14447">
        <v>0.0</v>
      </c>
      <c r="R117" s="14448">
        <f>IF(HLOOKUP("Shots",A1:CV300,117,FALSE)=0,0,HLOOKUP("S6YD",A1:CV300,117,FALSE)/HLOOKUP("Shots",A1:CV300,117,FALSE))</f>
      </c>
      <c r="S117" t="n" s="14449">
        <v>1.0</v>
      </c>
      <c r="T117" s="14450">
        <f>IF(HLOOKUP("Shots",A1:CV300,117,FALSE)=0,0,HLOOKUP("Headers",A1:CV300,117,FALSE)/HLOOKUP("Shots",A1:CV300,117,FALSE))</f>
      </c>
      <c r="U117" t="n" s="14451">
        <v>0.0</v>
      </c>
      <c r="V117" s="14452">
        <f>IF(HLOOKUP("Shots",A1:CV300,117,FALSE)=0,0,HLOOKUP("SOT",A1:CV300,117,FALSE)/HLOOKUP("Shots",A1:CV300,117,FALSE))</f>
      </c>
      <c r="W117" s="14453">
        <f>IF(HLOOKUP("Shots",A1:CV300,117,FALSE)=0,0,HLOOKUP("Gs",A1:CV300,117,FALSE)/HLOOKUP("Shots",A1:CV300,117,FALSE))</f>
      </c>
      <c r="X117" t="n" s="14454">
        <v>0.0</v>
      </c>
      <c r="Y117" t="n" s="14455">
        <v>1.0</v>
      </c>
      <c r="Z117" t="n" s="14456">
        <v>3.0</v>
      </c>
      <c r="AA117" s="14457">
        <f>IF(HLOOKUP("KP",A1:CV300,117,FALSE)=0,0,HLOOKUP("As",A1:CV300,117,FALSE)/HLOOKUP("KP",A1:CV300,117,FALSE))</f>
      </c>
      <c r="AB117" t="n" s="14458">
        <v>17.9</v>
      </c>
      <c r="AC117" t="n" s="14459">
        <v>0.0</v>
      </c>
      <c r="AD117" t="n" s="14460">
        <v>2.0</v>
      </c>
      <c r="AE117" t="n" s="14461">
        <v>0.0</v>
      </c>
      <c r="AF117" t="n" s="14462">
        <v>0.0</v>
      </c>
      <c r="AG117" s="14463">
        <f>IF(HLOOKUP("BC",A1:CV300,117,FALSE)=0,0,HLOOKUP("Gs - BC",A1:CV300,117,FALSE)/HLOOKUP("BC",A1:CV300,117,FALSE))</f>
      </c>
      <c r="AH117" s="14464">
        <f>HLOOKUP("BC",A1:CV300,117,FALSE) - HLOOKUP("BC Miss",A1:CV300,117,FALSE)</f>
      </c>
      <c r="AI117" s="14465">
        <f>IF(HLOOKUP("Gs",A1:CV300,117,FALSE)=0,0,HLOOKUP("Gs - BC",A1:CV300,117,FALSE)/HLOOKUP("Gs",A1:CV300,117,FALSE))</f>
      </c>
      <c r="AJ117" t="n" s="14466">
        <v>0.0</v>
      </c>
      <c r="AK117" t="n" s="14467">
        <v>0.0</v>
      </c>
      <c r="AL117" s="14468">
        <f>HLOOKUP("BC",A1:CV300,117,FALSE) - (HLOOKUP("PK Gs",A1:CV300,117,FALSE) + HLOOKUP("PK Miss",A1:CV300,117,FALSE))</f>
      </c>
      <c r="AM117" s="14469">
        <f>HLOOKUP("BC Miss",A1:CV300,117,FALSE) - HLOOKUP("PK Miss",A1:CV300,117,FALSE)</f>
      </c>
      <c r="AN117" s="14470">
        <f>IF(HLOOKUP("BC - Open",A1:CV300,117,FALSE)=0,0,HLOOKUP("BC - Open Miss",A1:CV300,117,FALSE)/HLOOKUP("BC - Open",A1:CV300,117,FALSE))</f>
      </c>
      <c r="AO117" t="n" s="14471">
        <v>0.0</v>
      </c>
      <c r="AP117" s="14472">
        <f>IF(HLOOKUP("Gs",A1:CV300,117,FALSE)=0,0,HLOOKUP("GIB",A1:CV300,117,FALSE)/HLOOKUP("Gs",A1:CV300,117,FALSE))</f>
      </c>
      <c r="AQ117" t="n" s="14473">
        <v>0.0</v>
      </c>
      <c r="AR117" s="14474">
        <f>IF(HLOOKUP("Gs",A1:CV300,117,FALSE)=0,0,HLOOKUP("Gs - Open",A1:CV300,117,FALSE)/HLOOKUP("Gs",A1:CV300,117,FALSE))</f>
      </c>
      <c r="AS117" t="n" s="14475">
        <v>0.16</v>
      </c>
      <c r="AT117" t="n" s="14476">
        <v>0.81</v>
      </c>
      <c r="AU117" s="14477">
        <f>IF(HLOOKUP("Mins",A1:CV300,117,FALSE)=0,0,HLOOKUP("Pts",A1:CV300,117,FALSE)/HLOOKUP("Mins",A1:CV300,117,FALSE)* 90)</f>
      </c>
      <c r="AV117" s="14478">
        <f>IF(HLOOKUP("Apps",A1:CV300,117,FALSE)=0,0,HLOOKUP("Pts",A1:CV300,117,FALSE)/HLOOKUP("Apps",A1:CV300,117,FALSE)* 1)</f>
      </c>
      <c r="AW117" s="14479">
        <f>IF(HLOOKUP("Mins",A1:CV300,117,FALSE)=0,0,HLOOKUP("Gs",A1:CV300,117,FALSE)/HLOOKUP("Mins",A1:CV300,117,FALSE)* 90)</f>
      </c>
      <c r="AX117" s="14480">
        <f>IF(HLOOKUP("Mins",A1:CV300,117,FALSE)=0,0,HLOOKUP("Bonus",A1:CV300,117,FALSE)/HLOOKUP("Mins",A1:CV300,117,FALSE)* 90)</f>
      </c>
      <c r="AY117" s="14481">
        <f>IF(HLOOKUP("Mins",A1:CV300,117,FALSE)=0,0,HLOOKUP("BPS",A1:CV300,117,FALSE)/HLOOKUP("Mins",A1:CV300,117,FALSE)* 90)</f>
      </c>
      <c r="AZ117" s="14482">
        <f>IF(HLOOKUP("Mins",A1:CV300,117,FALSE)=0,0,HLOOKUP("Base BPS",A1:CV300,117,FALSE)/HLOOKUP("Mins",A1:CV300,117,FALSE)* 90)</f>
      </c>
      <c r="BA117" s="14483">
        <f>IF(HLOOKUP("Mins",A1:CV300,117,FALSE)=0,0,HLOOKUP("PenTchs",A1:CV300,117,FALSE)/HLOOKUP("Mins",A1:CV300,117,FALSE)* 90)</f>
      </c>
      <c r="BB117" s="14484">
        <f>IF(HLOOKUP("Mins",A1:CV300,117,FALSE)=0,0,HLOOKUP("Shots",A1:CV300,117,FALSE)/HLOOKUP("Mins",A1:CV300,117,FALSE)* 90)</f>
      </c>
      <c r="BC117" s="14485">
        <f>IF(HLOOKUP("Mins",A1:CV300,117,FALSE)=0,0,HLOOKUP("SIB",A1:CV300,117,FALSE)/HLOOKUP("Mins",A1:CV300,117,FALSE)* 90)</f>
      </c>
      <c r="BD117" s="14486">
        <f>IF(HLOOKUP("Mins",A1:CV300,117,FALSE)=0,0,HLOOKUP("S6YD",A1:CV300,117,FALSE)/HLOOKUP("Mins",A1:CV300,117,FALSE)* 90)</f>
      </c>
      <c r="BE117" s="14487">
        <f>IF(HLOOKUP("Mins",A1:CV300,117,FALSE)=0,0,HLOOKUP("Headers",A1:CV300,117,FALSE)/HLOOKUP("Mins",A1:CV300,117,FALSE)* 90)</f>
      </c>
      <c r="BF117" s="14488">
        <f>IF(HLOOKUP("Mins",A1:CV300,117,FALSE)=0,0,HLOOKUP("SOT",A1:CV300,117,FALSE)/HLOOKUP("Mins",A1:CV300,117,FALSE)* 90)</f>
      </c>
      <c r="BG117" s="14489">
        <f>IF(HLOOKUP("Mins",A1:CV300,117,FALSE)=0,0,HLOOKUP("As",A1:CV300,117,FALSE)/HLOOKUP("Mins",A1:CV300,117,FALSE)* 90)</f>
      </c>
      <c r="BH117" s="14490">
        <f>IF(HLOOKUP("Mins",A1:CV300,117,FALSE)=0,0,HLOOKUP("FPL As",A1:CV300,117,FALSE)/HLOOKUP("Mins",A1:CV300,117,FALSE)* 90)</f>
      </c>
      <c r="BI117" s="14491">
        <f>IF(HLOOKUP("Mins",A1:CV300,117,FALSE)=0,0,HLOOKUP("BC Created",A1:CV300,117,FALSE)/HLOOKUP("Mins",A1:CV300,117,FALSE)* 90)</f>
      </c>
      <c r="BJ117" s="14492">
        <f>IF(HLOOKUP("Mins",A1:CV300,117,FALSE)=0,0,HLOOKUP("KP",A1:CV300,117,FALSE)/HLOOKUP("Mins",A1:CV300,117,FALSE)* 90)</f>
      </c>
      <c r="BK117" s="14493">
        <f>IF(HLOOKUP("Mins",A1:CV300,117,FALSE)=0,0,HLOOKUP("BC",A1:CV300,117,FALSE)/HLOOKUP("Mins",A1:CV300,117,FALSE)* 90)</f>
      </c>
      <c r="BL117" s="14494">
        <f>IF(HLOOKUP("Mins",A1:CV300,117,FALSE)=0,0,HLOOKUP("BC Miss",A1:CV300,117,FALSE)/HLOOKUP("Mins",A1:CV300,117,FALSE)* 90)</f>
      </c>
      <c r="BM117" s="14495">
        <f>IF(HLOOKUP("Mins",A1:CV300,117,FALSE)=0,0,HLOOKUP("Gs - BC",A1:CV300,117,FALSE)/HLOOKUP("Mins",A1:CV300,117,FALSE)* 90)</f>
      </c>
      <c r="BN117" s="14496">
        <f>IF(HLOOKUP("Mins",A1:CV300,117,FALSE)=0,0,HLOOKUP("GIB",A1:CV300,117,FALSE)/HLOOKUP("Mins",A1:CV300,117,FALSE)* 90)</f>
      </c>
      <c r="BO117" s="14497">
        <f>IF(HLOOKUP("Mins",A1:CV300,117,FALSE)=0,0,HLOOKUP("Gs - Open",A1:CV300,117,FALSE)/HLOOKUP("Mins",A1:CV300,117,FALSE)* 90)</f>
      </c>
      <c r="BP117" s="14498">
        <f>IF(HLOOKUP("Mins",A1:CV300,117,FALSE)=0,0,HLOOKUP("ICT Index",A1:CV300,117,FALSE)/HLOOKUP("Mins",A1:CV300,117,FALSE)* 90)</f>
      </c>
      <c r="BQ117" s="14499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</c>
      <c r="BR117" s="14500">
        <f>0.0825*HLOOKUP("KP/90",A1:CV300,117,FALSE)</f>
      </c>
      <c r="BS117" s="14501">
        <f>6*HLOOKUP("xG/90",A1:CV300,117,FALSE)+3*HLOOKUP("xA/90",A1:CV300,117,FALSE)</f>
      </c>
      <c r="BT117" s="14502">
        <f>HLOOKUP("xPts/90",A1:CV300,117,FALSE)-(6*0.75*(HLOOKUP("PK Gs",A1:CV300,117,FALSE)+HLOOKUP("PK Miss",A1:CV300,117,FALSE))*90/HLOOKUP("Mins",A1:CV300,117,FALSE))</f>
      </c>
      <c r="BU117" s="14503">
        <f>IF(HLOOKUP("Mins",A1:CV300,117,FALSE)=0,0,HLOOKUP("fsXG",A1:CV300,117,FALSE)/HLOOKUP("Mins",A1:CV300,117,FALSE)* 90)</f>
      </c>
      <c r="BV117" s="14504">
        <f>IF(HLOOKUP("Mins",A1:CV300,117,FALSE)=0,0,HLOOKUP("fsXA",A1:CV300,117,FALSE)/HLOOKUP("Mins",A1:CV300,117,FALSE)* 90)</f>
      </c>
      <c r="BW117" s="14505">
        <f>6*HLOOKUP("fsXG/90",A1:CV300,117,FALSE)+3*HLOOKUP("fsXA/90",A1:CV300,117,FALSE)</f>
      </c>
      <c r="BX117" t="n" s="14506">
        <v>0.015500765293836594</v>
      </c>
      <c r="BY117" t="n" s="14507">
        <v>0.15975813567638397</v>
      </c>
      <c r="BZ117" s="14508">
        <f>6*HLOOKUP("uXG/90",A1:CV300,117,FALSE)+3*HLOOKUP("uXA/90",A1:CV300,117,FALSE)</f>
      </c>
    </row>
    <row r="118">
      <c r="A118" t="s" s="14509">
        <v>283</v>
      </c>
      <c r="B118" t="s" s="14510">
        <v>87</v>
      </c>
      <c r="C118" t="n" s="14511">
        <v>4.400000095367432</v>
      </c>
      <c r="D118" t="n" s="14512">
        <v>135.0</v>
      </c>
      <c r="E118" t="n" s="14513">
        <v>2.0</v>
      </c>
      <c r="F118" t="n" s="14514">
        <v>42.0</v>
      </c>
      <c r="G118" t="n" s="14515">
        <v>1.0</v>
      </c>
      <c r="H118" t="n" s="14516">
        <v>4.0</v>
      </c>
      <c r="I118" t="n" s="14517">
        <v>242.0</v>
      </c>
      <c r="J118" s="14518">
        <f>HLOOKUP("BPS",A1:CV300,118,FALSE)-((-6*HLOOKUP("OG",A1:CV300,118,FALSE))+(-6*HLOOKUP("PK Miss",A1:CV300,118,FALSE))+(9*HLOOKUP("FPL As",A1:CV300,118,FALSE))+(12*HLOOKUP("CS",A1:CV300,118,FALSE))+(12*HLOOKUP("Gs",A1:CV300,118,FALSE)))</f>
      </c>
      <c r="K118" t="n" s="14519">
        <v>0.0</v>
      </c>
      <c r="L118" t="n" s="14520">
        <v>3.0</v>
      </c>
      <c r="M118" t="n" s="14521">
        <v>6.0</v>
      </c>
      <c r="N118" t="n" s="14522">
        <v>3.0</v>
      </c>
      <c r="O118" t="n" s="14523">
        <v>3.0</v>
      </c>
      <c r="P118" s="14524">
        <f>IF(HLOOKUP("Shots",A1:CV300,118,FALSE)=0,0,HLOOKUP("SIB",A1:CV300,118,FALSE)/HLOOKUP("Shots",A1:CV300,118,FALSE))</f>
      </c>
      <c r="Q118" t="n" s="14525">
        <v>2.0</v>
      </c>
      <c r="R118" s="14526">
        <f>IF(HLOOKUP("Shots",A1:CV300,118,FALSE)=0,0,HLOOKUP("S6YD",A1:CV300,118,FALSE)/HLOOKUP("Shots",A1:CV300,118,FALSE))</f>
      </c>
      <c r="S118" t="n" s="14527">
        <v>3.0</v>
      </c>
      <c r="T118" s="14528">
        <f>IF(HLOOKUP("Shots",A1:CV300,118,FALSE)=0,0,HLOOKUP("Headers",A1:CV300,118,FALSE)/HLOOKUP("Shots",A1:CV300,118,FALSE))</f>
      </c>
      <c r="U118" t="n" s="14529">
        <v>1.0</v>
      </c>
      <c r="V118" s="14530">
        <f>IF(HLOOKUP("Shots",A1:CV300,118,FALSE)=0,0,HLOOKUP("SOT",A1:CV300,118,FALSE)/HLOOKUP("Shots",A1:CV300,118,FALSE))</f>
      </c>
      <c r="W118" s="14531">
        <f>IF(HLOOKUP("Shots",A1:CV300,118,FALSE)=0,0,HLOOKUP("Gs",A1:CV300,118,FALSE)/HLOOKUP("Shots",A1:CV300,118,FALSE))</f>
      </c>
      <c r="X118" t="n" s="14532">
        <v>0.0</v>
      </c>
      <c r="Y118" t="n" s="14533">
        <v>0.0</v>
      </c>
      <c r="Z118" t="n" s="14534">
        <v>2.0</v>
      </c>
      <c r="AA118" s="14535">
        <f>IF(HLOOKUP("KP",A1:CV300,118,FALSE)=0,0,HLOOKUP("As",A1:CV300,118,FALSE)/HLOOKUP("KP",A1:CV300,118,FALSE))</f>
      </c>
      <c r="AB118" t="n" s="14536">
        <v>13.0</v>
      </c>
      <c r="AC118" t="n" s="14537">
        <v>33.0</v>
      </c>
      <c r="AD118" t="n" s="14538">
        <v>0.0</v>
      </c>
      <c r="AE118" t="n" s="14539">
        <v>1.0</v>
      </c>
      <c r="AF118" t="n" s="14540">
        <v>0.0</v>
      </c>
      <c r="AG118" s="14541">
        <f>IF(HLOOKUP("BC",A1:CV300,118,FALSE)=0,0,HLOOKUP("Gs - BC",A1:CV300,118,FALSE)/HLOOKUP("BC",A1:CV300,118,FALSE))</f>
      </c>
      <c r="AH118" s="14542">
        <f>HLOOKUP("BC",A1:CV300,118,FALSE) - HLOOKUP("BC Miss",A1:CV300,118,FALSE)</f>
      </c>
      <c r="AI118" s="14543">
        <f>IF(HLOOKUP("Gs",A1:CV300,118,FALSE)=0,0,HLOOKUP("Gs - BC",A1:CV300,118,FALSE)/HLOOKUP("Gs",A1:CV300,118,FALSE))</f>
      </c>
      <c r="AJ118" t="n" s="14544">
        <v>0.0</v>
      </c>
      <c r="AK118" t="n" s="14545">
        <v>0.0</v>
      </c>
      <c r="AL118" s="14546">
        <f>HLOOKUP("BC",A1:CV300,118,FALSE) - (HLOOKUP("PK Gs",A1:CV300,118,FALSE) + HLOOKUP("PK Miss",A1:CV300,118,FALSE))</f>
      </c>
      <c r="AM118" s="14547">
        <f>HLOOKUP("BC Miss",A1:CV300,118,FALSE) - HLOOKUP("PK Miss",A1:CV300,118,FALSE)</f>
      </c>
      <c r="AN118" s="14548">
        <f>IF(HLOOKUP("BC - Open",A1:CV300,118,FALSE)=0,0,HLOOKUP("BC - Open Miss",A1:CV300,118,FALSE)/HLOOKUP("BC - Open",A1:CV300,118,FALSE))</f>
      </c>
      <c r="AO118" t="n" s="14549">
        <v>1.0</v>
      </c>
      <c r="AP118" s="14550">
        <f>IF(HLOOKUP("Gs",A1:CV300,118,FALSE)=0,0,HLOOKUP("GIB",A1:CV300,118,FALSE)/HLOOKUP("Gs",A1:CV300,118,FALSE))</f>
      </c>
      <c r="AQ118" t="n" s="14551">
        <v>0.0</v>
      </c>
      <c r="AR118" s="14552">
        <f>IF(HLOOKUP("Gs",A1:CV300,118,FALSE)=0,0,HLOOKUP("Gs - Open",A1:CV300,118,FALSE)/HLOOKUP("Gs",A1:CV300,118,FALSE))</f>
      </c>
      <c r="AS118" t="n" s="14553">
        <v>0.57</v>
      </c>
      <c r="AT118" t="n" s="14554">
        <v>0.15</v>
      </c>
      <c r="AU118" s="14555">
        <f>IF(HLOOKUP("Mins",A1:CV300,118,FALSE)=0,0,HLOOKUP("Pts",A1:CV300,118,FALSE)/HLOOKUP("Mins",A1:CV300,118,FALSE)* 90)</f>
      </c>
      <c r="AV118" s="14556">
        <f>IF(HLOOKUP("Apps",A1:CV300,118,FALSE)=0,0,HLOOKUP("Pts",A1:CV300,118,FALSE)/HLOOKUP("Apps",A1:CV300,118,FALSE)* 1)</f>
      </c>
      <c r="AW118" s="14557">
        <f>IF(HLOOKUP("Mins",A1:CV300,118,FALSE)=0,0,HLOOKUP("Gs",A1:CV300,118,FALSE)/HLOOKUP("Mins",A1:CV300,118,FALSE)* 90)</f>
      </c>
      <c r="AX118" s="14558">
        <f>IF(HLOOKUP("Mins",A1:CV300,118,FALSE)=0,0,HLOOKUP("Bonus",A1:CV300,118,FALSE)/HLOOKUP("Mins",A1:CV300,118,FALSE)* 90)</f>
      </c>
      <c r="AY118" s="14559">
        <f>IF(HLOOKUP("Mins",A1:CV300,118,FALSE)=0,0,HLOOKUP("BPS",A1:CV300,118,FALSE)/HLOOKUP("Mins",A1:CV300,118,FALSE)* 90)</f>
      </c>
      <c r="AZ118" s="14560">
        <f>IF(HLOOKUP("Mins",A1:CV300,118,FALSE)=0,0,HLOOKUP("Base BPS",A1:CV300,118,FALSE)/HLOOKUP("Mins",A1:CV300,118,FALSE)* 90)</f>
      </c>
      <c r="BA118" s="14561">
        <f>IF(HLOOKUP("Mins",A1:CV300,118,FALSE)=0,0,HLOOKUP("PenTchs",A1:CV300,118,FALSE)/HLOOKUP("Mins",A1:CV300,118,FALSE)* 90)</f>
      </c>
      <c r="BB118" s="14562">
        <f>IF(HLOOKUP("Mins",A1:CV300,118,FALSE)=0,0,HLOOKUP("Shots",A1:CV300,118,FALSE)/HLOOKUP("Mins",A1:CV300,118,FALSE)* 90)</f>
      </c>
      <c r="BC118" s="14563">
        <f>IF(HLOOKUP("Mins",A1:CV300,118,FALSE)=0,0,HLOOKUP("SIB",A1:CV300,118,FALSE)/HLOOKUP("Mins",A1:CV300,118,FALSE)* 90)</f>
      </c>
      <c r="BD118" s="14564">
        <f>IF(HLOOKUP("Mins",A1:CV300,118,FALSE)=0,0,HLOOKUP("S6YD",A1:CV300,118,FALSE)/HLOOKUP("Mins",A1:CV300,118,FALSE)* 90)</f>
      </c>
      <c r="BE118" s="14565">
        <f>IF(HLOOKUP("Mins",A1:CV300,118,FALSE)=0,0,HLOOKUP("Headers",A1:CV300,118,FALSE)/HLOOKUP("Mins",A1:CV300,118,FALSE)* 90)</f>
      </c>
      <c r="BF118" s="14566">
        <f>IF(HLOOKUP("Mins",A1:CV300,118,FALSE)=0,0,HLOOKUP("SOT",A1:CV300,118,FALSE)/HLOOKUP("Mins",A1:CV300,118,FALSE)* 90)</f>
      </c>
      <c r="BG118" s="14567">
        <f>IF(HLOOKUP("Mins",A1:CV300,118,FALSE)=0,0,HLOOKUP("As",A1:CV300,118,FALSE)/HLOOKUP("Mins",A1:CV300,118,FALSE)* 90)</f>
      </c>
      <c r="BH118" s="14568">
        <f>IF(HLOOKUP("Mins",A1:CV300,118,FALSE)=0,0,HLOOKUP("FPL As",A1:CV300,118,FALSE)/HLOOKUP("Mins",A1:CV300,118,FALSE)* 90)</f>
      </c>
      <c r="BI118" s="14569">
        <f>IF(HLOOKUP("Mins",A1:CV300,118,FALSE)=0,0,HLOOKUP("BC Created",A1:CV300,118,FALSE)/HLOOKUP("Mins",A1:CV300,118,FALSE)* 90)</f>
      </c>
      <c r="BJ118" s="14570">
        <f>IF(HLOOKUP("Mins",A1:CV300,118,FALSE)=0,0,HLOOKUP("KP",A1:CV300,118,FALSE)/HLOOKUP("Mins",A1:CV300,118,FALSE)* 90)</f>
      </c>
      <c r="BK118" s="14571">
        <f>IF(HLOOKUP("Mins",A1:CV300,118,FALSE)=0,0,HLOOKUP("BC",A1:CV300,118,FALSE)/HLOOKUP("Mins",A1:CV300,118,FALSE)* 90)</f>
      </c>
      <c r="BL118" s="14572">
        <f>IF(HLOOKUP("Mins",A1:CV300,118,FALSE)=0,0,HLOOKUP("BC Miss",A1:CV300,118,FALSE)/HLOOKUP("Mins",A1:CV300,118,FALSE)* 90)</f>
      </c>
      <c r="BM118" s="14573">
        <f>IF(HLOOKUP("Mins",A1:CV300,118,FALSE)=0,0,HLOOKUP("Gs - BC",A1:CV300,118,FALSE)/HLOOKUP("Mins",A1:CV300,118,FALSE)* 90)</f>
      </c>
      <c r="BN118" s="14574">
        <f>IF(HLOOKUP("Mins",A1:CV300,118,FALSE)=0,0,HLOOKUP("GIB",A1:CV300,118,FALSE)/HLOOKUP("Mins",A1:CV300,118,FALSE)* 90)</f>
      </c>
      <c r="BO118" s="14575">
        <f>IF(HLOOKUP("Mins",A1:CV300,118,FALSE)=0,0,HLOOKUP("Gs - Open",A1:CV300,118,FALSE)/HLOOKUP("Mins",A1:CV300,118,FALSE)* 90)</f>
      </c>
      <c r="BP118" s="14576">
        <f>IF(HLOOKUP("Mins",A1:CV300,118,FALSE)=0,0,HLOOKUP("ICT Index",A1:CV300,118,FALSE)/HLOOKUP("Mins",A1:CV300,118,FALSE)* 90)</f>
      </c>
      <c r="BQ118" s="14577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</c>
      <c r="BR118" s="14578">
        <f>0.0825*HLOOKUP("KP/90",A1:CV300,118,FALSE)</f>
      </c>
      <c r="BS118" s="14579">
        <f>6*HLOOKUP("xG/90",A1:CV300,118,FALSE)+3*HLOOKUP("xA/90",A1:CV300,118,FALSE)</f>
      </c>
      <c r="BT118" s="14580">
        <f>HLOOKUP("xPts/90",A1:CV300,118,FALSE)-(6*0.75*(HLOOKUP("PK Gs",A1:CV300,118,FALSE)+HLOOKUP("PK Miss",A1:CV300,118,FALSE))*90/HLOOKUP("Mins",A1:CV300,118,FALSE))</f>
      </c>
      <c r="BU118" s="14581">
        <f>IF(HLOOKUP("Mins",A1:CV300,118,FALSE)=0,0,HLOOKUP("fsXG",A1:CV300,118,FALSE)/HLOOKUP("Mins",A1:CV300,118,FALSE)* 90)</f>
      </c>
      <c r="BV118" s="14582">
        <f>IF(HLOOKUP("Mins",A1:CV300,118,FALSE)=0,0,HLOOKUP("fsXA",A1:CV300,118,FALSE)/HLOOKUP("Mins",A1:CV300,118,FALSE)* 90)</f>
      </c>
      <c r="BW118" s="14583">
        <f>6*HLOOKUP("fsXG/90",A1:CV300,118,FALSE)+3*HLOOKUP("fsXA/90",A1:CV300,118,FALSE)</f>
      </c>
      <c r="BX118" t="n" s="14584">
        <v>0.3655811548233032</v>
      </c>
      <c r="BY118" t="n" s="14585">
        <v>0.09774699807167053</v>
      </c>
      <c r="BZ118" s="14586">
        <f>6*HLOOKUP("uXG/90",A1:CV300,118,FALSE)+3*HLOOKUP("uXA/90",A1:CV300,118,FALSE)</f>
      </c>
    </row>
    <row r="119">
      <c r="A119" t="s" s="14587">
        <v>284</v>
      </c>
      <c r="B119" t="s" s="14588">
        <v>82</v>
      </c>
      <c r="C119" t="n" s="14589">
        <v>5.0</v>
      </c>
      <c r="D119" t="n" s="14590">
        <v>540.0</v>
      </c>
      <c r="E119" t="n" s="14591">
        <v>6.0</v>
      </c>
      <c r="F119" t="n" s="14592">
        <v>93.0</v>
      </c>
      <c r="G119" t="n" s="14593">
        <v>0.0</v>
      </c>
      <c r="H119" t="n" s="14594">
        <v>9.0</v>
      </c>
      <c r="I119" t="n" s="14595">
        <v>529.0</v>
      </c>
      <c r="J119" s="14596">
        <f>HLOOKUP("BPS",A1:CV300,119,FALSE)-((-6*HLOOKUP("OG",A1:CV300,119,FALSE))+(-6*HLOOKUP("PK Miss",A1:CV300,119,FALSE))+(9*HLOOKUP("FPL As",A1:CV300,119,FALSE))+(12*HLOOKUP("CS",A1:CV300,119,FALSE))+(12*HLOOKUP("Gs",A1:CV300,119,FALSE)))</f>
      </c>
      <c r="K119" t="n" s="14597">
        <v>0.0</v>
      </c>
      <c r="L119" t="n" s="14598">
        <v>9.0</v>
      </c>
      <c r="M119" t="n" s="14599">
        <v>5.0</v>
      </c>
      <c r="N119" t="n" s="14600">
        <v>2.0</v>
      </c>
      <c r="O119" t="n" s="14601">
        <v>1.0</v>
      </c>
      <c r="P119" s="14602">
        <f>IF(HLOOKUP("Shots",A1:CV300,119,FALSE)=0,0,HLOOKUP("SIB",A1:CV300,119,FALSE)/HLOOKUP("Shots",A1:CV300,119,FALSE))</f>
      </c>
      <c r="Q119" t="n" s="14603">
        <v>1.0</v>
      </c>
      <c r="R119" s="14604">
        <f>IF(HLOOKUP("Shots",A1:CV300,119,FALSE)=0,0,HLOOKUP("S6YD",A1:CV300,119,FALSE)/HLOOKUP("Shots",A1:CV300,119,FALSE))</f>
      </c>
      <c r="S119" t="n" s="14605">
        <v>1.0</v>
      </c>
      <c r="T119" s="14606">
        <f>IF(HLOOKUP("Shots",A1:CV300,119,FALSE)=0,0,HLOOKUP("Headers",A1:CV300,119,FALSE)/HLOOKUP("Shots",A1:CV300,119,FALSE))</f>
      </c>
      <c r="U119" t="n" s="14607">
        <v>1.0</v>
      </c>
      <c r="V119" s="14608">
        <f>IF(HLOOKUP("Shots",A1:CV300,119,FALSE)=0,0,HLOOKUP("SOT",A1:CV300,119,FALSE)/HLOOKUP("Shots",A1:CV300,119,FALSE))</f>
      </c>
      <c r="W119" s="14609">
        <f>IF(HLOOKUP("Shots",A1:CV300,119,FALSE)=0,0,HLOOKUP("Gs",A1:CV300,119,FALSE)/HLOOKUP("Shots",A1:CV300,119,FALSE))</f>
      </c>
      <c r="X119" t="n" s="14610">
        <v>0.0</v>
      </c>
      <c r="Y119" t="n" s="14611">
        <v>1.0</v>
      </c>
      <c r="Z119" t="n" s="14612">
        <v>0.0</v>
      </c>
      <c r="AA119" s="14613">
        <f>IF(HLOOKUP("KP",A1:CV300,119,FALSE)=0,0,HLOOKUP("As",A1:CV300,119,FALSE)/HLOOKUP("KP",A1:CV300,119,FALSE))</f>
      </c>
      <c r="AB119" t="n" s="14614">
        <v>17.0</v>
      </c>
      <c r="AC119" t="n" s="14615">
        <v>0.0</v>
      </c>
      <c r="AD119" t="n" s="14616">
        <v>0.0</v>
      </c>
      <c r="AE119" t="n" s="14617">
        <v>0.0</v>
      </c>
      <c r="AF119" t="n" s="14618">
        <v>0.0</v>
      </c>
      <c r="AG119" s="14619">
        <f>IF(HLOOKUP("BC",A1:CV300,119,FALSE)=0,0,HLOOKUP("Gs - BC",A1:CV300,119,FALSE)/HLOOKUP("BC",A1:CV300,119,FALSE))</f>
      </c>
      <c r="AH119" s="14620">
        <f>HLOOKUP("BC",A1:CV300,119,FALSE) - HLOOKUP("BC Miss",A1:CV300,119,FALSE)</f>
      </c>
      <c r="AI119" s="14621">
        <f>IF(HLOOKUP("Gs",A1:CV300,119,FALSE)=0,0,HLOOKUP("Gs - BC",A1:CV300,119,FALSE)/HLOOKUP("Gs",A1:CV300,119,FALSE))</f>
      </c>
      <c r="AJ119" t="n" s="14622">
        <v>0.0</v>
      </c>
      <c r="AK119" t="n" s="14623">
        <v>0.0</v>
      </c>
      <c r="AL119" s="14624">
        <f>HLOOKUP("BC",A1:CV300,119,FALSE) - (HLOOKUP("PK Gs",A1:CV300,119,FALSE) + HLOOKUP("PK Miss",A1:CV300,119,FALSE))</f>
      </c>
      <c r="AM119" s="14625">
        <f>HLOOKUP("BC Miss",A1:CV300,119,FALSE) - HLOOKUP("PK Miss",A1:CV300,119,FALSE)</f>
      </c>
      <c r="AN119" s="14626">
        <f>IF(HLOOKUP("BC - Open",A1:CV300,119,FALSE)=0,0,HLOOKUP("BC - Open Miss",A1:CV300,119,FALSE)/HLOOKUP("BC - Open",A1:CV300,119,FALSE))</f>
      </c>
      <c r="AO119" t="n" s="14627">
        <v>0.0</v>
      </c>
      <c r="AP119" s="14628">
        <f>IF(HLOOKUP("Gs",A1:CV300,119,FALSE)=0,0,HLOOKUP("GIB",A1:CV300,119,FALSE)/HLOOKUP("Gs",A1:CV300,119,FALSE))</f>
      </c>
      <c r="AQ119" t="n" s="14629">
        <v>0.0</v>
      </c>
      <c r="AR119" s="14630">
        <f>IF(HLOOKUP("Gs",A1:CV300,119,FALSE)=0,0,HLOOKUP("Gs - Open",A1:CV300,119,FALSE)/HLOOKUP("Gs",A1:CV300,119,FALSE))</f>
      </c>
      <c r="AS119" t="n" s="14631">
        <v>0.17</v>
      </c>
      <c r="AT119" t="n" s="14632">
        <v>0.07</v>
      </c>
      <c r="AU119" s="14633">
        <f>IF(HLOOKUP("Mins",A1:CV300,119,FALSE)=0,0,HLOOKUP("Pts",A1:CV300,119,FALSE)/HLOOKUP("Mins",A1:CV300,119,FALSE)* 90)</f>
      </c>
      <c r="AV119" s="14634">
        <f>IF(HLOOKUP("Apps",A1:CV300,119,FALSE)=0,0,HLOOKUP("Pts",A1:CV300,119,FALSE)/HLOOKUP("Apps",A1:CV300,119,FALSE)* 1)</f>
      </c>
      <c r="AW119" s="14635">
        <f>IF(HLOOKUP("Mins",A1:CV300,119,FALSE)=0,0,HLOOKUP("Gs",A1:CV300,119,FALSE)/HLOOKUP("Mins",A1:CV300,119,FALSE)* 90)</f>
      </c>
      <c r="AX119" s="14636">
        <f>IF(HLOOKUP("Mins",A1:CV300,119,FALSE)=0,0,HLOOKUP("Bonus",A1:CV300,119,FALSE)/HLOOKUP("Mins",A1:CV300,119,FALSE)* 90)</f>
      </c>
      <c r="AY119" s="14637">
        <f>IF(HLOOKUP("Mins",A1:CV300,119,FALSE)=0,0,HLOOKUP("BPS",A1:CV300,119,FALSE)/HLOOKUP("Mins",A1:CV300,119,FALSE)* 90)</f>
      </c>
      <c r="AZ119" s="14638">
        <f>IF(HLOOKUP("Mins",A1:CV300,119,FALSE)=0,0,HLOOKUP("Base BPS",A1:CV300,119,FALSE)/HLOOKUP("Mins",A1:CV300,119,FALSE)* 90)</f>
      </c>
      <c r="BA119" s="14639">
        <f>IF(HLOOKUP("Mins",A1:CV300,119,FALSE)=0,0,HLOOKUP("PenTchs",A1:CV300,119,FALSE)/HLOOKUP("Mins",A1:CV300,119,FALSE)* 90)</f>
      </c>
      <c r="BB119" s="14640">
        <f>IF(HLOOKUP("Mins",A1:CV300,119,FALSE)=0,0,HLOOKUP("Shots",A1:CV300,119,FALSE)/HLOOKUP("Mins",A1:CV300,119,FALSE)* 90)</f>
      </c>
      <c r="BC119" s="14641">
        <f>IF(HLOOKUP("Mins",A1:CV300,119,FALSE)=0,0,HLOOKUP("SIB",A1:CV300,119,FALSE)/HLOOKUP("Mins",A1:CV300,119,FALSE)* 90)</f>
      </c>
      <c r="BD119" s="14642">
        <f>IF(HLOOKUP("Mins",A1:CV300,119,FALSE)=0,0,HLOOKUP("S6YD",A1:CV300,119,FALSE)/HLOOKUP("Mins",A1:CV300,119,FALSE)* 90)</f>
      </c>
      <c r="BE119" s="14643">
        <f>IF(HLOOKUP("Mins",A1:CV300,119,FALSE)=0,0,HLOOKUP("Headers",A1:CV300,119,FALSE)/HLOOKUP("Mins",A1:CV300,119,FALSE)* 90)</f>
      </c>
      <c r="BF119" s="14644">
        <f>IF(HLOOKUP("Mins",A1:CV300,119,FALSE)=0,0,HLOOKUP("SOT",A1:CV300,119,FALSE)/HLOOKUP("Mins",A1:CV300,119,FALSE)* 90)</f>
      </c>
      <c r="BG119" s="14645">
        <f>IF(HLOOKUP("Mins",A1:CV300,119,FALSE)=0,0,HLOOKUP("As",A1:CV300,119,FALSE)/HLOOKUP("Mins",A1:CV300,119,FALSE)* 90)</f>
      </c>
      <c r="BH119" s="14646">
        <f>IF(HLOOKUP("Mins",A1:CV300,119,FALSE)=0,0,HLOOKUP("FPL As",A1:CV300,119,FALSE)/HLOOKUP("Mins",A1:CV300,119,FALSE)* 90)</f>
      </c>
      <c r="BI119" s="14647">
        <f>IF(HLOOKUP("Mins",A1:CV300,119,FALSE)=0,0,HLOOKUP("BC Created",A1:CV300,119,FALSE)/HLOOKUP("Mins",A1:CV300,119,FALSE)* 90)</f>
      </c>
      <c r="BJ119" s="14648">
        <f>IF(HLOOKUP("Mins",A1:CV300,119,FALSE)=0,0,HLOOKUP("KP",A1:CV300,119,FALSE)/HLOOKUP("Mins",A1:CV300,119,FALSE)* 90)</f>
      </c>
      <c r="BK119" s="14649">
        <f>IF(HLOOKUP("Mins",A1:CV300,119,FALSE)=0,0,HLOOKUP("BC",A1:CV300,119,FALSE)/HLOOKUP("Mins",A1:CV300,119,FALSE)* 90)</f>
      </c>
      <c r="BL119" s="14650">
        <f>IF(HLOOKUP("Mins",A1:CV300,119,FALSE)=0,0,HLOOKUP("BC Miss",A1:CV300,119,FALSE)/HLOOKUP("Mins",A1:CV300,119,FALSE)* 90)</f>
      </c>
      <c r="BM119" s="14651">
        <f>IF(HLOOKUP("Mins",A1:CV300,119,FALSE)=0,0,HLOOKUP("Gs - BC",A1:CV300,119,FALSE)/HLOOKUP("Mins",A1:CV300,119,FALSE)* 90)</f>
      </c>
      <c r="BN119" s="14652">
        <f>IF(HLOOKUP("Mins",A1:CV300,119,FALSE)=0,0,HLOOKUP("GIB",A1:CV300,119,FALSE)/HLOOKUP("Mins",A1:CV300,119,FALSE)* 90)</f>
      </c>
      <c r="BO119" s="14653">
        <f>IF(HLOOKUP("Mins",A1:CV300,119,FALSE)=0,0,HLOOKUP("Gs - Open",A1:CV300,119,FALSE)/HLOOKUP("Mins",A1:CV300,119,FALSE)* 90)</f>
      </c>
      <c r="BP119" s="14654">
        <f>IF(HLOOKUP("Mins",A1:CV300,119,FALSE)=0,0,HLOOKUP("ICT Index",A1:CV300,119,FALSE)/HLOOKUP("Mins",A1:CV300,119,FALSE)* 90)</f>
      </c>
      <c r="BQ119" s="14655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</c>
      <c r="BR119" s="14656">
        <f>0.0825*HLOOKUP("KP/90",A1:CV300,119,FALSE)</f>
      </c>
      <c r="BS119" s="14657">
        <f>6*HLOOKUP("xG/90",A1:CV300,119,FALSE)+3*HLOOKUP("xA/90",A1:CV300,119,FALSE)</f>
      </c>
      <c r="BT119" s="14658">
        <f>HLOOKUP("xPts/90",A1:CV300,119,FALSE)-(6*0.75*(HLOOKUP("PK Gs",A1:CV300,119,FALSE)+HLOOKUP("PK Miss",A1:CV300,119,FALSE))*90/HLOOKUP("Mins",A1:CV300,119,FALSE))</f>
      </c>
      <c r="BU119" s="14659">
        <f>IF(HLOOKUP("Mins",A1:CV300,119,FALSE)=0,0,HLOOKUP("fsXG",A1:CV300,119,FALSE)/HLOOKUP("Mins",A1:CV300,119,FALSE)* 90)</f>
      </c>
      <c r="BV119" s="14660">
        <f>IF(HLOOKUP("Mins",A1:CV300,119,FALSE)=0,0,HLOOKUP("fsXA",A1:CV300,119,FALSE)/HLOOKUP("Mins",A1:CV300,119,FALSE)* 90)</f>
      </c>
      <c r="BW119" s="14661">
        <f>6*HLOOKUP("fsXG/90",A1:CV300,119,FALSE)+3*HLOOKUP("fsXA/90",A1:CV300,119,FALSE)</f>
      </c>
      <c r="BX119" t="n" s="14662">
        <v>0.021293334662914276</v>
      </c>
      <c r="BY119" t="n" s="14663">
        <v>0.0</v>
      </c>
      <c r="BZ119" s="14664">
        <f>6*HLOOKUP("uXG/90",A1:CV300,119,FALSE)+3*HLOOKUP("uXA/90",A1:CV300,119,FALSE)</f>
      </c>
    </row>
    <row r="120">
      <c r="A120" t="s" s="14665">
        <v>285</v>
      </c>
      <c r="B120" t="s" s="14666">
        <v>85</v>
      </c>
      <c r="C120" t="n" s="14667">
        <v>5.099999904632568</v>
      </c>
      <c r="D120" t="n" s="14668">
        <v>540.0</v>
      </c>
      <c r="E120" t="n" s="14669">
        <v>6.0</v>
      </c>
      <c r="F120" t="n" s="14670">
        <v>97.0</v>
      </c>
      <c r="G120" t="n" s="14671">
        <v>0.0</v>
      </c>
      <c r="H120" t="n" s="14672">
        <v>8.0</v>
      </c>
      <c r="I120" t="n" s="14673">
        <v>464.0</v>
      </c>
      <c r="J120" s="14674">
        <f>HLOOKUP("BPS",A1:CV300,120,FALSE)-((-6*HLOOKUP("OG",A1:CV300,120,FALSE))+(-6*HLOOKUP("PK Miss",A1:CV300,120,FALSE))+(9*HLOOKUP("FPL As",A1:CV300,120,FALSE))+(12*HLOOKUP("CS",A1:CV300,120,FALSE))+(12*HLOOKUP("Gs",A1:CV300,120,FALSE)))</f>
      </c>
      <c r="K120" t="n" s="14675">
        <v>0.0</v>
      </c>
      <c r="L120" t="n" s="14676">
        <v>9.0</v>
      </c>
      <c r="M120" t="n" s="14677">
        <v>16.0</v>
      </c>
      <c r="N120" t="n" s="14678">
        <v>2.0</v>
      </c>
      <c r="O120" t="n" s="14679">
        <v>2.0</v>
      </c>
      <c r="P120" s="14680">
        <f>IF(HLOOKUP("Shots",A1:CV300,120,FALSE)=0,0,HLOOKUP("SIB",A1:CV300,120,FALSE)/HLOOKUP("Shots",A1:CV300,120,FALSE))</f>
      </c>
      <c r="Q120" t="n" s="14681">
        <v>0.0</v>
      </c>
      <c r="R120" s="14682">
        <f>IF(HLOOKUP("Shots",A1:CV300,120,FALSE)=0,0,HLOOKUP("S6YD",A1:CV300,120,FALSE)/HLOOKUP("Shots",A1:CV300,120,FALSE))</f>
      </c>
      <c r="S120" t="n" s="14683">
        <v>0.0</v>
      </c>
      <c r="T120" s="14684">
        <f>IF(HLOOKUP("Shots",A1:CV300,120,FALSE)=0,0,HLOOKUP("Headers",A1:CV300,120,FALSE)/HLOOKUP("Shots",A1:CV300,120,FALSE))</f>
      </c>
      <c r="U120" t="n" s="14685">
        <v>1.0</v>
      </c>
      <c r="V120" s="14686">
        <f>IF(HLOOKUP("Shots",A1:CV300,120,FALSE)=0,0,HLOOKUP("SOT",A1:CV300,120,FALSE)/HLOOKUP("Shots",A1:CV300,120,FALSE))</f>
      </c>
      <c r="W120" s="14687">
        <f>IF(HLOOKUP("Shots",A1:CV300,120,FALSE)=0,0,HLOOKUP("Gs",A1:CV300,120,FALSE)/HLOOKUP("Shots",A1:CV300,120,FALSE))</f>
      </c>
      <c r="X120" t="n" s="14688">
        <v>0.0</v>
      </c>
      <c r="Y120" t="n" s="14689">
        <v>2.0</v>
      </c>
      <c r="Z120" t="n" s="14690">
        <v>6.0</v>
      </c>
      <c r="AA120" s="14691">
        <f>IF(HLOOKUP("KP",A1:CV300,120,FALSE)=0,0,HLOOKUP("As",A1:CV300,120,FALSE)/HLOOKUP("KP",A1:CV300,120,FALSE))</f>
      </c>
      <c r="AB120" t="n" s="14692">
        <v>26.3</v>
      </c>
      <c r="AC120" t="n" s="14693">
        <v>0.0</v>
      </c>
      <c r="AD120" t="n" s="14694">
        <v>1.0</v>
      </c>
      <c r="AE120" t="n" s="14695">
        <v>1.0</v>
      </c>
      <c r="AF120" t="n" s="14696">
        <v>1.0</v>
      </c>
      <c r="AG120" s="14697">
        <f>IF(HLOOKUP("BC",A1:CV300,120,FALSE)=0,0,HLOOKUP("Gs - BC",A1:CV300,120,FALSE)/HLOOKUP("BC",A1:CV300,120,FALSE))</f>
      </c>
      <c r="AH120" s="14698">
        <f>HLOOKUP("BC",A1:CV300,120,FALSE) - HLOOKUP("BC Miss",A1:CV300,120,FALSE)</f>
      </c>
      <c r="AI120" s="14699">
        <f>IF(HLOOKUP("Gs",A1:CV300,120,FALSE)=0,0,HLOOKUP("Gs - BC",A1:CV300,120,FALSE)/HLOOKUP("Gs",A1:CV300,120,FALSE))</f>
      </c>
      <c r="AJ120" t="n" s="14700">
        <v>0.0</v>
      </c>
      <c r="AK120" t="n" s="14701">
        <v>0.0</v>
      </c>
      <c r="AL120" s="14702">
        <f>HLOOKUP("BC",A1:CV300,120,FALSE) - (HLOOKUP("PK Gs",A1:CV300,120,FALSE) + HLOOKUP("PK Miss",A1:CV300,120,FALSE))</f>
      </c>
      <c r="AM120" s="14703">
        <f>HLOOKUP("BC Miss",A1:CV300,120,FALSE) - HLOOKUP("PK Miss",A1:CV300,120,FALSE)</f>
      </c>
      <c r="AN120" s="14704">
        <f>IF(HLOOKUP("BC - Open",A1:CV300,120,FALSE)=0,0,HLOOKUP("BC - Open Miss",A1:CV300,120,FALSE)/HLOOKUP("BC - Open",A1:CV300,120,FALSE))</f>
      </c>
      <c r="AO120" t="n" s="14705">
        <v>0.0</v>
      </c>
      <c r="AP120" s="14706">
        <f>IF(HLOOKUP("Gs",A1:CV300,120,FALSE)=0,0,HLOOKUP("GIB",A1:CV300,120,FALSE)/HLOOKUP("Gs",A1:CV300,120,FALSE))</f>
      </c>
      <c r="AQ120" t="n" s="14707">
        <v>0.0</v>
      </c>
      <c r="AR120" s="14708">
        <f>IF(HLOOKUP("Gs",A1:CV300,120,FALSE)=0,0,HLOOKUP("Gs - Open",A1:CV300,120,FALSE)/HLOOKUP("Gs",A1:CV300,120,FALSE))</f>
      </c>
      <c r="AS120" t="n" s="14709">
        <v>0.34</v>
      </c>
      <c r="AT120" t="n" s="14710">
        <v>0.68</v>
      </c>
      <c r="AU120" s="14711">
        <f>IF(HLOOKUP("Mins",A1:CV300,120,FALSE)=0,0,HLOOKUP("Pts",A1:CV300,120,FALSE)/HLOOKUP("Mins",A1:CV300,120,FALSE)* 90)</f>
      </c>
      <c r="AV120" s="14712">
        <f>IF(HLOOKUP("Apps",A1:CV300,120,FALSE)=0,0,HLOOKUP("Pts",A1:CV300,120,FALSE)/HLOOKUP("Apps",A1:CV300,120,FALSE)* 1)</f>
      </c>
      <c r="AW120" s="14713">
        <f>IF(HLOOKUP("Mins",A1:CV300,120,FALSE)=0,0,HLOOKUP("Gs",A1:CV300,120,FALSE)/HLOOKUP("Mins",A1:CV300,120,FALSE)* 90)</f>
      </c>
      <c r="AX120" s="14714">
        <f>IF(HLOOKUP("Mins",A1:CV300,120,FALSE)=0,0,HLOOKUP("Bonus",A1:CV300,120,FALSE)/HLOOKUP("Mins",A1:CV300,120,FALSE)* 90)</f>
      </c>
      <c r="AY120" s="14715">
        <f>IF(HLOOKUP("Mins",A1:CV300,120,FALSE)=0,0,HLOOKUP("BPS",A1:CV300,120,FALSE)/HLOOKUP("Mins",A1:CV300,120,FALSE)* 90)</f>
      </c>
      <c r="AZ120" s="14716">
        <f>IF(HLOOKUP("Mins",A1:CV300,120,FALSE)=0,0,HLOOKUP("Base BPS",A1:CV300,120,FALSE)/HLOOKUP("Mins",A1:CV300,120,FALSE)* 90)</f>
      </c>
      <c r="BA120" s="14717">
        <f>IF(HLOOKUP("Mins",A1:CV300,120,FALSE)=0,0,HLOOKUP("PenTchs",A1:CV300,120,FALSE)/HLOOKUP("Mins",A1:CV300,120,FALSE)* 90)</f>
      </c>
      <c r="BB120" s="14718">
        <f>IF(HLOOKUP("Mins",A1:CV300,120,FALSE)=0,0,HLOOKUP("Shots",A1:CV300,120,FALSE)/HLOOKUP("Mins",A1:CV300,120,FALSE)* 90)</f>
      </c>
      <c r="BC120" s="14719">
        <f>IF(HLOOKUP("Mins",A1:CV300,120,FALSE)=0,0,HLOOKUP("SIB",A1:CV300,120,FALSE)/HLOOKUP("Mins",A1:CV300,120,FALSE)* 90)</f>
      </c>
      <c r="BD120" s="14720">
        <f>IF(HLOOKUP("Mins",A1:CV300,120,FALSE)=0,0,HLOOKUP("S6YD",A1:CV300,120,FALSE)/HLOOKUP("Mins",A1:CV300,120,FALSE)* 90)</f>
      </c>
      <c r="BE120" s="14721">
        <f>IF(HLOOKUP("Mins",A1:CV300,120,FALSE)=0,0,HLOOKUP("Headers",A1:CV300,120,FALSE)/HLOOKUP("Mins",A1:CV300,120,FALSE)* 90)</f>
      </c>
      <c r="BF120" s="14722">
        <f>IF(HLOOKUP("Mins",A1:CV300,120,FALSE)=0,0,HLOOKUP("SOT",A1:CV300,120,FALSE)/HLOOKUP("Mins",A1:CV300,120,FALSE)* 90)</f>
      </c>
      <c r="BG120" s="14723">
        <f>IF(HLOOKUP("Mins",A1:CV300,120,FALSE)=0,0,HLOOKUP("As",A1:CV300,120,FALSE)/HLOOKUP("Mins",A1:CV300,120,FALSE)* 90)</f>
      </c>
      <c r="BH120" s="14724">
        <f>IF(HLOOKUP("Mins",A1:CV300,120,FALSE)=0,0,HLOOKUP("FPL As",A1:CV300,120,FALSE)/HLOOKUP("Mins",A1:CV300,120,FALSE)* 90)</f>
      </c>
      <c r="BI120" s="14725">
        <f>IF(HLOOKUP("Mins",A1:CV300,120,FALSE)=0,0,HLOOKUP("BC Created",A1:CV300,120,FALSE)/HLOOKUP("Mins",A1:CV300,120,FALSE)* 90)</f>
      </c>
      <c r="BJ120" s="14726">
        <f>IF(HLOOKUP("Mins",A1:CV300,120,FALSE)=0,0,HLOOKUP("KP",A1:CV300,120,FALSE)/HLOOKUP("Mins",A1:CV300,120,FALSE)* 90)</f>
      </c>
      <c r="BK120" s="14727">
        <f>IF(HLOOKUP("Mins",A1:CV300,120,FALSE)=0,0,HLOOKUP("BC",A1:CV300,120,FALSE)/HLOOKUP("Mins",A1:CV300,120,FALSE)* 90)</f>
      </c>
      <c r="BL120" s="14728">
        <f>IF(HLOOKUP("Mins",A1:CV300,120,FALSE)=0,0,HLOOKUP("BC Miss",A1:CV300,120,FALSE)/HLOOKUP("Mins",A1:CV300,120,FALSE)* 90)</f>
      </c>
      <c r="BM120" s="14729">
        <f>IF(HLOOKUP("Mins",A1:CV300,120,FALSE)=0,0,HLOOKUP("Gs - BC",A1:CV300,120,FALSE)/HLOOKUP("Mins",A1:CV300,120,FALSE)* 90)</f>
      </c>
      <c r="BN120" s="14730">
        <f>IF(HLOOKUP("Mins",A1:CV300,120,FALSE)=0,0,HLOOKUP("GIB",A1:CV300,120,FALSE)/HLOOKUP("Mins",A1:CV300,120,FALSE)* 90)</f>
      </c>
      <c r="BO120" s="14731">
        <f>IF(HLOOKUP("Mins",A1:CV300,120,FALSE)=0,0,HLOOKUP("Gs - Open",A1:CV300,120,FALSE)/HLOOKUP("Mins",A1:CV300,120,FALSE)* 90)</f>
      </c>
      <c r="BP120" s="14732">
        <f>IF(HLOOKUP("Mins",A1:CV300,120,FALSE)=0,0,HLOOKUP("ICT Index",A1:CV300,120,FALSE)/HLOOKUP("Mins",A1:CV300,120,FALSE)* 90)</f>
      </c>
      <c r="BQ120" s="14733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</c>
      <c r="BR120" s="14734">
        <f>0.0825*HLOOKUP("KP/90",A1:CV300,120,FALSE)</f>
      </c>
      <c r="BS120" s="14735">
        <f>6*HLOOKUP("xG/90",A1:CV300,120,FALSE)+3*HLOOKUP("xA/90",A1:CV300,120,FALSE)</f>
      </c>
      <c r="BT120" s="14736">
        <f>HLOOKUP("xPts/90",A1:CV300,120,FALSE)-(6*0.75*(HLOOKUP("PK Gs",A1:CV300,120,FALSE)+HLOOKUP("PK Miss",A1:CV300,120,FALSE))*90/HLOOKUP("Mins",A1:CV300,120,FALSE))</f>
      </c>
      <c r="BU120" s="14737">
        <f>IF(HLOOKUP("Mins",A1:CV300,120,FALSE)=0,0,HLOOKUP("fsXG",A1:CV300,120,FALSE)/HLOOKUP("Mins",A1:CV300,120,FALSE)* 90)</f>
      </c>
      <c r="BV120" s="14738">
        <f>IF(HLOOKUP("Mins",A1:CV300,120,FALSE)=0,0,HLOOKUP("fsXA",A1:CV300,120,FALSE)/HLOOKUP("Mins",A1:CV300,120,FALSE)* 90)</f>
      </c>
      <c r="BW120" s="14739">
        <f>6*HLOOKUP("fsXG/90",A1:CV300,120,FALSE)+3*HLOOKUP("fsXA/90",A1:CV300,120,FALSE)</f>
      </c>
      <c r="BX120" t="n" s="14740">
        <v>0.07685792446136475</v>
      </c>
      <c r="BY120" t="n" s="14741">
        <v>0.15335260331630707</v>
      </c>
      <c r="BZ120" s="14742">
        <f>6*HLOOKUP("uXG/90",A1:CV300,120,FALSE)+3*HLOOKUP("uXA/90",A1:CV300,120,FALSE)</f>
      </c>
    </row>
    <row r="121">
      <c r="A121" t="s" s="14743">
        <v>286</v>
      </c>
      <c r="B121" t="s" s="14744">
        <v>118</v>
      </c>
      <c r="C121" t="n" s="14745">
        <v>5.300000190734863</v>
      </c>
      <c r="D121" t="n" s="14746">
        <v>274.0</v>
      </c>
      <c r="E121" t="n" s="14747">
        <v>5.0</v>
      </c>
      <c r="F121" t="n" s="14748">
        <v>33.0</v>
      </c>
      <c r="G121" t="n" s="14749">
        <v>0.0</v>
      </c>
      <c r="H121" t="n" s="14750">
        <v>2.0</v>
      </c>
      <c r="I121" t="n" s="14751">
        <v>203.0</v>
      </c>
      <c r="J121" s="14752">
        <f>HLOOKUP("BPS",A1:CV300,121,FALSE)-((-6*HLOOKUP("OG",A1:CV300,121,FALSE))+(-6*HLOOKUP("PK Miss",A1:CV300,121,FALSE))+(9*HLOOKUP("FPL As",A1:CV300,121,FALSE))+(12*HLOOKUP("CS",A1:CV300,121,FALSE))+(12*HLOOKUP("Gs",A1:CV300,121,FALSE)))</f>
      </c>
      <c r="K121" t="n" s="14753">
        <v>0.0</v>
      </c>
      <c r="L121" t="n" s="14754">
        <v>3.0</v>
      </c>
      <c r="M121" t="n" s="14755">
        <v>2.0</v>
      </c>
      <c r="N121" t="n" s="14756">
        <v>1.0</v>
      </c>
      <c r="O121" t="n" s="14757">
        <v>1.0</v>
      </c>
      <c r="P121" s="14758">
        <f>IF(HLOOKUP("Shots",A1:CV300,121,FALSE)=0,0,HLOOKUP("SIB",A1:CV300,121,FALSE)/HLOOKUP("Shots",A1:CV300,121,FALSE))</f>
      </c>
      <c r="Q121" t="n" s="14759">
        <v>0.0</v>
      </c>
      <c r="R121" s="14760">
        <f>IF(HLOOKUP("Shots",A1:CV300,121,FALSE)=0,0,HLOOKUP("S6YD",A1:CV300,121,FALSE)/HLOOKUP("Shots",A1:CV300,121,FALSE))</f>
      </c>
      <c r="S121" t="n" s="14761">
        <v>0.0</v>
      </c>
      <c r="T121" s="14762">
        <f>IF(HLOOKUP("Shots",A1:CV300,121,FALSE)=0,0,HLOOKUP("Headers",A1:CV300,121,FALSE)/HLOOKUP("Shots",A1:CV300,121,FALSE))</f>
      </c>
      <c r="U121" t="n" s="14763">
        <v>1.0</v>
      </c>
      <c r="V121" s="14764">
        <f>IF(HLOOKUP("Shots",A1:CV300,121,FALSE)=0,0,HLOOKUP("SOT",A1:CV300,121,FALSE)/HLOOKUP("Shots",A1:CV300,121,FALSE))</f>
      </c>
      <c r="W121" s="14765">
        <f>IF(HLOOKUP("Shots",A1:CV300,121,FALSE)=0,0,HLOOKUP("Gs",A1:CV300,121,FALSE)/HLOOKUP("Shots",A1:CV300,121,FALSE))</f>
      </c>
      <c r="X121" t="n" s="14766">
        <v>0.0</v>
      </c>
      <c r="Y121" t="n" s="14767">
        <v>1.0</v>
      </c>
      <c r="Z121" t="n" s="14768">
        <v>1.0</v>
      </c>
      <c r="AA121" s="14769">
        <f>IF(HLOOKUP("KP",A1:CV300,121,FALSE)=0,0,HLOOKUP("As",A1:CV300,121,FALSE)/HLOOKUP("KP",A1:CV300,121,FALSE))</f>
      </c>
      <c r="AB121" t="n" s="14770">
        <v>7.8</v>
      </c>
      <c r="AC121" t="n" s="14771">
        <v>0.0</v>
      </c>
      <c r="AD121" t="n" s="14772">
        <v>0.0</v>
      </c>
      <c r="AE121" t="n" s="14773">
        <v>0.0</v>
      </c>
      <c r="AF121" t="n" s="14774">
        <v>0.0</v>
      </c>
      <c r="AG121" s="14775">
        <f>IF(HLOOKUP("BC",A1:CV300,121,FALSE)=0,0,HLOOKUP("Gs - BC",A1:CV300,121,FALSE)/HLOOKUP("BC",A1:CV300,121,FALSE))</f>
      </c>
      <c r="AH121" s="14776">
        <f>HLOOKUP("BC",A1:CV300,121,FALSE) - HLOOKUP("BC Miss",A1:CV300,121,FALSE)</f>
      </c>
      <c r="AI121" s="14777">
        <f>IF(HLOOKUP("Gs",A1:CV300,121,FALSE)=0,0,HLOOKUP("Gs - BC",A1:CV300,121,FALSE)/HLOOKUP("Gs",A1:CV300,121,FALSE))</f>
      </c>
      <c r="AJ121" t="n" s="14778">
        <v>0.0</v>
      </c>
      <c r="AK121" t="n" s="14779">
        <v>0.0</v>
      </c>
      <c r="AL121" s="14780">
        <f>HLOOKUP("BC",A1:CV300,121,FALSE) - (HLOOKUP("PK Gs",A1:CV300,121,FALSE) + HLOOKUP("PK Miss",A1:CV300,121,FALSE))</f>
      </c>
      <c r="AM121" s="14781">
        <f>HLOOKUP("BC Miss",A1:CV300,121,FALSE) - HLOOKUP("PK Miss",A1:CV300,121,FALSE)</f>
      </c>
      <c r="AN121" s="14782">
        <f>IF(HLOOKUP("BC - Open",A1:CV300,121,FALSE)=0,0,HLOOKUP("BC - Open Miss",A1:CV300,121,FALSE)/HLOOKUP("BC - Open",A1:CV300,121,FALSE))</f>
      </c>
      <c r="AO121" t="n" s="14783">
        <v>0.0</v>
      </c>
      <c r="AP121" s="14784">
        <f>IF(HLOOKUP("Gs",A1:CV300,121,FALSE)=0,0,HLOOKUP("GIB",A1:CV300,121,FALSE)/HLOOKUP("Gs",A1:CV300,121,FALSE))</f>
      </c>
      <c r="AQ121" t="n" s="14785">
        <v>0.0</v>
      </c>
      <c r="AR121" s="14786">
        <f>IF(HLOOKUP("Gs",A1:CV300,121,FALSE)=0,0,HLOOKUP("Gs - Open",A1:CV300,121,FALSE)/HLOOKUP("Gs",A1:CV300,121,FALSE))</f>
      </c>
      <c r="AS121" t="n" s="14787">
        <v>0.06</v>
      </c>
      <c r="AT121" t="n" s="14788">
        <v>0.02</v>
      </c>
      <c r="AU121" s="14789">
        <f>IF(HLOOKUP("Mins",A1:CV300,121,FALSE)=0,0,HLOOKUP("Pts",A1:CV300,121,FALSE)/HLOOKUP("Mins",A1:CV300,121,FALSE)* 90)</f>
      </c>
      <c r="AV121" s="14790">
        <f>IF(HLOOKUP("Apps",A1:CV300,121,FALSE)=0,0,HLOOKUP("Pts",A1:CV300,121,FALSE)/HLOOKUP("Apps",A1:CV300,121,FALSE)* 1)</f>
      </c>
      <c r="AW121" s="14791">
        <f>IF(HLOOKUP("Mins",A1:CV300,121,FALSE)=0,0,HLOOKUP("Gs",A1:CV300,121,FALSE)/HLOOKUP("Mins",A1:CV300,121,FALSE)* 90)</f>
      </c>
      <c r="AX121" s="14792">
        <f>IF(HLOOKUP("Mins",A1:CV300,121,FALSE)=0,0,HLOOKUP("Bonus",A1:CV300,121,FALSE)/HLOOKUP("Mins",A1:CV300,121,FALSE)* 90)</f>
      </c>
      <c r="AY121" s="14793">
        <f>IF(HLOOKUP("Mins",A1:CV300,121,FALSE)=0,0,HLOOKUP("BPS",A1:CV300,121,FALSE)/HLOOKUP("Mins",A1:CV300,121,FALSE)* 90)</f>
      </c>
      <c r="AZ121" s="14794">
        <f>IF(HLOOKUP("Mins",A1:CV300,121,FALSE)=0,0,HLOOKUP("Base BPS",A1:CV300,121,FALSE)/HLOOKUP("Mins",A1:CV300,121,FALSE)* 90)</f>
      </c>
      <c r="BA121" s="14795">
        <f>IF(HLOOKUP("Mins",A1:CV300,121,FALSE)=0,0,HLOOKUP("PenTchs",A1:CV300,121,FALSE)/HLOOKUP("Mins",A1:CV300,121,FALSE)* 90)</f>
      </c>
      <c r="BB121" s="14796">
        <f>IF(HLOOKUP("Mins",A1:CV300,121,FALSE)=0,0,HLOOKUP("Shots",A1:CV300,121,FALSE)/HLOOKUP("Mins",A1:CV300,121,FALSE)* 90)</f>
      </c>
      <c r="BC121" s="14797">
        <f>IF(HLOOKUP("Mins",A1:CV300,121,FALSE)=0,0,HLOOKUP("SIB",A1:CV300,121,FALSE)/HLOOKUP("Mins",A1:CV300,121,FALSE)* 90)</f>
      </c>
      <c r="BD121" s="14798">
        <f>IF(HLOOKUP("Mins",A1:CV300,121,FALSE)=0,0,HLOOKUP("S6YD",A1:CV300,121,FALSE)/HLOOKUP("Mins",A1:CV300,121,FALSE)* 90)</f>
      </c>
      <c r="BE121" s="14799">
        <f>IF(HLOOKUP("Mins",A1:CV300,121,FALSE)=0,0,HLOOKUP("Headers",A1:CV300,121,FALSE)/HLOOKUP("Mins",A1:CV300,121,FALSE)* 90)</f>
      </c>
      <c r="BF121" s="14800">
        <f>IF(HLOOKUP("Mins",A1:CV300,121,FALSE)=0,0,HLOOKUP("SOT",A1:CV300,121,FALSE)/HLOOKUP("Mins",A1:CV300,121,FALSE)* 90)</f>
      </c>
      <c r="BG121" s="14801">
        <f>IF(HLOOKUP("Mins",A1:CV300,121,FALSE)=0,0,HLOOKUP("As",A1:CV300,121,FALSE)/HLOOKUP("Mins",A1:CV300,121,FALSE)* 90)</f>
      </c>
      <c r="BH121" s="14802">
        <f>IF(HLOOKUP("Mins",A1:CV300,121,FALSE)=0,0,HLOOKUP("FPL As",A1:CV300,121,FALSE)/HLOOKUP("Mins",A1:CV300,121,FALSE)* 90)</f>
      </c>
      <c r="BI121" s="14803">
        <f>IF(HLOOKUP("Mins",A1:CV300,121,FALSE)=0,0,HLOOKUP("BC Created",A1:CV300,121,FALSE)/HLOOKUP("Mins",A1:CV300,121,FALSE)* 90)</f>
      </c>
      <c r="BJ121" s="14804">
        <f>IF(HLOOKUP("Mins",A1:CV300,121,FALSE)=0,0,HLOOKUP("KP",A1:CV300,121,FALSE)/HLOOKUP("Mins",A1:CV300,121,FALSE)* 90)</f>
      </c>
      <c r="BK121" s="14805">
        <f>IF(HLOOKUP("Mins",A1:CV300,121,FALSE)=0,0,HLOOKUP("BC",A1:CV300,121,FALSE)/HLOOKUP("Mins",A1:CV300,121,FALSE)* 90)</f>
      </c>
      <c r="BL121" s="14806">
        <f>IF(HLOOKUP("Mins",A1:CV300,121,FALSE)=0,0,HLOOKUP("BC Miss",A1:CV300,121,FALSE)/HLOOKUP("Mins",A1:CV300,121,FALSE)* 90)</f>
      </c>
      <c r="BM121" s="14807">
        <f>IF(HLOOKUP("Mins",A1:CV300,121,FALSE)=0,0,HLOOKUP("Gs - BC",A1:CV300,121,FALSE)/HLOOKUP("Mins",A1:CV300,121,FALSE)* 90)</f>
      </c>
      <c r="BN121" s="14808">
        <f>IF(HLOOKUP("Mins",A1:CV300,121,FALSE)=0,0,HLOOKUP("GIB",A1:CV300,121,FALSE)/HLOOKUP("Mins",A1:CV300,121,FALSE)* 90)</f>
      </c>
      <c r="BO121" s="14809">
        <f>IF(HLOOKUP("Mins",A1:CV300,121,FALSE)=0,0,HLOOKUP("Gs - Open",A1:CV300,121,FALSE)/HLOOKUP("Mins",A1:CV300,121,FALSE)* 90)</f>
      </c>
      <c r="BP121" s="14810">
        <f>IF(HLOOKUP("Mins",A1:CV300,121,FALSE)=0,0,HLOOKUP("ICT Index",A1:CV300,121,FALSE)/HLOOKUP("Mins",A1:CV300,121,FALSE)* 90)</f>
      </c>
      <c r="BQ121" s="14811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</c>
      <c r="BR121" s="14812">
        <f>0.0825*HLOOKUP("KP/90",A1:CV300,121,FALSE)</f>
      </c>
      <c r="BS121" s="14813">
        <f>6*HLOOKUP("xG/90",A1:CV300,121,FALSE)+3*HLOOKUP("xA/90",A1:CV300,121,FALSE)</f>
      </c>
      <c r="BT121" s="14814">
        <f>HLOOKUP("xPts/90",A1:CV300,121,FALSE)-(6*0.75*(HLOOKUP("PK Gs",A1:CV300,121,FALSE)+HLOOKUP("PK Miss",A1:CV300,121,FALSE))*90/HLOOKUP("Mins",A1:CV300,121,FALSE))</f>
      </c>
      <c r="BU121" s="14815">
        <f>IF(HLOOKUP("Mins",A1:CV300,121,FALSE)=0,0,HLOOKUP("fsXG",A1:CV300,121,FALSE)/HLOOKUP("Mins",A1:CV300,121,FALSE)* 90)</f>
      </c>
      <c r="BV121" s="14816">
        <f>IF(HLOOKUP("Mins",A1:CV300,121,FALSE)=0,0,HLOOKUP("fsXA",A1:CV300,121,FALSE)/HLOOKUP("Mins",A1:CV300,121,FALSE)* 90)</f>
      </c>
      <c r="BW121" s="14817">
        <f>6*HLOOKUP("fsXG/90",A1:CV300,121,FALSE)+3*HLOOKUP("fsXA/90",A1:CV300,121,FALSE)</f>
      </c>
      <c r="BX121" t="n" s="14818">
        <v>0.022614529356360435</v>
      </c>
      <c r="BY121" t="n" s="14819">
        <v>0.009097875095903873</v>
      </c>
      <c r="BZ121" s="14820">
        <f>6*HLOOKUP("uXG/90",A1:CV300,121,FALSE)+3*HLOOKUP("uXA/90",A1:CV300,121,FALSE)</f>
      </c>
    </row>
    <row r="122">
      <c r="A122" t="s" s="14821">
        <v>287</v>
      </c>
      <c r="B122" t="s" s="14822">
        <v>100</v>
      </c>
      <c r="C122" t="n" s="14823">
        <v>4.800000190734863</v>
      </c>
      <c r="D122" t="n" s="14824">
        <v>540.0</v>
      </c>
      <c r="E122" t="n" s="14825">
        <v>6.0</v>
      </c>
      <c r="F122" t="n" s="14826">
        <v>40.0</v>
      </c>
      <c r="G122" t="n" s="14827">
        <v>0.0</v>
      </c>
      <c r="H122" t="n" s="14828">
        <v>0.0</v>
      </c>
      <c r="I122" t="n" s="14829">
        <v>259.0</v>
      </c>
      <c r="J122" s="14830">
        <f>HLOOKUP("BPS",A1:CV300,122,FALSE)-((-6*HLOOKUP("OG",A1:CV300,122,FALSE))+(-6*HLOOKUP("PK Miss",A1:CV300,122,FALSE))+(9*HLOOKUP("FPL As",A1:CV300,122,FALSE))+(12*HLOOKUP("CS",A1:CV300,122,FALSE))+(12*HLOOKUP("Gs",A1:CV300,122,FALSE)))</f>
      </c>
      <c r="K122" t="n" s="14831">
        <v>0.0</v>
      </c>
      <c r="L122" t="n" s="14832">
        <v>3.0</v>
      </c>
      <c r="M122" t="n" s="14833">
        <v>9.0</v>
      </c>
      <c r="N122" t="n" s="14834">
        <v>3.0</v>
      </c>
      <c r="O122" t="n" s="14835">
        <v>1.0</v>
      </c>
      <c r="P122" s="14836">
        <f>IF(HLOOKUP("Shots",A1:CV300,122,FALSE)=0,0,HLOOKUP("SIB",A1:CV300,122,FALSE)/HLOOKUP("Shots",A1:CV300,122,FALSE))</f>
      </c>
      <c r="Q122" t="n" s="14837">
        <v>0.0</v>
      </c>
      <c r="R122" s="14838">
        <f>IF(HLOOKUP("Shots",A1:CV300,122,FALSE)=0,0,HLOOKUP("S6YD",A1:CV300,122,FALSE)/HLOOKUP("Shots",A1:CV300,122,FALSE))</f>
      </c>
      <c r="S122" t="n" s="14839">
        <v>0.0</v>
      </c>
      <c r="T122" s="14840">
        <f>IF(HLOOKUP("Shots",A1:CV300,122,FALSE)=0,0,HLOOKUP("Headers",A1:CV300,122,FALSE)/HLOOKUP("Shots",A1:CV300,122,FALSE))</f>
      </c>
      <c r="U122" t="n" s="14841">
        <v>0.0</v>
      </c>
      <c r="V122" s="14842">
        <f>IF(HLOOKUP("Shots",A1:CV300,122,FALSE)=0,0,HLOOKUP("SOT",A1:CV300,122,FALSE)/HLOOKUP("Shots",A1:CV300,122,FALSE))</f>
      </c>
      <c r="W122" s="14843">
        <f>IF(HLOOKUP("Shots",A1:CV300,122,FALSE)=0,0,HLOOKUP("Gs",A1:CV300,122,FALSE)/HLOOKUP("Shots",A1:CV300,122,FALSE))</f>
      </c>
      <c r="X122" t="n" s="14844">
        <v>0.0</v>
      </c>
      <c r="Y122" t="n" s="14845">
        <v>1.0</v>
      </c>
      <c r="Z122" t="n" s="14846">
        <v>10.0</v>
      </c>
      <c r="AA122" s="14847">
        <f>IF(HLOOKUP("KP",A1:CV300,122,FALSE)=0,0,HLOOKUP("As",A1:CV300,122,FALSE)/HLOOKUP("KP",A1:CV300,122,FALSE))</f>
      </c>
      <c r="AB122" t="n" s="14848">
        <v>28.3</v>
      </c>
      <c r="AC122" t="n" s="14849">
        <v>0.0</v>
      </c>
      <c r="AD122" t="n" s="14850">
        <v>2.0</v>
      </c>
      <c r="AE122" t="n" s="14851">
        <v>0.0</v>
      </c>
      <c r="AF122" t="n" s="14852">
        <v>0.0</v>
      </c>
      <c r="AG122" s="14853">
        <f>IF(HLOOKUP("BC",A1:CV300,122,FALSE)=0,0,HLOOKUP("Gs - BC",A1:CV300,122,FALSE)/HLOOKUP("BC",A1:CV300,122,FALSE))</f>
      </c>
      <c r="AH122" s="14854">
        <f>HLOOKUP("BC",A1:CV300,122,FALSE) - HLOOKUP("BC Miss",A1:CV300,122,FALSE)</f>
      </c>
      <c r="AI122" s="14855">
        <f>IF(HLOOKUP("Gs",A1:CV300,122,FALSE)=0,0,HLOOKUP("Gs - BC",A1:CV300,122,FALSE)/HLOOKUP("Gs",A1:CV300,122,FALSE))</f>
      </c>
      <c r="AJ122" t="n" s="14856">
        <v>0.0</v>
      </c>
      <c r="AK122" t="n" s="14857">
        <v>0.0</v>
      </c>
      <c r="AL122" s="14858">
        <f>HLOOKUP("BC",A1:CV300,122,FALSE) - (HLOOKUP("PK Gs",A1:CV300,122,FALSE) + HLOOKUP("PK Miss",A1:CV300,122,FALSE))</f>
      </c>
      <c r="AM122" s="14859">
        <f>HLOOKUP("BC Miss",A1:CV300,122,FALSE) - HLOOKUP("PK Miss",A1:CV300,122,FALSE)</f>
      </c>
      <c r="AN122" s="14860">
        <f>IF(HLOOKUP("BC - Open",A1:CV300,122,FALSE)=0,0,HLOOKUP("BC - Open Miss",A1:CV300,122,FALSE)/HLOOKUP("BC - Open",A1:CV300,122,FALSE))</f>
      </c>
      <c r="AO122" t="n" s="14861">
        <v>0.0</v>
      </c>
      <c r="AP122" s="14862">
        <f>IF(HLOOKUP("Gs",A1:CV300,122,FALSE)=0,0,HLOOKUP("GIB",A1:CV300,122,FALSE)/HLOOKUP("Gs",A1:CV300,122,FALSE))</f>
      </c>
      <c r="AQ122" t="n" s="14863">
        <v>0.0</v>
      </c>
      <c r="AR122" s="14864">
        <f>IF(HLOOKUP("Gs",A1:CV300,122,FALSE)=0,0,HLOOKUP("Gs - Open",A1:CV300,122,FALSE)/HLOOKUP("Gs",A1:CV300,122,FALSE))</f>
      </c>
      <c r="AS122" t="n" s="14865">
        <v>0.11</v>
      </c>
      <c r="AT122" t="n" s="14866">
        <v>0.95</v>
      </c>
      <c r="AU122" s="14867">
        <f>IF(HLOOKUP("Mins",A1:CV300,122,FALSE)=0,0,HLOOKUP("Pts",A1:CV300,122,FALSE)/HLOOKUP("Mins",A1:CV300,122,FALSE)* 90)</f>
      </c>
      <c r="AV122" s="14868">
        <f>IF(HLOOKUP("Apps",A1:CV300,122,FALSE)=0,0,HLOOKUP("Pts",A1:CV300,122,FALSE)/HLOOKUP("Apps",A1:CV300,122,FALSE)* 1)</f>
      </c>
      <c r="AW122" s="14869">
        <f>IF(HLOOKUP("Mins",A1:CV300,122,FALSE)=0,0,HLOOKUP("Gs",A1:CV300,122,FALSE)/HLOOKUP("Mins",A1:CV300,122,FALSE)* 90)</f>
      </c>
      <c r="AX122" s="14870">
        <f>IF(HLOOKUP("Mins",A1:CV300,122,FALSE)=0,0,HLOOKUP("Bonus",A1:CV300,122,FALSE)/HLOOKUP("Mins",A1:CV300,122,FALSE)* 90)</f>
      </c>
      <c r="AY122" s="14871">
        <f>IF(HLOOKUP("Mins",A1:CV300,122,FALSE)=0,0,HLOOKUP("BPS",A1:CV300,122,FALSE)/HLOOKUP("Mins",A1:CV300,122,FALSE)* 90)</f>
      </c>
      <c r="AZ122" s="14872">
        <f>IF(HLOOKUP("Mins",A1:CV300,122,FALSE)=0,0,HLOOKUP("Base BPS",A1:CV300,122,FALSE)/HLOOKUP("Mins",A1:CV300,122,FALSE)* 90)</f>
      </c>
      <c r="BA122" s="14873">
        <f>IF(HLOOKUP("Mins",A1:CV300,122,FALSE)=0,0,HLOOKUP("PenTchs",A1:CV300,122,FALSE)/HLOOKUP("Mins",A1:CV300,122,FALSE)* 90)</f>
      </c>
      <c r="BB122" s="14874">
        <f>IF(HLOOKUP("Mins",A1:CV300,122,FALSE)=0,0,HLOOKUP("Shots",A1:CV300,122,FALSE)/HLOOKUP("Mins",A1:CV300,122,FALSE)* 90)</f>
      </c>
      <c r="BC122" s="14875">
        <f>IF(HLOOKUP("Mins",A1:CV300,122,FALSE)=0,0,HLOOKUP("SIB",A1:CV300,122,FALSE)/HLOOKUP("Mins",A1:CV300,122,FALSE)* 90)</f>
      </c>
      <c r="BD122" s="14876">
        <f>IF(HLOOKUP("Mins",A1:CV300,122,FALSE)=0,0,HLOOKUP("S6YD",A1:CV300,122,FALSE)/HLOOKUP("Mins",A1:CV300,122,FALSE)* 90)</f>
      </c>
      <c r="BE122" s="14877">
        <f>IF(HLOOKUP("Mins",A1:CV300,122,FALSE)=0,0,HLOOKUP("Headers",A1:CV300,122,FALSE)/HLOOKUP("Mins",A1:CV300,122,FALSE)* 90)</f>
      </c>
      <c r="BF122" s="14878">
        <f>IF(HLOOKUP("Mins",A1:CV300,122,FALSE)=0,0,HLOOKUP("SOT",A1:CV300,122,FALSE)/HLOOKUP("Mins",A1:CV300,122,FALSE)* 90)</f>
      </c>
      <c r="BG122" s="14879">
        <f>IF(HLOOKUP("Mins",A1:CV300,122,FALSE)=0,0,HLOOKUP("As",A1:CV300,122,FALSE)/HLOOKUP("Mins",A1:CV300,122,FALSE)* 90)</f>
      </c>
      <c r="BH122" s="14880">
        <f>IF(HLOOKUP("Mins",A1:CV300,122,FALSE)=0,0,HLOOKUP("FPL As",A1:CV300,122,FALSE)/HLOOKUP("Mins",A1:CV300,122,FALSE)* 90)</f>
      </c>
      <c r="BI122" s="14881">
        <f>IF(HLOOKUP("Mins",A1:CV300,122,FALSE)=0,0,HLOOKUP("BC Created",A1:CV300,122,FALSE)/HLOOKUP("Mins",A1:CV300,122,FALSE)* 90)</f>
      </c>
      <c r="BJ122" s="14882">
        <f>IF(HLOOKUP("Mins",A1:CV300,122,FALSE)=0,0,HLOOKUP("KP",A1:CV300,122,FALSE)/HLOOKUP("Mins",A1:CV300,122,FALSE)* 90)</f>
      </c>
      <c r="BK122" s="14883">
        <f>IF(HLOOKUP("Mins",A1:CV300,122,FALSE)=0,0,HLOOKUP("BC",A1:CV300,122,FALSE)/HLOOKUP("Mins",A1:CV300,122,FALSE)* 90)</f>
      </c>
      <c r="BL122" s="14884">
        <f>IF(HLOOKUP("Mins",A1:CV300,122,FALSE)=0,0,HLOOKUP("BC Miss",A1:CV300,122,FALSE)/HLOOKUP("Mins",A1:CV300,122,FALSE)* 90)</f>
      </c>
      <c r="BM122" s="14885">
        <f>IF(HLOOKUP("Mins",A1:CV300,122,FALSE)=0,0,HLOOKUP("Gs - BC",A1:CV300,122,FALSE)/HLOOKUP("Mins",A1:CV300,122,FALSE)* 90)</f>
      </c>
      <c r="BN122" s="14886">
        <f>IF(HLOOKUP("Mins",A1:CV300,122,FALSE)=0,0,HLOOKUP("GIB",A1:CV300,122,FALSE)/HLOOKUP("Mins",A1:CV300,122,FALSE)* 90)</f>
      </c>
      <c r="BO122" s="14887">
        <f>IF(HLOOKUP("Mins",A1:CV300,122,FALSE)=0,0,HLOOKUP("Gs - Open",A1:CV300,122,FALSE)/HLOOKUP("Mins",A1:CV300,122,FALSE)* 90)</f>
      </c>
      <c r="BP122" s="14888">
        <f>IF(HLOOKUP("Mins",A1:CV300,122,FALSE)=0,0,HLOOKUP("ICT Index",A1:CV300,122,FALSE)/HLOOKUP("Mins",A1:CV300,122,FALSE)* 90)</f>
      </c>
      <c r="BQ122" s="14889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</c>
      <c r="BR122" s="14890">
        <f>0.0825*HLOOKUP("KP/90",A1:CV300,122,FALSE)</f>
      </c>
      <c r="BS122" s="14891">
        <f>6*HLOOKUP("xG/90",A1:CV300,122,FALSE)+3*HLOOKUP("xA/90",A1:CV300,122,FALSE)</f>
      </c>
      <c r="BT122" s="14892">
        <f>HLOOKUP("xPts/90",A1:CV300,122,FALSE)-(6*0.75*(HLOOKUP("PK Gs",A1:CV300,122,FALSE)+HLOOKUP("PK Miss",A1:CV300,122,FALSE))*90/HLOOKUP("Mins",A1:CV300,122,FALSE))</f>
      </c>
      <c r="BU122" s="14893">
        <f>IF(HLOOKUP("Mins",A1:CV300,122,FALSE)=0,0,HLOOKUP("fsXG",A1:CV300,122,FALSE)/HLOOKUP("Mins",A1:CV300,122,FALSE)* 90)</f>
      </c>
      <c r="BV122" s="14894">
        <f>IF(HLOOKUP("Mins",A1:CV300,122,FALSE)=0,0,HLOOKUP("fsXA",A1:CV300,122,FALSE)/HLOOKUP("Mins",A1:CV300,122,FALSE)* 90)</f>
      </c>
      <c r="BW122" s="14895">
        <f>6*HLOOKUP("fsXG/90",A1:CV300,122,FALSE)+3*HLOOKUP("fsXA/90",A1:CV300,122,FALSE)</f>
      </c>
      <c r="BX122" t="n" s="14896">
        <v>0.02097906731069088</v>
      </c>
      <c r="BY122" t="n" s="14897">
        <v>0.19422568380832672</v>
      </c>
      <c r="BZ122" s="14898">
        <f>6*HLOOKUP("uXG/90",A1:CV300,122,FALSE)+3*HLOOKUP("uXA/90",A1:CV300,122,FALSE)</f>
      </c>
    </row>
    <row r="123">
      <c r="A123" t="s" s="14899">
        <v>288</v>
      </c>
      <c r="B123" t="s" s="14900">
        <v>105</v>
      </c>
      <c r="C123" t="n" s="14901">
        <v>5.199999809265137</v>
      </c>
      <c r="D123" t="n" s="14902">
        <v>150.0</v>
      </c>
      <c r="E123" t="n" s="14903">
        <v>2.0</v>
      </c>
      <c r="F123" t="n" s="14904">
        <v>29.0</v>
      </c>
      <c r="G123" t="n" s="14905">
        <v>0.0</v>
      </c>
      <c r="H123" t="n" s="14906">
        <v>1.0</v>
      </c>
      <c r="I123" t="n" s="14907">
        <v>184.0</v>
      </c>
      <c r="J123" s="14908">
        <f>HLOOKUP("BPS",A1:CV300,123,FALSE)-((-6*HLOOKUP("OG",A1:CV300,123,FALSE))+(-6*HLOOKUP("PK Miss",A1:CV300,123,FALSE))+(9*HLOOKUP("FPL As",A1:CV300,123,FALSE))+(12*HLOOKUP("CS",A1:CV300,123,FALSE))+(12*HLOOKUP("Gs",A1:CV300,123,FALSE)))</f>
      </c>
      <c r="K123" t="n" s="14909">
        <v>0.0</v>
      </c>
      <c r="L123" t="n" s="14910">
        <v>4.0</v>
      </c>
      <c r="M123" t="n" s="14911">
        <v>2.0</v>
      </c>
      <c r="N123" t="n" s="14912">
        <v>2.0</v>
      </c>
      <c r="O123" t="n" s="14913">
        <v>0.0</v>
      </c>
      <c r="P123" s="14914">
        <f>IF(HLOOKUP("Shots",A1:CV300,123,FALSE)=0,0,HLOOKUP("SIB",A1:CV300,123,FALSE)/HLOOKUP("Shots",A1:CV300,123,FALSE))</f>
      </c>
      <c r="Q123" t="n" s="14915">
        <v>0.0</v>
      </c>
      <c r="R123" s="14916">
        <f>IF(HLOOKUP("Shots",A1:CV300,123,FALSE)=0,0,HLOOKUP("S6YD",A1:CV300,123,FALSE)/HLOOKUP("Shots",A1:CV300,123,FALSE))</f>
      </c>
      <c r="S123" t="n" s="14917">
        <v>0.0</v>
      </c>
      <c r="T123" s="14918">
        <f>IF(HLOOKUP("Shots",A1:CV300,123,FALSE)=0,0,HLOOKUP("Headers",A1:CV300,123,FALSE)/HLOOKUP("Shots",A1:CV300,123,FALSE))</f>
      </c>
      <c r="U123" t="n" s="14919">
        <v>0.0</v>
      </c>
      <c r="V123" s="14920">
        <f>IF(HLOOKUP("Shots",A1:CV300,123,FALSE)=0,0,HLOOKUP("SOT",A1:CV300,123,FALSE)/HLOOKUP("Shots",A1:CV300,123,FALSE))</f>
      </c>
      <c r="W123" s="14921">
        <f>IF(HLOOKUP("Shots",A1:CV300,123,FALSE)=0,0,HLOOKUP("Gs",A1:CV300,123,FALSE)/HLOOKUP("Shots",A1:CV300,123,FALSE))</f>
      </c>
      <c r="X123" t="n" s="14922">
        <v>0.0</v>
      </c>
      <c r="Y123" t="n" s="14923">
        <v>0.0</v>
      </c>
      <c r="Z123" t="n" s="14924">
        <v>1.0</v>
      </c>
      <c r="AA123" s="14925">
        <f>IF(HLOOKUP("KP",A1:CV300,123,FALSE)=0,0,HLOOKUP("As",A1:CV300,123,FALSE)/HLOOKUP("KP",A1:CV300,123,FALSE))</f>
      </c>
      <c r="AB123" t="n" s="14926">
        <v>3.4</v>
      </c>
      <c r="AC123" t="n" s="14927">
        <v>0.0</v>
      </c>
      <c r="AD123" t="n" s="14928">
        <v>0.0</v>
      </c>
      <c r="AE123" t="n" s="14929">
        <v>0.0</v>
      </c>
      <c r="AF123" t="n" s="14930">
        <v>0.0</v>
      </c>
      <c r="AG123" s="14931">
        <f>IF(HLOOKUP("BC",A1:CV300,123,FALSE)=0,0,HLOOKUP("Gs - BC",A1:CV300,123,FALSE)/HLOOKUP("BC",A1:CV300,123,FALSE))</f>
      </c>
      <c r="AH123" s="14932">
        <f>HLOOKUP("BC",A1:CV300,123,FALSE) - HLOOKUP("BC Miss",A1:CV300,123,FALSE)</f>
      </c>
      <c r="AI123" s="14933">
        <f>IF(HLOOKUP("Gs",A1:CV300,123,FALSE)=0,0,HLOOKUP("Gs - BC",A1:CV300,123,FALSE)/HLOOKUP("Gs",A1:CV300,123,FALSE))</f>
      </c>
      <c r="AJ123" t="n" s="14934">
        <v>0.0</v>
      </c>
      <c r="AK123" t="n" s="14935">
        <v>0.0</v>
      </c>
      <c r="AL123" s="14936">
        <f>HLOOKUP("BC",A1:CV300,123,FALSE) - (HLOOKUP("PK Gs",A1:CV300,123,FALSE) + HLOOKUP("PK Miss",A1:CV300,123,FALSE))</f>
      </c>
      <c r="AM123" s="14937">
        <f>HLOOKUP("BC Miss",A1:CV300,123,FALSE) - HLOOKUP("PK Miss",A1:CV300,123,FALSE)</f>
      </c>
      <c r="AN123" s="14938">
        <f>IF(HLOOKUP("BC - Open",A1:CV300,123,FALSE)=0,0,HLOOKUP("BC - Open Miss",A1:CV300,123,FALSE)/HLOOKUP("BC - Open",A1:CV300,123,FALSE))</f>
      </c>
      <c r="AO123" t="n" s="14939">
        <v>0.0</v>
      </c>
      <c r="AP123" s="14940">
        <f>IF(HLOOKUP("Gs",A1:CV300,123,FALSE)=0,0,HLOOKUP("GIB",A1:CV300,123,FALSE)/HLOOKUP("Gs",A1:CV300,123,FALSE))</f>
      </c>
      <c r="AQ123" t="n" s="14941">
        <v>0.0</v>
      </c>
      <c r="AR123" s="14942">
        <f>IF(HLOOKUP("Gs",A1:CV300,123,FALSE)=0,0,HLOOKUP("Gs - Open",A1:CV300,123,FALSE)/HLOOKUP("Gs",A1:CV300,123,FALSE))</f>
      </c>
      <c r="AS123" t="n" s="14943">
        <v>0.04</v>
      </c>
      <c r="AT123" t="n" s="14944">
        <v>0.03</v>
      </c>
      <c r="AU123" s="14945">
        <f>IF(HLOOKUP("Mins",A1:CV300,123,FALSE)=0,0,HLOOKUP("Pts",A1:CV300,123,FALSE)/HLOOKUP("Mins",A1:CV300,123,FALSE)* 90)</f>
      </c>
      <c r="AV123" s="14946">
        <f>IF(HLOOKUP("Apps",A1:CV300,123,FALSE)=0,0,HLOOKUP("Pts",A1:CV300,123,FALSE)/HLOOKUP("Apps",A1:CV300,123,FALSE)* 1)</f>
      </c>
      <c r="AW123" s="14947">
        <f>IF(HLOOKUP("Mins",A1:CV300,123,FALSE)=0,0,HLOOKUP("Gs",A1:CV300,123,FALSE)/HLOOKUP("Mins",A1:CV300,123,FALSE)* 90)</f>
      </c>
      <c r="AX123" s="14948">
        <f>IF(HLOOKUP("Mins",A1:CV300,123,FALSE)=0,0,HLOOKUP("Bonus",A1:CV300,123,FALSE)/HLOOKUP("Mins",A1:CV300,123,FALSE)* 90)</f>
      </c>
      <c r="AY123" s="14949">
        <f>IF(HLOOKUP("Mins",A1:CV300,123,FALSE)=0,0,HLOOKUP("BPS",A1:CV300,123,FALSE)/HLOOKUP("Mins",A1:CV300,123,FALSE)* 90)</f>
      </c>
      <c r="AZ123" s="14950">
        <f>IF(HLOOKUP("Mins",A1:CV300,123,FALSE)=0,0,HLOOKUP("Base BPS",A1:CV300,123,FALSE)/HLOOKUP("Mins",A1:CV300,123,FALSE)* 90)</f>
      </c>
      <c r="BA123" s="14951">
        <f>IF(HLOOKUP("Mins",A1:CV300,123,FALSE)=0,0,HLOOKUP("PenTchs",A1:CV300,123,FALSE)/HLOOKUP("Mins",A1:CV300,123,FALSE)* 90)</f>
      </c>
      <c r="BB123" s="14952">
        <f>IF(HLOOKUP("Mins",A1:CV300,123,FALSE)=0,0,HLOOKUP("Shots",A1:CV300,123,FALSE)/HLOOKUP("Mins",A1:CV300,123,FALSE)* 90)</f>
      </c>
      <c r="BC123" s="14953">
        <f>IF(HLOOKUP("Mins",A1:CV300,123,FALSE)=0,0,HLOOKUP("SIB",A1:CV300,123,FALSE)/HLOOKUP("Mins",A1:CV300,123,FALSE)* 90)</f>
      </c>
      <c r="BD123" s="14954">
        <f>IF(HLOOKUP("Mins",A1:CV300,123,FALSE)=0,0,HLOOKUP("S6YD",A1:CV300,123,FALSE)/HLOOKUP("Mins",A1:CV300,123,FALSE)* 90)</f>
      </c>
      <c r="BE123" s="14955">
        <f>IF(HLOOKUP("Mins",A1:CV300,123,FALSE)=0,0,HLOOKUP("Headers",A1:CV300,123,FALSE)/HLOOKUP("Mins",A1:CV300,123,FALSE)* 90)</f>
      </c>
      <c r="BF123" s="14956">
        <f>IF(HLOOKUP("Mins",A1:CV300,123,FALSE)=0,0,HLOOKUP("SOT",A1:CV300,123,FALSE)/HLOOKUP("Mins",A1:CV300,123,FALSE)* 90)</f>
      </c>
      <c r="BG123" s="14957">
        <f>IF(HLOOKUP("Mins",A1:CV300,123,FALSE)=0,0,HLOOKUP("As",A1:CV300,123,FALSE)/HLOOKUP("Mins",A1:CV300,123,FALSE)* 90)</f>
      </c>
      <c r="BH123" s="14958">
        <f>IF(HLOOKUP("Mins",A1:CV300,123,FALSE)=0,0,HLOOKUP("FPL As",A1:CV300,123,FALSE)/HLOOKUP("Mins",A1:CV300,123,FALSE)* 90)</f>
      </c>
      <c r="BI123" s="14959">
        <f>IF(HLOOKUP("Mins",A1:CV300,123,FALSE)=0,0,HLOOKUP("BC Created",A1:CV300,123,FALSE)/HLOOKUP("Mins",A1:CV300,123,FALSE)* 90)</f>
      </c>
      <c r="BJ123" s="14960">
        <f>IF(HLOOKUP("Mins",A1:CV300,123,FALSE)=0,0,HLOOKUP("KP",A1:CV300,123,FALSE)/HLOOKUP("Mins",A1:CV300,123,FALSE)* 90)</f>
      </c>
      <c r="BK123" s="14961">
        <f>IF(HLOOKUP("Mins",A1:CV300,123,FALSE)=0,0,HLOOKUP("BC",A1:CV300,123,FALSE)/HLOOKUP("Mins",A1:CV300,123,FALSE)* 90)</f>
      </c>
      <c r="BL123" s="14962">
        <f>IF(HLOOKUP("Mins",A1:CV300,123,FALSE)=0,0,HLOOKUP("BC Miss",A1:CV300,123,FALSE)/HLOOKUP("Mins",A1:CV300,123,FALSE)* 90)</f>
      </c>
      <c r="BM123" s="14963">
        <f>IF(HLOOKUP("Mins",A1:CV300,123,FALSE)=0,0,HLOOKUP("Gs - BC",A1:CV300,123,FALSE)/HLOOKUP("Mins",A1:CV300,123,FALSE)* 90)</f>
      </c>
      <c r="BN123" s="14964">
        <f>IF(HLOOKUP("Mins",A1:CV300,123,FALSE)=0,0,HLOOKUP("GIB",A1:CV300,123,FALSE)/HLOOKUP("Mins",A1:CV300,123,FALSE)* 90)</f>
      </c>
      <c r="BO123" s="14965">
        <f>IF(HLOOKUP("Mins",A1:CV300,123,FALSE)=0,0,HLOOKUP("Gs - Open",A1:CV300,123,FALSE)/HLOOKUP("Mins",A1:CV300,123,FALSE)* 90)</f>
      </c>
      <c r="BP123" s="14966">
        <f>IF(HLOOKUP("Mins",A1:CV300,123,FALSE)=0,0,HLOOKUP("ICT Index",A1:CV300,123,FALSE)/HLOOKUP("Mins",A1:CV300,123,FALSE)* 90)</f>
      </c>
      <c r="BQ123" s="14967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</c>
      <c r="BR123" s="14968">
        <f>0.0825*HLOOKUP("KP/90",A1:CV300,123,FALSE)</f>
      </c>
      <c r="BS123" s="14969">
        <f>6*HLOOKUP("xG/90",A1:CV300,123,FALSE)+3*HLOOKUP("xA/90",A1:CV300,123,FALSE)</f>
      </c>
      <c r="BT123" s="14970">
        <f>HLOOKUP("xPts/90",A1:CV300,123,FALSE)-(6*0.75*(HLOOKUP("PK Gs",A1:CV300,123,FALSE)+HLOOKUP("PK Miss",A1:CV300,123,FALSE))*90/HLOOKUP("Mins",A1:CV300,123,FALSE))</f>
      </c>
      <c r="BU123" s="14971">
        <f>IF(HLOOKUP("Mins",A1:CV300,123,FALSE)=0,0,HLOOKUP("fsXG",A1:CV300,123,FALSE)/HLOOKUP("Mins",A1:CV300,123,FALSE)* 90)</f>
      </c>
      <c r="BV123" s="14972">
        <f>IF(HLOOKUP("Mins",A1:CV300,123,FALSE)=0,0,HLOOKUP("fsXA",A1:CV300,123,FALSE)/HLOOKUP("Mins",A1:CV300,123,FALSE)* 90)</f>
      </c>
      <c r="BW123" s="14973">
        <f>6*HLOOKUP("fsXG/90",A1:CV300,123,FALSE)+3*HLOOKUP("fsXA/90",A1:CV300,123,FALSE)</f>
      </c>
      <c r="BX123" t="n" s="14974">
        <v>0.025249836966395378</v>
      </c>
      <c r="BY123" t="n" s="14975">
        <v>0.012405846267938614</v>
      </c>
      <c r="BZ123" s="14976">
        <f>6*HLOOKUP("uXG/90",A1:CV300,123,FALSE)+3*HLOOKUP("uXA/90",A1:CV300,123,FALSE)</f>
      </c>
    </row>
    <row r="124">
      <c r="A124" t="s" s="14977">
        <v>289</v>
      </c>
      <c r="B124" t="s" s="14978">
        <v>105</v>
      </c>
      <c r="C124" t="n" s="14979">
        <v>5.300000190734863</v>
      </c>
      <c r="D124" t="n" s="14980">
        <v>205.0</v>
      </c>
      <c r="E124" t="n" s="14981">
        <v>3.0</v>
      </c>
      <c r="F124" t="n" s="14982">
        <v>24.0</v>
      </c>
      <c r="G124" t="n" s="14983">
        <v>0.0</v>
      </c>
      <c r="H124" t="n" s="14984">
        <v>0.0</v>
      </c>
      <c r="I124" t="n" s="14985">
        <v>183.0</v>
      </c>
      <c r="J124" s="14986">
        <f>HLOOKUP("BPS",A1:CV300,124,FALSE)-((-6*HLOOKUP("OG",A1:CV300,124,FALSE))+(-6*HLOOKUP("PK Miss",A1:CV300,124,FALSE))+(9*HLOOKUP("FPL As",A1:CV300,124,FALSE))+(12*HLOOKUP("CS",A1:CV300,124,FALSE))+(12*HLOOKUP("Gs",A1:CV300,124,FALSE)))</f>
      </c>
      <c r="K124" t="n" s="14987">
        <v>0.0</v>
      </c>
      <c r="L124" t="n" s="14988">
        <v>2.0</v>
      </c>
      <c r="M124" t="n" s="14989">
        <v>1.0</v>
      </c>
      <c r="N124" t="n" s="14990">
        <v>1.0</v>
      </c>
      <c r="O124" t="n" s="14991">
        <v>1.0</v>
      </c>
      <c r="P124" s="14992">
        <f>IF(HLOOKUP("Shots",A1:CV300,124,FALSE)=0,0,HLOOKUP("SIB",A1:CV300,124,FALSE)/HLOOKUP("Shots",A1:CV300,124,FALSE))</f>
      </c>
      <c r="Q124" t="n" s="14993">
        <v>0.0</v>
      </c>
      <c r="R124" s="14994">
        <f>IF(HLOOKUP("Shots",A1:CV300,124,FALSE)=0,0,HLOOKUP("S6YD",A1:CV300,124,FALSE)/HLOOKUP("Shots",A1:CV300,124,FALSE))</f>
      </c>
      <c r="S124" t="n" s="14995">
        <v>1.0</v>
      </c>
      <c r="T124" s="14996">
        <f>IF(HLOOKUP("Shots",A1:CV300,124,FALSE)=0,0,HLOOKUP("Headers",A1:CV300,124,FALSE)/HLOOKUP("Shots",A1:CV300,124,FALSE))</f>
      </c>
      <c r="U124" t="n" s="14997">
        <v>0.0</v>
      </c>
      <c r="V124" s="14998">
        <f>IF(HLOOKUP("Shots",A1:CV300,124,FALSE)=0,0,HLOOKUP("SOT",A1:CV300,124,FALSE)/HLOOKUP("Shots",A1:CV300,124,FALSE))</f>
      </c>
      <c r="W124" s="14999">
        <f>IF(HLOOKUP("Shots",A1:CV300,124,FALSE)=0,0,HLOOKUP("Gs",A1:CV300,124,FALSE)/HLOOKUP("Shots",A1:CV300,124,FALSE))</f>
      </c>
      <c r="X124" t="n" s="15000">
        <v>0.0</v>
      </c>
      <c r="Y124" t="n" s="15001">
        <v>0.0</v>
      </c>
      <c r="Z124" t="n" s="15002">
        <v>1.0</v>
      </c>
      <c r="AA124" s="15003">
        <f>IF(HLOOKUP("KP",A1:CV300,124,FALSE)=0,0,HLOOKUP("As",A1:CV300,124,FALSE)/HLOOKUP("KP",A1:CV300,124,FALSE))</f>
      </c>
      <c r="AB124" t="n" s="15004">
        <v>6.9</v>
      </c>
      <c r="AC124" t="n" s="15005">
        <v>0.0</v>
      </c>
      <c r="AD124" t="n" s="15006">
        <v>0.0</v>
      </c>
      <c r="AE124" t="n" s="15007">
        <v>0.0</v>
      </c>
      <c r="AF124" t="n" s="15008">
        <v>0.0</v>
      </c>
      <c r="AG124" s="15009">
        <f>IF(HLOOKUP("BC",A1:CV300,124,FALSE)=0,0,HLOOKUP("Gs - BC",A1:CV300,124,FALSE)/HLOOKUP("BC",A1:CV300,124,FALSE))</f>
      </c>
      <c r="AH124" s="15010">
        <f>HLOOKUP("BC",A1:CV300,124,FALSE) - HLOOKUP("BC Miss",A1:CV300,124,FALSE)</f>
      </c>
      <c r="AI124" s="15011">
        <f>IF(HLOOKUP("Gs",A1:CV300,124,FALSE)=0,0,HLOOKUP("Gs - BC",A1:CV300,124,FALSE)/HLOOKUP("Gs",A1:CV300,124,FALSE))</f>
      </c>
      <c r="AJ124" t="n" s="15012">
        <v>0.0</v>
      </c>
      <c r="AK124" t="n" s="15013">
        <v>0.0</v>
      </c>
      <c r="AL124" s="15014">
        <f>HLOOKUP("BC",A1:CV300,124,FALSE) - (HLOOKUP("PK Gs",A1:CV300,124,FALSE) + HLOOKUP("PK Miss",A1:CV300,124,FALSE))</f>
      </c>
      <c r="AM124" s="15015">
        <f>HLOOKUP("BC Miss",A1:CV300,124,FALSE) - HLOOKUP("PK Miss",A1:CV300,124,FALSE)</f>
      </c>
      <c r="AN124" s="15016">
        <f>IF(HLOOKUP("BC - Open",A1:CV300,124,FALSE)=0,0,HLOOKUP("BC - Open Miss",A1:CV300,124,FALSE)/HLOOKUP("BC - Open",A1:CV300,124,FALSE))</f>
      </c>
      <c r="AO124" t="n" s="15017">
        <v>0.0</v>
      </c>
      <c r="AP124" s="15018">
        <f>IF(HLOOKUP("Gs",A1:CV300,124,FALSE)=0,0,HLOOKUP("GIB",A1:CV300,124,FALSE)/HLOOKUP("Gs",A1:CV300,124,FALSE))</f>
      </c>
      <c r="AQ124" t="n" s="15019">
        <v>0.0</v>
      </c>
      <c r="AR124" s="15020">
        <f>IF(HLOOKUP("Gs",A1:CV300,124,FALSE)=0,0,HLOOKUP("Gs - Open",A1:CV300,124,FALSE)/HLOOKUP("Gs",A1:CV300,124,FALSE))</f>
      </c>
      <c r="AS124" t="n" s="15021">
        <v>0.05</v>
      </c>
      <c r="AT124" t="n" s="15022">
        <v>0.04</v>
      </c>
      <c r="AU124" s="15023">
        <f>IF(HLOOKUP("Mins",A1:CV300,124,FALSE)=0,0,HLOOKUP("Pts",A1:CV300,124,FALSE)/HLOOKUP("Mins",A1:CV300,124,FALSE)* 90)</f>
      </c>
      <c r="AV124" s="15024">
        <f>IF(HLOOKUP("Apps",A1:CV300,124,FALSE)=0,0,HLOOKUP("Pts",A1:CV300,124,FALSE)/HLOOKUP("Apps",A1:CV300,124,FALSE)* 1)</f>
      </c>
      <c r="AW124" s="15025">
        <f>IF(HLOOKUP("Mins",A1:CV300,124,FALSE)=0,0,HLOOKUP("Gs",A1:CV300,124,FALSE)/HLOOKUP("Mins",A1:CV300,124,FALSE)* 90)</f>
      </c>
      <c r="AX124" s="15026">
        <f>IF(HLOOKUP("Mins",A1:CV300,124,FALSE)=0,0,HLOOKUP("Bonus",A1:CV300,124,FALSE)/HLOOKUP("Mins",A1:CV300,124,FALSE)* 90)</f>
      </c>
      <c r="AY124" s="15027">
        <f>IF(HLOOKUP("Mins",A1:CV300,124,FALSE)=0,0,HLOOKUP("BPS",A1:CV300,124,FALSE)/HLOOKUP("Mins",A1:CV300,124,FALSE)* 90)</f>
      </c>
      <c r="AZ124" s="15028">
        <f>IF(HLOOKUP("Mins",A1:CV300,124,FALSE)=0,0,HLOOKUP("Base BPS",A1:CV300,124,FALSE)/HLOOKUP("Mins",A1:CV300,124,FALSE)* 90)</f>
      </c>
      <c r="BA124" s="15029">
        <f>IF(HLOOKUP("Mins",A1:CV300,124,FALSE)=0,0,HLOOKUP("PenTchs",A1:CV300,124,FALSE)/HLOOKUP("Mins",A1:CV300,124,FALSE)* 90)</f>
      </c>
      <c r="BB124" s="15030">
        <f>IF(HLOOKUP("Mins",A1:CV300,124,FALSE)=0,0,HLOOKUP("Shots",A1:CV300,124,FALSE)/HLOOKUP("Mins",A1:CV300,124,FALSE)* 90)</f>
      </c>
      <c r="BC124" s="15031">
        <f>IF(HLOOKUP("Mins",A1:CV300,124,FALSE)=0,0,HLOOKUP("SIB",A1:CV300,124,FALSE)/HLOOKUP("Mins",A1:CV300,124,FALSE)* 90)</f>
      </c>
      <c r="BD124" s="15032">
        <f>IF(HLOOKUP("Mins",A1:CV300,124,FALSE)=0,0,HLOOKUP("S6YD",A1:CV300,124,FALSE)/HLOOKUP("Mins",A1:CV300,124,FALSE)* 90)</f>
      </c>
      <c r="BE124" s="15033">
        <f>IF(HLOOKUP("Mins",A1:CV300,124,FALSE)=0,0,HLOOKUP("Headers",A1:CV300,124,FALSE)/HLOOKUP("Mins",A1:CV300,124,FALSE)* 90)</f>
      </c>
      <c r="BF124" s="15034">
        <f>IF(HLOOKUP("Mins",A1:CV300,124,FALSE)=0,0,HLOOKUP("SOT",A1:CV300,124,FALSE)/HLOOKUP("Mins",A1:CV300,124,FALSE)* 90)</f>
      </c>
      <c r="BG124" s="15035">
        <f>IF(HLOOKUP("Mins",A1:CV300,124,FALSE)=0,0,HLOOKUP("As",A1:CV300,124,FALSE)/HLOOKUP("Mins",A1:CV300,124,FALSE)* 90)</f>
      </c>
      <c r="BH124" s="15036">
        <f>IF(HLOOKUP("Mins",A1:CV300,124,FALSE)=0,0,HLOOKUP("FPL As",A1:CV300,124,FALSE)/HLOOKUP("Mins",A1:CV300,124,FALSE)* 90)</f>
      </c>
      <c r="BI124" s="15037">
        <f>IF(HLOOKUP("Mins",A1:CV300,124,FALSE)=0,0,HLOOKUP("BC Created",A1:CV300,124,FALSE)/HLOOKUP("Mins",A1:CV300,124,FALSE)* 90)</f>
      </c>
      <c r="BJ124" s="15038">
        <f>IF(HLOOKUP("Mins",A1:CV300,124,FALSE)=0,0,HLOOKUP("KP",A1:CV300,124,FALSE)/HLOOKUP("Mins",A1:CV300,124,FALSE)* 90)</f>
      </c>
      <c r="BK124" s="15039">
        <f>IF(HLOOKUP("Mins",A1:CV300,124,FALSE)=0,0,HLOOKUP("BC",A1:CV300,124,FALSE)/HLOOKUP("Mins",A1:CV300,124,FALSE)* 90)</f>
      </c>
      <c r="BL124" s="15040">
        <f>IF(HLOOKUP("Mins",A1:CV300,124,FALSE)=0,0,HLOOKUP("BC Miss",A1:CV300,124,FALSE)/HLOOKUP("Mins",A1:CV300,124,FALSE)* 90)</f>
      </c>
      <c r="BM124" s="15041">
        <f>IF(HLOOKUP("Mins",A1:CV300,124,FALSE)=0,0,HLOOKUP("Gs - BC",A1:CV300,124,FALSE)/HLOOKUP("Mins",A1:CV300,124,FALSE)* 90)</f>
      </c>
      <c r="BN124" s="15042">
        <f>IF(HLOOKUP("Mins",A1:CV300,124,FALSE)=0,0,HLOOKUP("GIB",A1:CV300,124,FALSE)/HLOOKUP("Mins",A1:CV300,124,FALSE)* 90)</f>
      </c>
      <c r="BO124" s="15043">
        <f>IF(HLOOKUP("Mins",A1:CV300,124,FALSE)=0,0,HLOOKUP("Gs - Open",A1:CV300,124,FALSE)/HLOOKUP("Mins",A1:CV300,124,FALSE)* 90)</f>
      </c>
      <c r="BP124" s="15044">
        <f>IF(HLOOKUP("Mins",A1:CV300,124,FALSE)=0,0,HLOOKUP("ICT Index",A1:CV300,124,FALSE)/HLOOKUP("Mins",A1:CV300,124,FALSE)* 90)</f>
      </c>
      <c r="BQ124" s="15045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</c>
      <c r="BR124" s="15046">
        <f>0.0825*HLOOKUP("KP/90",A1:CV300,124,FALSE)</f>
      </c>
      <c r="BS124" s="15047">
        <f>6*HLOOKUP("xG/90",A1:CV300,124,FALSE)+3*HLOOKUP("xA/90",A1:CV300,124,FALSE)</f>
      </c>
      <c r="BT124" s="15048">
        <f>HLOOKUP("xPts/90",A1:CV300,124,FALSE)-(6*0.75*(HLOOKUP("PK Gs",A1:CV300,124,FALSE)+HLOOKUP("PK Miss",A1:CV300,124,FALSE))*90/HLOOKUP("Mins",A1:CV300,124,FALSE))</f>
      </c>
      <c r="BU124" s="15049">
        <f>IF(HLOOKUP("Mins",A1:CV300,124,FALSE)=0,0,HLOOKUP("fsXG",A1:CV300,124,FALSE)/HLOOKUP("Mins",A1:CV300,124,FALSE)* 90)</f>
      </c>
      <c r="BV124" s="15050">
        <f>IF(HLOOKUP("Mins",A1:CV300,124,FALSE)=0,0,HLOOKUP("fsXA",A1:CV300,124,FALSE)/HLOOKUP("Mins",A1:CV300,124,FALSE)* 90)</f>
      </c>
      <c r="BW124" s="15051">
        <f>6*HLOOKUP("fsXG/90",A1:CV300,124,FALSE)+3*HLOOKUP("fsXA/90",A1:CV300,124,FALSE)</f>
      </c>
      <c r="BX124" t="n" s="15052">
        <v>0.007297653704881668</v>
      </c>
      <c r="BY124" t="n" s="15053">
        <v>0.008343828842043877</v>
      </c>
      <c r="BZ124" s="15054">
        <f>6*HLOOKUP("uXG/90",A1:CV300,124,FALSE)+3*HLOOKUP("uXA/90",A1:CV300,124,FALSE)</f>
      </c>
    </row>
    <row r="125">
      <c r="A125" t="s" s="15055">
        <v>290</v>
      </c>
      <c r="B125" t="s" s="15056">
        <v>92</v>
      </c>
      <c r="C125" t="n" s="15057">
        <v>4.300000190734863</v>
      </c>
      <c r="D125" t="n" s="15058">
        <v>90.0</v>
      </c>
      <c r="E125" t="n" s="15059">
        <v>1.0</v>
      </c>
      <c r="F125" t="n" s="15060">
        <v>26.0</v>
      </c>
      <c r="G125" t="n" s="15061">
        <v>0.0</v>
      </c>
      <c r="H125" t="n" s="15062">
        <v>2.0</v>
      </c>
      <c r="I125" t="n" s="15063">
        <v>161.0</v>
      </c>
      <c r="J125" s="15064">
        <f>HLOOKUP("BPS",A1:CV300,125,FALSE)-((-6*HLOOKUP("OG",A1:CV300,125,FALSE))+(-6*HLOOKUP("PK Miss",A1:CV300,125,FALSE))+(9*HLOOKUP("FPL As",A1:CV300,125,FALSE))+(12*HLOOKUP("CS",A1:CV300,125,FALSE))+(12*HLOOKUP("Gs",A1:CV300,125,FALSE)))</f>
      </c>
      <c r="K125" t="n" s="15065">
        <v>0.0</v>
      </c>
      <c r="L125" t="n" s="15066">
        <v>1.0</v>
      </c>
      <c r="M125" t="n" s="15067">
        <v>0.0</v>
      </c>
      <c r="N125" t="n" s="15068">
        <v>0.0</v>
      </c>
      <c r="O125" t="n" s="15069">
        <v>0.0</v>
      </c>
      <c r="P125" s="15070">
        <f>IF(HLOOKUP("Shots",A1:CV300,125,FALSE)=0,0,HLOOKUP("SIB",A1:CV300,125,FALSE)/HLOOKUP("Shots",A1:CV300,125,FALSE))</f>
      </c>
      <c r="Q125" t="n" s="15071">
        <v>0.0</v>
      </c>
      <c r="R125" s="15072">
        <f>IF(HLOOKUP("Shots",A1:CV300,125,FALSE)=0,0,HLOOKUP("S6YD",A1:CV300,125,FALSE)/HLOOKUP("Shots",A1:CV300,125,FALSE))</f>
      </c>
      <c r="S125" t="n" s="15073">
        <v>0.0</v>
      </c>
      <c r="T125" s="15074">
        <f>IF(HLOOKUP("Shots",A1:CV300,125,FALSE)=0,0,HLOOKUP("Headers",A1:CV300,125,FALSE)/HLOOKUP("Shots",A1:CV300,125,FALSE))</f>
      </c>
      <c r="U125" t="n" s="15075">
        <v>0.0</v>
      </c>
      <c r="V125" s="15076">
        <f>IF(HLOOKUP("Shots",A1:CV300,125,FALSE)=0,0,HLOOKUP("SOT",A1:CV300,125,FALSE)/HLOOKUP("Shots",A1:CV300,125,FALSE))</f>
      </c>
      <c r="W125" s="15077">
        <f>IF(HLOOKUP("Shots",A1:CV300,125,FALSE)=0,0,HLOOKUP("Gs",A1:CV300,125,FALSE)/HLOOKUP("Shots",A1:CV300,125,FALSE))</f>
      </c>
      <c r="X125" t="n" s="15078">
        <v>0.0</v>
      </c>
      <c r="Y125" t="n" s="15079">
        <v>0.0</v>
      </c>
      <c r="Z125" t="n" s="15080">
        <v>0.0</v>
      </c>
      <c r="AA125" s="15081">
        <f>IF(HLOOKUP("KP",A1:CV300,125,FALSE)=0,0,HLOOKUP("As",A1:CV300,125,FALSE)/HLOOKUP("KP",A1:CV300,125,FALSE))</f>
      </c>
      <c r="AB125" t="n" s="15082">
        <v>3.3</v>
      </c>
      <c r="AC125" t="n" s="15083">
        <v>0.0</v>
      </c>
      <c r="AD125" t="n" s="15084">
        <v>0.0</v>
      </c>
      <c r="AE125" t="n" s="15085">
        <v>0.0</v>
      </c>
      <c r="AF125" t="n" s="15086">
        <v>0.0</v>
      </c>
      <c r="AG125" s="15087">
        <f>IF(HLOOKUP("BC",A1:CV300,125,FALSE)=0,0,HLOOKUP("Gs - BC",A1:CV300,125,FALSE)/HLOOKUP("BC",A1:CV300,125,FALSE))</f>
      </c>
      <c r="AH125" s="15088">
        <f>HLOOKUP("BC",A1:CV300,125,FALSE) - HLOOKUP("BC Miss",A1:CV300,125,FALSE)</f>
      </c>
      <c r="AI125" s="15089">
        <f>IF(HLOOKUP("Gs",A1:CV300,125,FALSE)=0,0,HLOOKUP("Gs - BC",A1:CV300,125,FALSE)/HLOOKUP("Gs",A1:CV300,125,FALSE))</f>
      </c>
      <c r="AJ125" t="n" s="15090">
        <v>0.0</v>
      </c>
      <c r="AK125" t="n" s="15091">
        <v>0.0</v>
      </c>
      <c r="AL125" s="15092">
        <f>HLOOKUP("BC",A1:CV300,125,FALSE) - (HLOOKUP("PK Gs",A1:CV300,125,FALSE) + HLOOKUP("PK Miss",A1:CV300,125,FALSE))</f>
      </c>
      <c r="AM125" s="15093">
        <f>HLOOKUP("BC Miss",A1:CV300,125,FALSE) - HLOOKUP("PK Miss",A1:CV300,125,FALSE)</f>
      </c>
      <c r="AN125" s="15094">
        <f>IF(HLOOKUP("BC - Open",A1:CV300,125,FALSE)=0,0,HLOOKUP("BC - Open Miss",A1:CV300,125,FALSE)/HLOOKUP("BC - Open",A1:CV300,125,FALSE))</f>
      </c>
      <c r="AO125" t="n" s="15095">
        <v>0.0</v>
      </c>
      <c r="AP125" s="15096">
        <f>IF(HLOOKUP("Gs",A1:CV300,125,FALSE)=0,0,HLOOKUP("GIB",A1:CV300,125,FALSE)/HLOOKUP("Gs",A1:CV300,125,FALSE))</f>
      </c>
      <c r="AQ125" t="n" s="15097">
        <v>0.0</v>
      </c>
      <c r="AR125" s="15098">
        <f>IF(HLOOKUP("Gs",A1:CV300,125,FALSE)=0,0,HLOOKUP("Gs - Open",A1:CV300,125,FALSE)/HLOOKUP("Gs",A1:CV300,125,FALSE))</f>
      </c>
      <c r="AS125" t="n" s="15099">
        <v>0.0</v>
      </c>
      <c r="AT125" t="n" s="15100">
        <v>0.0</v>
      </c>
      <c r="AU125" s="15101">
        <f>IF(HLOOKUP("Mins",A1:CV300,125,FALSE)=0,0,HLOOKUP("Pts",A1:CV300,125,FALSE)/HLOOKUP("Mins",A1:CV300,125,FALSE)* 90)</f>
      </c>
      <c r="AV125" s="15102">
        <f>IF(HLOOKUP("Apps",A1:CV300,125,FALSE)=0,0,HLOOKUP("Pts",A1:CV300,125,FALSE)/HLOOKUP("Apps",A1:CV300,125,FALSE)* 1)</f>
      </c>
      <c r="AW125" s="15103">
        <f>IF(HLOOKUP("Mins",A1:CV300,125,FALSE)=0,0,HLOOKUP("Gs",A1:CV300,125,FALSE)/HLOOKUP("Mins",A1:CV300,125,FALSE)* 90)</f>
      </c>
      <c r="AX125" s="15104">
        <f>IF(HLOOKUP("Mins",A1:CV300,125,FALSE)=0,0,HLOOKUP("Bonus",A1:CV300,125,FALSE)/HLOOKUP("Mins",A1:CV300,125,FALSE)* 90)</f>
      </c>
      <c r="AY125" s="15105">
        <f>IF(HLOOKUP("Mins",A1:CV300,125,FALSE)=0,0,HLOOKUP("BPS",A1:CV300,125,FALSE)/HLOOKUP("Mins",A1:CV300,125,FALSE)* 90)</f>
      </c>
      <c r="AZ125" s="15106">
        <f>IF(HLOOKUP("Mins",A1:CV300,125,FALSE)=0,0,HLOOKUP("Base BPS",A1:CV300,125,FALSE)/HLOOKUP("Mins",A1:CV300,125,FALSE)* 90)</f>
      </c>
      <c r="BA125" s="15107">
        <f>IF(HLOOKUP("Mins",A1:CV300,125,FALSE)=0,0,HLOOKUP("PenTchs",A1:CV300,125,FALSE)/HLOOKUP("Mins",A1:CV300,125,FALSE)* 90)</f>
      </c>
      <c r="BB125" s="15108">
        <f>IF(HLOOKUP("Mins",A1:CV300,125,FALSE)=0,0,HLOOKUP("Shots",A1:CV300,125,FALSE)/HLOOKUP("Mins",A1:CV300,125,FALSE)* 90)</f>
      </c>
      <c r="BC125" s="15109">
        <f>IF(HLOOKUP("Mins",A1:CV300,125,FALSE)=0,0,HLOOKUP("SIB",A1:CV300,125,FALSE)/HLOOKUP("Mins",A1:CV300,125,FALSE)* 90)</f>
      </c>
      <c r="BD125" s="15110">
        <f>IF(HLOOKUP("Mins",A1:CV300,125,FALSE)=0,0,HLOOKUP("S6YD",A1:CV300,125,FALSE)/HLOOKUP("Mins",A1:CV300,125,FALSE)* 90)</f>
      </c>
      <c r="BE125" s="15111">
        <f>IF(HLOOKUP("Mins",A1:CV300,125,FALSE)=0,0,HLOOKUP("Headers",A1:CV300,125,FALSE)/HLOOKUP("Mins",A1:CV300,125,FALSE)* 90)</f>
      </c>
      <c r="BF125" s="15112">
        <f>IF(HLOOKUP("Mins",A1:CV300,125,FALSE)=0,0,HLOOKUP("SOT",A1:CV300,125,FALSE)/HLOOKUP("Mins",A1:CV300,125,FALSE)* 90)</f>
      </c>
      <c r="BG125" s="15113">
        <f>IF(HLOOKUP("Mins",A1:CV300,125,FALSE)=0,0,HLOOKUP("As",A1:CV300,125,FALSE)/HLOOKUP("Mins",A1:CV300,125,FALSE)* 90)</f>
      </c>
      <c r="BH125" s="15114">
        <f>IF(HLOOKUP("Mins",A1:CV300,125,FALSE)=0,0,HLOOKUP("FPL As",A1:CV300,125,FALSE)/HLOOKUP("Mins",A1:CV300,125,FALSE)* 90)</f>
      </c>
      <c r="BI125" s="15115">
        <f>IF(HLOOKUP("Mins",A1:CV300,125,FALSE)=0,0,HLOOKUP("BC Created",A1:CV300,125,FALSE)/HLOOKUP("Mins",A1:CV300,125,FALSE)* 90)</f>
      </c>
      <c r="BJ125" s="15116">
        <f>IF(HLOOKUP("Mins",A1:CV300,125,FALSE)=0,0,HLOOKUP("KP",A1:CV300,125,FALSE)/HLOOKUP("Mins",A1:CV300,125,FALSE)* 90)</f>
      </c>
      <c r="BK125" s="15117">
        <f>IF(HLOOKUP("Mins",A1:CV300,125,FALSE)=0,0,HLOOKUP("BC",A1:CV300,125,FALSE)/HLOOKUP("Mins",A1:CV300,125,FALSE)* 90)</f>
      </c>
      <c r="BL125" s="15118">
        <f>IF(HLOOKUP("Mins",A1:CV300,125,FALSE)=0,0,HLOOKUP("BC Miss",A1:CV300,125,FALSE)/HLOOKUP("Mins",A1:CV300,125,FALSE)* 90)</f>
      </c>
      <c r="BM125" s="15119">
        <f>IF(HLOOKUP("Mins",A1:CV300,125,FALSE)=0,0,HLOOKUP("Gs - BC",A1:CV300,125,FALSE)/HLOOKUP("Mins",A1:CV300,125,FALSE)* 90)</f>
      </c>
      <c r="BN125" s="15120">
        <f>IF(HLOOKUP("Mins",A1:CV300,125,FALSE)=0,0,HLOOKUP("GIB",A1:CV300,125,FALSE)/HLOOKUP("Mins",A1:CV300,125,FALSE)* 90)</f>
      </c>
      <c r="BO125" s="15121">
        <f>IF(HLOOKUP("Mins",A1:CV300,125,FALSE)=0,0,HLOOKUP("Gs - Open",A1:CV300,125,FALSE)/HLOOKUP("Mins",A1:CV300,125,FALSE)* 90)</f>
      </c>
      <c r="BP125" s="15122">
        <f>IF(HLOOKUP("Mins",A1:CV300,125,FALSE)=0,0,HLOOKUP("ICT Index",A1:CV300,125,FALSE)/HLOOKUP("Mins",A1:CV300,125,FALSE)* 90)</f>
      </c>
      <c r="BQ125" s="15123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</c>
      <c r="BR125" s="15124">
        <f>0.0825*HLOOKUP("KP/90",A1:CV300,125,FALSE)</f>
      </c>
      <c r="BS125" s="15125">
        <f>6*HLOOKUP("xG/90",A1:CV300,125,FALSE)+3*HLOOKUP("xA/90",A1:CV300,125,FALSE)</f>
      </c>
      <c r="BT125" s="15126">
        <f>HLOOKUP("xPts/90",A1:CV300,125,FALSE)-(6*0.75*(HLOOKUP("PK Gs",A1:CV300,125,FALSE)+HLOOKUP("PK Miss",A1:CV300,125,FALSE))*90/HLOOKUP("Mins",A1:CV300,125,FALSE))</f>
      </c>
      <c r="BU125" s="15127">
        <f>IF(HLOOKUP("Mins",A1:CV300,125,FALSE)=0,0,HLOOKUP("fsXG",A1:CV300,125,FALSE)/HLOOKUP("Mins",A1:CV300,125,FALSE)* 90)</f>
      </c>
      <c r="BV125" s="15128">
        <f>IF(HLOOKUP("Mins",A1:CV300,125,FALSE)=0,0,HLOOKUP("fsXA",A1:CV300,125,FALSE)/HLOOKUP("Mins",A1:CV300,125,FALSE)* 90)</f>
      </c>
      <c r="BW125" s="15129">
        <f>6*HLOOKUP("fsXG/90",A1:CV300,125,FALSE)+3*HLOOKUP("fsXA/90",A1:CV300,125,FALSE)</f>
      </c>
      <c r="BX125" t="n" s="15130">
        <v>0.0</v>
      </c>
      <c r="BY125" t="n" s="15131">
        <v>0.0</v>
      </c>
      <c r="BZ125" s="15132">
        <f>6*HLOOKUP("uXG/90",A1:CV300,125,FALSE)+3*HLOOKUP("uXA/90",A1:CV300,125,FALSE)</f>
      </c>
    </row>
    <row r="126">
      <c r="A126" t="s" s="15133">
        <v>291</v>
      </c>
      <c r="B126" t="s" s="15134">
        <v>102</v>
      </c>
      <c r="C126" t="n" s="15135">
        <v>4.300000190734863</v>
      </c>
      <c r="D126" t="n" s="15136">
        <v>423.0</v>
      </c>
      <c r="E126" t="n" s="15137">
        <v>5.0</v>
      </c>
      <c r="F126" t="n" s="15138">
        <v>49.0</v>
      </c>
      <c r="G126" t="n" s="15139">
        <v>0.0</v>
      </c>
      <c r="H126" t="n" s="15140">
        <v>2.0</v>
      </c>
      <c r="I126" t="n" s="15141">
        <v>216.0</v>
      </c>
      <c r="J126" s="15142">
        <f>HLOOKUP("BPS",A1:CV300,126,FALSE)-((-6*HLOOKUP("OG",A1:CV300,126,FALSE))+(-6*HLOOKUP("PK Miss",A1:CV300,126,FALSE))+(9*HLOOKUP("FPL As",A1:CV300,126,FALSE))+(12*HLOOKUP("CS",A1:CV300,126,FALSE))+(12*HLOOKUP("Gs",A1:CV300,126,FALSE)))</f>
      </c>
      <c r="K126" t="n" s="15143">
        <v>0.0</v>
      </c>
      <c r="L126" t="n" s="15144">
        <v>4.0</v>
      </c>
      <c r="M126" t="n" s="15145">
        <v>1.0</v>
      </c>
      <c r="N126" t="n" s="15146">
        <v>1.0</v>
      </c>
      <c r="O126" t="n" s="15147">
        <v>1.0</v>
      </c>
      <c r="P126" s="15148">
        <f>IF(HLOOKUP("Shots",A1:CV300,126,FALSE)=0,0,HLOOKUP("SIB",A1:CV300,126,FALSE)/HLOOKUP("Shots",A1:CV300,126,FALSE))</f>
      </c>
      <c r="Q126" t="n" s="15149">
        <v>0.0</v>
      </c>
      <c r="R126" s="15150">
        <f>IF(HLOOKUP("Shots",A1:CV300,126,FALSE)=0,0,HLOOKUP("S6YD",A1:CV300,126,FALSE)/HLOOKUP("Shots",A1:CV300,126,FALSE))</f>
      </c>
      <c r="S126" t="n" s="15151">
        <v>0.0</v>
      </c>
      <c r="T126" s="15152">
        <f>IF(HLOOKUP("Shots",A1:CV300,126,FALSE)=0,0,HLOOKUP("Headers",A1:CV300,126,FALSE)/HLOOKUP("Shots",A1:CV300,126,FALSE))</f>
      </c>
      <c r="U126" t="n" s="15153">
        <v>0.0</v>
      </c>
      <c r="V126" s="15154">
        <f>IF(HLOOKUP("Shots",A1:CV300,126,FALSE)=0,0,HLOOKUP("SOT",A1:CV300,126,FALSE)/HLOOKUP("Shots",A1:CV300,126,FALSE))</f>
      </c>
      <c r="W126" s="15155">
        <f>IF(HLOOKUP("Shots",A1:CV300,126,FALSE)=0,0,HLOOKUP("Gs",A1:CV300,126,FALSE)/HLOOKUP("Shots",A1:CV300,126,FALSE))</f>
      </c>
      <c r="X126" t="n" s="15156">
        <v>0.0</v>
      </c>
      <c r="Y126" t="n" s="15157">
        <v>0.0</v>
      </c>
      <c r="Z126" t="n" s="15158">
        <v>0.0</v>
      </c>
      <c r="AA126" s="15159">
        <f>IF(HLOOKUP("KP",A1:CV300,126,FALSE)=0,0,HLOOKUP("As",A1:CV300,126,FALSE)/HLOOKUP("KP",A1:CV300,126,FALSE))</f>
      </c>
      <c r="AB126" t="n" s="15160">
        <v>12.9</v>
      </c>
      <c r="AC126" t="n" s="15161">
        <v>0.0</v>
      </c>
      <c r="AD126" t="n" s="15162">
        <v>0.0</v>
      </c>
      <c r="AE126" t="n" s="15163">
        <v>1.0</v>
      </c>
      <c r="AF126" t="n" s="15164">
        <v>1.0</v>
      </c>
      <c r="AG126" s="15165">
        <f>IF(HLOOKUP("BC",A1:CV300,126,FALSE)=0,0,HLOOKUP("Gs - BC",A1:CV300,126,FALSE)/HLOOKUP("BC",A1:CV300,126,FALSE))</f>
      </c>
      <c r="AH126" s="15166">
        <f>HLOOKUP("BC",A1:CV300,126,FALSE) - HLOOKUP("BC Miss",A1:CV300,126,FALSE)</f>
      </c>
      <c r="AI126" s="15167">
        <f>IF(HLOOKUP("Gs",A1:CV300,126,FALSE)=0,0,HLOOKUP("Gs - BC",A1:CV300,126,FALSE)/HLOOKUP("Gs",A1:CV300,126,FALSE))</f>
      </c>
      <c r="AJ126" t="n" s="15168">
        <v>0.0</v>
      </c>
      <c r="AK126" t="n" s="15169">
        <v>0.0</v>
      </c>
      <c r="AL126" s="15170">
        <f>HLOOKUP("BC",A1:CV300,126,FALSE) - (HLOOKUP("PK Gs",A1:CV300,126,FALSE) + HLOOKUP("PK Miss",A1:CV300,126,FALSE))</f>
      </c>
      <c r="AM126" s="15171">
        <f>HLOOKUP("BC Miss",A1:CV300,126,FALSE) - HLOOKUP("PK Miss",A1:CV300,126,FALSE)</f>
      </c>
      <c r="AN126" s="15172">
        <f>IF(HLOOKUP("BC - Open",A1:CV300,126,FALSE)=0,0,HLOOKUP("BC - Open Miss",A1:CV300,126,FALSE)/HLOOKUP("BC - Open",A1:CV300,126,FALSE))</f>
      </c>
      <c r="AO126" t="n" s="15173">
        <v>0.0</v>
      </c>
      <c r="AP126" s="15174">
        <f>IF(HLOOKUP("Gs",A1:CV300,126,FALSE)=0,0,HLOOKUP("GIB",A1:CV300,126,FALSE)/HLOOKUP("Gs",A1:CV300,126,FALSE))</f>
      </c>
      <c r="AQ126" t="n" s="15175">
        <v>0.0</v>
      </c>
      <c r="AR126" s="15176">
        <f>IF(HLOOKUP("Gs",A1:CV300,126,FALSE)=0,0,HLOOKUP("Gs - Open",A1:CV300,126,FALSE)/HLOOKUP("Gs",A1:CV300,126,FALSE))</f>
      </c>
      <c r="AS126" t="n" s="15177">
        <v>0.32</v>
      </c>
      <c r="AT126" t="n" s="15178">
        <v>0.02</v>
      </c>
      <c r="AU126" s="15179">
        <f>IF(HLOOKUP("Mins",A1:CV300,126,FALSE)=0,0,HLOOKUP("Pts",A1:CV300,126,FALSE)/HLOOKUP("Mins",A1:CV300,126,FALSE)* 90)</f>
      </c>
      <c r="AV126" s="15180">
        <f>IF(HLOOKUP("Apps",A1:CV300,126,FALSE)=0,0,HLOOKUP("Pts",A1:CV300,126,FALSE)/HLOOKUP("Apps",A1:CV300,126,FALSE)* 1)</f>
      </c>
      <c r="AW126" s="15181">
        <f>IF(HLOOKUP("Mins",A1:CV300,126,FALSE)=0,0,HLOOKUP("Gs",A1:CV300,126,FALSE)/HLOOKUP("Mins",A1:CV300,126,FALSE)* 90)</f>
      </c>
      <c r="AX126" s="15182">
        <f>IF(HLOOKUP("Mins",A1:CV300,126,FALSE)=0,0,HLOOKUP("Bonus",A1:CV300,126,FALSE)/HLOOKUP("Mins",A1:CV300,126,FALSE)* 90)</f>
      </c>
      <c r="AY126" s="15183">
        <f>IF(HLOOKUP("Mins",A1:CV300,126,FALSE)=0,0,HLOOKUP("BPS",A1:CV300,126,FALSE)/HLOOKUP("Mins",A1:CV300,126,FALSE)* 90)</f>
      </c>
      <c r="AZ126" s="15184">
        <f>IF(HLOOKUP("Mins",A1:CV300,126,FALSE)=0,0,HLOOKUP("Base BPS",A1:CV300,126,FALSE)/HLOOKUP("Mins",A1:CV300,126,FALSE)* 90)</f>
      </c>
      <c r="BA126" s="15185">
        <f>IF(HLOOKUP("Mins",A1:CV300,126,FALSE)=0,0,HLOOKUP("PenTchs",A1:CV300,126,FALSE)/HLOOKUP("Mins",A1:CV300,126,FALSE)* 90)</f>
      </c>
      <c r="BB126" s="15186">
        <f>IF(HLOOKUP("Mins",A1:CV300,126,FALSE)=0,0,HLOOKUP("Shots",A1:CV300,126,FALSE)/HLOOKUP("Mins",A1:CV300,126,FALSE)* 90)</f>
      </c>
      <c r="BC126" s="15187">
        <f>IF(HLOOKUP("Mins",A1:CV300,126,FALSE)=0,0,HLOOKUP("SIB",A1:CV300,126,FALSE)/HLOOKUP("Mins",A1:CV300,126,FALSE)* 90)</f>
      </c>
      <c r="BD126" s="15188">
        <f>IF(HLOOKUP("Mins",A1:CV300,126,FALSE)=0,0,HLOOKUP("S6YD",A1:CV300,126,FALSE)/HLOOKUP("Mins",A1:CV300,126,FALSE)* 90)</f>
      </c>
      <c r="BE126" s="15189">
        <f>IF(HLOOKUP("Mins",A1:CV300,126,FALSE)=0,0,HLOOKUP("Headers",A1:CV300,126,FALSE)/HLOOKUP("Mins",A1:CV300,126,FALSE)* 90)</f>
      </c>
      <c r="BF126" s="15190">
        <f>IF(HLOOKUP("Mins",A1:CV300,126,FALSE)=0,0,HLOOKUP("SOT",A1:CV300,126,FALSE)/HLOOKUP("Mins",A1:CV300,126,FALSE)* 90)</f>
      </c>
      <c r="BG126" s="15191">
        <f>IF(HLOOKUP("Mins",A1:CV300,126,FALSE)=0,0,HLOOKUP("As",A1:CV300,126,FALSE)/HLOOKUP("Mins",A1:CV300,126,FALSE)* 90)</f>
      </c>
      <c r="BH126" s="15192">
        <f>IF(HLOOKUP("Mins",A1:CV300,126,FALSE)=0,0,HLOOKUP("FPL As",A1:CV300,126,FALSE)/HLOOKUP("Mins",A1:CV300,126,FALSE)* 90)</f>
      </c>
      <c r="BI126" s="15193">
        <f>IF(HLOOKUP("Mins",A1:CV300,126,FALSE)=0,0,HLOOKUP("BC Created",A1:CV300,126,FALSE)/HLOOKUP("Mins",A1:CV300,126,FALSE)* 90)</f>
      </c>
      <c r="BJ126" s="15194">
        <f>IF(HLOOKUP("Mins",A1:CV300,126,FALSE)=0,0,HLOOKUP("KP",A1:CV300,126,FALSE)/HLOOKUP("Mins",A1:CV300,126,FALSE)* 90)</f>
      </c>
      <c r="BK126" s="15195">
        <f>IF(HLOOKUP("Mins",A1:CV300,126,FALSE)=0,0,HLOOKUP("BC",A1:CV300,126,FALSE)/HLOOKUP("Mins",A1:CV300,126,FALSE)* 90)</f>
      </c>
      <c r="BL126" s="15196">
        <f>IF(HLOOKUP("Mins",A1:CV300,126,FALSE)=0,0,HLOOKUP("BC Miss",A1:CV300,126,FALSE)/HLOOKUP("Mins",A1:CV300,126,FALSE)* 90)</f>
      </c>
      <c r="BM126" s="15197">
        <f>IF(HLOOKUP("Mins",A1:CV300,126,FALSE)=0,0,HLOOKUP("Gs - BC",A1:CV300,126,FALSE)/HLOOKUP("Mins",A1:CV300,126,FALSE)* 90)</f>
      </c>
      <c r="BN126" s="15198">
        <f>IF(HLOOKUP("Mins",A1:CV300,126,FALSE)=0,0,HLOOKUP("GIB",A1:CV300,126,FALSE)/HLOOKUP("Mins",A1:CV300,126,FALSE)* 90)</f>
      </c>
      <c r="BO126" s="15199">
        <f>IF(HLOOKUP("Mins",A1:CV300,126,FALSE)=0,0,HLOOKUP("Gs - Open",A1:CV300,126,FALSE)/HLOOKUP("Mins",A1:CV300,126,FALSE)* 90)</f>
      </c>
      <c r="BP126" s="15200">
        <f>IF(HLOOKUP("Mins",A1:CV300,126,FALSE)=0,0,HLOOKUP("ICT Index",A1:CV300,126,FALSE)/HLOOKUP("Mins",A1:CV300,126,FALSE)* 90)</f>
      </c>
      <c r="BQ126" s="15201">
        <f>IF(HLOOKUP("Mins",A1:CV300,126,FALSE)=0,0,(0.02*(HLOOKUP("Shots",A1:CV300,126,FALSE)-HLOOKUP("SIB",A1:CV300,126,FALSE))+0.093*(HLOOKUP("SIB",A1:CV300,126,FALSE)-(HLOOKUP("PK Gs",A1:CV300,126,FALSE)+HLOOKUP("PK Miss",A1:CV300,126,FALSE)))+0.75*(HLOOKUP("PK Gs",A1:CV300,126,FALSE)+HLOOKUP("PK Miss",A1:CV300,126,FALSE)))/HLOOKUP("Mins",A1:CV300,126,FALSE)*90)</f>
      </c>
      <c r="BR126" s="15202">
        <f>0.0825*HLOOKUP("KP/90",A1:CV300,126,FALSE)</f>
      </c>
      <c r="BS126" s="15203">
        <f>6*HLOOKUP("xG/90",A1:CV300,126,FALSE)+3*HLOOKUP("xA/90",A1:CV300,126,FALSE)</f>
      </c>
      <c r="BT126" s="15204">
        <f>HLOOKUP("xPts/90",A1:CV300,126,FALSE)-(6*0.75*(HLOOKUP("PK Gs",A1:CV300,126,FALSE)+HLOOKUP("PK Miss",A1:CV300,126,FALSE))*90/HLOOKUP("Mins",A1:CV300,126,FALSE))</f>
      </c>
      <c r="BU126" s="15205">
        <f>IF(HLOOKUP("Mins",A1:CV300,126,FALSE)=0,0,HLOOKUP("fsXG",A1:CV300,126,FALSE)/HLOOKUP("Mins",A1:CV300,126,FALSE)* 90)</f>
      </c>
      <c r="BV126" s="15206">
        <f>IF(HLOOKUP("Mins",A1:CV300,126,FALSE)=0,0,HLOOKUP("fsXA",A1:CV300,126,FALSE)/HLOOKUP("Mins",A1:CV300,126,FALSE)* 90)</f>
      </c>
      <c r="BW126" s="15207">
        <f>6*HLOOKUP("fsXG/90",A1:CV300,126,FALSE)+3*HLOOKUP("fsXA/90",A1:CV300,126,FALSE)</f>
      </c>
      <c r="BX126" t="n" s="15208">
        <v>0.0829378142952919</v>
      </c>
      <c r="BY126" t="n" s="15209">
        <v>0.0</v>
      </c>
      <c r="BZ126" s="15210">
        <f>6*HLOOKUP("uXG/90",A1:CV300,126,FALSE)+3*HLOOKUP("uXA/90",A1:CV300,126,FALSE)</f>
      </c>
    </row>
    <row r="127">
      <c r="A127" t="s" s="15211">
        <v>292</v>
      </c>
      <c r="B127" t="s" s="15212">
        <v>105</v>
      </c>
      <c r="C127" t="n" s="15213">
        <v>5.199999809265137</v>
      </c>
      <c r="D127" t="n" s="15214">
        <v>296.0</v>
      </c>
      <c r="E127" t="n" s="15215">
        <v>4.0</v>
      </c>
      <c r="F127" t="n" s="15216">
        <v>25.0</v>
      </c>
      <c r="G127" t="n" s="15217">
        <v>0.0</v>
      </c>
      <c r="H127" t="n" s="15218">
        <v>3.0</v>
      </c>
      <c r="I127" t="n" s="15219">
        <v>162.0</v>
      </c>
      <c r="J127" s="15220">
        <f>HLOOKUP("BPS",A1:CV300,127,FALSE)-((-6*HLOOKUP("OG",A1:CV300,127,FALSE))+(-6*HLOOKUP("PK Miss",A1:CV300,127,FALSE))+(9*HLOOKUP("FPL As",A1:CV300,127,FALSE))+(12*HLOOKUP("CS",A1:CV300,127,FALSE))+(12*HLOOKUP("Gs",A1:CV300,127,FALSE)))</f>
      </c>
      <c r="K127" t="n" s="15221">
        <v>0.0</v>
      </c>
      <c r="L127" t="n" s="15222">
        <v>2.0</v>
      </c>
      <c r="M127" t="n" s="15223">
        <v>6.0</v>
      </c>
      <c r="N127" t="n" s="15224">
        <v>2.0</v>
      </c>
      <c r="O127" t="n" s="15225">
        <v>0.0</v>
      </c>
      <c r="P127" s="15226">
        <f>IF(HLOOKUP("Shots",A1:CV300,127,FALSE)=0,0,HLOOKUP("SIB",A1:CV300,127,FALSE)/HLOOKUP("Shots",A1:CV300,127,FALSE))</f>
      </c>
      <c r="Q127" t="n" s="15227">
        <v>0.0</v>
      </c>
      <c r="R127" s="15228">
        <f>IF(HLOOKUP("Shots",A1:CV300,127,FALSE)=0,0,HLOOKUP("S6YD",A1:CV300,127,FALSE)/HLOOKUP("Shots",A1:CV300,127,FALSE))</f>
      </c>
      <c r="S127" t="n" s="15229">
        <v>0.0</v>
      </c>
      <c r="T127" s="15230">
        <f>IF(HLOOKUP("Shots",A1:CV300,127,FALSE)=0,0,HLOOKUP("Headers",A1:CV300,127,FALSE)/HLOOKUP("Shots",A1:CV300,127,FALSE))</f>
      </c>
      <c r="U127" t="n" s="15231">
        <v>1.0</v>
      </c>
      <c r="V127" s="15232">
        <f>IF(HLOOKUP("Shots",A1:CV300,127,FALSE)=0,0,HLOOKUP("SOT",A1:CV300,127,FALSE)/HLOOKUP("Shots",A1:CV300,127,FALSE))</f>
      </c>
      <c r="W127" s="15233">
        <f>IF(HLOOKUP("Shots",A1:CV300,127,FALSE)=0,0,HLOOKUP("Gs",A1:CV300,127,FALSE)/HLOOKUP("Shots",A1:CV300,127,FALSE))</f>
      </c>
      <c r="X127" t="n" s="15234">
        <v>0.0</v>
      </c>
      <c r="Y127" t="n" s="15235">
        <v>0.0</v>
      </c>
      <c r="Z127" t="n" s="15236">
        <v>4.0</v>
      </c>
      <c r="AA127" s="15237">
        <f>IF(HLOOKUP("KP",A1:CV300,127,FALSE)=0,0,HLOOKUP("As",A1:CV300,127,FALSE)/HLOOKUP("KP",A1:CV300,127,FALSE))</f>
      </c>
      <c r="AB127" t="n" s="15238">
        <v>13.7</v>
      </c>
      <c r="AC127" t="n" s="15239">
        <v>0.0</v>
      </c>
      <c r="AD127" t="n" s="15240">
        <v>1.0</v>
      </c>
      <c r="AE127" t="n" s="15241">
        <v>0.0</v>
      </c>
      <c r="AF127" t="n" s="15242">
        <v>0.0</v>
      </c>
      <c r="AG127" s="15243">
        <f>IF(HLOOKUP("BC",A1:CV300,127,FALSE)=0,0,HLOOKUP("Gs - BC",A1:CV300,127,FALSE)/HLOOKUP("BC",A1:CV300,127,FALSE))</f>
      </c>
      <c r="AH127" s="15244">
        <f>HLOOKUP("BC",A1:CV300,127,FALSE) - HLOOKUP("BC Miss",A1:CV300,127,FALSE)</f>
      </c>
      <c r="AI127" s="15245">
        <f>IF(HLOOKUP("Gs",A1:CV300,127,FALSE)=0,0,HLOOKUP("Gs - BC",A1:CV300,127,FALSE)/HLOOKUP("Gs",A1:CV300,127,FALSE))</f>
      </c>
      <c r="AJ127" t="n" s="15246">
        <v>0.0</v>
      </c>
      <c r="AK127" t="n" s="15247">
        <v>0.0</v>
      </c>
      <c r="AL127" s="15248">
        <f>HLOOKUP("BC",A1:CV300,127,FALSE) - (HLOOKUP("PK Gs",A1:CV300,127,FALSE) + HLOOKUP("PK Miss",A1:CV300,127,FALSE))</f>
      </c>
      <c r="AM127" s="15249">
        <f>HLOOKUP("BC Miss",A1:CV300,127,FALSE) - HLOOKUP("PK Miss",A1:CV300,127,FALSE)</f>
      </c>
      <c r="AN127" s="15250">
        <f>IF(HLOOKUP("BC - Open",A1:CV300,127,FALSE)=0,0,HLOOKUP("BC - Open Miss",A1:CV300,127,FALSE)/HLOOKUP("BC - Open",A1:CV300,127,FALSE))</f>
      </c>
      <c r="AO127" t="n" s="15251">
        <v>0.0</v>
      </c>
      <c r="AP127" s="15252">
        <f>IF(HLOOKUP("Gs",A1:CV300,127,FALSE)=0,0,HLOOKUP("GIB",A1:CV300,127,FALSE)/HLOOKUP("Gs",A1:CV300,127,FALSE))</f>
      </c>
      <c r="AQ127" t="n" s="15253">
        <v>0.0</v>
      </c>
      <c r="AR127" s="15254">
        <f>IF(HLOOKUP("Gs",A1:CV300,127,FALSE)=0,0,HLOOKUP("Gs - Open",A1:CV300,127,FALSE)/HLOOKUP("Gs",A1:CV300,127,FALSE))</f>
      </c>
      <c r="AS127" t="n" s="15255">
        <v>0.05</v>
      </c>
      <c r="AT127" t="n" s="15256">
        <v>0.2</v>
      </c>
      <c r="AU127" s="15257">
        <f>IF(HLOOKUP("Mins",A1:CV300,127,FALSE)=0,0,HLOOKUP("Pts",A1:CV300,127,FALSE)/HLOOKUP("Mins",A1:CV300,127,FALSE)* 90)</f>
      </c>
      <c r="AV127" s="15258">
        <f>IF(HLOOKUP("Apps",A1:CV300,127,FALSE)=0,0,HLOOKUP("Pts",A1:CV300,127,FALSE)/HLOOKUP("Apps",A1:CV300,127,FALSE)* 1)</f>
      </c>
      <c r="AW127" s="15259">
        <f>IF(HLOOKUP("Mins",A1:CV300,127,FALSE)=0,0,HLOOKUP("Gs",A1:CV300,127,FALSE)/HLOOKUP("Mins",A1:CV300,127,FALSE)* 90)</f>
      </c>
      <c r="AX127" s="15260">
        <f>IF(HLOOKUP("Mins",A1:CV300,127,FALSE)=0,0,HLOOKUP("Bonus",A1:CV300,127,FALSE)/HLOOKUP("Mins",A1:CV300,127,FALSE)* 90)</f>
      </c>
      <c r="AY127" s="15261">
        <f>IF(HLOOKUP("Mins",A1:CV300,127,FALSE)=0,0,HLOOKUP("BPS",A1:CV300,127,FALSE)/HLOOKUP("Mins",A1:CV300,127,FALSE)* 90)</f>
      </c>
      <c r="AZ127" s="15262">
        <f>IF(HLOOKUP("Mins",A1:CV300,127,FALSE)=0,0,HLOOKUP("Base BPS",A1:CV300,127,FALSE)/HLOOKUP("Mins",A1:CV300,127,FALSE)* 90)</f>
      </c>
      <c r="BA127" s="15263">
        <f>IF(HLOOKUP("Mins",A1:CV300,127,FALSE)=0,0,HLOOKUP("PenTchs",A1:CV300,127,FALSE)/HLOOKUP("Mins",A1:CV300,127,FALSE)* 90)</f>
      </c>
      <c r="BB127" s="15264">
        <f>IF(HLOOKUP("Mins",A1:CV300,127,FALSE)=0,0,HLOOKUP("Shots",A1:CV300,127,FALSE)/HLOOKUP("Mins",A1:CV300,127,FALSE)* 90)</f>
      </c>
      <c r="BC127" s="15265">
        <f>IF(HLOOKUP("Mins",A1:CV300,127,FALSE)=0,0,HLOOKUP("SIB",A1:CV300,127,FALSE)/HLOOKUP("Mins",A1:CV300,127,FALSE)* 90)</f>
      </c>
      <c r="BD127" s="15266">
        <f>IF(HLOOKUP("Mins",A1:CV300,127,FALSE)=0,0,HLOOKUP("S6YD",A1:CV300,127,FALSE)/HLOOKUP("Mins",A1:CV300,127,FALSE)* 90)</f>
      </c>
      <c r="BE127" s="15267">
        <f>IF(HLOOKUP("Mins",A1:CV300,127,FALSE)=0,0,HLOOKUP("Headers",A1:CV300,127,FALSE)/HLOOKUP("Mins",A1:CV300,127,FALSE)* 90)</f>
      </c>
      <c r="BF127" s="15268">
        <f>IF(HLOOKUP("Mins",A1:CV300,127,FALSE)=0,0,HLOOKUP("SOT",A1:CV300,127,FALSE)/HLOOKUP("Mins",A1:CV300,127,FALSE)* 90)</f>
      </c>
      <c r="BG127" s="15269">
        <f>IF(HLOOKUP("Mins",A1:CV300,127,FALSE)=0,0,HLOOKUP("As",A1:CV300,127,FALSE)/HLOOKUP("Mins",A1:CV300,127,FALSE)* 90)</f>
      </c>
      <c r="BH127" s="15270">
        <f>IF(HLOOKUP("Mins",A1:CV300,127,FALSE)=0,0,HLOOKUP("FPL As",A1:CV300,127,FALSE)/HLOOKUP("Mins",A1:CV300,127,FALSE)* 90)</f>
      </c>
      <c r="BI127" s="15271">
        <f>IF(HLOOKUP("Mins",A1:CV300,127,FALSE)=0,0,HLOOKUP("BC Created",A1:CV300,127,FALSE)/HLOOKUP("Mins",A1:CV300,127,FALSE)* 90)</f>
      </c>
      <c r="BJ127" s="15272">
        <f>IF(HLOOKUP("Mins",A1:CV300,127,FALSE)=0,0,HLOOKUP("KP",A1:CV300,127,FALSE)/HLOOKUP("Mins",A1:CV300,127,FALSE)* 90)</f>
      </c>
      <c r="BK127" s="15273">
        <f>IF(HLOOKUP("Mins",A1:CV300,127,FALSE)=0,0,HLOOKUP("BC",A1:CV300,127,FALSE)/HLOOKUP("Mins",A1:CV300,127,FALSE)* 90)</f>
      </c>
      <c r="BL127" s="15274">
        <f>IF(HLOOKUP("Mins",A1:CV300,127,FALSE)=0,0,HLOOKUP("BC Miss",A1:CV300,127,FALSE)/HLOOKUP("Mins",A1:CV300,127,FALSE)* 90)</f>
      </c>
      <c r="BM127" s="15275">
        <f>IF(HLOOKUP("Mins",A1:CV300,127,FALSE)=0,0,HLOOKUP("Gs - BC",A1:CV300,127,FALSE)/HLOOKUP("Mins",A1:CV300,127,FALSE)* 90)</f>
      </c>
      <c r="BN127" s="15276">
        <f>IF(HLOOKUP("Mins",A1:CV300,127,FALSE)=0,0,HLOOKUP("GIB",A1:CV300,127,FALSE)/HLOOKUP("Mins",A1:CV300,127,FALSE)* 90)</f>
      </c>
      <c r="BO127" s="15277">
        <f>IF(HLOOKUP("Mins",A1:CV300,127,FALSE)=0,0,HLOOKUP("Gs - Open",A1:CV300,127,FALSE)/HLOOKUP("Mins",A1:CV300,127,FALSE)* 90)</f>
      </c>
      <c r="BP127" s="15278">
        <f>IF(HLOOKUP("Mins",A1:CV300,127,FALSE)=0,0,HLOOKUP("ICT Index",A1:CV300,127,FALSE)/HLOOKUP("Mins",A1:CV300,127,FALSE)* 90)</f>
      </c>
      <c r="BQ127" s="15279">
        <f>IF(HLOOKUP("Mins",A1:CV300,127,FALSE)=0,0,(0.02*(HLOOKUP("Shots",A1:CV300,127,FALSE)-HLOOKUP("SIB",A1:CV300,127,FALSE))+0.093*(HLOOKUP("SIB",A1:CV300,127,FALSE)-(HLOOKUP("PK Gs",A1:CV300,127,FALSE)+HLOOKUP("PK Miss",A1:CV300,127,FALSE)))+0.75*(HLOOKUP("PK Gs",A1:CV300,127,FALSE)+HLOOKUP("PK Miss",A1:CV300,127,FALSE)))/HLOOKUP("Mins",A1:CV300,127,FALSE)*90)</f>
      </c>
      <c r="BR127" s="15280">
        <f>0.0825*HLOOKUP("KP/90",A1:CV300,127,FALSE)</f>
      </c>
      <c r="BS127" s="15281">
        <f>6*HLOOKUP("xG/90",A1:CV300,127,FALSE)+3*HLOOKUP("xA/90",A1:CV300,127,FALSE)</f>
      </c>
      <c r="BT127" s="15282">
        <f>HLOOKUP("xPts/90",A1:CV300,127,FALSE)-(6*0.75*(HLOOKUP("PK Gs",A1:CV300,127,FALSE)+HLOOKUP("PK Miss",A1:CV300,127,FALSE))*90/HLOOKUP("Mins",A1:CV300,127,FALSE))</f>
      </c>
      <c r="BU127" s="15283">
        <f>IF(HLOOKUP("Mins",A1:CV300,127,FALSE)=0,0,HLOOKUP("fsXG",A1:CV300,127,FALSE)/HLOOKUP("Mins",A1:CV300,127,FALSE)* 90)</f>
      </c>
      <c r="BV127" s="15284">
        <f>IF(HLOOKUP("Mins",A1:CV300,127,FALSE)=0,0,HLOOKUP("fsXA",A1:CV300,127,FALSE)/HLOOKUP("Mins",A1:CV300,127,FALSE)* 90)</f>
      </c>
      <c r="BW127" s="15285">
        <f>6*HLOOKUP("fsXG/90",A1:CV300,127,FALSE)+3*HLOOKUP("fsXA/90",A1:CV300,127,FALSE)</f>
      </c>
      <c r="BX127" t="n" s="15286">
        <v>0.01196423452347517</v>
      </c>
      <c r="BY127" t="n" s="15287">
        <v>0.11253707855939865</v>
      </c>
      <c r="BZ127" s="15288">
        <f>6*HLOOKUP("uXG/90",A1:CV300,127,FALSE)+3*HLOOKUP("uXA/90",A1:CV300,127,FALSE)</f>
      </c>
    </row>
    <row r="128">
      <c r="A128" t="s" s="15289">
        <v>293</v>
      </c>
      <c r="B128" t="s" s="15290">
        <v>114</v>
      </c>
      <c r="C128" t="n" s="15291">
        <v>4.199999809265137</v>
      </c>
      <c r="D128" t="n" s="15292">
        <v>347.0</v>
      </c>
      <c r="E128" t="n" s="15293">
        <v>7.0</v>
      </c>
      <c r="F128" t="n" s="15294">
        <v>25.0</v>
      </c>
      <c r="G128" t="n" s="15295">
        <v>0.0</v>
      </c>
      <c r="H128" t="n" s="15296">
        <v>3.0</v>
      </c>
      <c r="I128" t="n" s="15297">
        <v>160.0</v>
      </c>
      <c r="J128" s="15298">
        <f>HLOOKUP("BPS",A1:CV300,128,FALSE)-((-6*HLOOKUP("OG",A1:CV300,128,FALSE))+(-6*HLOOKUP("PK Miss",A1:CV300,128,FALSE))+(9*HLOOKUP("FPL As",A1:CV300,128,FALSE))+(12*HLOOKUP("CS",A1:CV300,128,FALSE))+(12*HLOOKUP("Gs",A1:CV300,128,FALSE)))</f>
      </c>
      <c r="K128" t="n" s="15299">
        <v>0.0</v>
      </c>
      <c r="L128" t="n" s="15300">
        <v>2.0</v>
      </c>
      <c r="M128" t="n" s="15301">
        <v>7.0</v>
      </c>
      <c r="N128" t="n" s="15302">
        <v>2.0</v>
      </c>
      <c r="O128" t="n" s="15303">
        <v>1.0</v>
      </c>
      <c r="P128" s="15304">
        <f>IF(HLOOKUP("Shots",A1:CV300,128,FALSE)=0,0,HLOOKUP("SIB",A1:CV300,128,FALSE)/HLOOKUP("Shots",A1:CV300,128,FALSE))</f>
      </c>
      <c r="Q128" t="n" s="15305">
        <v>0.0</v>
      </c>
      <c r="R128" s="15306">
        <f>IF(HLOOKUP("Shots",A1:CV300,128,FALSE)=0,0,HLOOKUP("S6YD",A1:CV300,128,FALSE)/HLOOKUP("Shots",A1:CV300,128,FALSE))</f>
      </c>
      <c r="S128" t="n" s="15307">
        <v>0.0</v>
      </c>
      <c r="T128" s="15308">
        <f>IF(HLOOKUP("Shots",A1:CV300,128,FALSE)=0,0,HLOOKUP("Headers",A1:CV300,128,FALSE)/HLOOKUP("Shots",A1:CV300,128,FALSE))</f>
      </c>
      <c r="U128" t="n" s="15309">
        <v>1.0</v>
      </c>
      <c r="V128" s="15310">
        <f>IF(HLOOKUP("Shots",A1:CV300,128,FALSE)=0,0,HLOOKUP("SOT",A1:CV300,128,FALSE)/HLOOKUP("Shots",A1:CV300,128,FALSE))</f>
      </c>
      <c r="W128" s="15311">
        <f>IF(HLOOKUP("Shots",A1:CV300,128,FALSE)=0,0,HLOOKUP("Gs",A1:CV300,128,FALSE)/HLOOKUP("Shots",A1:CV300,128,FALSE))</f>
      </c>
      <c r="X128" t="n" s="15312">
        <v>0.0</v>
      </c>
      <c r="Y128" t="n" s="15313">
        <v>1.0</v>
      </c>
      <c r="Z128" t="n" s="15314">
        <v>0.0</v>
      </c>
      <c r="AA128" s="15315">
        <f>IF(HLOOKUP("KP",A1:CV300,128,FALSE)=0,0,HLOOKUP("As",A1:CV300,128,FALSE)/HLOOKUP("KP",A1:CV300,128,FALSE))</f>
      </c>
      <c r="AB128" t="n" s="15316">
        <v>11.4</v>
      </c>
      <c r="AC128" t="n" s="15317">
        <v>0.0</v>
      </c>
      <c r="AD128" t="n" s="15318">
        <v>0.0</v>
      </c>
      <c r="AE128" t="n" s="15319">
        <v>0.0</v>
      </c>
      <c r="AF128" t="n" s="15320">
        <v>0.0</v>
      </c>
      <c r="AG128" s="15321">
        <f>IF(HLOOKUP("BC",A1:CV300,128,FALSE)=0,0,HLOOKUP("Gs - BC",A1:CV300,128,FALSE)/HLOOKUP("BC",A1:CV300,128,FALSE))</f>
      </c>
      <c r="AH128" s="15322">
        <f>HLOOKUP("BC",A1:CV300,128,FALSE) - HLOOKUP("BC Miss",A1:CV300,128,FALSE)</f>
      </c>
      <c r="AI128" s="15323">
        <f>IF(HLOOKUP("Gs",A1:CV300,128,FALSE)=0,0,HLOOKUP("Gs - BC",A1:CV300,128,FALSE)/HLOOKUP("Gs",A1:CV300,128,FALSE))</f>
      </c>
      <c r="AJ128" t="n" s="15324">
        <v>0.0</v>
      </c>
      <c r="AK128" t="n" s="15325">
        <v>0.0</v>
      </c>
      <c r="AL128" s="15326">
        <f>HLOOKUP("BC",A1:CV300,128,FALSE) - (HLOOKUP("PK Gs",A1:CV300,128,FALSE) + HLOOKUP("PK Miss",A1:CV300,128,FALSE))</f>
      </c>
      <c r="AM128" s="15327">
        <f>HLOOKUP("BC Miss",A1:CV300,128,FALSE) - HLOOKUP("PK Miss",A1:CV300,128,FALSE)</f>
      </c>
      <c r="AN128" s="15328">
        <f>IF(HLOOKUP("BC - Open",A1:CV300,128,FALSE)=0,0,HLOOKUP("BC - Open Miss",A1:CV300,128,FALSE)/HLOOKUP("BC - Open",A1:CV300,128,FALSE))</f>
      </c>
      <c r="AO128" t="n" s="15329">
        <v>0.0</v>
      </c>
      <c r="AP128" s="15330">
        <f>IF(HLOOKUP("Gs",A1:CV300,128,FALSE)=0,0,HLOOKUP("GIB",A1:CV300,128,FALSE)/HLOOKUP("Gs",A1:CV300,128,FALSE))</f>
      </c>
      <c r="AQ128" t="n" s="15331">
        <v>0.0</v>
      </c>
      <c r="AR128" s="15332">
        <f>IF(HLOOKUP("Gs",A1:CV300,128,FALSE)=0,0,HLOOKUP("Gs - Open",A1:CV300,128,FALSE)/HLOOKUP("Gs",A1:CV300,128,FALSE))</f>
      </c>
      <c r="AS128" t="n" s="15333">
        <v>0.06</v>
      </c>
      <c r="AT128" t="n" s="15334">
        <v>0.04</v>
      </c>
      <c r="AU128" s="15335">
        <f>IF(HLOOKUP("Mins",A1:CV300,128,FALSE)=0,0,HLOOKUP("Pts",A1:CV300,128,FALSE)/HLOOKUP("Mins",A1:CV300,128,FALSE)* 90)</f>
      </c>
      <c r="AV128" s="15336">
        <f>IF(HLOOKUP("Apps",A1:CV300,128,FALSE)=0,0,HLOOKUP("Pts",A1:CV300,128,FALSE)/HLOOKUP("Apps",A1:CV300,128,FALSE)* 1)</f>
      </c>
      <c r="AW128" s="15337">
        <f>IF(HLOOKUP("Mins",A1:CV300,128,FALSE)=0,0,HLOOKUP("Gs",A1:CV300,128,FALSE)/HLOOKUP("Mins",A1:CV300,128,FALSE)* 90)</f>
      </c>
      <c r="AX128" s="15338">
        <f>IF(HLOOKUP("Mins",A1:CV300,128,FALSE)=0,0,HLOOKUP("Bonus",A1:CV300,128,FALSE)/HLOOKUP("Mins",A1:CV300,128,FALSE)* 90)</f>
      </c>
      <c r="AY128" s="15339">
        <f>IF(HLOOKUP("Mins",A1:CV300,128,FALSE)=0,0,HLOOKUP("BPS",A1:CV300,128,FALSE)/HLOOKUP("Mins",A1:CV300,128,FALSE)* 90)</f>
      </c>
      <c r="AZ128" s="15340">
        <f>IF(HLOOKUP("Mins",A1:CV300,128,FALSE)=0,0,HLOOKUP("Base BPS",A1:CV300,128,FALSE)/HLOOKUP("Mins",A1:CV300,128,FALSE)* 90)</f>
      </c>
      <c r="BA128" s="15341">
        <f>IF(HLOOKUP("Mins",A1:CV300,128,FALSE)=0,0,HLOOKUP("PenTchs",A1:CV300,128,FALSE)/HLOOKUP("Mins",A1:CV300,128,FALSE)* 90)</f>
      </c>
      <c r="BB128" s="15342">
        <f>IF(HLOOKUP("Mins",A1:CV300,128,FALSE)=0,0,HLOOKUP("Shots",A1:CV300,128,FALSE)/HLOOKUP("Mins",A1:CV300,128,FALSE)* 90)</f>
      </c>
      <c r="BC128" s="15343">
        <f>IF(HLOOKUP("Mins",A1:CV300,128,FALSE)=0,0,HLOOKUP("SIB",A1:CV300,128,FALSE)/HLOOKUP("Mins",A1:CV300,128,FALSE)* 90)</f>
      </c>
      <c r="BD128" s="15344">
        <f>IF(HLOOKUP("Mins",A1:CV300,128,FALSE)=0,0,HLOOKUP("S6YD",A1:CV300,128,FALSE)/HLOOKUP("Mins",A1:CV300,128,FALSE)* 90)</f>
      </c>
      <c r="BE128" s="15345">
        <f>IF(HLOOKUP("Mins",A1:CV300,128,FALSE)=0,0,HLOOKUP("Headers",A1:CV300,128,FALSE)/HLOOKUP("Mins",A1:CV300,128,FALSE)* 90)</f>
      </c>
      <c r="BF128" s="15346">
        <f>IF(HLOOKUP("Mins",A1:CV300,128,FALSE)=0,0,HLOOKUP("SOT",A1:CV300,128,FALSE)/HLOOKUP("Mins",A1:CV300,128,FALSE)* 90)</f>
      </c>
      <c r="BG128" s="15347">
        <f>IF(HLOOKUP("Mins",A1:CV300,128,FALSE)=0,0,HLOOKUP("As",A1:CV300,128,FALSE)/HLOOKUP("Mins",A1:CV300,128,FALSE)* 90)</f>
      </c>
      <c r="BH128" s="15348">
        <f>IF(HLOOKUP("Mins",A1:CV300,128,FALSE)=0,0,HLOOKUP("FPL As",A1:CV300,128,FALSE)/HLOOKUP("Mins",A1:CV300,128,FALSE)* 90)</f>
      </c>
      <c r="BI128" s="15349">
        <f>IF(HLOOKUP("Mins",A1:CV300,128,FALSE)=0,0,HLOOKUP("BC Created",A1:CV300,128,FALSE)/HLOOKUP("Mins",A1:CV300,128,FALSE)* 90)</f>
      </c>
      <c r="BJ128" s="15350">
        <f>IF(HLOOKUP("Mins",A1:CV300,128,FALSE)=0,0,HLOOKUP("KP",A1:CV300,128,FALSE)/HLOOKUP("Mins",A1:CV300,128,FALSE)* 90)</f>
      </c>
      <c r="BK128" s="15351">
        <f>IF(HLOOKUP("Mins",A1:CV300,128,FALSE)=0,0,HLOOKUP("BC",A1:CV300,128,FALSE)/HLOOKUP("Mins",A1:CV300,128,FALSE)* 90)</f>
      </c>
      <c r="BL128" s="15352">
        <f>IF(HLOOKUP("Mins",A1:CV300,128,FALSE)=0,0,HLOOKUP("BC Miss",A1:CV300,128,FALSE)/HLOOKUP("Mins",A1:CV300,128,FALSE)* 90)</f>
      </c>
      <c r="BM128" s="15353">
        <f>IF(HLOOKUP("Mins",A1:CV300,128,FALSE)=0,0,HLOOKUP("Gs - BC",A1:CV300,128,FALSE)/HLOOKUP("Mins",A1:CV300,128,FALSE)* 90)</f>
      </c>
      <c r="BN128" s="15354">
        <f>IF(HLOOKUP("Mins",A1:CV300,128,FALSE)=0,0,HLOOKUP("GIB",A1:CV300,128,FALSE)/HLOOKUP("Mins",A1:CV300,128,FALSE)* 90)</f>
      </c>
      <c r="BO128" s="15355">
        <f>IF(HLOOKUP("Mins",A1:CV300,128,FALSE)=0,0,HLOOKUP("Gs - Open",A1:CV300,128,FALSE)/HLOOKUP("Mins",A1:CV300,128,FALSE)* 90)</f>
      </c>
      <c r="BP128" s="15356">
        <f>IF(HLOOKUP("Mins",A1:CV300,128,FALSE)=0,0,HLOOKUP("ICT Index",A1:CV300,128,FALSE)/HLOOKUP("Mins",A1:CV300,128,FALSE)* 90)</f>
      </c>
      <c r="BQ128" s="15357">
        <f>IF(HLOOKUP("Mins",A1:CV300,128,FALSE)=0,0,(0.02*(HLOOKUP("Shots",A1:CV300,128,FALSE)-HLOOKUP("SIB",A1:CV300,128,FALSE))+0.093*(HLOOKUP("SIB",A1:CV300,128,FALSE)-(HLOOKUP("PK Gs",A1:CV300,128,FALSE)+HLOOKUP("PK Miss",A1:CV300,128,FALSE)))+0.75*(HLOOKUP("PK Gs",A1:CV300,128,FALSE)+HLOOKUP("PK Miss",A1:CV300,128,FALSE)))/HLOOKUP("Mins",A1:CV300,128,FALSE)*90)</f>
      </c>
      <c r="BR128" s="15358">
        <f>0.0825*HLOOKUP("KP/90",A1:CV300,128,FALSE)</f>
      </c>
      <c r="BS128" s="15359">
        <f>6*HLOOKUP("xG/90",A1:CV300,128,FALSE)+3*HLOOKUP("xA/90",A1:CV300,128,FALSE)</f>
      </c>
      <c r="BT128" s="15360">
        <f>HLOOKUP("xPts/90",A1:CV300,128,FALSE)-(6*0.75*(HLOOKUP("PK Gs",A1:CV300,128,FALSE)+HLOOKUP("PK Miss",A1:CV300,128,FALSE))*90/HLOOKUP("Mins",A1:CV300,128,FALSE))</f>
      </c>
      <c r="BU128" s="15361">
        <f>IF(HLOOKUP("Mins",A1:CV300,128,FALSE)=0,0,HLOOKUP("fsXG",A1:CV300,128,FALSE)/HLOOKUP("Mins",A1:CV300,128,FALSE)* 90)</f>
      </c>
      <c r="BV128" s="15362">
        <f>IF(HLOOKUP("Mins",A1:CV300,128,FALSE)=0,0,HLOOKUP("fsXA",A1:CV300,128,FALSE)/HLOOKUP("Mins",A1:CV300,128,FALSE)* 90)</f>
      </c>
      <c r="BW128" s="15363">
        <f>6*HLOOKUP("fsXG/90",A1:CV300,128,FALSE)+3*HLOOKUP("fsXA/90",A1:CV300,128,FALSE)</f>
      </c>
      <c r="BX128" t="n" s="15364">
        <v>0.013600950129330158</v>
      </c>
      <c r="BY128" t="n" s="15365">
        <v>0.0</v>
      </c>
      <c r="BZ128" s="15366">
        <f>6*HLOOKUP("uXG/90",A1:CV300,128,FALSE)+3*HLOOKUP("uXA/90",A1:CV300,128,FALSE)</f>
      </c>
    </row>
    <row r="129">
      <c r="A129" t="s" s="15367">
        <v>294</v>
      </c>
      <c r="B129" t="s" s="15368">
        <v>131</v>
      </c>
      <c r="C129" t="n" s="15369">
        <v>4.199999809265137</v>
      </c>
      <c r="D129" t="n" s="15370">
        <v>41.0</v>
      </c>
      <c r="E129" t="n" s="15371">
        <v>2.0</v>
      </c>
      <c r="F129" t="n" s="15372">
        <v>15.0</v>
      </c>
      <c r="G129" t="n" s="15373">
        <v>0.0</v>
      </c>
      <c r="H129" t="n" s="15374">
        <v>0.0</v>
      </c>
      <c r="I129" t="n" s="15375">
        <v>77.0</v>
      </c>
      <c r="J129" s="15376">
        <f>HLOOKUP("BPS",A1:CV300,129,FALSE)-((-6*HLOOKUP("OG",A1:CV300,129,FALSE))+(-6*HLOOKUP("PK Miss",A1:CV300,129,FALSE))+(9*HLOOKUP("FPL As",A1:CV300,129,FALSE))+(12*HLOOKUP("CS",A1:CV300,129,FALSE))+(12*HLOOKUP("Gs",A1:CV300,129,FALSE)))</f>
      </c>
      <c r="K129" t="n" s="15377">
        <v>0.0</v>
      </c>
      <c r="L129" t="n" s="15378">
        <v>1.0</v>
      </c>
      <c r="M129" t="n" s="15379">
        <v>2.0</v>
      </c>
      <c r="N129" t="n" s="15380">
        <v>1.0</v>
      </c>
      <c r="O129" t="n" s="15381">
        <v>1.0</v>
      </c>
      <c r="P129" s="15382">
        <f>IF(HLOOKUP("Shots",A1:CV300,129,FALSE)=0,0,HLOOKUP("SIB",A1:CV300,129,FALSE)/HLOOKUP("Shots",A1:CV300,129,FALSE))</f>
      </c>
      <c r="Q129" t="n" s="15383">
        <v>0.0</v>
      </c>
      <c r="R129" s="15384">
        <f>IF(HLOOKUP("Shots",A1:CV300,129,FALSE)=0,0,HLOOKUP("S6YD",A1:CV300,129,FALSE)/HLOOKUP("Shots",A1:CV300,129,FALSE))</f>
      </c>
      <c r="S129" t="n" s="15385">
        <v>0.0</v>
      </c>
      <c r="T129" s="15386">
        <f>IF(HLOOKUP("Shots",A1:CV300,129,FALSE)=0,0,HLOOKUP("Headers",A1:CV300,129,FALSE)/HLOOKUP("Shots",A1:CV300,129,FALSE))</f>
      </c>
      <c r="U129" t="n" s="15387">
        <v>0.0</v>
      </c>
      <c r="V129" s="15388">
        <f>IF(HLOOKUP("Shots",A1:CV300,129,FALSE)=0,0,HLOOKUP("SOT",A1:CV300,129,FALSE)/HLOOKUP("Shots",A1:CV300,129,FALSE))</f>
      </c>
      <c r="W129" s="15389">
        <f>IF(HLOOKUP("Shots",A1:CV300,129,FALSE)=0,0,HLOOKUP("Gs",A1:CV300,129,FALSE)/HLOOKUP("Shots",A1:CV300,129,FALSE))</f>
      </c>
      <c r="X129" t="n" s="15390">
        <v>0.0</v>
      </c>
      <c r="Y129" t="n" s="15391">
        <v>0.0</v>
      </c>
      <c r="Z129" t="n" s="15392">
        <v>2.0</v>
      </c>
      <c r="AA129" s="15393">
        <f>IF(HLOOKUP("KP",A1:CV300,129,FALSE)=0,0,HLOOKUP("As",A1:CV300,129,FALSE)/HLOOKUP("KP",A1:CV300,129,FALSE))</f>
      </c>
      <c r="AB129" t="n" s="15394">
        <v>5.7</v>
      </c>
      <c r="AC129" t="n" s="15395">
        <v>0.0</v>
      </c>
      <c r="AD129" t="n" s="15396">
        <v>1.0</v>
      </c>
      <c r="AE129" t="n" s="15397">
        <v>0.0</v>
      </c>
      <c r="AF129" t="n" s="15398">
        <v>0.0</v>
      </c>
      <c r="AG129" s="15399">
        <f>IF(HLOOKUP("BC",A1:CV300,129,FALSE)=0,0,HLOOKUP("Gs - BC",A1:CV300,129,FALSE)/HLOOKUP("BC",A1:CV300,129,FALSE))</f>
      </c>
      <c r="AH129" s="15400">
        <f>HLOOKUP("BC",A1:CV300,129,FALSE) - HLOOKUP("BC Miss",A1:CV300,129,FALSE)</f>
      </c>
      <c r="AI129" s="15401">
        <f>IF(HLOOKUP("Gs",A1:CV300,129,FALSE)=0,0,HLOOKUP("Gs - BC",A1:CV300,129,FALSE)/HLOOKUP("Gs",A1:CV300,129,FALSE))</f>
      </c>
      <c r="AJ129" t="n" s="15402">
        <v>0.0</v>
      </c>
      <c r="AK129" t="n" s="15403">
        <v>0.0</v>
      </c>
      <c r="AL129" s="15404">
        <f>HLOOKUP("BC",A1:CV300,129,FALSE) - (HLOOKUP("PK Gs",A1:CV300,129,FALSE) + HLOOKUP("PK Miss",A1:CV300,129,FALSE))</f>
      </c>
      <c r="AM129" s="15405">
        <f>HLOOKUP("BC Miss",A1:CV300,129,FALSE) - HLOOKUP("PK Miss",A1:CV300,129,FALSE)</f>
      </c>
      <c r="AN129" s="15406">
        <f>IF(HLOOKUP("BC - Open",A1:CV300,129,FALSE)=0,0,HLOOKUP("BC - Open Miss",A1:CV300,129,FALSE)/HLOOKUP("BC - Open",A1:CV300,129,FALSE))</f>
      </c>
      <c r="AO129" t="n" s="15407">
        <v>0.0</v>
      </c>
      <c r="AP129" s="15408">
        <f>IF(HLOOKUP("Gs",A1:CV300,129,FALSE)=0,0,HLOOKUP("GIB",A1:CV300,129,FALSE)/HLOOKUP("Gs",A1:CV300,129,FALSE))</f>
      </c>
      <c r="AQ129" t="n" s="15409">
        <v>0.0</v>
      </c>
      <c r="AR129" s="15410">
        <f>IF(HLOOKUP("Gs",A1:CV300,129,FALSE)=0,0,HLOOKUP("Gs - Open",A1:CV300,129,FALSE)/HLOOKUP("Gs",A1:CV300,129,FALSE))</f>
      </c>
      <c r="AS129" t="n" s="15411">
        <v>0.07</v>
      </c>
      <c r="AT129" t="n" s="15412">
        <v>0.18</v>
      </c>
      <c r="AU129" s="15413">
        <f>IF(HLOOKUP("Mins",A1:CV300,129,FALSE)=0,0,HLOOKUP("Pts",A1:CV300,129,FALSE)/HLOOKUP("Mins",A1:CV300,129,FALSE)* 90)</f>
      </c>
      <c r="AV129" s="15414">
        <f>IF(HLOOKUP("Apps",A1:CV300,129,FALSE)=0,0,HLOOKUP("Pts",A1:CV300,129,FALSE)/HLOOKUP("Apps",A1:CV300,129,FALSE)* 1)</f>
      </c>
      <c r="AW129" s="15415">
        <f>IF(HLOOKUP("Mins",A1:CV300,129,FALSE)=0,0,HLOOKUP("Gs",A1:CV300,129,FALSE)/HLOOKUP("Mins",A1:CV300,129,FALSE)* 90)</f>
      </c>
      <c r="AX129" s="15416">
        <f>IF(HLOOKUP("Mins",A1:CV300,129,FALSE)=0,0,HLOOKUP("Bonus",A1:CV300,129,FALSE)/HLOOKUP("Mins",A1:CV300,129,FALSE)* 90)</f>
      </c>
      <c r="AY129" s="15417">
        <f>IF(HLOOKUP("Mins",A1:CV300,129,FALSE)=0,0,HLOOKUP("BPS",A1:CV300,129,FALSE)/HLOOKUP("Mins",A1:CV300,129,FALSE)* 90)</f>
      </c>
      <c r="AZ129" s="15418">
        <f>IF(HLOOKUP("Mins",A1:CV300,129,FALSE)=0,0,HLOOKUP("Base BPS",A1:CV300,129,FALSE)/HLOOKUP("Mins",A1:CV300,129,FALSE)* 90)</f>
      </c>
      <c r="BA129" s="15419">
        <f>IF(HLOOKUP("Mins",A1:CV300,129,FALSE)=0,0,HLOOKUP("PenTchs",A1:CV300,129,FALSE)/HLOOKUP("Mins",A1:CV300,129,FALSE)* 90)</f>
      </c>
      <c r="BB129" s="15420">
        <f>IF(HLOOKUP("Mins",A1:CV300,129,FALSE)=0,0,HLOOKUP("Shots",A1:CV300,129,FALSE)/HLOOKUP("Mins",A1:CV300,129,FALSE)* 90)</f>
      </c>
      <c r="BC129" s="15421">
        <f>IF(HLOOKUP("Mins",A1:CV300,129,FALSE)=0,0,HLOOKUP("SIB",A1:CV300,129,FALSE)/HLOOKUP("Mins",A1:CV300,129,FALSE)* 90)</f>
      </c>
      <c r="BD129" s="15422">
        <f>IF(HLOOKUP("Mins",A1:CV300,129,FALSE)=0,0,HLOOKUP("S6YD",A1:CV300,129,FALSE)/HLOOKUP("Mins",A1:CV300,129,FALSE)* 90)</f>
      </c>
      <c r="BE129" s="15423">
        <f>IF(HLOOKUP("Mins",A1:CV300,129,FALSE)=0,0,HLOOKUP("Headers",A1:CV300,129,FALSE)/HLOOKUP("Mins",A1:CV300,129,FALSE)* 90)</f>
      </c>
      <c r="BF129" s="15424">
        <f>IF(HLOOKUP("Mins",A1:CV300,129,FALSE)=0,0,HLOOKUP("SOT",A1:CV300,129,FALSE)/HLOOKUP("Mins",A1:CV300,129,FALSE)* 90)</f>
      </c>
      <c r="BG129" s="15425">
        <f>IF(HLOOKUP("Mins",A1:CV300,129,FALSE)=0,0,HLOOKUP("As",A1:CV300,129,FALSE)/HLOOKUP("Mins",A1:CV300,129,FALSE)* 90)</f>
      </c>
      <c r="BH129" s="15426">
        <f>IF(HLOOKUP("Mins",A1:CV300,129,FALSE)=0,0,HLOOKUP("FPL As",A1:CV300,129,FALSE)/HLOOKUP("Mins",A1:CV300,129,FALSE)* 90)</f>
      </c>
      <c r="BI129" s="15427">
        <f>IF(HLOOKUP("Mins",A1:CV300,129,FALSE)=0,0,HLOOKUP("BC Created",A1:CV300,129,FALSE)/HLOOKUP("Mins",A1:CV300,129,FALSE)* 90)</f>
      </c>
      <c r="BJ129" s="15428">
        <f>IF(HLOOKUP("Mins",A1:CV300,129,FALSE)=0,0,HLOOKUP("KP",A1:CV300,129,FALSE)/HLOOKUP("Mins",A1:CV300,129,FALSE)* 90)</f>
      </c>
      <c r="BK129" s="15429">
        <f>IF(HLOOKUP("Mins",A1:CV300,129,FALSE)=0,0,HLOOKUP("BC",A1:CV300,129,FALSE)/HLOOKUP("Mins",A1:CV300,129,FALSE)* 90)</f>
      </c>
      <c r="BL129" s="15430">
        <f>IF(HLOOKUP("Mins",A1:CV300,129,FALSE)=0,0,HLOOKUP("BC Miss",A1:CV300,129,FALSE)/HLOOKUP("Mins",A1:CV300,129,FALSE)* 90)</f>
      </c>
      <c r="BM129" s="15431">
        <f>IF(HLOOKUP("Mins",A1:CV300,129,FALSE)=0,0,HLOOKUP("Gs - BC",A1:CV300,129,FALSE)/HLOOKUP("Mins",A1:CV300,129,FALSE)* 90)</f>
      </c>
      <c r="BN129" s="15432">
        <f>IF(HLOOKUP("Mins",A1:CV300,129,FALSE)=0,0,HLOOKUP("GIB",A1:CV300,129,FALSE)/HLOOKUP("Mins",A1:CV300,129,FALSE)* 90)</f>
      </c>
      <c r="BO129" s="15433">
        <f>IF(HLOOKUP("Mins",A1:CV300,129,FALSE)=0,0,HLOOKUP("Gs - Open",A1:CV300,129,FALSE)/HLOOKUP("Mins",A1:CV300,129,FALSE)* 90)</f>
      </c>
      <c r="BP129" s="15434">
        <f>IF(HLOOKUP("Mins",A1:CV300,129,FALSE)=0,0,HLOOKUP("ICT Index",A1:CV300,129,FALSE)/HLOOKUP("Mins",A1:CV300,129,FALSE)* 90)</f>
      </c>
      <c r="BQ129" s="15435">
        <f>IF(HLOOKUP("Mins",A1:CV300,129,FALSE)=0,0,(0.02*(HLOOKUP("Shots",A1:CV300,129,FALSE)-HLOOKUP("SIB",A1:CV300,129,FALSE))+0.093*(HLOOKUP("SIB",A1:CV300,129,FALSE)-(HLOOKUP("PK Gs",A1:CV300,129,FALSE)+HLOOKUP("PK Miss",A1:CV300,129,FALSE)))+0.75*(HLOOKUP("PK Gs",A1:CV300,129,FALSE)+HLOOKUP("PK Miss",A1:CV300,129,FALSE)))/HLOOKUP("Mins",A1:CV300,129,FALSE)*90)</f>
      </c>
      <c r="BR129" s="15436">
        <f>0.0825*HLOOKUP("KP/90",A1:CV300,129,FALSE)</f>
      </c>
      <c r="BS129" s="15437">
        <f>6*HLOOKUP("xG/90",A1:CV300,129,FALSE)+3*HLOOKUP("xA/90",A1:CV300,129,FALSE)</f>
      </c>
      <c r="BT129" s="15438">
        <f>HLOOKUP("xPts/90",A1:CV300,129,FALSE)-(6*0.75*(HLOOKUP("PK Gs",A1:CV300,129,FALSE)+HLOOKUP("PK Miss",A1:CV300,129,FALSE))*90/HLOOKUP("Mins",A1:CV300,129,FALSE))</f>
      </c>
      <c r="BU129" s="15439">
        <f>IF(HLOOKUP("Mins",A1:CV300,129,FALSE)=0,0,HLOOKUP("fsXG",A1:CV300,129,FALSE)/HLOOKUP("Mins",A1:CV300,129,FALSE)* 90)</f>
      </c>
      <c r="BV129" s="15440">
        <f>IF(HLOOKUP("Mins",A1:CV300,129,FALSE)=0,0,HLOOKUP("fsXA",A1:CV300,129,FALSE)/HLOOKUP("Mins",A1:CV300,129,FALSE)* 90)</f>
      </c>
      <c r="BW129" s="15441">
        <f>6*HLOOKUP("fsXG/90",A1:CV300,129,FALSE)+3*HLOOKUP("fsXA/90",A1:CV300,129,FALSE)</f>
      </c>
      <c r="BX129" t="n" s="15442">
        <v>0.18532247841358185</v>
      </c>
      <c r="BY129" t="n" s="15443">
        <v>0.9732199311256409</v>
      </c>
      <c r="BZ129" s="15444">
        <f>6*HLOOKUP("uXG/90",A1:CV300,129,FALSE)+3*HLOOKUP("uXA/90",A1:CV300,129,FALSE)</f>
      </c>
    </row>
    <row r="130">
      <c r="A130" t="s" s="15445">
        <v>295</v>
      </c>
      <c r="B130" t="s" s="15446">
        <v>87</v>
      </c>
      <c r="C130" t="n" s="15447">
        <v>4.400000095367432</v>
      </c>
      <c r="D130" t="n" s="15448">
        <v>450.0</v>
      </c>
      <c r="E130" t="n" s="15449">
        <v>5.0</v>
      </c>
      <c r="F130" t="n" s="15450">
        <v>48.0</v>
      </c>
      <c r="G130" t="n" s="15451">
        <v>0.0</v>
      </c>
      <c r="H130" t="n" s="15452">
        <v>2.0</v>
      </c>
      <c r="I130" t="n" s="15453">
        <v>286.0</v>
      </c>
      <c r="J130" s="15454">
        <f>HLOOKUP("BPS",A1:CV300,130,FALSE)-((-6*HLOOKUP("OG",A1:CV300,130,FALSE))+(-6*HLOOKUP("PK Miss",A1:CV300,130,FALSE))+(9*HLOOKUP("FPL As",A1:CV300,130,FALSE))+(12*HLOOKUP("CS",A1:CV300,130,FALSE))+(12*HLOOKUP("Gs",A1:CV300,130,FALSE)))</f>
      </c>
      <c r="K130" t="n" s="15455">
        <v>0.0</v>
      </c>
      <c r="L130" t="n" s="15456">
        <v>4.0</v>
      </c>
      <c r="M130" t="n" s="15457">
        <v>3.0</v>
      </c>
      <c r="N130" t="n" s="15458">
        <v>1.0</v>
      </c>
      <c r="O130" t="n" s="15459">
        <v>1.0</v>
      </c>
      <c r="P130" s="15460">
        <f>IF(HLOOKUP("Shots",A1:CV300,130,FALSE)=0,0,HLOOKUP("SIB",A1:CV300,130,FALSE)/HLOOKUP("Shots",A1:CV300,130,FALSE))</f>
      </c>
      <c r="Q130" t="n" s="15461">
        <v>0.0</v>
      </c>
      <c r="R130" s="15462">
        <f>IF(HLOOKUP("Shots",A1:CV300,130,FALSE)=0,0,HLOOKUP("S6YD",A1:CV300,130,FALSE)/HLOOKUP("Shots",A1:CV300,130,FALSE))</f>
      </c>
      <c r="S130" t="n" s="15463">
        <v>0.0</v>
      </c>
      <c r="T130" s="15464">
        <f>IF(HLOOKUP("Shots",A1:CV300,130,FALSE)=0,0,HLOOKUP("Headers",A1:CV300,130,FALSE)/HLOOKUP("Shots",A1:CV300,130,FALSE))</f>
      </c>
      <c r="U130" t="n" s="15465">
        <v>0.0</v>
      </c>
      <c r="V130" s="15466">
        <f>IF(HLOOKUP("Shots",A1:CV300,130,FALSE)=0,0,HLOOKUP("SOT",A1:CV300,130,FALSE)/HLOOKUP("Shots",A1:CV300,130,FALSE))</f>
      </c>
      <c r="W130" s="15467">
        <f>IF(HLOOKUP("Shots",A1:CV300,130,FALSE)=0,0,HLOOKUP("Gs",A1:CV300,130,FALSE)/HLOOKUP("Shots",A1:CV300,130,FALSE))</f>
      </c>
      <c r="X130" t="n" s="15468">
        <v>0.0</v>
      </c>
      <c r="Y130" t="n" s="15469">
        <v>2.0</v>
      </c>
      <c r="Z130" t="n" s="15470">
        <v>3.0</v>
      </c>
      <c r="AA130" s="15471">
        <f>IF(HLOOKUP("KP",A1:CV300,130,FALSE)=0,0,HLOOKUP("As",A1:CV300,130,FALSE)/HLOOKUP("KP",A1:CV300,130,FALSE))</f>
      </c>
      <c r="AB130" t="n" s="15472">
        <v>15.6</v>
      </c>
      <c r="AC130" t="n" s="15473">
        <v>0.0</v>
      </c>
      <c r="AD130" t="n" s="15474">
        <v>0.0</v>
      </c>
      <c r="AE130" t="n" s="15475">
        <v>0.0</v>
      </c>
      <c r="AF130" t="n" s="15476">
        <v>0.0</v>
      </c>
      <c r="AG130" s="15477">
        <f>IF(HLOOKUP("BC",A1:CV300,130,FALSE)=0,0,HLOOKUP("Gs - BC",A1:CV300,130,FALSE)/HLOOKUP("BC",A1:CV300,130,FALSE))</f>
      </c>
      <c r="AH130" s="15478">
        <f>HLOOKUP("BC",A1:CV300,130,FALSE) - HLOOKUP("BC Miss",A1:CV300,130,FALSE)</f>
      </c>
      <c r="AI130" s="15479">
        <f>IF(HLOOKUP("Gs",A1:CV300,130,FALSE)=0,0,HLOOKUP("Gs - BC",A1:CV300,130,FALSE)/HLOOKUP("Gs",A1:CV300,130,FALSE))</f>
      </c>
      <c r="AJ130" t="n" s="15480">
        <v>0.0</v>
      </c>
      <c r="AK130" t="n" s="15481">
        <v>0.0</v>
      </c>
      <c r="AL130" s="15482">
        <f>HLOOKUP("BC",A1:CV300,130,FALSE) - (HLOOKUP("PK Gs",A1:CV300,130,FALSE) + HLOOKUP("PK Miss",A1:CV300,130,FALSE))</f>
      </c>
      <c r="AM130" s="15483">
        <f>HLOOKUP("BC Miss",A1:CV300,130,FALSE) - HLOOKUP("PK Miss",A1:CV300,130,FALSE)</f>
      </c>
      <c r="AN130" s="15484">
        <f>IF(HLOOKUP("BC - Open",A1:CV300,130,FALSE)=0,0,HLOOKUP("BC - Open Miss",A1:CV300,130,FALSE)/HLOOKUP("BC - Open",A1:CV300,130,FALSE))</f>
      </c>
      <c r="AO130" t="n" s="15485">
        <v>0.0</v>
      </c>
      <c r="AP130" s="15486">
        <f>IF(HLOOKUP("Gs",A1:CV300,130,FALSE)=0,0,HLOOKUP("GIB",A1:CV300,130,FALSE)/HLOOKUP("Gs",A1:CV300,130,FALSE))</f>
      </c>
      <c r="AQ130" t="n" s="15487">
        <v>0.0</v>
      </c>
      <c r="AR130" s="15488">
        <f>IF(HLOOKUP("Gs",A1:CV300,130,FALSE)=0,0,HLOOKUP("Gs - Open",A1:CV300,130,FALSE)/HLOOKUP("Gs",A1:CV300,130,FALSE))</f>
      </c>
      <c r="AS130" t="n" s="15489">
        <v>0.07</v>
      </c>
      <c r="AT130" t="n" s="15490">
        <v>0.33</v>
      </c>
      <c r="AU130" s="15491">
        <f>IF(HLOOKUP("Mins",A1:CV300,130,FALSE)=0,0,HLOOKUP("Pts",A1:CV300,130,FALSE)/HLOOKUP("Mins",A1:CV300,130,FALSE)* 90)</f>
      </c>
      <c r="AV130" s="15492">
        <f>IF(HLOOKUP("Apps",A1:CV300,130,FALSE)=0,0,HLOOKUP("Pts",A1:CV300,130,FALSE)/HLOOKUP("Apps",A1:CV300,130,FALSE)* 1)</f>
      </c>
      <c r="AW130" s="15493">
        <f>IF(HLOOKUP("Mins",A1:CV300,130,FALSE)=0,0,HLOOKUP("Gs",A1:CV300,130,FALSE)/HLOOKUP("Mins",A1:CV300,130,FALSE)* 90)</f>
      </c>
      <c r="AX130" s="15494">
        <f>IF(HLOOKUP("Mins",A1:CV300,130,FALSE)=0,0,HLOOKUP("Bonus",A1:CV300,130,FALSE)/HLOOKUP("Mins",A1:CV300,130,FALSE)* 90)</f>
      </c>
      <c r="AY130" s="15495">
        <f>IF(HLOOKUP("Mins",A1:CV300,130,FALSE)=0,0,HLOOKUP("BPS",A1:CV300,130,FALSE)/HLOOKUP("Mins",A1:CV300,130,FALSE)* 90)</f>
      </c>
      <c r="AZ130" s="15496">
        <f>IF(HLOOKUP("Mins",A1:CV300,130,FALSE)=0,0,HLOOKUP("Base BPS",A1:CV300,130,FALSE)/HLOOKUP("Mins",A1:CV300,130,FALSE)* 90)</f>
      </c>
      <c r="BA130" s="15497">
        <f>IF(HLOOKUP("Mins",A1:CV300,130,FALSE)=0,0,HLOOKUP("PenTchs",A1:CV300,130,FALSE)/HLOOKUP("Mins",A1:CV300,130,FALSE)* 90)</f>
      </c>
      <c r="BB130" s="15498">
        <f>IF(HLOOKUP("Mins",A1:CV300,130,FALSE)=0,0,HLOOKUP("Shots",A1:CV300,130,FALSE)/HLOOKUP("Mins",A1:CV300,130,FALSE)* 90)</f>
      </c>
      <c r="BC130" s="15499">
        <f>IF(HLOOKUP("Mins",A1:CV300,130,FALSE)=0,0,HLOOKUP("SIB",A1:CV300,130,FALSE)/HLOOKUP("Mins",A1:CV300,130,FALSE)* 90)</f>
      </c>
      <c r="BD130" s="15500">
        <f>IF(HLOOKUP("Mins",A1:CV300,130,FALSE)=0,0,HLOOKUP("S6YD",A1:CV300,130,FALSE)/HLOOKUP("Mins",A1:CV300,130,FALSE)* 90)</f>
      </c>
      <c r="BE130" s="15501">
        <f>IF(HLOOKUP("Mins",A1:CV300,130,FALSE)=0,0,HLOOKUP("Headers",A1:CV300,130,FALSE)/HLOOKUP("Mins",A1:CV300,130,FALSE)* 90)</f>
      </c>
      <c r="BF130" s="15502">
        <f>IF(HLOOKUP("Mins",A1:CV300,130,FALSE)=0,0,HLOOKUP("SOT",A1:CV300,130,FALSE)/HLOOKUP("Mins",A1:CV300,130,FALSE)* 90)</f>
      </c>
      <c r="BG130" s="15503">
        <f>IF(HLOOKUP("Mins",A1:CV300,130,FALSE)=0,0,HLOOKUP("As",A1:CV300,130,FALSE)/HLOOKUP("Mins",A1:CV300,130,FALSE)* 90)</f>
      </c>
      <c r="BH130" s="15504">
        <f>IF(HLOOKUP("Mins",A1:CV300,130,FALSE)=0,0,HLOOKUP("FPL As",A1:CV300,130,FALSE)/HLOOKUP("Mins",A1:CV300,130,FALSE)* 90)</f>
      </c>
      <c r="BI130" s="15505">
        <f>IF(HLOOKUP("Mins",A1:CV300,130,FALSE)=0,0,HLOOKUP("BC Created",A1:CV300,130,FALSE)/HLOOKUP("Mins",A1:CV300,130,FALSE)* 90)</f>
      </c>
      <c r="BJ130" s="15506">
        <f>IF(HLOOKUP("Mins",A1:CV300,130,FALSE)=0,0,HLOOKUP("KP",A1:CV300,130,FALSE)/HLOOKUP("Mins",A1:CV300,130,FALSE)* 90)</f>
      </c>
      <c r="BK130" s="15507">
        <f>IF(HLOOKUP("Mins",A1:CV300,130,FALSE)=0,0,HLOOKUP("BC",A1:CV300,130,FALSE)/HLOOKUP("Mins",A1:CV300,130,FALSE)* 90)</f>
      </c>
      <c r="BL130" s="15508">
        <f>IF(HLOOKUP("Mins",A1:CV300,130,FALSE)=0,0,HLOOKUP("BC Miss",A1:CV300,130,FALSE)/HLOOKUP("Mins",A1:CV300,130,FALSE)* 90)</f>
      </c>
      <c r="BM130" s="15509">
        <f>IF(HLOOKUP("Mins",A1:CV300,130,FALSE)=0,0,HLOOKUP("Gs - BC",A1:CV300,130,FALSE)/HLOOKUP("Mins",A1:CV300,130,FALSE)* 90)</f>
      </c>
      <c r="BN130" s="15510">
        <f>IF(HLOOKUP("Mins",A1:CV300,130,FALSE)=0,0,HLOOKUP("GIB",A1:CV300,130,FALSE)/HLOOKUP("Mins",A1:CV300,130,FALSE)* 90)</f>
      </c>
      <c r="BO130" s="15511">
        <f>IF(HLOOKUP("Mins",A1:CV300,130,FALSE)=0,0,HLOOKUP("Gs - Open",A1:CV300,130,FALSE)/HLOOKUP("Mins",A1:CV300,130,FALSE)* 90)</f>
      </c>
      <c r="BP130" s="15512">
        <f>IF(HLOOKUP("Mins",A1:CV300,130,FALSE)=0,0,HLOOKUP("ICT Index",A1:CV300,130,FALSE)/HLOOKUP("Mins",A1:CV300,130,FALSE)* 90)</f>
      </c>
      <c r="BQ130" s="15513">
        <f>IF(HLOOKUP("Mins",A1:CV300,130,FALSE)=0,0,(0.02*(HLOOKUP("Shots",A1:CV300,130,FALSE)-HLOOKUP("SIB",A1:CV300,130,FALSE))+0.093*(HLOOKUP("SIB",A1:CV300,130,FALSE)-(HLOOKUP("PK Gs",A1:CV300,130,FALSE)+HLOOKUP("PK Miss",A1:CV300,130,FALSE)))+0.75*(HLOOKUP("PK Gs",A1:CV300,130,FALSE)+HLOOKUP("PK Miss",A1:CV300,130,FALSE)))/HLOOKUP("Mins",A1:CV300,130,FALSE)*90)</f>
      </c>
      <c r="BR130" s="15514">
        <f>0.0825*HLOOKUP("KP/90",A1:CV300,130,FALSE)</f>
      </c>
      <c r="BS130" s="15515">
        <f>6*HLOOKUP("xG/90",A1:CV300,130,FALSE)+3*HLOOKUP("xA/90",A1:CV300,130,FALSE)</f>
      </c>
      <c r="BT130" s="15516">
        <f>HLOOKUP("xPts/90",A1:CV300,130,FALSE)-(6*0.75*(HLOOKUP("PK Gs",A1:CV300,130,FALSE)+HLOOKUP("PK Miss",A1:CV300,130,FALSE))*90/HLOOKUP("Mins",A1:CV300,130,FALSE))</f>
      </c>
      <c r="BU130" s="15517">
        <f>IF(HLOOKUP("Mins",A1:CV300,130,FALSE)=0,0,HLOOKUP("fsXG",A1:CV300,130,FALSE)/HLOOKUP("Mins",A1:CV300,130,FALSE)* 90)</f>
      </c>
      <c r="BV130" s="15518">
        <f>IF(HLOOKUP("Mins",A1:CV300,130,FALSE)=0,0,HLOOKUP("fsXA",A1:CV300,130,FALSE)/HLOOKUP("Mins",A1:CV300,130,FALSE)* 90)</f>
      </c>
      <c r="BW130" s="15519">
        <f>6*HLOOKUP("fsXG/90",A1:CV300,130,FALSE)+3*HLOOKUP("fsXA/90",A1:CV300,130,FALSE)</f>
      </c>
      <c r="BX130" t="n" s="15520">
        <v>0.014389438554644585</v>
      </c>
      <c r="BY130" t="n" s="15521">
        <v>0.04534497484564781</v>
      </c>
      <c r="BZ130" s="15522">
        <f>6*HLOOKUP("uXG/90",A1:CV300,130,FALSE)+3*HLOOKUP("uXA/90",A1:CV300,130,FALSE)</f>
      </c>
    </row>
    <row r="131">
      <c r="A131" t="s" s="15523">
        <v>296</v>
      </c>
      <c r="B131" t="s" s="15524">
        <v>122</v>
      </c>
      <c r="C131" t="n" s="15525">
        <v>4.800000190734863</v>
      </c>
      <c r="D131" t="n" s="15526">
        <v>90.0</v>
      </c>
      <c r="E131" t="n" s="15527">
        <v>1.0</v>
      </c>
      <c r="F131" t="n" s="15528">
        <v>2.0</v>
      </c>
      <c r="G131" t="n" s="15529">
        <v>0.0</v>
      </c>
      <c r="H131" t="n" s="15530">
        <v>0.0</v>
      </c>
      <c r="I131" t="n" s="15531">
        <v>22.0</v>
      </c>
      <c r="J131" s="15532">
        <f>HLOOKUP("BPS",A1:CV300,131,FALSE)-((-6*HLOOKUP("OG",A1:CV300,131,FALSE))+(-6*HLOOKUP("PK Miss",A1:CV300,131,FALSE))+(9*HLOOKUP("FPL As",A1:CV300,131,FALSE))+(12*HLOOKUP("CS",A1:CV300,131,FALSE))+(12*HLOOKUP("Gs",A1:CV300,131,FALSE)))</f>
      </c>
      <c r="K131" t="n" s="15533">
        <v>0.0</v>
      </c>
      <c r="L131" t="n" s="15534">
        <v>0.0</v>
      </c>
      <c r="M131" t="n" s="15535">
        <v>3.0</v>
      </c>
      <c r="N131" t="n" s="15536">
        <v>2.0</v>
      </c>
      <c r="O131" t="n" s="15537">
        <v>2.0</v>
      </c>
      <c r="P131" s="15538">
        <f>IF(HLOOKUP("Shots",A1:CV300,131,FALSE)=0,0,HLOOKUP("SIB",A1:CV300,131,FALSE)/HLOOKUP("Shots",A1:CV300,131,FALSE))</f>
      </c>
      <c r="Q131" t="n" s="15539">
        <v>0.0</v>
      </c>
      <c r="R131" s="15540">
        <f>IF(HLOOKUP("Shots",A1:CV300,131,FALSE)=0,0,HLOOKUP("S6YD",A1:CV300,131,FALSE)/HLOOKUP("Shots",A1:CV300,131,FALSE))</f>
      </c>
      <c r="S131" t="n" s="15541">
        <v>2.0</v>
      </c>
      <c r="T131" s="15542">
        <f>IF(HLOOKUP("Shots",A1:CV300,131,FALSE)=0,0,HLOOKUP("Headers",A1:CV300,131,FALSE)/HLOOKUP("Shots",A1:CV300,131,FALSE))</f>
      </c>
      <c r="U131" t="n" s="15543">
        <v>1.0</v>
      </c>
      <c r="V131" s="15544">
        <f>IF(HLOOKUP("Shots",A1:CV300,131,FALSE)=0,0,HLOOKUP("SOT",A1:CV300,131,FALSE)/HLOOKUP("Shots",A1:CV300,131,FALSE))</f>
      </c>
      <c r="W131" s="15545">
        <f>IF(HLOOKUP("Shots",A1:CV300,131,FALSE)=0,0,HLOOKUP("Gs",A1:CV300,131,FALSE)/HLOOKUP("Shots",A1:CV300,131,FALSE))</f>
      </c>
      <c r="X131" t="n" s="15546">
        <v>0.0</v>
      </c>
      <c r="Y131" t="n" s="15547">
        <v>0.0</v>
      </c>
      <c r="Z131" t="n" s="15548">
        <v>0.0</v>
      </c>
      <c r="AA131" s="15549">
        <f>IF(HLOOKUP("KP",A1:CV300,131,FALSE)=0,0,HLOOKUP("As",A1:CV300,131,FALSE)/HLOOKUP("KP",A1:CV300,131,FALSE))</f>
      </c>
      <c r="AB131" t="n" s="15550">
        <v>3.9</v>
      </c>
      <c r="AC131" t="n" s="15551">
        <v>0.0</v>
      </c>
      <c r="AD131" t="n" s="15552">
        <v>0.0</v>
      </c>
      <c r="AE131" t="n" s="15553">
        <v>0.0</v>
      </c>
      <c r="AF131" t="n" s="15554">
        <v>0.0</v>
      </c>
      <c r="AG131" s="15555">
        <f>IF(HLOOKUP("BC",A1:CV300,131,FALSE)=0,0,HLOOKUP("Gs - BC",A1:CV300,131,FALSE)/HLOOKUP("BC",A1:CV300,131,FALSE))</f>
      </c>
      <c r="AH131" s="15556">
        <f>HLOOKUP("BC",A1:CV300,131,FALSE) - HLOOKUP("BC Miss",A1:CV300,131,FALSE)</f>
      </c>
      <c r="AI131" s="15557">
        <f>IF(HLOOKUP("Gs",A1:CV300,131,FALSE)=0,0,HLOOKUP("Gs - BC",A1:CV300,131,FALSE)/HLOOKUP("Gs",A1:CV300,131,FALSE))</f>
      </c>
      <c r="AJ131" t="n" s="15558">
        <v>0.0</v>
      </c>
      <c r="AK131" t="n" s="15559">
        <v>0.0</v>
      </c>
      <c r="AL131" s="15560">
        <f>HLOOKUP("BC",A1:CV300,131,FALSE) - (HLOOKUP("PK Gs",A1:CV300,131,FALSE) + HLOOKUP("PK Miss",A1:CV300,131,FALSE))</f>
      </c>
      <c r="AM131" s="15561">
        <f>HLOOKUP("BC Miss",A1:CV300,131,FALSE) - HLOOKUP("PK Miss",A1:CV300,131,FALSE)</f>
      </c>
      <c r="AN131" s="15562">
        <f>IF(HLOOKUP("BC - Open",A1:CV300,131,FALSE)=0,0,HLOOKUP("BC - Open Miss",A1:CV300,131,FALSE)/HLOOKUP("BC - Open",A1:CV300,131,FALSE))</f>
      </c>
      <c r="AO131" t="n" s="15563">
        <v>0.0</v>
      </c>
      <c r="AP131" s="15564">
        <f>IF(HLOOKUP("Gs",A1:CV300,131,FALSE)=0,0,HLOOKUP("GIB",A1:CV300,131,FALSE)/HLOOKUP("Gs",A1:CV300,131,FALSE))</f>
      </c>
      <c r="AQ131" t="n" s="15565">
        <v>0.0</v>
      </c>
      <c r="AR131" s="15566">
        <f>IF(HLOOKUP("Gs",A1:CV300,131,FALSE)=0,0,HLOOKUP("Gs - Open",A1:CV300,131,FALSE)/HLOOKUP("Gs",A1:CV300,131,FALSE))</f>
      </c>
      <c r="AS131" t="n" s="15567">
        <v>0.14</v>
      </c>
      <c r="AT131" t="n" s="15568">
        <v>0.01</v>
      </c>
      <c r="AU131" s="15569">
        <f>IF(HLOOKUP("Mins",A1:CV300,131,FALSE)=0,0,HLOOKUP("Pts",A1:CV300,131,FALSE)/HLOOKUP("Mins",A1:CV300,131,FALSE)* 90)</f>
      </c>
      <c r="AV131" s="15570">
        <f>IF(HLOOKUP("Apps",A1:CV300,131,FALSE)=0,0,HLOOKUP("Pts",A1:CV300,131,FALSE)/HLOOKUP("Apps",A1:CV300,131,FALSE)* 1)</f>
      </c>
      <c r="AW131" s="15571">
        <f>IF(HLOOKUP("Mins",A1:CV300,131,FALSE)=0,0,HLOOKUP("Gs",A1:CV300,131,FALSE)/HLOOKUP("Mins",A1:CV300,131,FALSE)* 90)</f>
      </c>
      <c r="AX131" s="15572">
        <f>IF(HLOOKUP("Mins",A1:CV300,131,FALSE)=0,0,HLOOKUP("Bonus",A1:CV300,131,FALSE)/HLOOKUP("Mins",A1:CV300,131,FALSE)* 90)</f>
      </c>
      <c r="AY131" s="15573">
        <f>IF(HLOOKUP("Mins",A1:CV300,131,FALSE)=0,0,HLOOKUP("BPS",A1:CV300,131,FALSE)/HLOOKUP("Mins",A1:CV300,131,FALSE)* 90)</f>
      </c>
      <c r="AZ131" s="15574">
        <f>IF(HLOOKUP("Mins",A1:CV300,131,FALSE)=0,0,HLOOKUP("Base BPS",A1:CV300,131,FALSE)/HLOOKUP("Mins",A1:CV300,131,FALSE)* 90)</f>
      </c>
      <c r="BA131" s="15575">
        <f>IF(HLOOKUP("Mins",A1:CV300,131,FALSE)=0,0,HLOOKUP("PenTchs",A1:CV300,131,FALSE)/HLOOKUP("Mins",A1:CV300,131,FALSE)* 90)</f>
      </c>
      <c r="BB131" s="15576">
        <f>IF(HLOOKUP("Mins",A1:CV300,131,FALSE)=0,0,HLOOKUP("Shots",A1:CV300,131,FALSE)/HLOOKUP("Mins",A1:CV300,131,FALSE)* 90)</f>
      </c>
      <c r="BC131" s="15577">
        <f>IF(HLOOKUP("Mins",A1:CV300,131,FALSE)=0,0,HLOOKUP("SIB",A1:CV300,131,FALSE)/HLOOKUP("Mins",A1:CV300,131,FALSE)* 90)</f>
      </c>
      <c r="BD131" s="15578">
        <f>IF(HLOOKUP("Mins",A1:CV300,131,FALSE)=0,0,HLOOKUP("S6YD",A1:CV300,131,FALSE)/HLOOKUP("Mins",A1:CV300,131,FALSE)* 90)</f>
      </c>
      <c r="BE131" s="15579">
        <f>IF(HLOOKUP("Mins",A1:CV300,131,FALSE)=0,0,HLOOKUP("Headers",A1:CV300,131,FALSE)/HLOOKUP("Mins",A1:CV300,131,FALSE)* 90)</f>
      </c>
      <c r="BF131" s="15580">
        <f>IF(HLOOKUP("Mins",A1:CV300,131,FALSE)=0,0,HLOOKUP("SOT",A1:CV300,131,FALSE)/HLOOKUP("Mins",A1:CV300,131,FALSE)* 90)</f>
      </c>
      <c r="BG131" s="15581">
        <f>IF(HLOOKUP("Mins",A1:CV300,131,FALSE)=0,0,HLOOKUP("As",A1:CV300,131,FALSE)/HLOOKUP("Mins",A1:CV300,131,FALSE)* 90)</f>
      </c>
      <c r="BH131" s="15582">
        <f>IF(HLOOKUP("Mins",A1:CV300,131,FALSE)=0,0,HLOOKUP("FPL As",A1:CV300,131,FALSE)/HLOOKUP("Mins",A1:CV300,131,FALSE)* 90)</f>
      </c>
      <c r="BI131" s="15583">
        <f>IF(HLOOKUP("Mins",A1:CV300,131,FALSE)=0,0,HLOOKUP("BC Created",A1:CV300,131,FALSE)/HLOOKUP("Mins",A1:CV300,131,FALSE)* 90)</f>
      </c>
      <c r="BJ131" s="15584">
        <f>IF(HLOOKUP("Mins",A1:CV300,131,FALSE)=0,0,HLOOKUP("KP",A1:CV300,131,FALSE)/HLOOKUP("Mins",A1:CV300,131,FALSE)* 90)</f>
      </c>
      <c r="BK131" s="15585">
        <f>IF(HLOOKUP("Mins",A1:CV300,131,FALSE)=0,0,HLOOKUP("BC",A1:CV300,131,FALSE)/HLOOKUP("Mins",A1:CV300,131,FALSE)* 90)</f>
      </c>
      <c r="BL131" s="15586">
        <f>IF(HLOOKUP("Mins",A1:CV300,131,FALSE)=0,0,HLOOKUP("BC Miss",A1:CV300,131,FALSE)/HLOOKUP("Mins",A1:CV300,131,FALSE)* 90)</f>
      </c>
      <c r="BM131" s="15587">
        <f>IF(HLOOKUP("Mins",A1:CV300,131,FALSE)=0,0,HLOOKUP("Gs - BC",A1:CV300,131,FALSE)/HLOOKUP("Mins",A1:CV300,131,FALSE)* 90)</f>
      </c>
      <c r="BN131" s="15588">
        <f>IF(HLOOKUP("Mins",A1:CV300,131,FALSE)=0,0,HLOOKUP("GIB",A1:CV300,131,FALSE)/HLOOKUP("Mins",A1:CV300,131,FALSE)* 90)</f>
      </c>
      <c r="BO131" s="15589">
        <f>IF(HLOOKUP("Mins",A1:CV300,131,FALSE)=0,0,HLOOKUP("Gs - Open",A1:CV300,131,FALSE)/HLOOKUP("Mins",A1:CV300,131,FALSE)* 90)</f>
      </c>
      <c r="BP131" s="15590">
        <f>IF(HLOOKUP("Mins",A1:CV300,131,FALSE)=0,0,HLOOKUP("ICT Index",A1:CV300,131,FALSE)/HLOOKUP("Mins",A1:CV300,131,FALSE)* 90)</f>
      </c>
      <c r="BQ131" s="15591">
        <f>IF(HLOOKUP("Mins",A1:CV300,131,FALSE)=0,0,(0.02*(HLOOKUP("Shots",A1:CV300,131,FALSE)-HLOOKUP("SIB",A1:CV300,131,FALSE))+0.093*(HLOOKUP("SIB",A1:CV300,131,FALSE)-(HLOOKUP("PK Gs",A1:CV300,131,FALSE)+HLOOKUP("PK Miss",A1:CV300,131,FALSE)))+0.75*(HLOOKUP("PK Gs",A1:CV300,131,FALSE)+HLOOKUP("PK Miss",A1:CV300,131,FALSE)))/HLOOKUP("Mins",A1:CV300,131,FALSE)*90)</f>
      </c>
      <c r="BR131" s="15592">
        <f>0.0825*HLOOKUP("KP/90",A1:CV300,131,FALSE)</f>
      </c>
      <c r="BS131" s="15593">
        <f>6*HLOOKUP("xG/90",A1:CV300,131,FALSE)+3*HLOOKUP("xA/90",A1:CV300,131,FALSE)</f>
      </c>
      <c r="BT131" s="15594">
        <f>HLOOKUP("xPts/90",A1:CV300,131,FALSE)-(6*0.75*(HLOOKUP("PK Gs",A1:CV300,131,FALSE)+HLOOKUP("PK Miss",A1:CV300,131,FALSE))*90/HLOOKUP("Mins",A1:CV300,131,FALSE))</f>
      </c>
      <c r="BU131" s="15595">
        <f>IF(HLOOKUP("Mins",A1:CV300,131,FALSE)=0,0,HLOOKUP("fsXG",A1:CV300,131,FALSE)/HLOOKUP("Mins",A1:CV300,131,FALSE)* 90)</f>
      </c>
      <c r="BV131" s="15596">
        <f>IF(HLOOKUP("Mins",A1:CV300,131,FALSE)=0,0,HLOOKUP("fsXA",A1:CV300,131,FALSE)/HLOOKUP("Mins",A1:CV300,131,FALSE)* 90)</f>
      </c>
      <c r="BW131" s="15597">
        <f>6*HLOOKUP("fsXG/90",A1:CV300,131,FALSE)+3*HLOOKUP("fsXA/90",A1:CV300,131,FALSE)</f>
      </c>
      <c r="BX131" t="n" s="15598">
        <v>0.07508060336112976</v>
      </c>
      <c r="BY131" t="n" s="15599">
        <v>0.0</v>
      </c>
      <c r="BZ131" s="15600">
        <f>6*HLOOKUP("uXG/90",A1:CV300,131,FALSE)+3*HLOOKUP("uXA/90",A1:CV300,131,FALSE)</f>
      </c>
    </row>
    <row r="132">
      <c r="A132" t="s" s="15601">
        <v>297</v>
      </c>
      <c r="B132" t="s" s="15602">
        <v>134</v>
      </c>
      <c r="C132" t="n" s="15603">
        <v>6.5</v>
      </c>
      <c r="D132" t="n" s="15604">
        <v>630.0</v>
      </c>
      <c r="E132" t="n" s="15605">
        <v>7.0</v>
      </c>
      <c r="F132" t="n" s="15606">
        <v>133.0</v>
      </c>
      <c r="G132" t="n" s="15607">
        <v>1.0</v>
      </c>
      <c r="H132" t="n" s="15608">
        <v>11.0</v>
      </c>
      <c r="I132" t="n" s="15609">
        <v>572.0</v>
      </c>
      <c r="J132" s="15610">
        <f>HLOOKUP("BPS",A1:CV300,132,FALSE)-((-6*HLOOKUP("OG",A1:CV300,132,FALSE))+(-6*HLOOKUP("PK Miss",A1:CV300,132,FALSE))+(9*HLOOKUP("FPL As",A1:CV300,132,FALSE))+(12*HLOOKUP("CS",A1:CV300,132,FALSE))+(12*HLOOKUP("Gs",A1:CV300,132,FALSE)))</f>
      </c>
      <c r="K132" t="n" s="15611">
        <v>0.0</v>
      </c>
      <c r="L132" t="n" s="15612">
        <v>12.0</v>
      </c>
      <c r="M132" t="n" s="15613">
        <v>7.0</v>
      </c>
      <c r="N132" t="n" s="15614">
        <v>5.0</v>
      </c>
      <c r="O132" t="n" s="15615">
        <v>5.0</v>
      </c>
      <c r="P132" s="15616">
        <f>IF(HLOOKUP("Shots",A1:CV300,132,FALSE)=0,0,HLOOKUP("SIB",A1:CV300,132,FALSE)/HLOOKUP("Shots",A1:CV300,132,FALSE))</f>
      </c>
      <c r="Q132" t="n" s="15617">
        <v>1.0</v>
      </c>
      <c r="R132" s="15618">
        <f>IF(HLOOKUP("Shots",A1:CV300,132,FALSE)=0,0,HLOOKUP("S6YD",A1:CV300,132,FALSE)/HLOOKUP("Shots",A1:CV300,132,FALSE))</f>
      </c>
      <c r="S132" t="n" s="15619">
        <v>4.0</v>
      </c>
      <c r="T132" s="15620">
        <f>IF(HLOOKUP("Shots",A1:CV300,132,FALSE)=0,0,HLOOKUP("Headers",A1:CV300,132,FALSE)/HLOOKUP("Shots",A1:CV300,132,FALSE))</f>
      </c>
      <c r="U132" t="n" s="15621">
        <v>4.0</v>
      </c>
      <c r="V132" s="15622">
        <f>IF(HLOOKUP("Shots",A1:CV300,132,FALSE)=0,0,HLOOKUP("SOT",A1:CV300,132,FALSE)/HLOOKUP("Shots",A1:CV300,132,FALSE))</f>
      </c>
      <c r="W132" s="15623">
        <f>IF(HLOOKUP("Shots",A1:CV300,132,FALSE)=0,0,HLOOKUP("Gs",A1:CV300,132,FALSE)/HLOOKUP("Shots",A1:CV300,132,FALSE))</f>
      </c>
      <c r="X132" t="n" s="15624">
        <v>0.0</v>
      </c>
      <c r="Y132" t="n" s="15625">
        <v>0.0</v>
      </c>
      <c r="Z132" t="n" s="15626">
        <v>0.0</v>
      </c>
      <c r="AA132" s="15627">
        <f>IF(HLOOKUP("KP",A1:CV300,132,FALSE)=0,0,HLOOKUP("As",A1:CV300,132,FALSE)/HLOOKUP("KP",A1:CV300,132,FALSE))</f>
      </c>
      <c r="AB132" t="n" s="15628">
        <v>27.9</v>
      </c>
      <c r="AC132" t="n" s="15629">
        <v>7.0</v>
      </c>
      <c r="AD132" t="n" s="15630">
        <v>0.0</v>
      </c>
      <c r="AE132" t="n" s="15631">
        <v>2.0</v>
      </c>
      <c r="AF132" t="n" s="15632">
        <v>2.0</v>
      </c>
      <c r="AG132" s="15633">
        <f>IF(HLOOKUP("BC",A1:CV300,132,FALSE)=0,0,HLOOKUP("Gs - BC",A1:CV300,132,FALSE)/HLOOKUP("BC",A1:CV300,132,FALSE))</f>
      </c>
      <c r="AH132" s="15634">
        <f>HLOOKUP("BC",A1:CV300,132,FALSE) - HLOOKUP("BC Miss",A1:CV300,132,FALSE)</f>
      </c>
      <c r="AI132" s="15635">
        <f>IF(HLOOKUP("Gs",A1:CV300,132,FALSE)=0,0,HLOOKUP("Gs - BC",A1:CV300,132,FALSE)/HLOOKUP("Gs",A1:CV300,132,FALSE))</f>
      </c>
      <c r="AJ132" t="n" s="15636">
        <v>0.0</v>
      </c>
      <c r="AK132" t="n" s="15637">
        <v>0.0</v>
      </c>
      <c r="AL132" s="15638">
        <f>HLOOKUP("BC",A1:CV300,132,FALSE) - (HLOOKUP("PK Gs",A1:CV300,132,FALSE) + HLOOKUP("PK Miss",A1:CV300,132,FALSE))</f>
      </c>
      <c r="AM132" s="15639">
        <f>HLOOKUP("BC Miss",A1:CV300,132,FALSE) - HLOOKUP("PK Miss",A1:CV300,132,FALSE)</f>
      </c>
      <c r="AN132" s="15640">
        <f>IF(HLOOKUP("BC - Open",A1:CV300,132,FALSE)=0,0,HLOOKUP("BC - Open Miss",A1:CV300,132,FALSE)/HLOOKUP("BC - Open",A1:CV300,132,FALSE))</f>
      </c>
      <c r="AO132" t="n" s="15641">
        <v>1.0</v>
      </c>
      <c r="AP132" s="15642">
        <f>IF(HLOOKUP("Gs",A1:CV300,132,FALSE)=0,0,HLOOKUP("GIB",A1:CV300,132,FALSE)/HLOOKUP("Gs",A1:CV300,132,FALSE))</f>
      </c>
      <c r="AQ132" t="n" s="15643">
        <v>0.0</v>
      </c>
      <c r="AR132" s="15644">
        <f>IF(HLOOKUP("Gs",A1:CV300,132,FALSE)=0,0,HLOOKUP("Gs - Open",A1:CV300,132,FALSE)/HLOOKUP("Gs",A1:CV300,132,FALSE))</f>
      </c>
      <c r="AS132" t="n" s="15645">
        <v>0.53</v>
      </c>
      <c r="AT132" t="n" s="15646">
        <v>0.05</v>
      </c>
      <c r="AU132" s="15647">
        <f>IF(HLOOKUP("Mins",A1:CV300,132,FALSE)=0,0,HLOOKUP("Pts",A1:CV300,132,FALSE)/HLOOKUP("Mins",A1:CV300,132,FALSE)* 90)</f>
      </c>
      <c r="AV132" s="15648">
        <f>IF(HLOOKUP("Apps",A1:CV300,132,FALSE)=0,0,HLOOKUP("Pts",A1:CV300,132,FALSE)/HLOOKUP("Apps",A1:CV300,132,FALSE)* 1)</f>
      </c>
      <c r="AW132" s="15649">
        <f>IF(HLOOKUP("Mins",A1:CV300,132,FALSE)=0,0,HLOOKUP("Gs",A1:CV300,132,FALSE)/HLOOKUP("Mins",A1:CV300,132,FALSE)* 90)</f>
      </c>
      <c r="AX132" s="15650">
        <f>IF(HLOOKUP("Mins",A1:CV300,132,FALSE)=0,0,HLOOKUP("Bonus",A1:CV300,132,FALSE)/HLOOKUP("Mins",A1:CV300,132,FALSE)* 90)</f>
      </c>
      <c r="AY132" s="15651">
        <f>IF(HLOOKUP("Mins",A1:CV300,132,FALSE)=0,0,HLOOKUP("BPS",A1:CV300,132,FALSE)/HLOOKUP("Mins",A1:CV300,132,FALSE)* 90)</f>
      </c>
      <c r="AZ132" s="15652">
        <f>IF(HLOOKUP("Mins",A1:CV300,132,FALSE)=0,0,HLOOKUP("Base BPS",A1:CV300,132,FALSE)/HLOOKUP("Mins",A1:CV300,132,FALSE)* 90)</f>
      </c>
      <c r="BA132" s="15653">
        <f>IF(HLOOKUP("Mins",A1:CV300,132,FALSE)=0,0,HLOOKUP("PenTchs",A1:CV300,132,FALSE)/HLOOKUP("Mins",A1:CV300,132,FALSE)* 90)</f>
      </c>
      <c r="BB132" s="15654">
        <f>IF(HLOOKUP("Mins",A1:CV300,132,FALSE)=0,0,HLOOKUP("Shots",A1:CV300,132,FALSE)/HLOOKUP("Mins",A1:CV300,132,FALSE)* 90)</f>
      </c>
      <c r="BC132" s="15655">
        <f>IF(HLOOKUP("Mins",A1:CV300,132,FALSE)=0,0,HLOOKUP("SIB",A1:CV300,132,FALSE)/HLOOKUP("Mins",A1:CV300,132,FALSE)* 90)</f>
      </c>
      <c r="BD132" s="15656">
        <f>IF(HLOOKUP("Mins",A1:CV300,132,FALSE)=0,0,HLOOKUP("S6YD",A1:CV300,132,FALSE)/HLOOKUP("Mins",A1:CV300,132,FALSE)* 90)</f>
      </c>
      <c r="BE132" s="15657">
        <f>IF(HLOOKUP("Mins",A1:CV300,132,FALSE)=0,0,HLOOKUP("Headers",A1:CV300,132,FALSE)/HLOOKUP("Mins",A1:CV300,132,FALSE)* 90)</f>
      </c>
      <c r="BF132" s="15658">
        <f>IF(HLOOKUP("Mins",A1:CV300,132,FALSE)=0,0,HLOOKUP("SOT",A1:CV300,132,FALSE)/HLOOKUP("Mins",A1:CV300,132,FALSE)* 90)</f>
      </c>
      <c r="BG132" s="15659">
        <f>IF(HLOOKUP("Mins",A1:CV300,132,FALSE)=0,0,HLOOKUP("As",A1:CV300,132,FALSE)/HLOOKUP("Mins",A1:CV300,132,FALSE)* 90)</f>
      </c>
      <c r="BH132" s="15660">
        <f>IF(HLOOKUP("Mins",A1:CV300,132,FALSE)=0,0,HLOOKUP("FPL As",A1:CV300,132,FALSE)/HLOOKUP("Mins",A1:CV300,132,FALSE)* 90)</f>
      </c>
      <c r="BI132" s="15661">
        <f>IF(HLOOKUP("Mins",A1:CV300,132,FALSE)=0,0,HLOOKUP("BC Created",A1:CV300,132,FALSE)/HLOOKUP("Mins",A1:CV300,132,FALSE)* 90)</f>
      </c>
      <c r="BJ132" s="15662">
        <f>IF(HLOOKUP("Mins",A1:CV300,132,FALSE)=0,0,HLOOKUP("KP",A1:CV300,132,FALSE)/HLOOKUP("Mins",A1:CV300,132,FALSE)* 90)</f>
      </c>
      <c r="BK132" s="15663">
        <f>IF(HLOOKUP("Mins",A1:CV300,132,FALSE)=0,0,HLOOKUP("BC",A1:CV300,132,FALSE)/HLOOKUP("Mins",A1:CV300,132,FALSE)* 90)</f>
      </c>
      <c r="BL132" s="15664">
        <f>IF(HLOOKUP("Mins",A1:CV300,132,FALSE)=0,0,HLOOKUP("BC Miss",A1:CV300,132,FALSE)/HLOOKUP("Mins",A1:CV300,132,FALSE)* 90)</f>
      </c>
      <c r="BM132" s="15665">
        <f>IF(HLOOKUP("Mins",A1:CV300,132,FALSE)=0,0,HLOOKUP("Gs - BC",A1:CV300,132,FALSE)/HLOOKUP("Mins",A1:CV300,132,FALSE)* 90)</f>
      </c>
      <c r="BN132" s="15666">
        <f>IF(HLOOKUP("Mins",A1:CV300,132,FALSE)=0,0,HLOOKUP("GIB",A1:CV300,132,FALSE)/HLOOKUP("Mins",A1:CV300,132,FALSE)* 90)</f>
      </c>
      <c r="BO132" s="15667">
        <f>IF(HLOOKUP("Mins",A1:CV300,132,FALSE)=0,0,HLOOKUP("Gs - Open",A1:CV300,132,FALSE)/HLOOKUP("Mins",A1:CV300,132,FALSE)* 90)</f>
      </c>
      <c r="BP132" s="15668">
        <f>IF(HLOOKUP("Mins",A1:CV300,132,FALSE)=0,0,HLOOKUP("ICT Index",A1:CV300,132,FALSE)/HLOOKUP("Mins",A1:CV300,132,FALSE)* 90)</f>
      </c>
      <c r="BQ132" s="15669">
        <f>IF(HLOOKUP("Mins",A1:CV300,132,FALSE)=0,0,(0.02*(HLOOKUP("Shots",A1:CV300,132,FALSE)-HLOOKUP("SIB",A1:CV300,132,FALSE))+0.093*(HLOOKUP("SIB",A1:CV300,132,FALSE)-(HLOOKUP("PK Gs",A1:CV300,132,FALSE)+HLOOKUP("PK Miss",A1:CV300,132,FALSE)))+0.75*(HLOOKUP("PK Gs",A1:CV300,132,FALSE)+HLOOKUP("PK Miss",A1:CV300,132,FALSE)))/HLOOKUP("Mins",A1:CV300,132,FALSE)*90)</f>
      </c>
      <c r="BR132" s="15670">
        <f>0.0825*HLOOKUP("KP/90",A1:CV300,132,FALSE)</f>
      </c>
      <c r="BS132" s="15671">
        <f>6*HLOOKUP("xG/90",A1:CV300,132,FALSE)+3*HLOOKUP("xA/90",A1:CV300,132,FALSE)</f>
      </c>
      <c r="BT132" s="15672">
        <f>HLOOKUP("xPts/90",A1:CV300,132,FALSE)-(6*0.75*(HLOOKUP("PK Gs",A1:CV300,132,FALSE)+HLOOKUP("PK Miss",A1:CV300,132,FALSE))*90/HLOOKUP("Mins",A1:CV300,132,FALSE))</f>
      </c>
      <c r="BU132" s="15673">
        <f>IF(HLOOKUP("Mins",A1:CV300,132,FALSE)=0,0,HLOOKUP("fsXG",A1:CV300,132,FALSE)/HLOOKUP("Mins",A1:CV300,132,FALSE)* 90)</f>
      </c>
      <c r="BV132" s="15674">
        <f>IF(HLOOKUP("Mins",A1:CV300,132,FALSE)=0,0,HLOOKUP("fsXA",A1:CV300,132,FALSE)/HLOOKUP("Mins",A1:CV300,132,FALSE)* 90)</f>
      </c>
      <c r="BW132" s="15675">
        <f>6*HLOOKUP("fsXG/90",A1:CV300,132,FALSE)+3*HLOOKUP("fsXA/90",A1:CV300,132,FALSE)</f>
      </c>
      <c r="BX132" t="n" s="15676">
        <v>0.12497152388095856</v>
      </c>
      <c r="BY132" t="n" s="15677">
        <v>0.0</v>
      </c>
      <c r="BZ132" s="15678">
        <f>6*HLOOKUP("uXG/90",A1:CV300,132,FALSE)+3*HLOOKUP("uXA/90",A1:CV300,132,FALSE)</f>
      </c>
    </row>
    <row r="133">
      <c r="A133" t="s" s="15679">
        <v>298</v>
      </c>
      <c r="B133" t="s" s="15680">
        <v>92</v>
      </c>
      <c r="C133" t="n" s="15681">
        <v>4.400000095367432</v>
      </c>
      <c r="D133" t="n" s="15682">
        <v>506.0</v>
      </c>
      <c r="E133" t="n" s="15683">
        <v>6.0</v>
      </c>
      <c r="F133" t="n" s="15684">
        <v>16.0</v>
      </c>
      <c r="G133" t="n" s="15685">
        <v>0.0</v>
      </c>
      <c r="H133" t="n" s="15686">
        <v>1.0</v>
      </c>
      <c r="I133" t="n" s="15687">
        <v>152.0</v>
      </c>
      <c r="J133" s="15688">
        <f>HLOOKUP("BPS",A1:CV300,133,FALSE)-((-6*HLOOKUP("OG",A1:CV300,133,FALSE))+(-6*HLOOKUP("PK Miss",A1:CV300,133,FALSE))+(9*HLOOKUP("FPL As",A1:CV300,133,FALSE))+(12*HLOOKUP("CS",A1:CV300,133,FALSE))+(12*HLOOKUP("Gs",A1:CV300,133,FALSE)))</f>
      </c>
      <c r="K133" t="n" s="15689">
        <v>0.0</v>
      </c>
      <c r="L133" t="n" s="15690">
        <v>1.0</v>
      </c>
      <c r="M133" t="n" s="15691">
        <v>5.0</v>
      </c>
      <c r="N133" t="n" s="15692">
        <v>0.0</v>
      </c>
      <c r="O133" t="n" s="15693">
        <v>0.0</v>
      </c>
      <c r="P133" s="15694">
        <f>IF(HLOOKUP("Shots",A1:CV300,133,FALSE)=0,0,HLOOKUP("SIB",A1:CV300,133,FALSE)/HLOOKUP("Shots",A1:CV300,133,FALSE))</f>
      </c>
      <c r="Q133" t="n" s="15695">
        <v>0.0</v>
      </c>
      <c r="R133" s="15696">
        <f>IF(HLOOKUP("Shots",A1:CV300,133,FALSE)=0,0,HLOOKUP("S6YD",A1:CV300,133,FALSE)/HLOOKUP("Shots",A1:CV300,133,FALSE))</f>
      </c>
      <c r="S133" t="n" s="15697">
        <v>0.0</v>
      </c>
      <c r="T133" s="15698">
        <f>IF(HLOOKUP("Shots",A1:CV300,133,FALSE)=0,0,HLOOKUP("Headers",A1:CV300,133,FALSE)/HLOOKUP("Shots",A1:CV300,133,FALSE))</f>
      </c>
      <c r="U133" t="n" s="15699">
        <v>0.0</v>
      </c>
      <c r="V133" s="15700">
        <f>IF(HLOOKUP("Shots",A1:CV300,133,FALSE)=0,0,HLOOKUP("SOT",A1:CV300,133,FALSE)/HLOOKUP("Shots",A1:CV300,133,FALSE))</f>
      </c>
      <c r="W133" s="15701">
        <f>IF(HLOOKUP("Shots",A1:CV300,133,FALSE)=0,0,HLOOKUP("Gs",A1:CV300,133,FALSE)/HLOOKUP("Shots",A1:CV300,133,FALSE))</f>
      </c>
      <c r="X133" t="n" s="15702">
        <v>0.0</v>
      </c>
      <c r="Y133" t="n" s="15703">
        <v>0.0</v>
      </c>
      <c r="Z133" t="n" s="15704">
        <v>3.0</v>
      </c>
      <c r="AA133" s="15705">
        <f>IF(HLOOKUP("KP",A1:CV300,133,FALSE)=0,0,HLOOKUP("As",A1:CV300,133,FALSE)/HLOOKUP("KP",A1:CV300,133,FALSE))</f>
      </c>
      <c r="AB133" t="n" s="15706">
        <v>19.3</v>
      </c>
      <c r="AC133" t="n" s="15707">
        <v>0.0</v>
      </c>
      <c r="AD133" t="n" s="15708">
        <v>1.0</v>
      </c>
      <c r="AE133" t="n" s="15709">
        <v>0.0</v>
      </c>
      <c r="AF133" t="n" s="15710">
        <v>0.0</v>
      </c>
      <c r="AG133" s="15711">
        <f>IF(HLOOKUP("BC",A1:CV300,133,FALSE)=0,0,HLOOKUP("Gs - BC",A1:CV300,133,FALSE)/HLOOKUP("BC",A1:CV300,133,FALSE))</f>
      </c>
      <c r="AH133" s="15712">
        <f>HLOOKUP("BC",A1:CV300,133,FALSE) - HLOOKUP("BC Miss",A1:CV300,133,FALSE)</f>
      </c>
      <c r="AI133" s="15713">
        <f>IF(HLOOKUP("Gs",A1:CV300,133,FALSE)=0,0,HLOOKUP("Gs - BC",A1:CV300,133,FALSE)/HLOOKUP("Gs",A1:CV300,133,FALSE))</f>
      </c>
      <c r="AJ133" t="n" s="15714">
        <v>0.0</v>
      </c>
      <c r="AK133" t="n" s="15715">
        <v>0.0</v>
      </c>
      <c r="AL133" s="15716">
        <f>HLOOKUP("BC",A1:CV300,133,FALSE) - (HLOOKUP("PK Gs",A1:CV300,133,FALSE) + HLOOKUP("PK Miss",A1:CV300,133,FALSE))</f>
      </c>
      <c r="AM133" s="15717">
        <f>HLOOKUP("BC Miss",A1:CV300,133,FALSE) - HLOOKUP("PK Miss",A1:CV300,133,FALSE)</f>
      </c>
      <c r="AN133" s="15718">
        <f>IF(HLOOKUP("BC - Open",A1:CV300,133,FALSE)=0,0,HLOOKUP("BC - Open Miss",A1:CV300,133,FALSE)/HLOOKUP("BC - Open",A1:CV300,133,FALSE))</f>
      </c>
      <c r="AO133" t="n" s="15719">
        <v>0.0</v>
      </c>
      <c r="AP133" s="15720">
        <f>IF(HLOOKUP("Gs",A1:CV300,133,FALSE)=0,0,HLOOKUP("GIB",A1:CV300,133,FALSE)/HLOOKUP("Gs",A1:CV300,133,FALSE))</f>
      </c>
      <c r="AQ133" t="n" s="15721">
        <v>0.0</v>
      </c>
      <c r="AR133" s="15722">
        <f>IF(HLOOKUP("Gs",A1:CV300,133,FALSE)=0,0,HLOOKUP("Gs - Open",A1:CV300,133,FALSE)/HLOOKUP("Gs",A1:CV300,133,FALSE))</f>
      </c>
      <c r="AS133" t="n" s="15723">
        <v>0.0</v>
      </c>
      <c r="AT133" t="n" s="15724">
        <v>0.23</v>
      </c>
      <c r="AU133" s="15725">
        <f>IF(HLOOKUP("Mins",A1:CV300,133,FALSE)=0,0,HLOOKUP("Pts",A1:CV300,133,FALSE)/HLOOKUP("Mins",A1:CV300,133,FALSE)* 90)</f>
      </c>
      <c r="AV133" s="15726">
        <f>IF(HLOOKUP("Apps",A1:CV300,133,FALSE)=0,0,HLOOKUP("Pts",A1:CV300,133,FALSE)/HLOOKUP("Apps",A1:CV300,133,FALSE)* 1)</f>
      </c>
      <c r="AW133" s="15727">
        <f>IF(HLOOKUP("Mins",A1:CV300,133,FALSE)=0,0,HLOOKUP("Gs",A1:CV300,133,FALSE)/HLOOKUP("Mins",A1:CV300,133,FALSE)* 90)</f>
      </c>
      <c r="AX133" s="15728">
        <f>IF(HLOOKUP("Mins",A1:CV300,133,FALSE)=0,0,HLOOKUP("Bonus",A1:CV300,133,FALSE)/HLOOKUP("Mins",A1:CV300,133,FALSE)* 90)</f>
      </c>
      <c r="AY133" s="15729">
        <f>IF(HLOOKUP("Mins",A1:CV300,133,FALSE)=0,0,HLOOKUP("BPS",A1:CV300,133,FALSE)/HLOOKUP("Mins",A1:CV300,133,FALSE)* 90)</f>
      </c>
      <c r="AZ133" s="15730">
        <f>IF(HLOOKUP("Mins",A1:CV300,133,FALSE)=0,0,HLOOKUP("Base BPS",A1:CV300,133,FALSE)/HLOOKUP("Mins",A1:CV300,133,FALSE)* 90)</f>
      </c>
      <c r="BA133" s="15731">
        <f>IF(HLOOKUP("Mins",A1:CV300,133,FALSE)=0,0,HLOOKUP("PenTchs",A1:CV300,133,FALSE)/HLOOKUP("Mins",A1:CV300,133,FALSE)* 90)</f>
      </c>
      <c r="BB133" s="15732">
        <f>IF(HLOOKUP("Mins",A1:CV300,133,FALSE)=0,0,HLOOKUP("Shots",A1:CV300,133,FALSE)/HLOOKUP("Mins",A1:CV300,133,FALSE)* 90)</f>
      </c>
      <c r="BC133" s="15733">
        <f>IF(HLOOKUP("Mins",A1:CV300,133,FALSE)=0,0,HLOOKUP("SIB",A1:CV300,133,FALSE)/HLOOKUP("Mins",A1:CV300,133,FALSE)* 90)</f>
      </c>
      <c r="BD133" s="15734">
        <f>IF(HLOOKUP("Mins",A1:CV300,133,FALSE)=0,0,HLOOKUP("S6YD",A1:CV300,133,FALSE)/HLOOKUP("Mins",A1:CV300,133,FALSE)* 90)</f>
      </c>
      <c r="BE133" s="15735">
        <f>IF(HLOOKUP("Mins",A1:CV300,133,FALSE)=0,0,HLOOKUP("Headers",A1:CV300,133,FALSE)/HLOOKUP("Mins",A1:CV300,133,FALSE)* 90)</f>
      </c>
      <c r="BF133" s="15736">
        <f>IF(HLOOKUP("Mins",A1:CV300,133,FALSE)=0,0,HLOOKUP("SOT",A1:CV300,133,FALSE)/HLOOKUP("Mins",A1:CV300,133,FALSE)* 90)</f>
      </c>
      <c r="BG133" s="15737">
        <f>IF(HLOOKUP("Mins",A1:CV300,133,FALSE)=0,0,HLOOKUP("As",A1:CV300,133,FALSE)/HLOOKUP("Mins",A1:CV300,133,FALSE)* 90)</f>
      </c>
      <c r="BH133" s="15738">
        <f>IF(HLOOKUP("Mins",A1:CV300,133,FALSE)=0,0,HLOOKUP("FPL As",A1:CV300,133,FALSE)/HLOOKUP("Mins",A1:CV300,133,FALSE)* 90)</f>
      </c>
      <c r="BI133" s="15739">
        <f>IF(HLOOKUP("Mins",A1:CV300,133,FALSE)=0,0,HLOOKUP("BC Created",A1:CV300,133,FALSE)/HLOOKUP("Mins",A1:CV300,133,FALSE)* 90)</f>
      </c>
      <c r="BJ133" s="15740">
        <f>IF(HLOOKUP("Mins",A1:CV300,133,FALSE)=0,0,HLOOKUP("KP",A1:CV300,133,FALSE)/HLOOKUP("Mins",A1:CV300,133,FALSE)* 90)</f>
      </c>
      <c r="BK133" s="15741">
        <f>IF(HLOOKUP("Mins",A1:CV300,133,FALSE)=0,0,HLOOKUP("BC",A1:CV300,133,FALSE)/HLOOKUP("Mins",A1:CV300,133,FALSE)* 90)</f>
      </c>
      <c r="BL133" s="15742">
        <f>IF(HLOOKUP("Mins",A1:CV300,133,FALSE)=0,0,HLOOKUP("BC Miss",A1:CV300,133,FALSE)/HLOOKUP("Mins",A1:CV300,133,FALSE)* 90)</f>
      </c>
      <c r="BM133" s="15743">
        <f>IF(HLOOKUP("Mins",A1:CV300,133,FALSE)=0,0,HLOOKUP("Gs - BC",A1:CV300,133,FALSE)/HLOOKUP("Mins",A1:CV300,133,FALSE)* 90)</f>
      </c>
      <c r="BN133" s="15744">
        <f>IF(HLOOKUP("Mins",A1:CV300,133,FALSE)=0,0,HLOOKUP("GIB",A1:CV300,133,FALSE)/HLOOKUP("Mins",A1:CV300,133,FALSE)* 90)</f>
      </c>
      <c r="BO133" s="15745">
        <f>IF(HLOOKUP("Mins",A1:CV300,133,FALSE)=0,0,HLOOKUP("Gs - Open",A1:CV300,133,FALSE)/HLOOKUP("Mins",A1:CV300,133,FALSE)* 90)</f>
      </c>
      <c r="BP133" s="15746">
        <f>IF(HLOOKUP("Mins",A1:CV300,133,FALSE)=0,0,HLOOKUP("ICT Index",A1:CV300,133,FALSE)/HLOOKUP("Mins",A1:CV300,133,FALSE)* 90)</f>
      </c>
      <c r="BQ133" s="15747">
        <f>IF(HLOOKUP("Mins",A1:CV300,133,FALSE)=0,0,(0.02*(HLOOKUP("Shots",A1:CV300,133,FALSE)-HLOOKUP("SIB",A1:CV300,133,FALSE))+0.093*(HLOOKUP("SIB",A1:CV300,133,FALSE)-(HLOOKUP("PK Gs",A1:CV300,133,FALSE)+HLOOKUP("PK Miss",A1:CV300,133,FALSE)))+0.75*(HLOOKUP("PK Gs",A1:CV300,133,FALSE)+HLOOKUP("PK Miss",A1:CV300,133,FALSE)))/HLOOKUP("Mins",A1:CV300,133,FALSE)*90)</f>
      </c>
      <c r="BR133" s="15748">
        <f>0.0825*HLOOKUP("KP/90",A1:CV300,133,FALSE)</f>
      </c>
      <c r="BS133" s="15749">
        <f>6*HLOOKUP("xG/90",A1:CV300,133,FALSE)+3*HLOOKUP("xA/90",A1:CV300,133,FALSE)</f>
      </c>
      <c r="BT133" s="15750">
        <f>HLOOKUP("xPts/90",A1:CV300,133,FALSE)-(6*0.75*(HLOOKUP("PK Gs",A1:CV300,133,FALSE)+HLOOKUP("PK Miss",A1:CV300,133,FALSE))*90/HLOOKUP("Mins",A1:CV300,133,FALSE))</f>
      </c>
      <c r="BU133" s="15751">
        <f>IF(HLOOKUP("Mins",A1:CV300,133,FALSE)=0,0,HLOOKUP("fsXG",A1:CV300,133,FALSE)/HLOOKUP("Mins",A1:CV300,133,FALSE)* 90)</f>
      </c>
      <c r="BV133" s="15752">
        <f>IF(HLOOKUP("Mins",A1:CV300,133,FALSE)=0,0,HLOOKUP("fsXA",A1:CV300,133,FALSE)/HLOOKUP("Mins",A1:CV300,133,FALSE)* 90)</f>
      </c>
      <c r="BW133" s="15753">
        <f>6*HLOOKUP("fsXG/90",A1:CV300,133,FALSE)+3*HLOOKUP("fsXA/90",A1:CV300,133,FALSE)</f>
      </c>
      <c r="BX133" t="n" s="15754">
        <v>0.0</v>
      </c>
      <c r="BY133" t="n" s="15755">
        <v>0.06976097077131271</v>
      </c>
      <c r="BZ133" s="15756">
        <f>6*HLOOKUP("uXG/90",A1:CV300,133,FALSE)+3*HLOOKUP("uXA/90",A1:CV300,133,FALSE)</f>
      </c>
    </row>
    <row r="134">
      <c r="A134" t="s" s="15757">
        <v>299</v>
      </c>
      <c r="B134" t="s" s="15758">
        <v>131</v>
      </c>
      <c r="C134" t="n" s="15759">
        <v>4.699999809265137</v>
      </c>
      <c r="D134" t="n" s="15760">
        <v>180.0</v>
      </c>
      <c r="E134" t="n" s="15761">
        <v>2.0</v>
      </c>
      <c r="F134" t="n" s="15762">
        <v>46.0</v>
      </c>
      <c r="G134" t="n" s="15763">
        <v>0.0</v>
      </c>
      <c r="H134" t="n" s="15764">
        <v>7.0</v>
      </c>
      <c r="I134" t="n" s="15765">
        <v>219.0</v>
      </c>
      <c r="J134" s="15766">
        <f>HLOOKUP("BPS",A1:CV300,134,FALSE)-((-6*HLOOKUP("OG",A1:CV300,134,FALSE))+(-6*HLOOKUP("PK Miss",A1:CV300,134,FALSE))+(9*HLOOKUP("FPL As",A1:CV300,134,FALSE))+(12*HLOOKUP("CS",A1:CV300,134,FALSE))+(12*HLOOKUP("Gs",A1:CV300,134,FALSE)))</f>
      </c>
      <c r="K134" t="n" s="15767">
        <v>0.0</v>
      </c>
      <c r="L134" t="n" s="15768">
        <v>5.0</v>
      </c>
      <c r="M134" t="n" s="15769">
        <v>1.0</v>
      </c>
      <c r="N134" t="n" s="15770">
        <v>1.0</v>
      </c>
      <c r="O134" t="n" s="15771">
        <v>1.0</v>
      </c>
      <c r="P134" s="15772">
        <f>IF(HLOOKUP("Shots",A1:CV300,134,FALSE)=0,0,HLOOKUP("SIB",A1:CV300,134,FALSE)/HLOOKUP("Shots",A1:CV300,134,FALSE))</f>
      </c>
      <c r="Q134" t="n" s="15773">
        <v>0.0</v>
      </c>
      <c r="R134" s="15774">
        <f>IF(HLOOKUP("Shots",A1:CV300,134,FALSE)=0,0,HLOOKUP("S6YD",A1:CV300,134,FALSE)/HLOOKUP("Shots",A1:CV300,134,FALSE))</f>
      </c>
      <c r="S134" t="n" s="15775">
        <v>1.0</v>
      </c>
      <c r="T134" s="15776">
        <f>IF(HLOOKUP("Shots",A1:CV300,134,FALSE)=0,0,HLOOKUP("Headers",A1:CV300,134,FALSE)/HLOOKUP("Shots",A1:CV300,134,FALSE))</f>
      </c>
      <c r="U134" t="n" s="15777">
        <v>1.0</v>
      </c>
      <c r="V134" s="15778">
        <f>IF(HLOOKUP("Shots",A1:CV300,134,FALSE)=0,0,HLOOKUP("SOT",A1:CV300,134,FALSE)/HLOOKUP("Shots",A1:CV300,134,FALSE))</f>
      </c>
      <c r="W134" s="15779">
        <f>IF(HLOOKUP("Shots",A1:CV300,134,FALSE)=0,0,HLOOKUP("Gs",A1:CV300,134,FALSE)/HLOOKUP("Shots",A1:CV300,134,FALSE))</f>
      </c>
      <c r="X134" t="n" s="15780">
        <v>0.0</v>
      </c>
      <c r="Y134" t="n" s="15781">
        <v>1.0</v>
      </c>
      <c r="Z134" t="n" s="15782">
        <v>0.0</v>
      </c>
      <c r="AA134" s="15783">
        <f>IF(HLOOKUP("KP",A1:CV300,134,FALSE)=0,0,HLOOKUP("As",A1:CV300,134,FALSE)/HLOOKUP("KP",A1:CV300,134,FALSE))</f>
      </c>
      <c r="AB134" t="n" s="15784">
        <v>4.9</v>
      </c>
      <c r="AC134" t="n" s="15785">
        <v>0.0</v>
      </c>
      <c r="AD134" t="n" s="15786">
        <v>0.0</v>
      </c>
      <c r="AE134" t="n" s="15787">
        <v>0.0</v>
      </c>
      <c r="AF134" t="n" s="15788">
        <v>0.0</v>
      </c>
      <c r="AG134" s="15789">
        <f>IF(HLOOKUP("BC",A1:CV300,134,FALSE)=0,0,HLOOKUP("Gs - BC",A1:CV300,134,FALSE)/HLOOKUP("BC",A1:CV300,134,FALSE))</f>
      </c>
      <c r="AH134" s="15790">
        <f>HLOOKUP("BC",A1:CV300,134,FALSE) - HLOOKUP("BC Miss",A1:CV300,134,FALSE)</f>
      </c>
      <c r="AI134" s="15791">
        <f>IF(HLOOKUP("Gs",A1:CV300,134,FALSE)=0,0,HLOOKUP("Gs - BC",A1:CV300,134,FALSE)/HLOOKUP("Gs",A1:CV300,134,FALSE))</f>
      </c>
      <c r="AJ134" t="n" s="15792">
        <v>0.0</v>
      </c>
      <c r="AK134" t="n" s="15793">
        <v>0.0</v>
      </c>
      <c r="AL134" s="15794">
        <f>HLOOKUP("BC",A1:CV300,134,FALSE) - (HLOOKUP("PK Gs",A1:CV300,134,FALSE) + HLOOKUP("PK Miss",A1:CV300,134,FALSE))</f>
      </c>
      <c r="AM134" s="15795">
        <f>HLOOKUP("BC Miss",A1:CV300,134,FALSE) - HLOOKUP("PK Miss",A1:CV300,134,FALSE)</f>
      </c>
      <c r="AN134" s="15796">
        <f>IF(HLOOKUP("BC - Open",A1:CV300,134,FALSE)=0,0,HLOOKUP("BC - Open Miss",A1:CV300,134,FALSE)/HLOOKUP("BC - Open",A1:CV300,134,FALSE))</f>
      </c>
      <c r="AO134" t="n" s="15797">
        <v>0.0</v>
      </c>
      <c r="AP134" s="15798">
        <f>IF(HLOOKUP("Gs",A1:CV300,134,FALSE)=0,0,HLOOKUP("GIB",A1:CV300,134,FALSE)/HLOOKUP("Gs",A1:CV300,134,FALSE))</f>
      </c>
      <c r="AQ134" t="n" s="15799">
        <v>0.0</v>
      </c>
      <c r="AR134" s="15800">
        <f>IF(HLOOKUP("Gs",A1:CV300,134,FALSE)=0,0,HLOOKUP("Gs - Open",A1:CV300,134,FALSE)/HLOOKUP("Gs",A1:CV300,134,FALSE))</f>
      </c>
      <c r="AS134" t="n" s="15801">
        <v>0.04</v>
      </c>
      <c r="AT134" t="n" s="15802">
        <v>0.01</v>
      </c>
      <c r="AU134" s="15803">
        <f>IF(HLOOKUP("Mins",A1:CV300,134,FALSE)=0,0,HLOOKUP("Pts",A1:CV300,134,FALSE)/HLOOKUP("Mins",A1:CV300,134,FALSE)* 90)</f>
      </c>
      <c r="AV134" s="15804">
        <f>IF(HLOOKUP("Apps",A1:CV300,134,FALSE)=0,0,HLOOKUP("Pts",A1:CV300,134,FALSE)/HLOOKUP("Apps",A1:CV300,134,FALSE)* 1)</f>
      </c>
      <c r="AW134" s="15805">
        <f>IF(HLOOKUP("Mins",A1:CV300,134,FALSE)=0,0,HLOOKUP("Gs",A1:CV300,134,FALSE)/HLOOKUP("Mins",A1:CV300,134,FALSE)* 90)</f>
      </c>
      <c r="AX134" s="15806">
        <f>IF(HLOOKUP("Mins",A1:CV300,134,FALSE)=0,0,HLOOKUP("Bonus",A1:CV300,134,FALSE)/HLOOKUP("Mins",A1:CV300,134,FALSE)* 90)</f>
      </c>
      <c r="AY134" s="15807">
        <f>IF(HLOOKUP("Mins",A1:CV300,134,FALSE)=0,0,HLOOKUP("BPS",A1:CV300,134,FALSE)/HLOOKUP("Mins",A1:CV300,134,FALSE)* 90)</f>
      </c>
      <c r="AZ134" s="15808">
        <f>IF(HLOOKUP("Mins",A1:CV300,134,FALSE)=0,0,HLOOKUP("Base BPS",A1:CV300,134,FALSE)/HLOOKUP("Mins",A1:CV300,134,FALSE)* 90)</f>
      </c>
      <c r="BA134" s="15809">
        <f>IF(HLOOKUP("Mins",A1:CV300,134,FALSE)=0,0,HLOOKUP("PenTchs",A1:CV300,134,FALSE)/HLOOKUP("Mins",A1:CV300,134,FALSE)* 90)</f>
      </c>
      <c r="BB134" s="15810">
        <f>IF(HLOOKUP("Mins",A1:CV300,134,FALSE)=0,0,HLOOKUP("Shots",A1:CV300,134,FALSE)/HLOOKUP("Mins",A1:CV300,134,FALSE)* 90)</f>
      </c>
      <c r="BC134" s="15811">
        <f>IF(HLOOKUP("Mins",A1:CV300,134,FALSE)=0,0,HLOOKUP("SIB",A1:CV300,134,FALSE)/HLOOKUP("Mins",A1:CV300,134,FALSE)* 90)</f>
      </c>
      <c r="BD134" s="15812">
        <f>IF(HLOOKUP("Mins",A1:CV300,134,FALSE)=0,0,HLOOKUP("S6YD",A1:CV300,134,FALSE)/HLOOKUP("Mins",A1:CV300,134,FALSE)* 90)</f>
      </c>
      <c r="BE134" s="15813">
        <f>IF(HLOOKUP("Mins",A1:CV300,134,FALSE)=0,0,HLOOKUP("Headers",A1:CV300,134,FALSE)/HLOOKUP("Mins",A1:CV300,134,FALSE)* 90)</f>
      </c>
      <c r="BF134" s="15814">
        <f>IF(HLOOKUP("Mins",A1:CV300,134,FALSE)=0,0,HLOOKUP("SOT",A1:CV300,134,FALSE)/HLOOKUP("Mins",A1:CV300,134,FALSE)* 90)</f>
      </c>
      <c r="BG134" s="15815">
        <f>IF(HLOOKUP("Mins",A1:CV300,134,FALSE)=0,0,HLOOKUP("As",A1:CV300,134,FALSE)/HLOOKUP("Mins",A1:CV300,134,FALSE)* 90)</f>
      </c>
      <c r="BH134" s="15816">
        <f>IF(HLOOKUP("Mins",A1:CV300,134,FALSE)=0,0,HLOOKUP("FPL As",A1:CV300,134,FALSE)/HLOOKUP("Mins",A1:CV300,134,FALSE)* 90)</f>
      </c>
      <c r="BI134" s="15817">
        <f>IF(HLOOKUP("Mins",A1:CV300,134,FALSE)=0,0,HLOOKUP("BC Created",A1:CV300,134,FALSE)/HLOOKUP("Mins",A1:CV300,134,FALSE)* 90)</f>
      </c>
      <c r="BJ134" s="15818">
        <f>IF(HLOOKUP("Mins",A1:CV300,134,FALSE)=0,0,HLOOKUP("KP",A1:CV300,134,FALSE)/HLOOKUP("Mins",A1:CV300,134,FALSE)* 90)</f>
      </c>
      <c r="BK134" s="15819">
        <f>IF(HLOOKUP("Mins",A1:CV300,134,FALSE)=0,0,HLOOKUP("BC",A1:CV300,134,FALSE)/HLOOKUP("Mins",A1:CV300,134,FALSE)* 90)</f>
      </c>
      <c r="BL134" s="15820">
        <f>IF(HLOOKUP("Mins",A1:CV300,134,FALSE)=0,0,HLOOKUP("BC Miss",A1:CV300,134,FALSE)/HLOOKUP("Mins",A1:CV300,134,FALSE)* 90)</f>
      </c>
      <c r="BM134" s="15821">
        <f>IF(HLOOKUP("Mins",A1:CV300,134,FALSE)=0,0,HLOOKUP("Gs - BC",A1:CV300,134,FALSE)/HLOOKUP("Mins",A1:CV300,134,FALSE)* 90)</f>
      </c>
      <c r="BN134" s="15822">
        <f>IF(HLOOKUP("Mins",A1:CV300,134,FALSE)=0,0,HLOOKUP("GIB",A1:CV300,134,FALSE)/HLOOKUP("Mins",A1:CV300,134,FALSE)* 90)</f>
      </c>
      <c r="BO134" s="15823">
        <f>IF(HLOOKUP("Mins",A1:CV300,134,FALSE)=0,0,HLOOKUP("Gs - Open",A1:CV300,134,FALSE)/HLOOKUP("Mins",A1:CV300,134,FALSE)* 90)</f>
      </c>
      <c r="BP134" s="15824">
        <f>IF(HLOOKUP("Mins",A1:CV300,134,FALSE)=0,0,HLOOKUP("ICT Index",A1:CV300,134,FALSE)/HLOOKUP("Mins",A1:CV300,134,FALSE)* 90)</f>
      </c>
      <c r="BQ134" s="15825">
        <f>IF(HLOOKUP("Mins",A1:CV300,134,FALSE)=0,0,(0.02*(HLOOKUP("Shots",A1:CV300,134,FALSE)-HLOOKUP("SIB",A1:CV300,134,FALSE))+0.093*(HLOOKUP("SIB",A1:CV300,134,FALSE)-(HLOOKUP("PK Gs",A1:CV300,134,FALSE)+HLOOKUP("PK Miss",A1:CV300,134,FALSE)))+0.75*(HLOOKUP("PK Gs",A1:CV300,134,FALSE)+HLOOKUP("PK Miss",A1:CV300,134,FALSE)))/HLOOKUP("Mins",A1:CV300,134,FALSE)*90)</f>
      </c>
      <c r="BR134" s="15826">
        <f>0.0825*HLOOKUP("KP/90",A1:CV300,134,FALSE)</f>
      </c>
      <c r="BS134" s="15827">
        <f>6*HLOOKUP("xG/90",A1:CV300,134,FALSE)+3*HLOOKUP("xA/90",A1:CV300,134,FALSE)</f>
      </c>
      <c r="BT134" s="15828">
        <f>HLOOKUP("xPts/90",A1:CV300,134,FALSE)-(6*0.75*(HLOOKUP("PK Gs",A1:CV300,134,FALSE)+HLOOKUP("PK Miss",A1:CV300,134,FALSE))*90/HLOOKUP("Mins",A1:CV300,134,FALSE))</f>
      </c>
      <c r="BU134" s="15829">
        <f>IF(HLOOKUP("Mins",A1:CV300,134,FALSE)=0,0,HLOOKUP("fsXG",A1:CV300,134,FALSE)/HLOOKUP("Mins",A1:CV300,134,FALSE)* 90)</f>
      </c>
      <c r="BV134" s="15830">
        <f>IF(HLOOKUP("Mins",A1:CV300,134,FALSE)=0,0,HLOOKUP("fsXA",A1:CV300,134,FALSE)/HLOOKUP("Mins",A1:CV300,134,FALSE)* 90)</f>
      </c>
      <c r="BW134" s="15831">
        <f>6*HLOOKUP("fsXG/90",A1:CV300,134,FALSE)+3*HLOOKUP("fsXA/90",A1:CV300,134,FALSE)</f>
      </c>
      <c r="BX134" t="n" s="15832">
        <v>0.007181949447840452</v>
      </c>
      <c r="BY134" t="n" s="15833">
        <v>0.0</v>
      </c>
      <c r="BZ134" s="15834">
        <f>6*HLOOKUP("uXG/90",A1:CV300,134,FALSE)+3*HLOOKUP("uXA/90",A1:CV300,134,FALSE)</f>
      </c>
    </row>
    <row r="135">
      <c r="A135" t="s" s="15835">
        <v>300</v>
      </c>
      <c r="B135" t="s" s="15836">
        <v>87</v>
      </c>
      <c r="C135" t="n" s="15837">
        <v>4.5</v>
      </c>
      <c r="D135" t="n" s="15838">
        <v>450.0</v>
      </c>
      <c r="E135" t="n" s="15839">
        <v>5.0</v>
      </c>
      <c r="F135" t="n" s="15840">
        <v>55.0</v>
      </c>
      <c r="G135" t="n" s="15841">
        <v>1.0</v>
      </c>
      <c r="H135" t="n" s="15842">
        <v>5.0</v>
      </c>
      <c r="I135" t="n" s="15843">
        <v>345.0</v>
      </c>
      <c r="J135" s="15844">
        <f>HLOOKUP("BPS",A1:CV300,135,FALSE)-((-6*HLOOKUP("OG",A1:CV300,135,FALSE))+(-6*HLOOKUP("PK Miss",A1:CV300,135,FALSE))+(9*HLOOKUP("FPL As",A1:CV300,135,FALSE))+(12*HLOOKUP("CS",A1:CV300,135,FALSE))+(12*HLOOKUP("Gs",A1:CV300,135,FALSE)))</f>
      </c>
      <c r="K135" t="n" s="15845">
        <v>0.0</v>
      </c>
      <c r="L135" t="n" s="15846">
        <v>3.0</v>
      </c>
      <c r="M135" t="n" s="15847">
        <v>12.0</v>
      </c>
      <c r="N135" t="n" s="15848">
        <v>3.0</v>
      </c>
      <c r="O135" t="n" s="15849">
        <v>3.0</v>
      </c>
      <c r="P135" s="15850">
        <f>IF(HLOOKUP("Shots",A1:CV300,135,FALSE)=0,0,HLOOKUP("SIB",A1:CV300,135,FALSE)/HLOOKUP("Shots",A1:CV300,135,FALSE))</f>
      </c>
      <c r="Q135" t="n" s="15851">
        <v>0.0</v>
      </c>
      <c r="R135" s="15852">
        <f>IF(HLOOKUP("Shots",A1:CV300,135,FALSE)=0,0,HLOOKUP("S6YD",A1:CV300,135,FALSE)/HLOOKUP("Shots",A1:CV300,135,FALSE))</f>
      </c>
      <c r="S135" t="n" s="15853">
        <v>2.0</v>
      </c>
      <c r="T135" s="15854">
        <f>IF(HLOOKUP("Shots",A1:CV300,135,FALSE)=0,0,HLOOKUP("Headers",A1:CV300,135,FALSE)/HLOOKUP("Shots",A1:CV300,135,FALSE))</f>
      </c>
      <c r="U135" t="n" s="15855">
        <v>1.0</v>
      </c>
      <c r="V135" s="15856">
        <f>IF(HLOOKUP("Shots",A1:CV300,135,FALSE)=0,0,HLOOKUP("SOT",A1:CV300,135,FALSE)/HLOOKUP("Shots",A1:CV300,135,FALSE))</f>
      </c>
      <c r="W135" s="15857">
        <f>IF(HLOOKUP("Shots",A1:CV300,135,FALSE)=0,0,HLOOKUP("Gs",A1:CV300,135,FALSE)/HLOOKUP("Shots",A1:CV300,135,FALSE))</f>
      </c>
      <c r="X135" t="n" s="15858">
        <v>0.0</v>
      </c>
      <c r="Y135" t="n" s="15859">
        <v>1.0</v>
      </c>
      <c r="Z135" t="n" s="15860">
        <v>1.0</v>
      </c>
      <c r="AA135" s="15861">
        <f>IF(HLOOKUP("KP",A1:CV300,135,FALSE)=0,0,HLOOKUP("As",A1:CV300,135,FALSE)/HLOOKUP("KP",A1:CV300,135,FALSE))</f>
      </c>
      <c r="AB135" t="n" s="15862">
        <v>18.6</v>
      </c>
      <c r="AC135" t="n" s="15863">
        <v>14.0</v>
      </c>
      <c r="AD135" t="n" s="15864">
        <v>0.0</v>
      </c>
      <c r="AE135" t="n" s="15865">
        <v>0.0</v>
      </c>
      <c r="AF135" t="n" s="15866">
        <v>0.0</v>
      </c>
      <c r="AG135" s="15867">
        <f>IF(HLOOKUP("BC",A1:CV300,135,FALSE)=0,0,HLOOKUP("Gs - BC",A1:CV300,135,FALSE)/HLOOKUP("BC",A1:CV300,135,FALSE))</f>
      </c>
      <c r="AH135" s="15868">
        <f>HLOOKUP("BC",A1:CV300,135,FALSE) - HLOOKUP("BC Miss",A1:CV300,135,FALSE)</f>
      </c>
      <c r="AI135" s="15869">
        <f>IF(HLOOKUP("Gs",A1:CV300,135,FALSE)=0,0,HLOOKUP("Gs - BC",A1:CV300,135,FALSE)/HLOOKUP("Gs",A1:CV300,135,FALSE))</f>
      </c>
      <c r="AJ135" t="n" s="15870">
        <v>0.0</v>
      </c>
      <c r="AK135" t="n" s="15871">
        <v>0.0</v>
      </c>
      <c r="AL135" s="15872">
        <f>HLOOKUP("BC",A1:CV300,135,FALSE) - (HLOOKUP("PK Gs",A1:CV300,135,FALSE) + HLOOKUP("PK Miss",A1:CV300,135,FALSE))</f>
      </c>
      <c r="AM135" s="15873">
        <f>HLOOKUP("BC Miss",A1:CV300,135,FALSE) - HLOOKUP("PK Miss",A1:CV300,135,FALSE)</f>
      </c>
      <c r="AN135" s="15874">
        <f>IF(HLOOKUP("BC - Open",A1:CV300,135,FALSE)=0,0,HLOOKUP("BC - Open Miss",A1:CV300,135,FALSE)/HLOOKUP("BC - Open",A1:CV300,135,FALSE))</f>
      </c>
      <c r="AO135" t="n" s="15875">
        <v>1.0</v>
      </c>
      <c r="AP135" s="15876">
        <f>IF(HLOOKUP("Gs",A1:CV300,135,FALSE)=0,0,HLOOKUP("GIB",A1:CV300,135,FALSE)/HLOOKUP("Gs",A1:CV300,135,FALSE))</f>
      </c>
      <c r="AQ135" t="n" s="15877">
        <v>0.0</v>
      </c>
      <c r="AR135" s="15878">
        <f>IF(HLOOKUP("Gs",A1:CV300,135,FALSE)=0,0,HLOOKUP("Gs - Open",A1:CV300,135,FALSE)/HLOOKUP("Gs",A1:CV300,135,FALSE))</f>
      </c>
      <c r="AS135" t="n" s="15879">
        <v>0.33</v>
      </c>
      <c r="AT135" t="n" s="15880">
        <v>0.05</v>
      </c>
      <c r="AU135" s="15881">
        <f>IF(HLOOKUP("Mins",A1:CV300,135,FALSE)=0,0,HLOOKUP("Pts",A1:CV300,135,FALSE)/HLOOKUP("Mins",A1:CV300,135,FALSE)* 90)</f>
      </c>
      <c r="AV135" s="15882">
        <f>IF(HLOOKUP("Apps",A1:CV300,135,FALSE)=0,0,HLOOKUP("Pts",A1:CV300,135,FALSE)/HLOOKUP("Apps",A1:CV300,135,FALSE)* 1)</f>
      </c>
      <c r="AW135" s="15883">
        <f>IF(HLOOKUP("Mins",A1:CV300,135,FALSE)=0,0,HLOOKUP("Gs",A1:CV300,135,FALSE)/HLOOKUP("Mins",A1:CV300,135,FALSE)* 90)</f>
      </c>
      <c r="AX135" s="15884">
        <f>IF(HLOOKUP("Mins",A1:CV300,135,FALSE)=0,0,HLOOKUP("Bonus",A1:CV300,135,FALSE)/HLOOKUP("Mins",A1:CV300,135,FALSE)* 90)</f>
      </c>
      <c r="AY135" s="15885">
        <f>IF(HLOOKUP("Mins",A1:CV300,135,FALSE)=0,0,HLOOKUP("BPS",A1:CV300,135,FALSE)/HLOOKUP("Mins",A1:CV300,135,FALSE)* 90)</f>
      </c>
      <c r="AZ135" s="15886">
        <f>IF(HLOOKUP("Mins",A1:CV300,135,FALSE)=0,0,HLOOKUP("Base BPS",A1:CV300,135,FALSE)/HLOOKUP("Mins",A1:CV300,135,FALSE)* 90)</f>
      </c>
      <c r="BA135" s="15887">
        <f>IF(HLOOKUP("Mins",A1:CV300,135,FALSE)=0,0,HLOOKUP("PenTchs",A1:CV300,135,FALSE)/HLOOKUP("Mins",A1:CV300,135,FALSE)* 90)</f>
      </c>
      <c r="BB135" s="15888">
        <f>IF(HLOOKUP("Mins",A1:CV300,135,FALSE)=0,0,HLOOKUP("Shots",A1:CV300,135,FALSE)/HLOOKUP("Mins",A1:CV300,135,FALSE)* 90)</f>
      </c>
      <c r="BC135" s="15889">
        <f>IF(HLOOKUP("Mins",A1:CV300,135,FALSE)=0,0,HLOOKUP("SIB",A1:CV300,135,FALSE)/HLOOKUP("Mins",A1:CV300,135,FALSE)* 90)</f>
      </c>
      <c r="BD135" s="15890">
        <f>IF(HLOOKUP("Mins",A1:CV300,135,FALSE)=0,0,HLOOKUP("S6YD",A1:CV300,135,FALSE)/HLOOKUP("Mins",A1:CV300,135,FALSE)* 90)</f>
      </c>
      <c r="BE135" s="15891">
        <f>IF(HLOOKUP("Mins",A1:CV300,135,FALSE)=0,0,HLOOKUP("Headers",A1:CV300,135,FALSE)/HLOOKUP("Mins",A1:CV300,135,FALSE)* 90)</f>
      </c>
      <c r="BF135" s="15892">
        <f>IF(HLOOKUP("Mins",A1:CV300,135,FALSE)=0,0,HLOOKUP("SOT",A1:CV300,135,FALSE)/HLOOKUP("Mins",A1:CV300,135,FALSE)* 90)</f>
      </c>
      <c r="BG135" s="15893">
        <f>IF(HLOOKUP("Mins",A1:CV300,135,FALSE)=0,0,HLOOKUP("As",A1:CV300,135,FALSE)/HLOOKUP("Mins",A1:CV300,135,FALSE)* 90)</f>
      </c>
      <c r="BH135" s="15894">
        <f>IF(HLOOKUP("Mins",A1:CV300,135,FALSE)=0,0,HLOOKUP("FPL As",A1:CV300,135,FALSE)/HLOOKUP("Mins",A1:CV300,135,FALSE)* 90)</f>
      </c>
      <c r="BI135" s="15895">
        <f>IF(HLOOKUP("Mins",A1:CV300,135,FALSE)=0,0,HLOOKUP("BC Created",A1:CV300,135,FALSE)/HLOOKUP("Mins",A1:CV300,135,FALSE)* 90)</f>
      </c>
      <c r="BJ135" s="15896">
        <f>IF(HLOOKUP("Mins",A1:CV300,135,FALSE)=0,0,HLOOKUP("KP",A1:CV300,135,FALSE)/HLOOKUP("Mins",A1:CV300,135,FALSE)* 90)</f>
      </c>
      <c r="BK135" s="15897">
        <f>IF(HLOOKUP("Mins",A1:CV300,135,FALSE)=0,0,HLOOKUP("BC",A1:CV300,135,FALSE)/HLOOKUP("Mins",A1:CV300,135,FALSE)* 90)</f>
      </c>
      <c r="BL135" s="15898">
        <f>IF(HLOOKUP("Mins",A1:CV300,135,FALSE)=0,0,HLOOKUP("BC Miss",A1:CV300,135,FALSE)/HLOOKUP("Mins",A1:CV300,135,FALSE)* 90)</f>
      </c>
      <c r="BM135" s="15899">
        <f>IF(HLOOKUP("Mins",A1:CV300,135,FALSE)=0,0,HLOOKUP("Gs - BC",A1:CV300,135,FALSE)/HLOOKUP("Mins",A1:CV300,135,FALSE)* 90)</f>
      </c>
      <c r="BN135" s="15900">
        <f>IF(HLOOKUP("Mins",A1:CV300,135,FALSE)=0,0,HLOOKUP("GIB",A1:CV300,135,FALSE)/HLOOKUP("Mins",A1:CV300,135,FALSE)* 90)</f>
      </c>
      <c r="BO135" s="15901">
        <f>IF(HLOOKUP("Mins",A1:CV300,135,FALSE)=0,0,HLOOKUP("Gs - Open",A1:CV300,135,FALSE)/HLOOKUP("Mins",A1:CV300,135,FALSE)* 90)</f>
      </c>
      <c r="BP135" s="15902">
        <f>IF(HLOOKUP("Mins",A1:CV300,135,FALSE)=0,0,HLOOKUP("ICT Index",A1:CV300,135,FALSE)/HLOOKUP("Mins",A1:CV300,135,FALSE)* 90)</f>
      </c>
      <c r="BQ135" s="15903">
        <f>IF(HLOOKUP("Mins",A1:CV300,135,FALSE)=0,0,(0.02*(HLOOKUP("Shots",A1:CV300,135,FALSE)-HLOOKUP("SIB",A1:CV300,135,FALSE))+0.093*(HLOOKUP("SIB",A1:CV300,135,FALSE)-(HLOOKUP("PK Gs",A1:CV300,135,FALSE)+HLOOKUP("PK Miss",A1:CV300,135,FALSE)))+0.75*(HLOOKUP("PK Gs",A1:CV300,135,FALSE)+HLOOKUP("PK Miss",A1:CV300,135,FALSE)))/HLOOKUP("Mins",A1:CV300,135,FALSE)*90)</f>
      </c>
      <c r="BR135" s="15904">
        <f>0.0825*HLOOKUP("KP/90",A1:CV300,135,FALSE)</f>
      </c>
      <c r="BS135" s="15905">
        <f>6*HLOOKUP("xG/90",A1:CV300,135,FALSE)+3*HLOOKUP("xA/90",A1:CV300,135,FALSE)</f>
      </c>
      <c r="BT135" s="15906">
        <f>HLOOKUP("xPts/90",A1:CV300,135,FALSE)-(6*0.75*(HLOOKUP("PK Gs",A1:CV300,135,FALSE)+HLOOKUP("PK Miss",A1:CV300,135,FALSE))*90/HLOOKUP("Mins",A1:CV300,135,FALSE))</f>
      </c>
      <c r="BU135" s="15907">
        <f>IF(HLOOKUP("Mins",A1:CV300,135,FALSE)=0,0,HLOOKUP("fsXG",A1:CV300,135,FALSE)/HLOOKUP("Mins",A1:CV300,135,FALSE)* 90)</f>
      </c>
      <c r="BV135" s="15908">
        <f>IF(HLOOKUP("Mins",A1:CV300,135,FALSE)=0,0,HLOOKUP("fsXA",A1:CV300,135,FALSE)/HLOOKUP("Mins",A1:CV300,135,FALSE)* 90)</f>
      </c>
      <c r="BW135" s="15909">
        <f>6*HLOOKUP("fsXG/90",A1:CV300,135,FALSE)+3*HLOOKUP("fsXA/90",A1:CV300,135,FALSE)</f>
      </c>
      <c r="BX135" t="n" s="15910">
        <v>0.03877042979001999</v>
      </c>
      <c r="BY135" t="n" s="15911">
        <v>0.01423846185207367</v>
      </c>
      <c r="BZ135" s="15912">
        <f>6*HLOOKUP("uXG/90",A1:CV300,135,FALSE)+3*HLOOKUP("uXA/90",A1:CV300,135,FALSE)</f>
      </c>
    </row>
    <row r="136">
      <c r="A136" t="s" s="15913">
        <v>301</v>
      </c>
      <c r="B136" t="s" s="15914">
        <v>105</v>
      </c>
      <c r="C136" t="n" s="15915">
        <v>5.5</v>
      </c>
      <c r="D136" t="n" s="15916">
        <v>360.0</v>
      </c>
      <c r="E136" t="n" s="15917">
        <v>4.0</v>
      </c>
      <c r="F136" t="n" s="15918">
        <v>42.0</v>
      </c>
      <c r="G136" t="n" s="15919">
        <v>0.0</v>
      </c>
      <c r="H136" t="n" s="15920">
        <v>2.0</v>
      </c>
      <c r="I136" t="n" s="15921">
        <v>243.0</v>
      </c>
      <c r="J136" s="15922">
        <f>HLOOKUP("BPS",A1:CV300,136,FALSE)-((-6*HLOOKUP("OG",A1:CV300,136,FALSE))+(-6*HLOOKUP("PK Miss",A1:CV300,136,FALSE))+(9*HLOOKUP("FPL As",A1:CV300,136,FALSE))+(12*HLOOKUP("CS",A1:CV300,136,FALSE))+(12*HLOOKUP("Gs",A1:CV300,136,FALSE)))</f>
      </c>
      <c r="K136" t="n" s="15923">
        <v>0.0</v>
      </c>
      <c r="L136" t="n" s="15924">
        <v>4.0</v>
      </c>
      <c r="M136" t="n" s="15925">
        <v>3.0</v>
      </c>
      <c r="N136" t="n" s="15926">
        <v>1.0</v>
      </c>
      <c r="O136" t="n" s="15927">
        <v>0.0</v>
      </c>
      <c r="P136" s="15928">
        <f>IF(HLOOKUP("Shots",A1:CV300,136,FALSE)=0,0,HLOOKUP("SIB",A1:CV300,136,FALSE)/HLOOKUP("Shots",A1:CV300,136,FALSE))</f>
      </c>
      <c r="Q136" t="n" s="15929">
        <v>0.0</v>
      </c>
      <c r="R136" s="15930">
        <f>IF(HLOOKUP("Shots",A1:CV300,136,FALSE)=0,0,HLOOKUP("S6YD",A1:CV300,136,FALSE)/HLOOKUP("Shots",A1:CV300,136,FALSE))</f>
      </c>
      <c r="S136" t="n" s="15931">
        <v>0.0</v>
      </c>
      <c r="T136" s="15932">
        <f>IF(HLOOKUP("Shots",A1:CV300,136,FALSE)=0,0,HLOOKUP("Headers",A1:CV300,136,FALSE)/HLOOKUP("Shots",A1:CV300,136,FALSE))</f>
      </c>
      <c r="U136" t="n" s="15933">
        <v>1.0</v>
      </c>
      <c r="V136" s="15934">
        <f>IF(HLOOKUP("Shots",A1:CV300,136,FALSE)=0,0,HLOOKUP("SOT",A1:CV300,136,FALSE)/HLOOKUP("Shots",A1:CV300,136,FALSE))</f>
      </c>
      <c r="W136" s="15935">
        <f>IF(HLOOKUP("Shots",A1:CV300,136,FALSE)=0,0,HLOOKUP("Gs",A1:CV300,136,FALSE)/HLOOKUP("Shots",A1:CV300,136,FALSE))</f>
      </c>
      <c r="X136" t="n" s="15936">
        <v>1.0</v>
      </c>
      <c r="Y136" t="n" s="15937">
        <v>2.0</v>
      </c>
      <c r="Z136" t="n" s="15938">
        <v>9.0</v>
      </c>
      <c r="AA136" s="15939">
        <f>IF(HLOOKUP("KP",A1:CV300,136,FALSE)=0,0,HLOOKUP("As",A1:CV300,136,FALSE)/HLOOKUP("KP",A1:CV300,136,FALSE))</f>
      </c>
      <c r="AB136" t="n" s="15940">
        <v>26.1</v>
      </c>
      <c r="AC136" t="n" s="15941">
        <v>8.0</v>
      </c>
      <c r="AD136" t="n" s="15942">
        <v>1.0</v>
      </c>
      <c r="AE136" t="n" s="15943">
        <v>0.0</v>
      </c>
      <c r="AF136" t="n" s="15944">
        <v>0.0</v>
      </c>
      <c r="AG136" s="15945">
        <f>IF(HLOOKUP("BC",A1:CV300,136,FALSE)=0,0,HLOOKUP("Gs - BC",A1:CV300,136,FALSE)/HLOOKUP("BC",A1:CV300,136,FALSE))</f>
      </c>
      <c r="AH136" s="15946">
        <f>HLOOKUP("BC",A1:CV300,136,FALSE) - HLOOKUP("BC Miss",A1:CV300,136,FALSE)</f>
      </c>
      <c r="AI136" s="15947">
        <f>IF(HLOOKUP("Gs",A1:CV300,136,FALSE)=0,0,HLOOKUP("Gs - BC",A1:CV300,136,FALSE)/HLOOKUP("Gs",A1:CV300,136,FALSE))</f>
      </c>
      <c r="AJ136" t="n" s="15948">
        <v>0.0</v>
      </c>
      <c r="AK136" t="n" s="15949">
        <v>0.0</v>
      </c>
      <c r="AL136" s="15950">
        <f>HLOOKUP("BC",A1:CV300,136,FALSE) - (HLOOKUP("PK Gs",A1:CV300,136,FALSE) + HLOOKUP("PK Miss",A1:CV300,136,FALSE))</f>
      </c>
      <c r="AM136" s="15951">
        <f>HLOOKUP("BC Miss",A1:CV300,136,FALSE) - HLOOKUP("PK Miss",A1:CV300,136,FALSE)</f>
      </c>
      <c r="AN136" s="15952">
        <f>IF(HLOOKUP("BC - Open",A1:CV300,136,FALSE)=0,0,HLOOKUP("BC - Open Miss",A1:CV300,136,FALSE)/HLOOKUP("BC - Open",A1:CV300,136,FALSE))</f>
      </c>
      <c r="AO136" t="n" s="15953">
        <v>0.0</v>
      </c>
      <c r="AP136" s="15954">
        <f>IF(HLOOKUP("Gs",A1:CV300,136,FALSE)=0,0,HLOOKUP("GIB",A1:CV300,136,FALSE)/HLOOKUP("Gs",A1:CV300,136,FALSE))</f>
      </c>
      <c r="AQ136" t="n" s="15955">
        <v>0.0</v>
      </c>
      <c r="AR136" s="15956">
        <f>IF(HLOOKUP("Gs",A1:CV300,136,FALSE)=0,0,HLOOKUP("Gs - Open",A1:CV300,136,FALSE)/HLOOKUP("Gs",A1:CV300,136,FALSE))</f>
      </c>
      <c r="AS136" t="n" s="15957">
        <v>0.03</v>
      </c>
      <c r="AT136" t="n" s="15958">
        <v>0.53</v>
      </c>
      <c r="AU136" s="15959">
        <f>IF(HLOOKUP("Mins",A1:CV300,136,FALSE)=0,0,HLOOKUP("Pts",A1:CV300,136,FALSE)/HLOOKUP("Mins",A1:CV300,136,FALSE)* 90)</f>
      </c>
      <c r="AV136" s="15960">
        <f>IF(HLOOKUP("Apps",A1:CV300,136,FALSE)=0,0,HLOOKUP("Pts",A1:CV300,136,FALSE)/HLOOKUP("Apps",A1:CV300,136,FALSE)* 1)</f>
      </c>
      <c r="AW136" s="15961">
        <f>IF(HLOOKUP("Mins",A1:CV300,136,FALSE)=0,0,HLOOKUP("Gs",A1:CV300,136,FALSE)/HLOOKUP("Mins",A1:CV300,136,FALSE)* 90)</f>
      </c>
      <c r="AX136" s="15962">
        <f>IF(HLOOKUP("Mins",A1:CV300,136,FALSE)=0,0,HLOOKUP("Bonus",A1:CV300,136,FALSE)/HLOOKUP("Mins",A1:CV300,136,FALSE)* 90)</f>
      </c>
      <c r="AY136" s="15963">
        <f>IF(HLOOKUP("Mins",A1:CV300,136,FALSE)=0,0,HLOOKUP("BPS",A1:CV300,136,FALSE)/HLOOKUP("Mins",A1:CV300,136,FALSE)* 90)</f>
      </c>
      <c r="AZ136" s="15964">
        <f>IF(HLOOKUP("Mins",A1:CV300,136,FALSE)=0,0,HLOOKUP("Base BPS",A1:CV300,136,FALSE)/HLOOKUP("Mins",A1:CV300,136,FALSE)* 90)</f>
      </c>
      <c r="BA136" s="15965">
        <f>IF(HLOOKUP("Mins",A1:CV300,136,FALSE)=0,0,HLOOKUP("PenTchs",A1:CV300,136,FALSE)/HLOOKUP("Mins",A1:CV300,136,FALSE)* 90)</f>
      </c>
      <c r="BB136" s="15966">
        <f>IF(HLOOKUP("Mins",A1:CV300,136,FALSE)=0,0,HLOOKUP("Shots",A1:CV300,136,FALSE)/HLOOKUP("Mins",A1:CV300,136,FALSE)* 90)</f>
      </c>
      <c r="BC136" s="15967">
        <f>IF(HLOOKUP("Mins",A1:CV300,136,FALSE)=0,0,HLOOKUP("SIB",A1:CV300,136,FALSE)/HLOOKUP("Mins",A1:CV300,136,FALSE)* 90)</f>
      </c>
      <c r="BD136" s="15968">
        <f>IF(HLOOKUP("Mins",A1:CV300,136,FALSE)=0,0,HLOOKUP("S6YD",A1:CV300,136,FALSE)/HLOOKUP("Mins",A1:CV300,136,FALSE)* 90)</f>
      </c>
      <c r="BE136" s="15969">
        <f>IF(HLOOKUP("Mins",A1:CV300,136,FALSE)=0,0,HLOOKUP("Headers",A1:CV300,136,FALSE)/HLOOKUP("Mins",A1:CV300,136,FALSE)* 90)</f>
      </c>
      <c r="BF136" s="15970">
        <f>IF(HLOOKUP("Mins",A1:CV300,136,FALSE)=0,0,HLOOKUP("SOT",A1:CV300,136,FALSE)/HLOOKUP("Mins",A1:CV300,136,FALSE)* 90)</f>
      </c>
      <c r="BG136" s="15971">
        <f>IF(HLOOKUP("Mins",A1:CV300,136,FALSE)=0,0,HLOOKUP("As",A1:CV300,136,FALSE)/HLOOKUP("Mins",A1:CV300,136,FALSE)* 90)</f>
      </c>
      <c r="BH136" s="15972">
        <f>IF(HLOOKUP("Mins",A1:CV300,136,FALSE)=0,0,HLOOKUP("FPL As",A1:CV300,136,FALSE)/HLOOKUP("Mins",A1:CV300,136,FALSE)* 90)</f>
      </c>
      <c r="BI136" s="15973">
        <f>IF(HLOOKUP("Mins",A1:CV300,136,FALSE)=0,0,HLOOKUP("BC Created",A1:CV300,136,FALSE)/HLOOKUP("Mins",A1:CV300,136,FALSE)* 90)</f>
      </c>
      <c r="BJ136" s="15974">
        <f>IF(HLOOKUP("Mins",A1:CV300,136,FALSE)=0,0,HLOOKUP("KP",A1:CV300,136,FALSE)/HLOOKUP("Mins",A1:CV300,136,FALSE)* 90)</f>
      </c>
      <c r="BK136" s="15975">
        <f>IF(HLOOKUP("Mins",A1:CV300,136,FALSE)=0,0,HLOOKUP("BC",A1:CV300,136,FALSE)/HLOOKUP("Mins",A1:CV300,136,FALSE)* 90)</f>
      </c>
      <c r="BL136" s="15976">
        <f>IF(HLOOKUP("Mins",A1:CV300,136,FALSE)=0,0,HLOOKUP("BC Miss",A1:CV300,136,FALSE)/HLOOKUP("Mins",A1:CV300,136,FALSE)* 90)</f>
      </c>
      <c r="BM136" s="15977">
        <f>IF(HLOOKUP("Mins",A1:CV300,136,FALSE)=0,0,HLOOKUP("Gs - BC",A1:CV300,136,FALSE)/HLOOKUP("Mins",A1:CV300,136,FALSE)* 90)</f>
      </c>
      <c r="BN136" s="15978">
        <f>IF(HLOOKUP("Mins",A1:CV300,136,FALSE)=0,0,HLOOKUP("GIB",A1:CV300,136,FALSE)/HLOOKUP("Mins",A1:CV300,136,FALSE)* 90)</f>
      </c>
      <c r="BO136" s="15979">
        <f>IF(HLOOKUP("Mins",A1:CV300,136,FALSE)=0,0,HLOOKUP("Gs - Open",A1:CV300,136,FALSE)/HLOOKUP("Mins",A1:CV300,136,FALSE)* 90)</f>
      </c>
      <c r="BP136" s="15980">
        <f>IF(HLOOKUP("Mins",A1:CV300,136,FALSE)=0,0,HLOOKUP("ICT Index",A1:CV300,136,FALSE)/HLOOKUP("Mins",A1:CV300,136,FALSE)* 90)</f>
      </c>
      <c r="BQ136" s="15981">
        <f>IF(HLOOKUP("Mins",A1:CV300,136,FALSE)=0,0,(0.02*(HLOOKUP("Shots",A1:CV300,136,FALSE)-HLOOKUP("SIB",A1:CV300,136,FALSE))+0.093*(HLOOKUP("SIB",A1:CV300,136,FALSE)-(HLOOKUP("PK Gs",A1:CV300,136,FALSE)+HLOOKUP("PK Miss",A1:CV300,136,FALSE)))+0.75*(HLOOKUP("PK Gs",A1:CV300,136,FALSE)+HLOOKUP("PK Miss",A1:CV300,136,FALSE)))/HLOOKUP("Mins",A1:CV300,136,FALSE)*90)</f>
      </c>
      <c r="BR136" s="15982">
        <f>0.0825*HLOOKUP("KP/90",A1:CV300,136,FALSE)</f>
      </c>
      <c r="BS136" s="15983">
        <f>6*HLOOKUP("xG/90",A1:CV300,136,FALSE)+3*HLOOKUP("xA/90",A1:CV300,136,FALSE)</f>
      </c>
      <c r="BT136" s="15984">
        <f>HLOOKUP("xPts/90",A1:CV300,136,FALSE)-(6*0.75*(HLOOKUP("PK Gs",A1:CV300,136,FALSE)+HLOOKUP("PK Miss",A1:CV300,136,FALSE))*90/HLOOKUP("Mins",A1:CV300,136,FALSE))</f>
      </c>
      <c r="BU136" s="15985">
        <f>IF(HLOOKUP("Mins",A1:CV300,136,FALSE)=0,0,HLOOKUP("fsXG",A1:CV300,136,FALSE)/HLOOKUP("Mins",A1:CV300,136,FALSE)* 90)</f>
      </c>
      <c r="BV136" s="15986">
        <f>IF(HLOOKUP("Mins",A1:CV300,136,FALSE)=0,0,HLOOKUP("fsXA",A1:CV300,136,FALSE)/HLOOKUP("Mins",A1:CV300,136,FALSE)* 90)</f>
      </c>
      <c r="BW136" s="15987">
        <f>6*HLOOKUP("fsXG/90",A1:CV300,136,FALSE)+3*HLOOKUP("fsXA/90",A1:CV300,136,FALSE)</f>
      </c>
      <c r="BX136" t="n" s="15988">
        <v>0.005610063672065735</v>
      </c>
      <c r="BY136" t="n" s="15989">
        <v>0.20378074049949646</v>
      </c>
      <c r="BZ136" s="15990">
        <f>6*HLOOKUP("uXG/90",A1:CV300,136,FALSE)+3*HLOOKUP("uXA/90",A1:CV300,136,FALSE)</f>
      </c>
    </row>
    <row r="137">
      <c r="A137" t="s" s="15991">
        <v>302</v>
      </c>
      <c r="B137" t="s" s="15992">
        <v>102</v>
      </c>
      <c r="C137" t="n" s="15993">
        <v>4.300000190734863</v>
      </c>
      <c r="D137" t="n" s="15994">
        <v>48.0</v>
      </c>
      <c r="E137" t="n" s="15995">
        <v>1.0</v>
      </c>
      <c r="F137" t="n" s="15996">
        <v>32.0</v>
      </c>
      <c r="G137" t="n" s="15997">
        <v>0.0</v>
      </c>
      <c r="H137" t="n" s="15998">
        <v>4.0</v>
      </c>
      <c r="I137" t="n" s="15999">
        <v>137.0</v>
      </c>
      <c r="J137" s="16000">
        <f>HLOOKUP("BPS",A1:CV300,137,FALSE)-((-6*HLOOKUP("OG",A1:CV300,137,FALSE))+(-6*HLOOKUP("PK Miss",A1:CV300,137,FALSE))+(9*HLOOKUP("FPL As",A1:CV300,137,FALSE))+(12*HLOOKUP("CS",A1:CV300,137,FALSE))+(12*HLOOKUP("Gs",A1:CV300,137,FALSE)))</f>
      </c>
      <c r="K137" t="n" s="16001">
        <v>0.0</v>
      </c>
      <c r="L137" t="n" s="16002">
        <v>3.0</v>
      </c>
      <c r="M137" t="n" s="16003">
        <v>0.0</v>
      </c>
      <c r="N137" t="n" s="16004">
        <v>0.0</v>
      </c>
      <c r="O137" t="n" s="16005">
        <v>0.0</v>
      </c>
      <c r="P137" s="16006">
        <f>IF(HLOOKUP("Shots",A1:CV300,137,FALSE)=0,0,HLOOKUP("SIB",A1:CV300,137,FALSE)/HLOOKUP("Shots",A1:CV300,137,FALSE))</f>
      </c>
      <c r="Q137" t="n" s="16007">
        <v>0.0</v>
      </c>
      <c r="R137" s="16008">
        <f>IF(HLOOKUP("Shots",A1:CV300,137,FALSE)=0,0,HLOOKUP("S6YD",A1:CV300,137,FALSE)/HLOOKUP("Shots",A1:CV300,137,FALSE))</f>
      </c>
      <c r="S137" t="n" s="16009">
        <v>0.0</v>
      </c>
      <c r="T137" s="16010">
        <f>IF(HLOOKUP("Shots",A1:CV300,137,FALSE)=0,0,HLOOKUP("Headers",A1:CV300,137,FALSE)/HLOOKUP("Shots",A1:CV300,137,FALSE))</f>
      </c>
      <c r="U137" t="n" s="16011">
        <v>0.0</v>
      </c>
      <c r="V137" s="16012">
        <f>IF(HLOOKUP("Shots",A1:CV300,137,FALSE)=0,0,HLOOKUP("SOT",A1:CV300,137,FALSE)/HLOOKUP("Shots",A1:CV300,137,FALSE))</f>
      </c>
      <c r="W137" s="16013">
        <f>IF(HLOOKUP("Shots",A1:CV300,137,FALSE)=0,0,HLOOKUP("Gs",A1:CV300,137,FALSE)/HLOOKUP("Shots",A1:CV300,137,FALSE))</f>
      </c>
      <c r="X137" t="n" s="16014">
        <v>0.0</v>
      </c>
      <c r="Y137" t="n" s="16015">
        <v>1.0</v>
      </c>
      <c r="Z137" t="n" s="16016">
        <v>0.0</v>
      </c>
      <c r="AA137" s="16017">
        <f>IF(HLOOKUP("KP",A1:CV300,137,FALSE)=0,0,HLOOKUP("As",A1:CV300,137,FALSE)/HLOOKUP("KP",A1:CV300,137,FALSE))</f>
      </c>
      <c r="AB137" t="n" s="16018">
        <v>0.6</v>
      </c>
      <c r="AC137" t="n" s="16019">
        <v>0.0</v>
      </c>
      <c r="AD137" t="n" s="16020">
        <v>0.0</v>
      </c>
      <c r="AE137" t="n" s="16021">
        <v>0.0</v>
      </c>
      <c r="AF137" t="n" s="16022">
        <v>0.0</v>
      </c>
      <c r="AG137" s="16023">
        <f>IF(HLOOKUP("BC",A1:CV300,137,FALSE)=0,0,HLOOKUP("Gs - BC",A1:CV300,137,FALSE)/HLOOKUP("BC",A1:CV300,137,FALSE))</f>
      </c>
      <c r="AH137" s="16024">
        <f>HLOOKUP("BC",A1:CV300,137,FALSE) - HLOOKUP("BC Miss",A1:CV300,137,FALSE)</f>
      </c>
      <c r="AI137" s="16025">
        <f>IF(HLOOKUP("Gs",A1:CV300,137,FALSE)=0,0,HLOOKUP("Gs - BC",A1:CV300,137,FALSE)/HLOOKUP("Gs",A1:CV300,137,FALSE))</f>
      </c>
      <c r="AJ137" t="n" s="16026">
        <v>0.0</v>
      </c>
      <c r="AK137" t="n" s="16027">
        <v>0.0</v>
      </c>
      <c r="AL137" s="16028">
        <f>HLOOKUP("BC",A1:CV300,137,FALSE) - (HLOOKUP("PK Gs",A1:CV300,137,FALSE) + HLOOKUP("PK Miss",A1:CV300,137,FALSE))</f>
      </c>
      <c r="AM137" s="16029">
        <f>HLOOKUP("BC Miss",A1:CV300,137,FALSE) - HLOOKUP("PK Miss",A1:CV300,137,FALSE)</f>
      </c>
      <c r="AN137" s="16030">
        <f>IF(HLOOKUP("BC - Open",A1:CV300,137,FALSE)=0,0,HLOOKUP("BC - Open Miss",A1:CV300,137,FALSE)/HLOOKUP("BC - Open",A1:CV300,137,FALSE))</f>
      </c>
      <c r="AO137" t="n" s="16031">
        <v>0.0</v>
      </c>
      <c r="AP137" s="16032">
        <f>IF(HLOOKUP("Gs",A1:CV300,137,FALSE)=0,0,HLOOKUP("GIB",A1:CV300,137,FALSE)/HLOOKUP("Gs",A1:CV300,137,FALSE))</f>
      </c>
      <c r="AQ137" t="n" s="16033">
        <v>0.0</v>
      </c>
      <c r="AR137" s="16034">
        <f>IF(HLOOKUP("Gs",A1:CV300,137,FALSE)=0,0,HLOOKUP("Gs - Open",A1:CV300,137,FALSE)/HLOOKUP("Gs",A1:CV300,137,FALSE))</f>
      </c>
      <c r="AS137" t="n" s="16035">
        <v>0.0</v>
      </c>
      <c r="AT137" t="n" s="16036">
        <v>0.0</v>
      </c>
      <c r="AU137" s="16037">
        <f>IF(HLOOKUP("Mins",A1:CV300,137,FALSE)=0,0,HLOOKUP("Pts",A1:CV300,137,FALSE)/HLOOKUP("Mins",A1:CV300,137,FALSE)* 90)</f>
      </c>
      <c r="AV137" s="16038">
        <f>IF(HLOOKUP("Apps",A1:CV300,137,FALSE)=0,0,HLOOKUP("Pts",A1:CV300,137,FALSE)/HLOOKUP("Apps",A1:CV300,137,FALSE)* 1)</f>
      </c>
      <c r="AW137" s="16039">
        <f>IF(HLOOKUP("Mins",A1:CV300,137,FALSE)=0,0,HLOOKUP("Gs",A1:CV300,137,FALSE)/HLOOKUP("Mins",A1:CV300,137,FALSE)* 90)</f>
      </c>
      <c r="AX137" s="16040">
        <f>IF(HLOOKUP("Mins",A1:CV300,137,FALSE)=0,0,HLOOKUP("Bonus",A1:CV300,137,FALSE)/HLOOKUP("Mins",A1:CV300,137,FALSE)* 90)</f>
      </c>
      <c r="AY137" s="16041">
        <f>IF(HLOOKUP("Mins",A1:CV300,137,FALSE)=0,0,HLOOKUP("BPS",A1:CV300,137,FALSE)/HLOOKUP("Mins",A1:CV300,137,FALSE)* 90)</f>
      </c>
      <c r="AZ137" s="16042">
        <f>IF(HLOOKUP("Mins",A1:CV300,137,FALSE)=0,0,HLOOKUP("Base BPS",A1:CV300,137,FALSE)/HLOOKUP("Mins",A1:CV300,137,FALSE)* 90)</f>
      </c>
      <c r="BA137" s="16043">
        <f>IF(HLOOKUP("Mins",A1:CV300,137,FALSE)=0,0,HLOOKUP("PenTchs",A1:CV300,137,FALSE)/HLOOKUP("Mins",A1:CV300,137,FALSE)* 90)</f>
      </c>
      <c r="BB137" s="16044">
        <f>IF(HLOOKUP("Mins",A1:CV300,137,FALSE)=0,0,HLOOKUP("Shots",A1:CV300,137,FALSE)/HLOOKUP("Mins",A1:CV300,137,FALSE)* 90)</f>
      </c>
      <c r="BC137" s="16045">
        <f>IF(HLOOKUP("Mins",A1:CV300,137,FALSE)=0,0,HLOOKUP("SIB",A1:CV300,137,FALSE)/HLOOKUP("Mins",A1:CV300,137,FALSE)* 90)</f>
      </c>
      <c r="BD137" s="16046">
        <f>IF(HLOOKUP("Mins",A1:CV300,137,FALSE)=0,0,HLOOKUP("S6YD",A1:CV300,137,FALSE)/HLOOKUP("Mins",A1:CV300,137,FALSE)* 90)</f>
      </c>
      <c r="BE137" s="16047">
        <f>IF(HLOOKUP("Mins",A1:CV300,137,FALSE)=0,0,HLOOKUP("Headers",A1:CV300,137,FALSE)/HLOOKUP("Mins",A1:CV300,137,FALSE)* 90)</f>
      </c>
      <c r="BF137" s="16048">
        <f>IF(HLOOKUP("Mins",A1:CV300,137,FALSE)=0,0,HLOOKUP("SOT",A1:CV300,137,FALSE)/HLOOKUP("Mins",A1:CV300,137,FALSE)* 90)</f>
      </c>
      <c r="BG137" s="16049">
        <f>IF(HLOOKUP("Mins",A1:CV300,137,FALSE)=0,0,HLOOKUP("As",A1:CV300,137,FALSE)/HLOOKUP("Mins",A1:CV300,137,FALSE)* 90)</f>
      </c>
      <c r="BH137" s="16050">
        <f>IF(HLOOKUP("Mins",A1:CV300,137,FALSE)=0,0,HLOOKUP("FPL As",A1:CV300,137,FALSE)/HLOOKUP("Mins",A1:CV300,137,FALSE)* 90)</f>
      </c>
      <c r="BI137" s="16051">
        <f>IF(HLOOKUP("Mins",A1:CV300,137,FALSE)=0,0,HLOOKUP("BC Created",A1:CV300,137,FALSE)/HLOOKUP("Mins",A1:CV300,137,FALSE)* 90)</f>
      </c>
      <c r="BJ137" s="16052">
        <f>IF(HLOOKUP("Mins",A1:CV300,137,FALSE)=0,0,HLOOKUP("KP",A1:CV300,137,FALSE)/HLOOKUP("Mins",A1:CV300,137,FALSE)* 90)</f>
      </c>
      <c r="BK137" s="16053">
        <f>IF(HLOOKUP("Mins",A1:CV300,137,FALSE)=0,0,HLOOKUP("BC",A1:CV300,137,FALSE)/HLOOKUP("Mins",A1:CV300,137,FALSE)* 90)</f>
      </c>
      <c r="BL137" s="16054">
        <f>IF(HLOOKUP("Mins",A1:CV300,137,FALSE)=0,0,HLOOKUP("BC Miss",A1:CV300,137,FALSE)/HLOOKUP("Mins",A1:CV300,137,FALSE)* 90)</f>
      </c>
      <c r="BM137" s="16055">
        <f>IF(HLOOKUP("Mins",A1:CV300,137,FALSE)=0,0,HLOOKUP("Gs - BC",A1:CV300,137,FALSE)/HLOOKUP("Mins",A1:CV300,137,FALSE)* 90)</f>
      </c>
      <c r="BN137" s="16056">
        <f>IF(HLOOKUP("Mins",A1:CV300,137,FALSE)=0,0,HLOOKUP("GIB",A1:CV300,137,FALSE)/HLOOKUP("Mins",A1:CV300,137,FALSE)* 90)</f>
      </c>
      <c r="BO137" s="16057">
        <f>IF(HLOOKUP("Mins",A1:CV300,137,FALSE)=0,0,HLOOKUP("Gs - Open",A1:CV300,137,FALSE)/HLOOKUP("Mins",A1:CV300,137,FALSE)* 90)</f>
      </c>
      <c r="BP137" s="16058">
        <f>IF(HLOOKUP("Mins",A1:CV300,137,FALSE)=0,0,HLOOKUP("ICT Index",A1:CV300,137,FALSE)/HLOOKUP("Mins",A1:CV300,137,FALSE)* 90)</f>
      </c>
      <c r="BQ137" s="16059">
        <f>IF(HLOOKUP("Mins",A1:CV300,137,FALSE)=0,0,(0.02*(HLOOKUP("Shots",A1:CV300,137,FALSE)-HLOOKUP("SIB",A1:CV300,137,FALSE))+0.093*(HLOOKUP("SIB",A1:CV300,137,FALSE)-(HLOOKUP("PK Gs",A1:CV300,137,FALSE)+HLOOKUP("PK Miss",A1:CV300,137,FALSE)))+0.75*(HLOOKUP("PK Gs",A1:CV300,137,FALSE)+HLOOKUP("PK Miss",A1:CV300,137,FALSE)))/HLOOKUP("Mins",A1:CV300,137,FALSE)*90)</f>
      </c>
      <c r="BR137" s="16060">
        <f>0.0825*HLOOKUP("KP/90",A1:CV300,137,FALSE)</f>
      </c>
      <c r="BS137" s="16061">
        <f>6*HLOOKUP("xG/90",A1:CV300,137,FALSE)+3*HLOOKUP("xA/90",A1:CV300,137,FALSE)</f>
      </c>
      <c r="BT137" s="16062">
        <f>HLOOKUP("xPts/90",A1:CV300,137,FALSE)-(6*0.75*(HLOOKUP("PK Gs",A1:CV300,137,FALSE)+HLOOKUP("PK Miss",A1:CV300,137,FALSE))*90/HLOOKUP("Mins",A1:CV300,137,FALSE))</f>
      </c>
      <c r="BU137" s="16063">
        <f>IF(HLOOKUP("Mins",A1:CV300,137,FALSE)=0,0,HLOOKUP("fsXG",A1:CV300,137,FALSE)/HLOOKUP("Mins",A1:CV300,137,FALSE)* 90)</f>
      </c>
      <c r="BV137" s="16064">
        <f>IF(HLOOKUP("Mins",A1:CV300,137,FALSE)=0,0,HLOOKUP("fsXA",A1:CV300,137,FALSE)/HLOOKUP("Mins",A1:CV300,137,FALSE)* 90)</f>
      </c>
      <c r="BW137" s="16065">
        <f>6*HLOOKUP("fsXG/90",A1:CV300,137,FALSE)+3*HLOOKUP("fsXA/90",A1:CV300,137,FALSE)</f>
      </c>
      <c r="BX137" t="n" s="16066">
        <v>0.0</v>
      </c>
      <c r="BY137" t="n" s="16067">
        <v>0.0</v>
      </c>
      <c r="BZ137" s="16068">
        <f>6*HLOOKUP("uXG/90",A1:CV300,137,FALSE)+3*HLOOKUP("uXA/90",A1:CV300,137,FALSE)</f>
      </c>
    </row>
    <row r="138">
      <c r="A138" t="s" s="16069">
        <v>303</v>
      </c>
      <c r="B138" t="s" s="16070">
        <v>87</v>
      </c>
      <c r="C138" t="n" s="16071">
        <v>4.400000095367432</v>
      </c>
      <c r="D138" t="n" s="16072">
        <v>360.0</v>
      </c>
      <c r="E138" t="n" s="16073">
        <v>4.0</v>
      </c>
      <c r="F138" t="n" s="16074">
        <v>59.0</v>
      </c>
      <c r="G138" t="n" s="16075">
        <v>0.0</v>
      </c>
      <c r="H138" t="n" s="16076">
        <v>10.0</v>
      </c>
      <c r="I138" t="n" s="16077">
        <v>323.0</v>
      </c>
      <c r="J138" s="16078">
        <f>HLOOKUP("BPS",A1:CV300,138,FALSE)-((-6*HLOOKUP("OG",A1:CV300,138,FALSE))+(-6*HLOOKUP("PK Miss",A1:CV300,138,FALSE))+(9*HLOOKUP("FPL As",A1:CV300,138,FALSE))+(12*HLOOKUP("CS",A1:CV300,138,FALSE))+(12*HLOOKUP("Gs",A1:CV300,138,FALSE)))</f>
      </c>
      <c r="K138" t="n" s="16079">
        <v>0.0</v>
      </c>
      <c r="L138" t="n" s="16080">
        <v>3.0</v>
      </c>
      <c r="M138" t="n" s="16081">
        <v>12.0</v>
      </c>
      <c r="N138" t="n" s="16082">
        <v>4.0</v>
      </c>
      <c r="O138" t="n" s="16083">
        <v>4.0</v>
      </c>
      <c r="P138" s="16084">
        <f>IF(HLOOKUP("Shots",A1:CV300,138,FALSE)=0,0,HLOOKUP("SIB",A1:CV300,138,FALSE)/HLOOKUP("Shots",A1:CV300,138,FALSE))</f>
      </c>
      <c r="Q138" t="n" s="16085">
        <v>0.0</v>
      </c>
      <c r="R138" s="16086">
        <f>IF(HLOOKUP("Shots",A1:CV300,138,FALSE)=0,0,HLOOKUP("S6YD",A1:CV300,138,FALSE)/HLOOKUP("Shots",A1:CV300,138,FALSE))</f>
      </c>
      <c r="S138" t="n" s="16087">
        <v>1.0</v>
      </c>
      <c r="T138" s="16088">
        <f>IF(HLOOKUP("Shots",A1:CV300,138,FALSE)=0,0,HLOOKUP("Headers",A1:CV300,138,FALSE)/HLOOKUP("Shots",A1:CV300,138,FALSE))</f>
      </c>
      <c r="U138" t="n" s="16089">
        <v>3.0</v>
      </c>
      <c r="V138" s="16090">
        <f>IF(HLOOKUP("Shots",A1:CV300,138,FALSE)=0,0,HLOOKUP("SOT",A1:CV300,138,FALSE)/HLOOKUP("Shots",A1:CV300,138,FALSE))</f>
      </c>
      <c r="W138" s="16091">
        <f>IF(HLOOKUP("Shots",A1:CV300,138,FALSE)=0,0,HLOOKUP("Gs",A1:CV300,138,FALSE)/HLOOKUP("Shots",A1:CV300,138,FALSE))</f>
      </c>
      <c r="X138" t="n" s="16092">
        <v>0.0</v>
      </c>
      <c r="Y138" t="n" s="16093">
        <v>3.0</v>
      </c>
      <c r="Z138" t="n" s="16094">
        <v>5.0</v>
      </c>
      <c r="AA138" s="16095">
        <f>IF(HLOOKUP("KP",A1:CV300,138,FALSE)=0,0,HLOOKUP("As",A1:CV300,138,FALSE)/HLOOKUP("KP",A1:CV300,138,FALSE))</f>
      </c>
      <c r="AB138" t="n" s="16096">
        <v>24.2</v>
      </c>
      <c r="AC138" t="n" s="16097">
        <v>17.0</v>
      </c>
      <c r="AD138" t="n" s="16098">
        <v>1.0</v>
      </c>
      <c r="AE138" t="n" s="16099">
        <v>0.0</v>
      </c>
      <c r="AF138" t="n" s="16100">
        <v>0.0</v>
      </c>
      <c r="AG138" s="16101">
        <f>IF(HLOOKUP("BC",A1:CV300,138,FALSE)=0,0,HLOOKUP("Gs - BC",A1:CV300,138,FALSE)/HLOOKUP("BC",A1:CV300,138,FALSE))</f>
      </c>
      <c r="AH138" s="16102">
        <f>HLOOKUP("BC",A1:CV300,138,FALSE) - HLOOKUP("BC Miss",A1:CV300,138,FALSE)</f>
      </c>
      <c r="AI138" s="16103">
        <f>IF(HLOOKUP("Gs",A1:CV300,138,FALSE)=0,0,HLOOKUP("Gs - BC",A1:CV300,138,FALSE)/HLOOKUP("Gs",A1:CV300,138,FALSE))</f>
      </c>
      <c r="AJ138" t="n" s="16104">
        <v>0.0</v>
      </c>
      <c r="AK138" t="n" s="16105">
        <v>0.0</v>
      </c>
      <c r="AL138" s="16106">
        <f>HLOOKUP("BC",A1:CV300,138,FALSE) - (HLOOKUP("PK Gs",A1:CV300,138,FALSE) + HLOOKUP("PK Miss",A1:CV300,138,FALSE))</f>
      </c>
      <c r="AM138" s="16107">
        <f>HLOOKUP("BC Miss",A1:CV300,138,FALSE) - HLOOKUP("PK Miss",A1:CV300,138,FALSE)</f>
      </c>
      <c r="AN138" s="16108">
        <f>IF(HLOOKUP("BC - Open",A1:CV300,138,FALSE)=0,0,HLOOKUP("BC - Open Miss",A1:CV300,138,FALSE)/HLOOKUP("BC - Open",A1:CV300,138,FALSE))</f>
      </c>
      <c r="AO138" t="n" s="16109">
        <v>0.0</v>
      </c>
      <c r="AP138" s="16110">
        <f>IF(HLOOKUP("Gs",A1:CV300,138,FALSE)=0,0,HLOOKUP("GIB",A1:CV300,138,FALSE)/HLOOKUP("Gs",A1:CV300,138,FALSE))</f>
      </c>
      <c r="AQ138" t="n" s="16111">
        <v>0.0</v>
      </c>
      <c r="AR138" s="16112">
        <f>IF(HLOOKUP("Gs",A1:CV300,138,FALSE)=0,0,HLOOKUP("Gs - Open",A1:CV300,138,FALSE)/HLOOKUP("Gs",A1:CV300,138,FALSE))</f>
      </c>
      <c r="AS138" t="n" s="16113">
        <v>0.23</v>
      </c>
      <c r="AT138" t="n" s="16114">
        <v>0.8</v>
      </c>
      <c r="AU138" s="16115">
        <f>IF(HLOOKUP("Mins",A1:CV300,138,FALSE)=0,0,HLOOKUP("Pts",A1:CV300,138,FALSE)/HLOOKUP("Mins",A1:CV300,138,FALSE)* 90)</f>
      </c>
      <c r="AV138" s="16116">
        <f>IF(HLOOKUP("Apps",A1:CV300,138,FALSE)=0,0,HLOOKUP("Pts",A1:CV300,138,FALSE)/HLOOKUP("Apps",A1:CV300,138,FALSE)* 1)</f>
      </c>
      <c r="AW138" s="16117">
        <f>IF(HLOOKUP("Mins",A1:CV300,138,FALSE)=0,0,HLOOKUP("Gs",A1:CV300,138,FALSE)/HLOOKUP("Mins",A1:CV300,138,FALSE)* 90)</f>
      </c>
      <c r="AX138" s="16118">
        <f>IF(HLOOKUP("Mins",A1:CV300,138,FALSE)=0,0,HLOOKUP("Bonus",A1:CV300,138,FALSE)/HLOOKUP("Mins",A1:CV300,138,FALSE)* 90)</f>
      </c>
      <c r="AY138" s="16119">
        <f>IF(HLOOKUP("Mins",A1:CV300,138,FALSE)=0,0,HLOOKUP("BPS",A1:CV300,138,FALSE)/HLOOKUP("Mins",A1:CV300,138,FALSE)* 90)</f>
      </c>
      <c r="AZ138" s="16120">
        <f>IF(HLOOKUP("Mins",A1:CV300,138,FALSE)=0,0,HLOOKUP("Base BPS",A1:CV300,138,FALSE)/HLOOKUP("Mins",A1:CV300,138,FALSE)* 90)</f>
      </c>
      <c r="BA138" s="16121">
        <f>IF(HLOOKUP("Mins",A1:CV300,138,FALSE)=0,0,HLOOKUP("PenTchs",A1:CV300,138,FALSE)/HLOOKUP("Mins",A1:CV300,138,FALSE)* 90)</f>
      </c>
      <c r="BB138" s="16122">
        <f>IF(HLOOKUP("Mins",A1:CV300,138,FALSE)=0,0,HLOOKUP("Shots",A1:CV300,138,FALSE)/HLOOKUP("Mins",A1:CV300,138,FALSE)* 90)</f>
      </c>
      <c r="BC138" s="16123">
        <f>IF(HLOOKUP("Mins",A1:CV300,138,FALSE)=0,0,HLOOKUP("SIB",A1:CV300,138,FALSE)/HLOOKUP("Mins",A1:CV300,138,FALSE)* 90)</f>
      </c>
      <c r="BD138" s="16124">
        <f>IF(HLOOKUP("Mins",A1:CV300,138,FALSE)=0,0,HLOOKUP("S6YD",A1:CV300,138,FALSE)/HLOOKUP("Mins",A1:CV300,138,FALSE)* 90)</f>
      </c>
      <c r="BE138" s="16125">
        <f>IF(HLOOKUP("Mins",A1:CV300,138,FALSE)=0,0,HLOOKUP("Headers",A1:CV300,138,FALSE)/HLOOKUP("Mins",A1:CV300,138,FALSE)* 90)</f>
      </c>
      <c r="BF138" s="16126">
        <f>IF(HLOOKUP("Mins",A1:CV300,138,FALSE)=0,0,HLOOKUP("SOT",A1:CV300,138,FALSE)/HLOOKUP("Mins",A1:CV300,138,FALSE)* 90)</f>
      </c>
      <c r="BG138" s="16127">
        <f>IF(HLOOKUP("Mins",A1:CV300,138,FALSE)=0,0,HLOOKUP("As",A1:CV300,138,FALSE)/HLOOKUP("Mins",A1:CV300,138,FALSE)* 90)</f>
      </c>
      <c r="BH138" s="16128">
        <f>IF(HLOOKUP("Mins",A1:CV300,138,FALSE)=0,0,HLOOKUP("FPL As",A1:CV300,138,FALSE)/HLOOKUP("Mins",A1:CV300,138,FALSE)* 90)</f>
      </c>
      <c r="BI138" s="16129">
        <f>IF(HLOOKUP("Mins",A1:CV300,138,FALSE)=0,0,HLOOKUP("BC Created",A1:CV300,138,FALSE)/HLOOKUP("Mins",A1:CV300,138,FALSE)* 90)</f>
      </c>
      <c r="BJ138" s="16130">
        <f>IF(HLOOKUP("Mins",A1:CV300,138,FALSE)=0,0,HLOOKUP("KP",A1:CV300,138,FALSE)/HLOOKUP("Mins",A1:CV300,138,FALSE)* 90)</f>
      </c>
      <c r="BK138" s="16131">
        <f>IF(HLOOKUP("Mins",A1:CV300,138,FALSE)=0,0,HLOOKUP("BC",A1:CV300,138,FALSE)/HLOOKUP("Mins",A1:CV300,138,FALSE)* 90)</f>
      </c>
      <c r="BL138" s="16132">
        <f>IF(HLOOKUP("Mins",A1:CV300,138,FALSE)=0,0,HLOOKUP("BC Miss",A1:CV300,138,FALSE)/HLOOKUP("Mins",A1:CV300,138,FALSE)* 90)</f>
      </c>
      <c r="BM138" s="16133">
        <f>IF(HLOOKUP("Mins",A1:CV300,138,FALSE)=0,0,HLOOKUP("Gs - BC",A1:CV300,138,FALSE)/HLOOKUP("Mins",A1:CV300,138,FALSE)* 90)</f>
      </c>
      <c r="BN138" s="16134">
        <f>IF(HLOOKUP("Mins",A1:CV300,138,FALSE)=0,0,HLOOKUP("GIB",A1:CV300,138,FALSE)/HLOOKUP("Mins",A1:CV300,138,FALSE)* 90)</f>
      </c>
      <c r="BO138" s="16135">
        <f>IF(HLOOKUP("Mins",A1:CV300,138,FALSE)=0,0,HLOOKUP("Gs - Open",A1:CV300,138,FALSE)/HLOOKUP("Mins",A1:CV300,138,FALSE)* 90)</f>
      </c>
      <c r="BP138" s="16136">
        <f>IF(HLOOKUP("Mins",A1:CV300,138,FALSE)=0,0,HLOOKUP("ICT Index",A1:CV300,138,FALSE)/HLOOKUP("Mins",A1:CV300,138,FALSE)* 90)</f>
      </c>
      <c r="BQ138" s="16137">
        <f>IF(HLOOKUP("Mins",A1:CV300,138,FALSE)=0,0,(0.02*(HLOOKUP("Shots",A1:CV300,138,FALSE)-HLOOKUP("SIB",A1:CV300,138,FALSE))+0.093*(HLOOKUP("SIB",A1:CV300,138,FALSE)-(HLOOKUP("PK Gs",A1:CV300,138,FALSE)+HLOOKUP("PK Miss",A1:CV300,138,FALSE)))+0.75*(HLOOKUP("PK Gs",A1:CV300,138,FALSE)+HLOOKUP("PK Miss",A1:CV300,138,FALSE)))/HLOOKUP("Mins",A1:CV300,138,FALSE)*90)</f>
      </c>
      <c r="BR138" s="16138">
        <f>0.0825*HLOOKUP("KP/90",A1:CV300,138,FALSE)</f>
      </c>
      <c r="BS138" s="16139">
        <f>6*HLOOKUP("xG/90",A1:CV300,138,FALSE)+3*HLOOKUP("xA/90",A1:CV300,138,FALSE)</f>
      </c>
      <c r="BT138" s="16140">
        <f>HLOOKUP("xPts/90",A1:CV300,138,FALSE)-(6*0.75*(HLOOKUP("PK Gs",A1:CV300,138,FALSE)+HLOOKUP("PK Miss",A1:CV300,138,FALSE))*90/HLOOKUP("Mins",A1:CV300,138,FALSE))</f>
      </c>
      <c r="BU138" s="16141">
        <f>IF(HLOOKUP("Mins",A1:CV300,138,FALSE)=0,0,HLOOKUP("fsXG",A1:CV300,138,FALSE)/HLOOKUP("Mins",A1:CV300,138,FALSE)* 90)</f>
      </c>
      <c r="BV138" s="16142">
        <f>IF(HLOOKUP("Mins",A1:CV300,138,FALSE)=0,0,HLOOKUP("fsXA",A1:CV300,138,FALSE)/HLOOKUP("Mins",A1:CV300,138,FALSE)* 90)</f>
      </c>
      <c r="BW138" s="16143">
        <f>6*HLOOKUP("fsXG/90",A1:CV300,138,FALSE)+3*HLOOKUP("fsXA/90",A1:CV300,138,FALSE)</f>
      </c>
      <c r="BX138" t="n" s="16144">
        <v>0.04847478121519089</v>
      </c>
      <c r="BY138" t="n" s="16145">
        <v>0.0569123849272728</v>
      </c>
      <c r="BZ138" s="16146">
        <f>6*HLOOKUP("uXG/90",A1:CV300,138,FALSE)+3*HLOOKUP("uXA/90",A1:CV300,138,FALSE)</f>
      </c>
    </row>
    <row r="139">
      <c r="A139" t="s" s="16147">
        <v>304</v>
      </c>
      <c r="B139" t="s" s="16148">
        <v>102</v>
      </c>
      <c r="C139" t="n" s="16149">
        <v>4.400000095367432</v>
      </c>
      <c r="D139" t="n" s="16150">
        <v>13.0</v>
      </c>
      <c r="E139" t="n" s="16151">
        <v>1.0</v>
      </c>
      <c r="F139" t="n" s="16152">
        <v>44.0</v>
      </c>
      <c r="G139" t="n" s="16153">
        <v>0.0</v>
      </c>
      <c r="H139" t="n" s="16154">
        <v>4.0</v>
      </c>
      <c r="I139" t="n" s="16155">
        <v>230.0</v>
      </c>
      <c r="J139" s="16156">
        <f>HLOOKUP("BPS",A1:CV300,139,FALSE)-((-6*HLOOKUP("OG",A1:CV300,139,FALSE))+(-6*HLOOKUP("PK Miss",A1:CV300,139,FALSE))+(9*HLOOKUP("FPL As",A1:CV300,139,FALSE))+(12*HLOOKUP("CS",A1:CV300,139,FALSE))+(12*HLOOKUP("Gs",A1:CV300,139,FALSE)))</f>
      </c>
      <c r="K139" t="n" s="16157">
        <v>1.0</v>
      </c>
      <c r="L139" t="n" s="16158">
        <v>5.0</v>
      </c>
      <c r="M139" t="n" s="16159">
        <v>0.0</v>
      </c>
      <c r="N139" t="n" s="16160">
        <v>0.0</v>
      </c>
      <c r="O139" t="n" s="16161">
        <v>0.0</v>
      </c>
      <c r="P139" s="16162">
        <f>IF(HLOOKUP("Shots",A1:CV300,139,FALSE)=0,0,HLOOKUP("SIB",A1:CV300,139,FALSE)/HLOOKUP("Shots",A1:CV300,139,FALSE))</f>
      </c>
      <c r="Q139" t="n" s="16163">
        <v>0.0</v>
      </c>
      <c r="R139" s="16164">
        <f>IF(HLOOKUP("Shots",A1:CV300,139,FALSE)=0,0,HLOOKUP("S6YD",A1:CV300,139,FALSE)/HLOOKUP("Shots",A1:CV300,139,FALSE))</f>
      </c>
      <c r="S139" t="n" s="16165">
        <v>0.0</v>
      </c>
      <c r="T139" s="16166">
        <f>IF(HLOOKUP("Shots",A1:CV300,139,FALSE)=0,0,HLOOKUP("Headers",A1:CV300,139,FALSE)/HLOOKUP("Shots",A1:CV300,139,FALSE))</f>
      </c>
      <c r="U139" t="n" s="16167">
        <v>0.0</v>
      </c>
      <c r="V139" s="16168">
        <f>IF(HLOOKUP("Shots",A1:CV300,139,FALSE)=0,0,HLOOKUP("SOT",A1:CV300,139,FALSE)/HLOOKUP("Shots",A1:CV300,139,FALSE))</f>
      </c>
      <c r="W139" s="16169">
        <f>IF(HLOOKUP("Shots",A1:CV300,139,FALSE)=0,0,HLOOKUP("Gs",A1:CV300,139,FALSE)/HLOOKUP("Shots",A1:CV300,139,FALSE))</f>
      </c>
      <c r="X139" t="n" s="16170">
        <v>0.0</v>
      </c>
      <c r="Y139" t="n" s="16171">
        <v>0.0</v>
      </c>
      <c r="Z139" t="n" s="16172">
        <v>0.0</v>
      </c>
      <c r="AA139" s="16173">
        <f>IF(HLOOKUP("KP",A1:CV300,139,FALSE)=0,0,HLOOKUP("As",A1:CV300,139,FALSE)/HLOOKUP("KP",A1:CV300,139,FALSE))</f>
      </c>
      <c r="AB139" t="n" s="16174">
        <v>0.0</v>
      </c>
      <c r="AC139" t="n" s="16175">
        <v>0.0</v>
      </c>
      <c r="AD139" t="n" s="16176">
        <v>0.0</v>
      </c>
      <c r="AE139" t="n" s="16177">
        <v>0.0</v>
      </c>
      <c r="AF139" t="n" s="16178">
        <v>0.0</v>
      </c>
      <c r="AG139" s="16179">
        <f>IF(HLOOKUP("BC",A1:CV300,139,FALSE)=0,0,HLOOKUP("Gs - BC",A1:CV300,139,FALSE)/HLOOKUP("BC",A1:CV300,139,FALSE))</f>
      </c>
      <c r="AH139" s="16180">
        <f>HLOOKUP("BC",A1:CV300,139,FALSE) - HLOOKUP("BC Miss",A1:CV300,139,FALSE)</f>
      </c>
      <c r="AI139" s="16181">
        <f>IF(HLOOKUP("Gs",A1:CV300,139,FALSE)=0,0,HLOOKUP("Gs - BC",A1:CV300,139,FALSE)/HLOOKUP("Gs",A1:CV300,139,FALSE))</f>
      </c>
      <c r="AJ139" t="n" s="16182">
        <v>0.0</v>
      </c>
      <c r="AK139" t="n" s="16183">
        <v>0.0</v>
      </c>
      <c r="AL139" s="16184">
        <f>HLOOKUP("BC",A1:CV300,139,FALSE) - (HLOOKUP("PK Gs",A1:CV300,139,FALSE) + HLOOKUP("PK Miss",A1:CV300,139,FALSE))</f>
      </c>
      <c r="AM139" s="16185">
        <f>HLOOKUP("BC Miss",A1:CV300,139,FALSE) - HLOOKUP("PK Miss",A1:CV300,139,FALSE)</f>
      </c>
      <c r="AN139" s="16186">
        <f>IF(HLOOKUP("BC - Open",A1:CV300,139,FALSE)=0,0,HLOOKUP("BC - Open Miss",A1:CV300,139,FALSE)/HLOOKUP("BC - Open",A1:CV300,139,FALSE))</f>
      </c>
      <c r="AO139" t="n" s="16187">
        <v>0.0</v>
      </c>
      <c r="AP139" s="16188">
        <f>IF(HLOOKUP("Gs",A1:CV300,139,FALSE)=0,0,HLOOKUP("GIB",A1:CV300,139,FALSE)/HLOOKUP("Gs",A1:CV300,139,FALSE))</f>
      </c>
      <c r="AQ139" t="n" s="16189">
        <v>0.0</v>
      </c>
      <c r="AR139" s="16190">
        <f>IF(HLOOKUP("Gs",A1:CV300,139,FALSE)=0,0,HLOOKUP("Gs - Open",A1:CV300,139,FALSE)/HLOOKUP("Gs",A1:CV300,139,FALSE))</f>
      </c>
      <c r="AS139" t="n" s="16191">
        <v>0.0</v>
      </c>
      <c r="AT139" t="n" s="16192">
        <v>0.0</v>
      </c>
      <c r="AU139" s="16193">
        <f>IF(HLOOKUP("Mins",A1:CV300,139,FALSE)=0,0,HLOOKUP("Pts",A1:CV300,139,FALSE)/HLOOKUP("Mins",A1:CV300,139,FALSE)* 90)</f>
      </c>
      <c r="AV139" s="16194">
        <f>IF(HLOOKUP("Apps",A1:CV300,139,FALSE)=0,0,HLOOKUP("Pts",A1:CV300,139,FALSE)/HLOOKUP("Apps",A1:CV300,139,FALSE)* 1)</f>
      </c>
      <c r="AW139" s="16195">
        <f>IF(HLOOKUP("Mins",A1:CV300,139,FALSE)=0,0,HLOOKUP("Gs",A1:CV300,139,FALSE)/HLOOKUP("Mins",A1:CV300,139,FALSE)* 90)</f>
      </c>
      <c r="AX139" s="16196">
        <f>IF(HLOOKUP("Mins",A1:CV300,139,FALSE)=0,0,HLOOKUP("Bonus",A1:CV300,139,FALSE)/HLOOKUP("Mins",A1:CV300,139,FALSE)* 90)</f>
      </c>
      <c r="AY139" s="16197">
        <f>IF(HLOOKUP("Mins",A1:CV300,139,FALSE)=0,0,HLOOKUP("BPS",A1:CV300,139,FALSE)/HLOOKUP("Mins",A1:CV300,139,FALSE)* 90)</f>
      </c>
      <c r="AZ139" s="16198">
        <f>IF(HLOOKUP("Mins",A1:CV300,139,FALSE)=0,0,HLOOKUP("Base BPS",A1:CV300,139,FALSE)/HLOOKUP("Mins",A1:CV300,139,FALSE)* 90)</f>
      </c>
      <c r="BA139" s="16199">
        <f>IF(HLOOKUP("Mins",A1:CV300,139,FALSE)=0,0,HLOOKUP("PenTchs",A1:CV300,139,FALSE)/HLOOKUP("Mins",A1:CV300,139,FALSE)* 90)</f>
      </c>
      <c r="BB139" s="16200">
        <f>IF(HLOOKUP("Mins",A1:CV300,139,FALSE)=0,0,HLOOKUP("Shots",A1:CV300,139,FALSE)/HLOOKUP("Mins",A1:CV300,139,FALSE)* 90)</f>
      </c>
      <c r="BC139" s="16201">
        <f>IF(HLOOKUP("Mins",A1:CV300,139,FALSE)=0,0,HLOOKUP("SIB",A1:CV300,139,FALSE)/HLOOKUP("Mins",A1:CV300,139,FALSE)* 90)</f>
      </c>
      <c r="BD139" s="16202">
        <f>IF(HLOOKUP("Mins",A1:CV300,139,FALSE)=0,0,HLOOKUP("S6YD",A1:CV300,139,FALSE)/HLOOKUP("Mins",A1:CV300,139,FALSE)* 90)</f>
      </c>
      <c r="BE139" s="16203">
        <f>IF(HLOOKUP("Mins",A1:CV300,139,FALSE)=0,0,HLOOKUP("Headers",A1:CV300,139,FALSE)/HLOOKUP("Mins",A1:CV300,139,FALSE)* 90)</f>
      </c>
      <c r="BF139" s="16204">
        <f>IF(HLOOKUP("Mins",A1:CV300,139,FALSE)=0,0,HLOOKUP("SOT",A1:CV300,139,FALSE)/HLOOKUP("Mins",A1:CV300,139,FALSE)* 90)</f>
      </c>
      <c r="BG139" s="16205">
        <f>IF(HLOOKUP("Mins",A1:CV300,139,FALSE)=0,0,HLOOKUP("As",A1:CV300,139,FALSE)/HLOOKUP("Mins",A1:CV300,139,FALSE)* 90)</f>
      </c>
      <c r="BH139" s="16206">
        <f>IF(HLOOKUP("Mins",A1:CV300,139,FALSE)=0,0,HLOOKUP("FPL As",A1:CV300,139,FALSE)/HLOOKUP("Mins",A1:CV300,139,FALSE)* 90)</f>
      </c>
      <c r="BI139" s="16207">
        <f>IF(HLOOKUP("Mins",A1:CV300,139,FALSE)=0,0,HLOOKUP("BC Created",A1:CV300,139,FALSE)/HLOOKUP("Mins",A1:CV300,139,FALSE)* 90)</f>
      </c>
      <c r="BJ139" s="16208">
        <f>IF(HLOOKUP("Mins",A1:CV300,139,FALSE)=0,0,HLOOKUP("KP",A1:CV300,139,FALSE)/HLOOKUP("Mins",A1:CV300,139,FALSE)* 90)</f>
      </c>
      <c r="BK139" s="16209">
        <f>IF(HLOOKUP("Mins",A1:CV300,139,FALSE)=0,0,HLOOKUP("BC",A1:CV300,139,FALSE)/HLOOKUP("Mins",A1:CV300,139,FALSE)* 90)</f>
      </c>
      <c r="BL139" s="16210">
        <f>IF(HLOOKUP("Mins",A1:CV300,139,FALSE)=0,0,HLOOKUP("BC Miss",A1:CV300,139,FALSE)/HLOOKUP("Mins",A1:CV300,139,FALSE)* 90)</f>
      </c>
      <c r="BM139" s="16211">
        <f>IF(HLOOKUP("Mins",A1:CV300,139,FALSE)=0,0,HLOOKUP("Gs - BC",A1:CV300,139,FALSE)/HLOOKUP("Mins",A1:CV300,139,FALSE)* 90)</f>
      </c>
      <c r="BN139" s="16212">
        <f>IF(HLOOKUP("Mins",A1:CV300,139,FALSE)=0,0,HLOOKUP("GIB",A1:CV300,139,FALSE)/HLOOKUP("Mins",A1:CV300,139,FALSE)* 90)</f>
      </c>
      <c r="BO139" s="16213">
        <f>IF(HLOOKUP("Mins",A1:CV300,139,FALSE)=0,0,HLOOKUP("Gs - Open",A1:CV300,139,FALSE)/HLOOKUP("Mins",A1:CV300,139,FALSE)* 90)</f>
      </c>
      <c r="BP139" s="16214">
        <f>IF(HLOOKUP("Mins",A1:CV300,139,FALSE)=0,0,HLOOKUP("ICT Index",A1:CV300,139,FALSE)/HLOOKUP("Mins",A1:CV300,139,FALSE)* 90)</f>
      </c>
      <c r="BQ139" s="16215">
        <f>IF(HLOOKUP("Mins",A1:CV300,139,FALSE)=0,0,(0.02*(HLOOKUP("Shots",A1:CV300,139,FALSE)-HLOOKUP("SIB",A1:CV300,139,FALSE))+0.093*(HLOOKUP("SIB",A1:CV300,139,FALSE)-(HLOOKUP("PK Gs",A1:CV300,139,FALSE)+HLOOKUP("PK Miss",A1:CV300,139,FALSE)))+0.75*(HLOOKUP("PK Gs",A1:CV300,139,FALSE)+HLOOKUP("PK Miss",A1:CV300,139,FALSE)))/HLOOKUP("Mins",A1:CV300,139,FALSE)*90)</f>
      </c>
      <c r="BR139" s="16216">
        <f>0.0825*HLOOKUP("KP/90",A1:CV300,139,FALSE)</f>
      </c>
      <c r="BS139" s="16217">
        <f>6*HLOOKUP("xG/90",A1:CV300,139,FALSE)+3*HLOOKUP("xA/90",A1:CV300,139,FALSE)</f>
      </c>
      <c r="BT139" s="16218">
        <f>HLOOKUP("xPts/90",A1:CV300,139,FALSE)-(6*0.75*(HLOOKUP("PK Gs",A1:CV300,139,FALSE)+HLOOKUP("PK Miss",A1:CV300,139,FALSE))*90/HLOOKUP("Mins",A1:CV300,139,FALSE))</f>
      </c>
      <c r="BU139" s="16219">
        <f>IF(HLOOKUP("Mins",A1:CV300,139,FALSE)=0,0,HLOOKUP("fsXG",A1:CV300,139,FALSE)/HLOOKUP("Mins",A1:CV300,139,FALSE)* 90)</f>
      </c>
      <c r="BV139" s="16220">
        <f>IF(HLOOKUP("Mins",A1:CV300,139,FALSE)=0,0,HLOOKUP("fsXA",A1:CV300,139,FALSE)/HLOOKUP("Mins",A1:CV300,139,FALSE)* 90)</f>
      </c>
      <c r="BW139" s="16221">
        <f>6*HLOOKUP("fsXG/90",A1:CV300,139,FALSE)+3*HLOOKUP("fsXA/90",A1:CV300,139,FALSE)</f>
      </c>
      <c r="BX139" t="n" s="16222">
        <v>0.0</v>
      </c>
      <c r="BY139" t="n" s="16223">
        <v>0.0</v>
      </c>
      <c r="BZ139" s="16224">
        <f>6*HLOOKUP("uXG/90",A1:CV300,139,FALSE)+3*HLOOKUP("uXA/90",A1:CV300,139,FALSE)</f>
      </c>
    </row>
  </sheetData>
  <autoFilter ref="A1:BZ1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6225">
        <v>1</v>
      </c>
      <c r="B1" t="s" s="16226">
        <v>2</v>
      </c>
      <c r="C1" t="s" s="16227">
        <v>3</v>
      </c>
      <c r="D1" t="s" s="16228">
        <v>4</v>
      </c>
      <c r="E1" t="s" s="16229">
        <v>5</v>
      </c>
      <c r="F1" t="s" s="16230">
        <v>6</v>
      </c>
      <c r="G1" t="s" s="16231">
        <v>7</v>
      </c>
      <c r="H1" t="s" s="16232">
        <v>8</v>
      </c>
      <c r="I1" t="s" s="16233">
        <v>9</v>
      </c>
      <c r="J1" t="s" s="16234">
        <v>10</v>
      </c>
      <c r="K1" t="s" s="16235">
        <v>11</v>
      </c>
      <c r="L1" t="s" s="16236">
        <v>12</v>
      </c>
      <c r="M1" t="s" s="16237">
        <v>13</v>
      </c>
      <c r="N1" t="s" s="16238">
        <v>14</v>
      </c>
      <c r="O1" t="s" s="16239">
        <v>15</v>
      </c>
      <c r="P1" t="s" s="16240">
        <v>16</v>
      </c>
      <c r="Q1" t="s" s="16241">
        <v>17</v>
      </c>
      <c r="R1" t="s" s="16242">
        <v>18</v>
      </c>
      <c r="S1" t="s" s="16243">
        <v>19</v>
      </c>
      <c r="T1" t="s" s="16244">
        <v>20</v>
      </c>
      <c r="U1" t="s" s="16245">
        <v>21</v>
      </c>
      <c r="V1" t="s" s="16246">
        <v>22</v>
      </c>
      <c r="W1" t="s" s="16247">
        <v>23</v>
      </c>
      <c r="X1" t="s" s="16248">
        <v>24</v>
      </c>
      <c r="Y1" t="s" s="16249">
        <v>25</v>
      </c>
      <c r="Z1" t="s" s="16250">
        <v>26</v>
      </c>
      <c r="AA1" t="s" s="16251">
        <v>27</v>
      </c>
      <c r="AB1" t="s" s="16252">
        <v>28</v>
      </c>
      <c r="AC1" t="s" s="16253">
        <v>29</v>
      </c>
      <c r="AD1" t="s" s="16254">
        <v>30</v>
      </c>
      <c r="AE1" t="s" s="16255">
        <v>31</v>
      </c>
      <c r="AF1" t="s" s="16256">
        <v>32</v>
      </c>
      <c r="AG1" t="s" s="16257">
        <v>33</v>
      </c>
      <c r="AH1" t="s" s="16258">
        <v>34</v>
      </c>
      <c r="AI1" t="s" s="16259">
        <v>35</v>
      </c>
      <c r="AJ1" t="s" s="16260">
        <v>36</v>
      </c>
      <c r="AK1" t="s" s="16261">
        <v>37</v>
      </c>
      <c r="AL1" t="s" s="16262">
        <v>38</v>
      </c>
      <c r="AM1" t="s" s="16263">
        <v>39</v>
      </c>
      <c r="AN1" t="s" s="16264">
        <v>40</v>
      </c>
      <c r="AO1" t="s" s="16265">
        <v>41</v>
      </c>
      <c r="AP1" t="s" s="16266">
        <v>42</v>
      </c>
      <c r="AQ1" t="s" s="16267">
        <v>43</v>
      </c>
      <c r="AR1" t="s" s="16268">
        <v>44</v>
      </c>
      <c r="AS1" t="s" s="16269">
        <v>45</v>
      </c>
      <c r="AT1" t="s" s="16270">
        <v>46</v>
      </c>
      <c r="AU1" t="s" s="16271">
        <v>47</v>
      </c>
      <c r="AV1" t="s" s="16272">
        <v>48</v>
      </c>
      <c r="AW1" t="s" s="16273">
        <v>49</v>
      </c>
      <c r="AX1" t="s" s="16274">
        <v>50</v>
      </c>
      <c r="AY1" t="s" s="16275">
        <v>51</v>
      </c>
      <c r="AZ1" t="s" s="16276">
        <v>52</v>
      </c>
      <c r="BA1" t="s" s="16277">
        <v>53</v>
      </c>
      <c r="BB1" t="s" s="16278">
        <v>54</v>
      </c>
      <c r="BC1" t="s" s="16279">
        <v>55</v>
      </c>
      <c r="BD1" t="s" s="16280">
        <v>56</v>
      </c>
      <c r="BE1" t="s" s="16281">
        <v>57</v>
      </c>
      <c r="BF1" t="s" s="16282">
        <v>58</v>
      </c>
      <c r="BG1" t="s" s="16283">
        <v>59</v>
      </c>
      <c r="BH1" t="s" s="16284">
        <v>60</v>
      </c>
      <c r="BI1" t="s" s="16285">
        <v>61</v>
      </c>
      <c r="BJ1" t="s" s="16286">
        <v>62</v>
      </c>
      <c r="BK1" t="s" s="16287">
        <v>63</v>
      </c>
      <c r="BL1" t="s" s="16288">
        <v>64</v>
      </c>
      <c r="BM1" t="s" s="16289">
        <v>65</v>
      </c>
      <c r="BN1" t="s" s="16290">
        <v>66</v>
      </c>
      <c r="BO1" t="s" s="16291">
        <v>67</v>
      </c>
      <c r="BP1" t="s" s="16292">
        <v>68</v>
      </c>
      <c r="BQ1" t="s" s="16293">
        <v>69</v>
      </c>
      <c r="BR1" t="s" s="16294">
        <v>70</v>
      </c>
      <c r="BS1" t="s" s="16295">
        <v>71</v>
      </c>
      <c r="BT1" t="s" s="16296">
        <v>72</v>
      </c>
      <c r="BU1" t="s" s="16297">
        <v>73</v>
      </c>
      <c r="BV1" t="s" s="16298">
        <v>74</v>
      </c>
      <c r="BW1" t="s" s="16299">
        <v>75</v>
      </c>
      <c r="BX1" t="s" s="16300">
        <v>76</v>
      </c>
      <c r="BY1" t="s" s="16301">
        <v>77</v>
      </c>
      <c r="BZ1" t="s" s="16302">
        <v>78</v>
      </c>
    </row>
    <row r="2">
      <c r="A2" t="s" s="16303">
        <v>305</v>
      </c>
      <c r="B2" t="s" s="16304">
        <v>80</v>
      </c>
      <c r="C2" t="n" s="16305">
        <v>5.099999904632568</v>
      </c>
      <c r="D2" t="n" s="16306">
        <v>540.0</v>
      </c>
      <c r="E2" t="n" s="16307">
        <v>6.0</v>
      </c>
      <c r="F2" t="n" s="16308">
        <v>42.0</v>
      </c>
      <c r="G2" t="n" s="16309">
        <v>0.0</v>
      </c>
      <c r="H2" t="n" s="16310">
        <v>0.0</v>
      </c>
      <c r="I2" t="n" s="16311">
        <v>262.0</v>
      </c>
      <c r="J2" s="16312">
        <f>HLOOKUP("BPS",A1:CV300,2,FALSE)-((-6*HLOOKUP("OG",A1:CV300,2,FALSE))+(-6*HLOOKUP("PK Miss",A1:CV300,2,FALSE))+(9*HLOOKUP("FPL As",A1:CV300,2,FALSE))+(0*HLOOKUP("CS",A1:CV300,2,FALSE))+(18*HLOOKUP("Gs",A1:CV300,2,FALSE)))</f>
      </c>
      <c r="K2" t="n" s="16313">
        <v>0.0</v>
      </c>
      <c r="L2" t="n" s="16314">
        <v>6.0</v>
      </c>
      <c r="M2" t="n" s="16315">
        <v>2.0</v>
      </c>
      <c r="N2" t="n" s="16316">
        <v>1.0</v>
      </c>
      <c r="O2" t="n" s="16317">
        <v>1.0</v>
      </c>
      <c r="P2" s="16318">
        <f>IF(HLOOKUP("Shots",A1:CV300,2,FALSE)=0,0,HLOOKUP("SIB",A1:CV300,2,FALSE)/HLOOKUP("Shots",A1:CV300,2,FALSE))</f>
      </c>
      <c r="Q2" t="n" s="16319">
        <v>0.0</v>
      </c>
      <c r="R2" s="16320">
        <f>IF(HLOOKUP("Shots",A1:CV300,2,FALSE)=0,0,HLOOKUP("S6YD",A1:CV300,2,FALSE)/HLOOKUP("Shots",A1:CV300,2,FALSE))</f>
      </c>
      <c r="S2" t="n" s="16321">
        <v>0.0</v>
      </c>
      <c r="T2" s="16322">
        <f>IF(HLOOKUP("Shots",A1:CV300,2,FALSE)=0,0,HLOOKUP("Headers",A1:CV300,2,FALSE)/HLOOKUP("Shots",A1:CV300,2,FALSE))</f>
      </c>
      <c r="U2" t="n" s="16323">
        <v>0.0</v>
      </c>
      <c r="V2" s="16324">
        <f>IF(HLOOKUP("Shots",A1:CV300,2,FALSE)=0,0,HLOOKUP("SOT",A1:CV300,2,FALSE)/HLOOKUP("Shots",A1:CV300,2,FALSE))</f>
      </c>
      <c r="W2" s="16325">
        <f>IF(HLOOKUP("Shots",A1:CV300,2,FALSE)=0,0,HLOOKUP("Gs",A1:CV300,2,FALSE)/HLOOKUP("Shots",A1:CV300,2,FALSE))</f>
      </c>
      <c r="X2" t="n" s="16326">
        <v>0.0</v>
      </c>
      <c r="Y2" t="n" s="16327">
        <v>1.0</v>
      </c>
      <c r="Z2" t="n" s="16328">
        <v>1.0</v>
      </c>
      <c r="AA2" s="16329">
        <f>IF(HLOOKUP("KP",A1:CV300,2,FALSE)=0,0,HLOOKUP("As",A1:CV300,2,FALSE)/HLOOKUP("KP",A1:CV300,2,FALSE))</f>
      </c>
      <c r="AB2" s="16330"/>
      <c r="AC2" t="n" s="16331">
        <v>0.0</v>
      </c>
      <c r="AD2" t="n" s="16332">
        <v>1.0</v>
      </c>
      <c r="AE2" t="n" s="16333">
        <v>0.0</v>
      </c>
      <c r="AF2" t="n" s="16334">
        <v>0.0</v>
      </c>
      <c r="AG2" s="16335">
        <f>IF(HLOOKUP("BC",A1:CV300,2,FALSE)=0,0,HLOOKUP("Gs - BC",A1:CV300,2,FALSE)/HLOOKUP("BC",A1:CV300,2,FALSE))</f>
      </c>
      <c r="AH2" s="16336">
        <f>HLOOKUP("BC",A1:CV300,2,FALSE) - HLOOKUP("BC Miss",A1:CV300,2,FALSE)</f>
      </c>
      <c r="AI2" s="16337">
        <f>IF(HLOOKUP("Gs",A1:CV300,2,FALSE)=0,0,HLOOKUP("Gs - BC",A1:CV300,2,FALSE)/HLOOKUP("Gs",A1:CV300,2,FALSE))</f>
      </c>
      <c r="AJ2" t="n" s="16338">
        <v>0.0</v>
      </c>
      <c r="AK2" t="n" s="16339">
        <v>0.0</v>
      </c>
      <c r="AL2" s="16340">
        <f>HLOOKUP("BC",A1:CV300,2,FALSE) - (HLOOKUP("PK Gs",A1:CV300,2,FALSE) + HLOOKUP("PK Miss",A1:CV300,2,FALSE))</f>
      </c>
      <c r="AM2" s="16341">
        <f>HLOOKUP("BC Miss",A1:CV300,2,FALSE) - HLOOKUP("PK Miss",A1:CV300,2,FALSE)</f>
      </c>
      <c r="AN2" s="16342">
        <f>IF(HLOOKUP("BC - Open",A1:CV300,2,FALSE)=0,0,HLOOKUP("BC - Open Miss",A1:CV300,2,FALSE)/HLOOKUP("BC - Open",A1:CV300,2,FALSE))</f>
      </c>
      <c r="AO2" t="n" s="16343">
        <v>0.0</v>
      </c>
      <c r="AP2" s="16344">
        <f>IF(HLOOKUP("Gs",A1:CV300,2,FALSE)=0,0,HLOOKUP("GIB",A1:CV300,2,FALSE)/HLOOKUP("Gs",A1:CV300,2,FALSE))</f>
      </c>
      <c r="AQ2" t="n" s="16345">
        <v>0.0</v>
      </c>
      <c r="AR2" s="16346">
        <f>IF(HLOOKUP("Gs",A1:CV300,2,FALSE)=0,0,HLOOKUP("Gs - Open",A1:CV300,2,FALSE)/HLOOKUP("Gs",A1:CV300,2,FALSE))</f>
      </c>
      <c r="AS2" t="n" s="16347">
        <v>0.03</v>
      </c>
      <c r="AT2" t="n" s="16348">
        <v>0.31</v>
      </c>
      <c r="AU2" s="16349">
        <f>IF(HLOOKUP("Mins",A1:CV300,2,FALSE)=0,0,HLOOKUP("Pts",A1:CV300,2,FALSE)/HLOOKUP("Mins",A1:CV300,2,FALSE)* 90)</f>
      </c>
      <c r="AV2" s="16350">
        <f>IF(HLOOKUP("Apps",A1:CV300,2,FALSE)=0,0,HLOOKUP("Pts",A1:CV300,2,FALSE)/HLOOKUP("Apps",A1:CV300,2,FALSE)* 1)</f>
      </c>
      <c r="AW2" s="16351">
        <f>IF(HLOOKUP("Mins",A1:CV300,2,FALSE)=0,0,HLOOKUP("Gs",A1:CV300,2,FALSE)/HLOOKUP("Mins",A1:CV300,2,FALSE)* 90)</f>
      </c>
      <c r="AX2" s="16352">
        <f>IF(HLOOKUP("Mins",A1:CV300,2,FALSE)=0,0,HLOOKUP("Bonus",A1:CV300,2,FALSE)/HLOOKUP("Mins",A1:CV300,2,FALSE)* 90)</f>
      </c>
      <c r="AY2" s="16353">
        <f>IF(HLOOKUP("Mins",A1:CV300,2,FALSE)=0,0,HLOOKUP("BPS",A1:CV300,2,FALSE)/HLOOKUP("Mins",A1:CV300,2,FALSE)* 90)</f>
      </c>
      <c r="AZ2" s="16354">
        <f>IF(HLOOKUP("Mins",A1:CV300,2,FALSE)=0,0,HLOOKUP("Base BPS",A1:CV300,2,FALSE)/HLOOKUP("Mins",A1:CV300,2,FALSE)* 90)</f>
      </c>
      <c r="BA2" s="16355">
        <f>IF(HLOOKUP("Mins",A1:CV300,2,FALSE)=0,0,HLOOKUP("PenTchs",A1:CV300,2,FALSE)/HLOOKUP("Mins",A1:CV300,2,FALSE)* 90)</f>
      </c>
      <c r="BB2" s="16356">
        <f>IF(HLOOKUP("Mins",A1:CV300,2,FALSE)=0,0,HLOOKUP("Shots",A1:CV300,2,FALSE)/HLOOKUP("Mins",A1:CV300,2,FALSE)* 90)</f>
      </c>
      <c r="BC2" s="16357">
        <f>IF(HLOOKUP("Mins",A1:CV300,2,FALSE)=0,0,HLOOKUP("SIB",A1:CV300,2,FALSE)/HLOOKUP("Mins",A1:CV300,2,FALSE)* 90)</f>
      </c>
      <c r="BD2" s="16358">
        <f>IF(HLOOKUP("Mins",A1:CV300,2,FALSE)=0,0,HLOOKUP("S6YD",A1:CV300,2,FALSE)/HLOOKUP("Mins",A1:CV300,2,FALSE)* 90)</f>
      </c>
      <c r="BE2" s="16359">
        <f>IF(HLOOKUP("Mins",A1:CV300,2,FALSE)=0,0,HLOOKUP("Headers",A1:CV300,2,FALSE)/HLOOKUP("Mins",A1:CV300,2,FALSE)* 90)</f>
      </c>
      <c r="BF2" s="16360">
        <f>IF(HLOOKUP("Mins",A1:CV300,2,FALSE)=0,0,HLOOKUP("SOT",A1:CV300,2,FALSE)/HLOOKUP("Mins",A1:CV300,2,FALSE)* 90)</f>
      </c>
      <c r="BG2" s="16361">
        <f>IF(HLOOKUP("Mins",A1:CV300,2,FALSE)=0,0,HLOOKUP("As",A1:CV300,2,FALSE)/HLOOKUP("Mins",A1:CV300,2,FALSE)* 90)</f>
      </c>
      <c r="BH2" s="16362">
        <f>IF(HLOOKUP("Mins",A1:CV300,2,FALSE)=0,0,HLOOKUP("FPL As",A1:CV300,2,FALSE)/HLOOKUP("Mins",A1:CV300,2,FALSE)* 90)</f>
      </c>
      <c r="BI2" s="16363">
        <f>IF(HLOOKUP("Mins",A1:CV300,2,FALSE)=0,0,HLOOKUP("BC Created",A1:CV300,2,FALSE)/HLOOKUP("Mins",A1:CV300,2,FALSE)* 90)</f>
      </c>
      <c r="BJ2" s="16364">
        <f>IF(HLOOKUP("Mins",A1:CV300,2,FALSE)=0,0,HLOOKUP("KP",A1:CV300,2,FALSE)/HLOOKUP("Mins",A1:CV300,2,FALSE)* 90)</f>
      </c>
      <c r="BK2" s="16365">
        <f>IF(HLOOKUP("Mins",A1:CV300,2,FALSE)=0,0,HLOOKUP("BC",A1:CV300,2,FALSE)/HLOOKUP("Mins",A1:CV300,2,FALSE)* 90)</f>
      </c>
      <c r="BL2" s="16366">
        <f>IF(HLOOKUP("Mins",A1:CV300,2,FALSE)=0,0,HLOOKUP("BC Miss",A1:CV300,2,FALSE)/HLOOKUP("Mins",A1:CV300,2,FALSE)* 90)</f>
      </c>
      <c r="BM2" s="16367">
        <f>IF(HLOOKUP("Mins",A1:CV300,2,FALSE)=0,0,HLOOKUP("Gs - BC",A1:CV300,2,FALSE)/HLOOKUP("Mins",A1:CV300,2,FALSE)* 90)</f>
      </c>
      <c r="BN2" s="16368">
        <f>IF(HLOOKUP("Mins",A1:CV300,2,FALSE)=0,0,HLOOKUP("GIB",A1:CV300,2,FALSE)/HLOOKUP("Mins",A1:CV300,2,FALSE)* 90)</f>
      </c>
      <c r="BO2" s="16369">
        <f>IF(HLOOKUP("Mins",A1:CV300,2,FALSE)=0,0,HLOOKUP("Gs - Open",A1:CV300,2,FALSE)/HLOOKUP("Mins",A1:CV300,2,FALSE)* 90)</f>
      </c>
      <c r="BP2" s="16370">
        <f>IF(HLOOKUP("Mins",A1:CV300,2,FALSE)=0,0,HLOOKUP("ICT Index",A1:CV300,2,FALSE)/HLOOKUP("Mins",A1:CV300,2,FALSE)* 90)</f>
      </c>
      <c r="BQ2" s="16371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</c>
      <c r="BR2" s="16372">
        <f>0.0885*HLOOKUP("KP/90",A1:CV300,2,FALSE)</f>
      </c>
      <c r="BS2" s="16373">
        <f>5*HLOOKUP("xG/90",A1:CV300,2,FALSE)+3*HLOOKUP("xA/90",A1:CV300,2,FALSE)</f>
      </c>
      <c r="BT2" s="16374">
        <f>HLOOKUP("xPts/90",A1:CV300,2,FALSE)-(5*0.75*(HLOOKUP("PK Gs",A1:CV300,2,FALSE)+HLOOKUP("PK Miss",A1:CV300,2,FALSE))*90/HLOOKUP("Mins",A1:CV300,2,FALSE))</f>
      </c>
      <c r="BU2" s="16375">
        <f>IF(HLOOKUP("Mins",A1:CV300,2,FALSE)=0,0,HLOOKUP("fsXG",A1:CV300,2,FALSE)/HLOOKUP("Mins",A1:CV300,2,FALSE)* 90)</f>
      </c>
      <c r="BV2" s="16376">
        <f>IF(HLOOKUP("Mins",A1:CV300,2,FALSE)=0,0,HLOOKUP("fsXA",A1:CV300,2,FALSE)/HLOOKUP("Mins",A1:CV300,2,FALSE)* 90)</f>
      </c>
      <c r="BW2" s="16377">
        <f>5*HLOOKUP("fsXG/90",A1:CV300,2,FALSE)+3*HLOOKUP("fsXA/90",A1:CV300,2,FALSE)</f>
      </c>
      <c r="BX2" t="n" s="16378">
        <v>0.0061808302998542786</v>
      </c>
      <c r="BY2" t="n" s="16379">
        <v>0.0508873425424099</v>
      </c>
      <c r="BZ2" s="16380">
        <f>5*HLOOKUP("uXG/90",A1:CV300,2,FALSE)+3*HLOOKUP("uXA/90",A1:CV300,2,FALSE)</f>
      </c>
    </row>
    <row r="3">
      <c r="A3" t="s" s="16381">
        <v>306</v>
      </c>
      <c r="B3" t="s" s="16382">
        <v>90</v>
      </c>
      <c r="C3" t="n" s="16383">
        <v>4.5</v>
      </c>
      <c r="D3" t="n" s="16384">
        <v>25.0</v>
      </c>
      <c r="E3" t="n" s="16385">
        <v>1.0</v>
      </c>
      <c r="F3" t="n" s="16386">
        <v>18.0</v>
      </c>
      <c r="G3" t="n" s="16387">
        <v>0.0</v>
      </c>
      <c r="H3" t="n" s="16388">
        <v>0.0</v>
      </c>
      <c r="I3" t="n" s="16389">
        <v>122.0</v>
      </c>
      <c r="J3" s="16390">
        <f>HLOOKUP("BPS",A1:CV300,3,FALSE)-((-6*HLOOKUP("OG",A1:CV300,3,FALSE))+(-6*HLOOKUP("PK Miss",A1:CV300,3,FALSE))+(9*HLOOKUP("FPL As",A1:CV300,3,FALSE))+(0*HLOOKUP("CS",A1:CV300,3,FALSE))+(18*HLOOKUP("Gs",A1:CV300,3,FALSE)))</f>
      </c>
      <c r="K3" t="n" s="16391">
        <v>0.0</v>
      </c>
      <c r="L3" t="n" s="16392">
        <v>1.0</v>
      </c>
      <c r="M3" t="n" s="16393">
        <v>0.0</v>
      </c>
      <c r="N3" t="n" s="16394">
        <v>1.0</v>
      </c>
      <c r="O3" t="n" s="16395">
        <v>0.0</v>
      </c>
      <c r="P3" s="16396">
        <f>IF(HLOOKUP("Shots",A1:CV300,3,FALSE)=0,0,HLOOKUP("SIB",A1:CV300,3,FALSE)/HLOOKUP("Shots",A1:CV300,3,FALSE))</f>
      </c>
      <c r="Q3" t="n" s="16397">
        <v>0.0</v>
      </c>
      <c r="R3" s="16398">
        <f>IF(HLOOKUP("Shots",A1:CV300,3,FALSE)=0,0,HLOOKUP("S6YD",A1:CV300,3,FALSE)/HLOOKUP("Shots",A1:CV300,3,FALSE))</f>
      </c>
      <c r="S3" t="n" s="16399">
        <v>0.0</v>
      </c>
      <c r="T3" s="16400">
        <f>IF(HLOOKUP("Shots",A1:CV300,3,FALSE)=0,0,HLOOKUP("Headers",A1:CV300,3,FALSE)/HLOOKUP("Shots",A1:CV300,3,FALSE))</f>
      </c>
      <c r="U3" t="n" s="16401">
        <v>1.0</v>
      </c>
      <c r="V3" s="16402">
        <f>IF(HLOOKUP("Shots",A1:CV300,3,FALSE)=0,0,HLOOKUP("SOT",A1:CV300,3,FALSE)/HLOOKUP("Shots",A1:CV300,3,FALSE))</f>
      </c>
      <c r="W3" s="16403">
        <f>IF(HLOOKUP("Shots",A1:CV300,3,FALSE)=0,0,HLOOKUP("Gs",A1:CV300,3,FALSE)/HLOOKUP("Shots",A1:CV300,3,FALSE))</f>
      </c>
      <c r="X3" t="n" s="16404">
        <v>0.0</v>
      </c>
      <c r="Y3" t="n" s="16405">
        <v>0.0</v>
      </c>
      <c r="Z3" t="n" s="16406">
        <v>0.0</v>
      </c>
      <c r="AA3" s="16407">
        <f>IF(HLOOKUP("KP",A1:CV300,3,FALSE)=0,0,HLOOKUP("As",A1:CV300,3,FALSE)/HLOOKUP("KP",A1:CV300,3,FALSE))</f>
      </c>
      <c r="AB3" s="16408"/>
      <c r="AC3" t="n" s="16409">
        <v>0.0</v>
      </c>
      <c r="AD3" t="n" s="16410">
        <v>0.0</v>
      </c>
      <c r="AE3" t="n" s="16411">
        <v>0.0</v>
      </c>
      <c r="AF3" t="n" s="16412">
        <v>0.0</v>
      </c>
      <c r="AG3" s="16413">
        <f>IF(HLOOKUP("BC",A1:CV300,3,FALSE)=0,0,HLOOKUP("Gs - BC",A1:CV300,3,FALSE)/HLOOKUP("BC",A1:CV300,3,FALSE))</f>
      </c>
      <c r="AH3" s="16414">
        <f>HLOOKUP("BC",A1:CV300,3,FALSE) - HLOOKUP("BC Miss",A1:CV300,3,FALSE)</f>
      </c>
      <c r="AI3" s="16415">
        <f>IF(HLOOKUP("Gs",A1:CV300,3,FALSE)=0,0,HLOOKUP("Gs - BC",A1:CV300,3,FALSE)/HLOOKUP("Gs",A1:CV300,3,FALSE))</f>
      </c>
      <c r="AJ3" t="n" s="16416">
        <v>0.0</v>
      </c>
      <c r="AK3" t="n" s="16417">
        <v>0.0</v>
      </c>
      <c r="AL3" s="16418">
        <f>HLOOKUP("BC",A1:CV300,3,FALSE) - (HLOOKUP("PK Gs",A1:CV300,3,FALSE) + HLOOKUP("PK Miss",A1:CV300,3,FALSE))</f>
      </c>
      <c r="AM3" s="16419">
        <f>HLOOKUP("BC Miss",A1:CV300,3,FALSE) - HLOOKUP("PK Miss",A1:CV300,3,FALSE)</f>
      </c>
      <c r="AN3" s="16420">
        <f>IF(HLOOKUP("BC - Open",A1:CV300,3,FALSE)=0,0,HLOOKUP("BC - Open Miss",A1:CV300,3,FALSE)/HLOOKUP("BC - Open",A1:CV300,3,FALSE))</f>
      </c>
      <c r="AO3" t="n" s="16421">
        <v>0.0</v>
      </c>
      <c r="AP3" s="16422">
        <f>IF(HLOOKUP("Gs",A1:CV300,3,FALSE)=0,0,HLOOKUP("GIB",A1:CV300,3,FALSE)/HLOOKUP("Gs",A1:CV300,3,FALSE))</f>
      </c>
      <c r="AQ3" t="n" s="16423">
        <v>0.0</v>
      </c>
      <c r="AR3" s="16424">
        <f>IF(HLOOKUP("Gs",A1:CV300,3,FALSE)=0,0,HLOOKUP("Gs - Open",A1:CV300,3,FALSE)/HLOOKUP("Gs",A1:CV300,3,FALSE))</f>
      </c>
      <c r="AS3" t="n" s="16425">
        <v>0.02</v>
      </c>
      <c r="AT3" t="n" s="16426">
        <v>0.0</v>
      </c>
      <c r="AU3" s="16427">
        <f>IF(HLOOKUP("Mins",A1:CV300,3,FALSE)=0,0,HLOOKUP("Pts",A1:CV300,3,FALSE)/HLOOKUP("Mins",A1:CV300,3,FALSE)* 90)</f>
      </c>
      <c r="AV3" s="16428">
        <f>IF(HLOOKUP("Apps",A1:CV300,3,FALSE)=0,0,HLOOKUP("Pts",A1:CV300,3,FALSE)/HLOOKUP("Apps",A1:CV300,3,FALSE)* 1)</f>
      </c>
      <c r="AW3" s="16429">
        <f>IF(HLOOKUP("Mins",A1:CV300,3,FALSE)=0,0,HLOOKUP("Gs",A1:CV300,3,FALSE)/HLOOKUP("Mins",A1:CV300,3,FALSE)* 90)</f>
      </c>
      <c r="AX3" s="16430">
        <f>IF(HLOOKUP("Mins",A1:CV300,3,FALSE)=0,0,HLOOKUP("Bonus",A1:CV300,3,FALSE)/HLOOKUP("Mins",A1:CV300,3,FALSE)* 90)</f>
      </c>
      <c r="AY3" s="16431">
        <f>IF(HLOOKUP("Mins",A1:CV300,3,FALSE)=0,0,HLOOKUP("BPS",A1:CV300,3,FALSE)/HLOOKUP("Mins",A1:CV300,3,FALSE)* 90)</f>
      </c>
      <c r="AZ3" s="16432">
        <f>IF(HLOOKUP("Mins",A1:CV300,3,FALSE)=0,0,HLOOKUP("Base BPS",A1:CV300,3,FALSE)/HLOOKUP("Mins",A1:CV300,3,FALSE)* 90)</f>
      </c>
      <c r="BA3" s="16433">
        <f>IF(HLOOKUP("Mins",A1:CV300,3,FALSE)=0,0,HLOOKUP("PenTchs",A1:CV300,3,FALSE)/HLOOKUP("Mins",A1:CV300,3,FALSE)* 90)</f>
      </c>
      <c r="BB3" s="16434">
        <f>IF(HLOOKUP("Mins",A1:CV300,3,FALSE)=0,0,HLOOKUP("Shots",A1:CV300,3,FALSE)/HLOOKUP("Mins",A1:CV300,3,FALSE)* 90)</f>
      </c>
      <c r="BC3" s="16435">
        <f>IF(HLOOKUP("Mins",A1:CV300,3,FALSE)=0,0,HLOOKUP("SIB",A1:CV300,3,FALSE)/HLOOKUP("Mins",A1:CV300,3,FALSE)* 90)</f>
      </c>
      <c r="BD3" s="16436">
        <f>IF(HLOOKUP("Mins",A1:CV300,3,FALSE)=0,0,HLOOKUP("S6YD",A1:CV300,3,FALSE)/HLOOKUP("Mins",A1:CV300,3,FALSE)* 90)</f>
      </c>
      <c r="BE3" s="16437">
        <f>IF(HLOOKUP("Mins",A1:CV300,3,FALSE)=0,0,HLOOKUP("Headers",A1:CV300,3,FALSE)/HLOOKUP("Mins",A1:CV300,3,FALSE)* 90)</f>
      </c>
      <c r="BF3" s="16438">
        <f>IF(HLOOKUP("Mins",A1:CV300,3,FALSE)=0,0,HLOOKUP("SOT",A1:CV300,3,FALSE)/HLOOKUP("Mins",A1:CV300,3,FALSE)* 90)</f>
      </c>
      <c r="BG3" s="16439">
        <f>IF(HLOOKUP("Mins",A1:CV300,3,FALSE)=0,0,HLOOKUP("As",A1:CV300,3,FALSE)/HLOOKUP("Mins",A1:CV300,3,FALSE)* 90)</f>
      </c>
      <c r="BH3" s="16440">
        <f>IF(HLOOKUP("Mins",A1:CV300,3,FALSE)=0,0,HLOOKUP("FPL As",A1:CV300,3,FALSE)/HLOOKUP("Mins",A1:CV300,3,FALSE)* 90)</f>
      </c>
      <c r="BI3" s="16441">
        <f>IF(HLOOKUP("Mins",A1:CV300,3,FALSE)=0,0,HLOOKUP("BC Created",A1:CV300,3,FALSE)/HLOOKUP("Mins",A1:CV300,3,FALSE)* 90)</f>
      </c>
      <c r="BJ3" s="16442">
        <f>IF(HLOOKUP("Mins",A1:CV300,3,FALSE)=0,0,HLOOKUP("KP",A1:CV300,3,FALSE)/HLOOKUP("Mins",A1:CV300,3,FALSE)* 90)</f>
      </c>
      <c r="BK3" s="16443">
        <f>IF(HLOOKUP("Mins",A1:CV300,3,FALSE)=0,0,HLOOKUP("BC",A1:CV300,3,FALSE)/HLOOKUP("Mins",A1:CV300,3,FALSE)* 90)</f>
      </c>
      <c r="BL3" s="16444">
        <f>IF(HLOOKUP("Mins",A1:CV300,3,FALSE)=0,0,HLOOKUP("BC Miss",A1:CV300,3,FALSE)/HLOOKUP("Mins",A1:CV300,3,FALSE)* 90)</f>
      </c>
      <c r="BM3" s="16445">
        <f>IF(HLOOKUP("Mins",A1:CV300,3,FALSE)=0,0,HLOOKUP("Gs - BC",A1:CV300,3,FALSE)/HLOOKUP("Mins",A1:CV300,3,FALSE)* 90)</f>
      </c>
      <c r="BN3" s="16446">
        <f>IF(HLOOKUP("Mins",A1:CV300,3,FALSE)=0,0,HLOOKUP("GIB",A1:CV300,3,FALSE)/HLOOKUP("Mins",A1:CV300,3,FALSE)* 90)</f>
      </c>
      <c r="BO3" s="16447">
        <f>IF(HLOOKUP("Mins",A1:CV300,3,FALSE)=0,0,HLOOKUP("Gs - Open",A1:CV300,3,FALSE)/HLOOKUP("Mins",A1:CV300,3,FALSE)* 90)</f>
      </c>
      <c r="BP3" s="16448">
        <f>IF(HLOOKUP("Mins",A1:CV300,3,FALSE)=0,0,HLOOKUP("ICT Index",A1:CV300,3,FALSE)/HLOOKUP("Mins",A1:CV300,3,FALSE)* 90)</f>
      </c>
      <c r="BQ3" s="16449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</c>
      <c r="BR3" s="16450">
        <f>0.0885*HLOOKUP("KP/90",A1:CV300,3,FALSE)</f>
      </c>
      <c r="BS3" s="16451">
        <f>5*HLOOKUP("xG/90",A1:CV300,3,FALSE)+3*HLOOKUP("xA/90",A1:CV300,3,FALSE)</f>
      </c>
      <c r="BT3" s="16452">
        <f>HLOOKUP("xPts/90",A1:CV300,3,FALSE)-(5*0.75*(HLOOKUP("PK Gs",A1:CV300,3,FALSE)+HLOOKUP("PK Miss",A1:CV300,3,FALSE))*90/HLOOKUP("Mins",A1:CV300,3,FALSE))</f>
      </c>
      <c r="BU3" s="16453">
        <f>IF(HLOOKUP("Mins",A1:CV300,3,FALSE)=0,0,HLOOKUP("fsXG",A1:CV300,3,FALSE)/HLOOKUP("Mins",A1:CV300,3,FALSE)* 90)</f>
      </c>
      <c r="BV3" s="16454">
        <f>IF(HLOOKUP("Mins",A1:CV300,3,FALSE)=0,0,HLOOKUP("fsXA",A1:CV300,3,FALSE)/HLOOKUP("Mins",A1:CV300,3,FALSE)* 90)</f>
      </c>
      <c r="BW3" s="16455">
        <f>5*HLOOKUP("fsXG/90",A1:CV300,3,FALSE)+3*HLOOKUP("fsXA/90",A1:CV300,3,FALSE)</f>
      </c>
      <c r="BX3" t="n" s="16456">
        <v>0.08818846195936203</v>
      </c>
      <c r="BY3" t="n" s="16457">
        <v>0.0</v>
      </c>
      <c r="BZ3" s="16458">
        <f>5*HLOOKUP("uXG/90",A1:CV300,3,FALSE)+3*HLOOKUP("uXA/90",A1:CV300,3,FALSE)</f>
      </c>
    </row>
    <row r="4">
      <c r="A4" t="s" s="16459">
        <v>307</v>
      </c>
      <c r="B4" t="s" s="16460">
        <v>102</v>
      </c>
      <c r="C4" t="n" s="16461">
        <v>5.300000190734863</v>
      </c>
      <c r="D4" t="n" s="16462">
        <v>124.0</v>
      </c>
      <c r="E4" t="n" s="16463">
        <v>2.0</v>
      </c>
      <c r="F4" t="n" s="16464">
        <v>36.0</v>
      </c>
      <c r="G4" t="n" s="16465">
        <v>0.0</v>
      </c>
      <c r="H4" t="n" s="16466">
        <v>0.0</v>
      </c>
      <c r="I4" t="n" s="16467">
        <v>102.0</v>
      </c>
      <c r="J4" s="16468">
        <f>HLOOKUP("BPS",A1:CV300,4,FALSE)-((-6*HLOOKUP("OG",A1:CV300,4,FALSE))+(-6*HLOOKUP("PK Miss",A1:CV300,4,FALSE))+(9*HLOOKUP("FPL As",A1:CV300,4,FALSE))+(0*HLOOKUP("CS",A1:CV300,4,FALSE))+(18*HLOOKUP("Gs",A1:CV300,4,FALSE)))</f>
      </c>
      <c r="K4" t="n" s="16469">
        <v>0.0</v>
      </c>
      <c r="L4" t="n" s="16470">
        <v>3.0</v>
      </c>
      <c r="M4" t="n" s="16471">
        <v>1.0</v>
      </c>
      <c r="N4" t="n" s="16472">
        <v>0.0</v>
      </c>
      <c r="O4" t="n" s="16473">
        <v>0.0</v>
      </c>
      <c r="P4" s="16474">
        <f>IF(HLOOKUP("Shots",A1:CV300,4,FALSE)=0,0,HLOOKUP("SIB",A1:CV300,4,FALSE)/HLOOKUP("Shots",A1:CV300,4,FALSE))</f>
      </c>
      <c r="Q4" t="n" s="16475">
        <v>0.0</v>
      </c>
      <c r="R4" s="16476">
        <f>IF(HLOOKUP("Shots",A1:CV300,4,FALSE)=0,0,HLOOKUP("S6YD",A1:CV300,4,FALSE)/HLOOKUP("Shots",A1:CV300,4,FALSE))</f>
      </c>
      <c r="S4" t="n" s="16477">
        <v>0.0</v>
      </c>
      <c r="T4" s="16478">
        <f>IF(HLOOKUP("Shots",A1:CV300,4,FALSE)=0,0,HLOOKUP("Headers",A1:CV300,4,FALSE)/HLOOKUP("Shots",A1:CV300,4,FALSE))</f>
      </c>
      <c r="U4" t="n" s="16479">
        <v>0.0</v>
      </c>
      <c r="V4" s="16480">
        <f>IF(HLOOKUP("Shots",A1:CV300,4,FALSE)=0,0,HLOOKUP("SOT",A1:CV300,4,FALSE)/HLOOKUP("Shots",A1:CV300,4,FALSE))</f>
      </c>
      <c r="W4" s="16481">
        <f>IF(HLOOKUP("Shots",A1:CV300,4,FALSE)=0,0,HLOOKUP("Gs",A1:CV300,4,FALSE)/HLOOKUP("Shots",A1:CV300,4,FALSE))</f>
      </c>
      <c r="X4" t="n" s="16482">
        <v>0.0</v>
      </c>
      <c r="Y4" t="n" s="16483">
        <v>3.0</v>
      </c>
      <c r="Z4" t="n" s="16484">
        <v>0.0</v>
      </c>
      <c r="AA4" s="16485">
        <f>IF(HLOOKUP("KP",A1:CV300,4,FALSE)=0,0,HLOOKUP("As",A1:CV300,4,FALSE)/HLOOKUP("KP",A1:CV300,4,FALSE))</f>
      </c>
      <c r="AB4" s="16486"/>
      <c r="AC4" t="n" s="16487">
        <v>0.0</v>
      </c>
      <c r="AD4" t="n" s="16488">
        <v>0.0</v>
      </c>
      <c r="AE4" t="n" s="16489">
        <v>0.0</v>
      </c>
      <c r="AF4" t="n" s="16490">
        <v>0.0</v>
      </c>
      <c r="AG4" s="16491">
        <f>IF(HLOOKUP("BC",A1:CV300,4,FALSE)=0,0,HLOOKUP("Gs - BC",A1:CV300,4,FALSE)/HLOOKUP("BC",A1:CV300,4,FALSE))</f>
      </c>
      <c r="AH4" s="16492">
        <f>HLOOKUP("BC",A1:CV300,4,FALSE) - HLOOKUP("BC Miss",A1:CV300,4,FALSE)</f>
      </c>
      <c r="AI4" s="16493">
        <f>IF(HLOOKUP("Gs",A1:CV300,4,FALSE)=0,0,HLOOKUP("Gs - BC",A1:CV300,4,FALSE)/HLOOKUP("Gs",A1:CV300,4,FALSE))</f>
      </c>
      <c r="AJ4" t="n" s="16494">
        <v>0.0</v>
      </c>
      <c r="AK4" t="n" s="16495">
        <v>0.0</v>
      </c>
      <c r="AL4" s="16496">
        <f>HLOOKUP("BC",A1:CV300,4,FALSE) - (HLOOKUP("PK Gs",A1:CV300,4,FALSE) + HLOOKUP("PK Miss",A1:CV300,4,FALSE))</f>
      </c>
      <c r="AM4" s="16497">
        <f>HLOOKUP("BC Miss",A1:CV300,4,FALSE) - HLOOKUP("PK Miss",A1:CV300,4,FALSE)</f>
      </c>
      <c r="AN4" s="16498">
        <f>IF(HLOOKUP("BC - Open",A1:CV300,4,FALSE)=0,0,HLOOKUP("BC - Open Miss",A1:CV300,4,FALSE)/HLOOKUP("BC - Open",A1:CV300,4,FALSE))</f>
      </c>
      <c r="AO4" t="n" s="16499">
        <v>0.0</v>
      </c>
      <c r="AP4" s="16500">
        <f>IF(HLOOKUP("Gs",A1:CV300,4,FALSE)=0,0,HLOOKUP("GIB",A1:CV300,4,FALSE)/HLOOKUP("Gs",A1:CV300,4,FALSE))</f>
      </c>
      <c r="AQ4" t="n" s="16501">
        <v>0.0</v>
      </c>
      <c r="AR4" s="16502">
        <f>IF(HLOOKUP("Gs",A1:CV300,4,FALSE)=0,0,HLOOKUP("Gs - Open",A1:CV300,4,FALSE)/HLOOKUP("Gs",A1:CV300,4,FALSE))</f>
      </c>
      <c r="AS4" t="n" s="16503">
        <v>0.0</v>
      </c>
      <c r="AT4" t="n" s="16504">
        <v>0.01</v>
      </c>
      <c r="AU4" s="16505">
        <f>IF(HLOOKUP("Mins",A1:CV300,4,FALSE)=0,0,HLOOKUP("Pts",A1:CV300,4,FALSE)/HLOOKUP("Mins",A1:CV300,4,FALSE)* 90)</f>
      </c>
      <c r="AV4" s="16506">
        <f>IF(HLOOKUP("Apps",A1:CV300,4,FALSE)=0,0,HLOOKUP("Pts",A1:CV300,4,FALSE)/HLOOKUP("Apps",A1:CV300,4,FALSE)* 1)</f>
      </c>
      <c r="AW4" s="16507">
        <f>IF(HLOOKUP("Mins",A1:CV300,4,FALSE)=0,0,HLOOKUP("Gs",A1:CV300,4,FALSE)/HLOOKUP("Mins",A1:CV300,4,FALSE)* 90)</f>
      </c>
      <c r="AX4" s="16508">
        <f>IF(HLOOKUP("Mins",A1:CV300,4,FALSE)=0,0,HLOOKUP("Bonus",A1:CV300,4,FALSE)/HLOOKUP("Mins",A1:CV300,4,FALSE)* 90)</f>
      </c>
      <c r="AY4" s="16509">
        <f>IF(HLOOKUP("Mins",A1:CV300,4,FALSE)=0,0,HLOOKUP("BPS",A1:CV300,4,FALSE)/HLOOKUP("Mins",A1:CV300,4,FALSE)* 90)</f>
      </c>
      <c r="AZ4" s="16510">
        <f>IF(HLOOKUP("Mins",A1:CV300,4,FALSE)=0,0,HLOOKUP("Base BPS",A1:CV300,4,FALSE)/HLOOKUP("Mins",A1:CV300,4,FALSE)* 90)</f>
      </c>
      <c r="BA4" s="16511">
        <f>IF(HLOOKUP("Mins",A1:CV300,4,FALSE)=0,0,HLOOKUP("PenTchs",A1:CV300,4,FALSE)/HLOOKUP("Mins",A1:CV300,4,FALSE)* 90)</f>
      </c>
      <c r="BB4" s="16512">
        <f>IF(HLOOKUP("Mins",A1:CV300,4,FALSE)=0,0,HLOOKUP("Shots",A1:CV300,4,FALSE)/HLOOKUP("Mins",A1:CV300,4,FALSE)* 90)</f>
      </c>
      <c r="BC4" s="16513">
        <f>IF(HLOOKUP("Mins",A1:CV300,4,FALSE)=0,0,HLOOKUP("SIB",A1:CV300,4,FALSE)/HLOOKUP("Mins",A1:CV300,4,FALSE)* 90)</f>
      </c>
      <c r="BD4" s="16514">
        <f>IF(HLOOKUP("Mins",A1:CV300,4,FALSE)=0,0,HLOOKUP("S6YD",A1:CV300,4,FALSE)/HLOOKUP("Mins",A1:CV300,4,FALSE)* 90)</f>
      </c>
      <c r="BE4" s="16515">
        <f>IF(HLOOKUP("Mins",A1:CV300,4,FALSE)=0,0,HLOOKUP("Headers",A1:CV300,4,FALSE)/HLOOKUP("Mins",A1:CV300,4,FALSE)* 90)</f>
      </c>
      <c r="BF4" s="16516">
        <f>IF(HLOOKUP("Mins",A1:CV300,4,FALSE)=0,0,HLOOKUP("SOT",A1:CV300,4,FALSE)/HLOOKUP("Mins",A1:CV300,4,FALSE)* 90)</f>
      </c>
      <c r="BG4" s="16517">
        <f>IF(HLOOKUP("Mins",A1:CV300,4,FALSE)=0,0,HLOOKUP("As",A1:CV300,4,FALSE)/HLOOKUP("Mins",A1:CV300,4,FALSE)* 90)</f>
      </c>
      <c r="BH4" s="16518">
        <f>IF(HLOOKUP("Mins",A1:CV300,4,FALSE)=0,0,HLOOKUP("FPL As",A1:CV300,4,FALSE)/HLOOKUP("Mins",A1:CV300,4,FALSE)* 90)</f>
      </c>
      <c r="BI4" s="16519">
        <f>IF(HLOOKUP("Mins",A1:CV300,4,FALSE)=0,0,HLOOKUP("BC Created",A1:CV300,4,FALSE)/HLOOKUP("Mins",A1:CV300,4,FALSE)* 90)</f>
      </c>
      <c r="BJ4" s="16520">
        <f>IF(HLOOKUP("Mins",A1:CV300,4,FALSE)=0,0,HLOOKUP("KP",A1:CV300,4,FALSE)/HLOOKUP("Mins",A1:CV300,4,FALSE)* 90)</f>
      </c>
      <c r="BK4" s="16521">
        <f>IF(HLOOKUP("Mins",A1:CV300,4,FALSE)=0,0,HLOOKUP("BC",A1:CV300,4,FALSE)/HLOOKUP("Mins",A1:CV300,4,FALSE)* 90)</f>
      </c>
      <c r="BL4" s="16522">
        <f>IF(HLOOKUP("Mins",A1:CV300,4,FALSE)=0,0,HLOOKUP("BC Miss",A1:CV300,4,FALSE)/HLOOKUP("Mins",A1:CV300,4,FALSE)* 90)</f>
      </c>
      <c r="BM4" s="16523">
        <f>IF(HLOOKUP("Mins",A1:CV300,4,FALSE)=0,0,HLOOKUP("Gs - BC",A1:CV300,4,FALSE)/HLOOKUP("Mins",A1:CV300,4,FALSE)* 90)</f>
      </c>
      <c r="BN4" s="16524">
        <f>IF(HLOOKUP("Mins",A1:CV300,4,FALSE)=0,0,HLOOKUP("GIB",A1:CV300,4,FALSE)/HLOOKUP("Mins",A1:CV300,4,FALSE)* 90)</f>
      </c>
      <c r="BO4" s="16525">
        <f>IF(HLOOKUP("Mins",A1:CV300,4,FALSE)=0,0,HLOOKUP("Gs - Open",A1:CV300,4,FALSE)/HLOOKUP("Mins",A1:CV300,4,FALSE)* 90)</f>
      </c>
      <c r="BP4" s="16526">
        <f>IF(HLOOKUP("Mins",A1:CV300,4,FALSE)=0,0,HLOOKUP("ICT Index",A1:CV300,4,FALSE)/HLOOKUP("Mins",A1:CV300,4,FALSE)* 90)</f>
      </c>
      <c r="BQ4" s="16527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</c>
      <c r="BR4" s="16528">
        <f>0.0885*HLOOKUP("KP/90",A1:CV300,4,FALSE)</f>
      </c>
      <c r="BS4" s="16529">
        <f>5*HLOOKUP("xG/90",A1:CV300,4,FALSE)+3*HLOOKUP("xA/90",A1:CV300,4,FALSE)</f>
      </c>
      <c r="BT4" s="16530">
        <f>HLOOKUP("xPts/90",A1:CV300,4,FALSE)-(5*0.75*(HLOOKUP("PK Gs",A1:CV300,4,FALSE)+HLOOKUP("PK Miss",A1:CV300,4,FALSE))*90/HLOOKUP("Mins",A1:CV300,4,FALSE))</f>
      </c>
      <c r="BU4" s="16531">
        <f>IF(HLOOKUP("Mins",A1:CV300,4,FALSE)=0,0,HLOOKUP("fsXG",A1:CV300,4,FALSE)/HLOOKUP("Mins",A1:CV300,4,FALSE)* 90)</f>
      </c>
      <c r="BV4" s="16532">
        <f>IF(HLOOKUP("Mins",A1:CV300,4,FALSE)=0,0,HLOOKUP("fsXA",A1:CV300,4,FALSE)/HLOOKUP("Mins",A1:CV300,4,FALSE)* 90)</f>
      </c>
      <c r="BW4" s="16533">
        <f>5*HLOOKUP("fsXG/90",A1:CV300,4,FALSE)+3*HLOOKUP("fsXA/90",A1:CV300,4,FALSE)</f>
      </c>
      <c r="BX4" t="n" s="16534">
        <v>0.0</v>
      </c>
      <c r="BY4" t="n" s="16535">
        <v>0.0</v>
      </c>
      <c r="BZ4" s="16536">
        <f>5*HLOOKUP("uXG/90",A1:CV300,4,FALSE)+3*HLOOKUP("uXA/90",A1:CV300,4,FALSE)</f>
      </c>
    </row>
    <row r="5">
      <c r="A5" t="s" s="16537">
        <v>308</v>
      </c>
      <c r="B5" t="s" s="16538">
        <v>82</v>
      </c>
      <c r="C5" t="n" s="16539">
        <v>6.0</v>
      </c>
      <c r="D5" t="n" s="16540">
        <v>410.0</v>
      </c>
      <c r="E5" t="n" s="16541">
        <v>5.0</v>
      </c>
      <c r="F5" t="n" s="16542">
        <v>90.0</v>
      </c>
      <c r="G5" t="n" s="16543">
        <v>3.0</v>
      </c>
      <c r="H5" t="n" s="16544">
        <v>5.0</v>
      </c>
      <c r="I5" t="n" s="16545">
        <v>263.0</v>
      </c>
      <c r="J5" s="16546">
        <f>HLOOKUP("BPS",A1:CV300,5,FALSE)-((-6*HLOOKUP("OG",A1:CV300,5,FALSE))+(-6*HLOOKUP("PK Miss",A1:CV300,5,FALSE))+(9*HLOOKUP("FPL As",A1:CV300,5,FALSE))+(0*HLOOKUP("CS",A1:CV300,5,FALSE))+(18*HLOOKUP("Gs",A1:CV300,5,FALSE)))</f>
      </c>
      <c r="K5" t="n" s="16547">
        <v>0.0</v>
      </c>
      <c r="L5" t="n" s="16548">
        <v>6.0</v>
      </c>
      <c r="M5" t="n" s="16549">
        <v>19.0</v>
      </c>
      <c r="N5" t="n" s="16550">
        <v>11.0</v>
      </c>
      <c r="O5" t="n" s="16551">
        <v>9.0</v>
      </c>
      <c r="P5" s="16552">
        <f>IF(HLOOKUP("Shots",A1:CV300,5,FALSE)=0,0,HLOOKUP("SIB",A1:CV300,5,FALSE)/HLOOKUP("Shots",A1:CV300,5,FALSE))</f>
      </c>
      <c r="Q5" t="n" s="16553">
        <v>1.0</v>
      </c>
      <c r="R5" s="16554">
        <f>IF(HLOOKUP("Shots",A1:CV300,5,FALSE)=0,0,HLOOKUP("S6YD",A1:CV300,5,FALSE)/HLOOKUP("Shots",A1:CV300,5,FALSE))</f>
      </c>
      <c r="S5" t="n" s="16555">
        <v>0.0</v>
      </c>
      <c r="T5" s="16556">
        <f>IF(HLOOKUP("Shots",A1:CV300,5,FALSE)=0,0,HLOOKUP("Headers",A1:CV300,5,FALSE)/HLOOKUP("Shots",A1:CV300,5,FALSE))</f>
      </c>
      <c r="U5" t="n" s="16557">
        <v>6.0</v>
      </c>
      <c r="V5" s="16558">
        <f>IF(HLOOKUP("Shots",A1:CV300,5,FALSE)=0,0,HLOOKUP("SOT",A1:CV300,5,FALSE)/HLOOKUP("Shots",A1:CV300,5,FALSE))</f>
      </c>
      <c r="W5" s="16559">
        <f>IF(HLOOKUP("Shots",A1:CV300,5,FALSE)=0,0,HLOOKUP("Gs",A1:CV300,5,FALSE)/HLOOKUP("Shots",A1:CV300,5,FALSE))</f>
      </c>
      <c r="X5" t="n" s="16560">
        <v>1.0</v>
      </c>
      <c r="Y5" t="n" s="16561">
        <v>7.0</v>
      </c>
      <c r="Z5" t="n" s="16562">
        <v>8.0</v>
      </c>
      <c r="AA5" s="16563">
        <f>IF(HLOOKUP("KP",A1:CV300,5,FALSE)=0,0,HLOOKUP("As",A1:CV300,5,FALSE)/HLOOKUP("KP",A1:CV300,5,FALSE))</f>
      </c>
      <c r="AB5" s="16564"/>
      <c r="AC5" t="n" s="16565">
        <v>57.0</v>
      </c>
      <c r="AD5" t="n" s="16566">
        <v>0.0</v>
      </c>
      <c r="AE5" t="n" s="16567">
        <v>3.0</v>
      </c>
      <c r="AF5" t="n" s="16568">
        <v>1.0</v>
      </c>
      <c r="AG5" s="16569">
        <f>IF(HLOOKUP("BC",A1:CV300,5,FALSE)=0,0,HLOOKUP("Gs - BC",A1:CV300,5,FALSE)/HLOOKUP("BC",A1:CV300,5,FALSE))</f>
      </c>
      <c r="AH5" s="16570">
        <f>HLOOKUP("BC",A1:CV300,5,FALSE) - HLOOKUP("BC Miss",A1:CV300,5,FALSE)</f>
      </c>
      <c r="AI5" s="16571">
        <f>IF(HLOOKUP("Gs",A1:CV300,5,FALSE)=0,0,HLOOKUP("Gs - BC",A1:CV300,5,FALSE)/HLOOKUP("Gs",A1:CV300,5,FALSE))</f>
      </c>
      <c r="AJ5" t="n" s="16572">
        <v>0.0</v>
      </c>
      <c r="AK5" t="n" s="16573">
        <v>0.0</v>
      </c>
      <c r="AL5" s="16574">
        <f>HLOOKUP("BC",A1:CV300,5,FALSE) - (HLOOKUP("PK Gs",A1:CV300,5,FALSE) + HLOOKUP("PK Miss",A1:CV300,5,FALSE))</f>
      </c>
      <c r="AM5" s="16575">
        <f>HLOOKUP("BC Miss",A1:CV300,5,FALSE) - HLOOKUP("PK Miss",A1:CV300,5,FALSE)</f>
      </c>
      <c r="AN5" s="16576">
        <f>IF(HLOOKUP("BC - Open",A1:CV300,5,FALSE)=0,0,HLOOKUP("BC - Open Miss",A1:CV300,5,FALSE)/HLOOKUP("BC - Open",A1:CV300,5,FALSE))</f>
      </c>
      <c r="AO5" t="n" s="16577">
        <v>3.0</v>
      </c>
      <c r="AP5" s="16578">
        <f>IF(HLOOKUP("Gs",A1:CV300,5,FALSE)=0,0,HLOOKUP("GIB",A1:CV300,5,FALSE)/HLOOKUP("Gs",A1:CV300,5,FALSE))</f>
      </c>
      <c r="AQ5" t="n" s="16579">
        <v>3.0</v>
      </c>
      <c r="AR5" s="16580">
        <f>IF(HLOOKUP("Gs",A1:CV300,5,FALSE)=0,0,HLOOKUP("Gs - Open",A1:CV300,5,FALSE)/HLOOKUP("Gs",A1:CV300,5,FALSE))</f>
      </c>
      <c r="AS5" t="n" s="16581">
        <v>2.29</v>
      </c>
      <c r="AT5" t="n" s="16582">
        <v>0.32</v>
      </c>
      <c r="AU5" s="16583">
        <f>IF(HLOOKUP("Mins",A1:CV300,5,FALSE)=0,0,HLOOKUP("Pts",A1:CV300,5,FALSE)/HLOOKUP("Mins",A1:CV300,5,FALSE)* 90)</f>
      </c>
      <c r="AV5" s="16584">
        <f>IF(HLOOKUP("Apps",A1:CV300,5,FALSE)=0,0,HLOOKUP("Pts",A1:CV300,5,FALSE)/HLOOKUP("Apps",A1:CV300,5,FALSE)* 1)</f>
      </c>
      <c r="AW5" s="16585">
        <f>IF(HLOOKUP("Mins",A1:CV300,5,FALSE)=0,0,HLOOKUP("Gs",A1:CV300,5,FALSE)/HLOOKUP("Mins",A1:CV300,5,FALSE)* 90)</f>
      </c>
      <c r="AX5" s="16586">
        <f>IF(HLOOKUP("Mins",A1:CV300,5,FALSE)=0,0,HLOOKUP("Bonus",A1:CV300,5,FALSE)/HLOOKUP("Mins",A1:CV300,5,FALSE)* 90)</f>
      </c>
      <c r="AY5" s="16587">
        <f>IF(HLOOKUP("Mins",A1:CV300,5,FALSE)=0,0,HLOOKUP("BPS",A1:CV300,5,FALSE)/HLOOKUP("Mins",A1:CV300,5,FALSE)* 90)</f>
      </c>
      <c r="AZ5" s="16588">
        <f>IF(HLOOKUP("Mins",A1:CV300,5,FALSE)=0,0,HLOOKUP("Base BPS",A1:CV300,5,FALSE)/HLOOKUP("Mins",A1:CV300,5,FALSE)* 90)</f>
      </c>
      <c r="BA5" s="16589">
        <f>IF(HLOOKUP("Mins",A1:CV300,5,FALSE)=0,0,HLOOKUP("PenTchs",A1:CV300,5,FALSE)/HLOOKUP("Mins",A1:CV300,5,FALSE)* 90)</f>
      </c>
      <c r="BB5" s="16590">
        <f>IF(HLOOKUP("Mins",A1:CV300,5,FALSE)=0,0,HLOOKUP("Shots",A1:CV300,5,FALSE)/HLOOKUP("Mins",A1:CV300,5,FALSE)* 90)</f>
      </c>
      <c r="BC5" s="16591">
        <f>IF(HLOOKUP("Mins",A1:CV300,5,FALSE)=0,0,HLOOKUP("SIB",A1:CV300,5,FALSE)/HLOOKUP("Mins",A1:CV300,5,FALSE)* 90)</f>
      </c>
      <c r="BD5" s="16592">
        <f>IF(HLOOKUP("Mins",A1:CV300,5,FALSE)=0,0,HLOOKUP("S6YD",A1:CV300,5,FALSE)/HLOOKUP("Mins",A1:CV300,5,FALSE)* 90)</f>
      </c>
      <c r="BE5" s="16593">
        <f>IF(HLOOKUP("Mins",A1:CV300,5,FALSE)=0,0,HLOOKUP("Headers",A1:CV300,5,FALSE)/HLOOKUP("Mins",A1:CV300,5,FALSE)* 90)</f>
      </c>
      <c r="BF5" s="16594">
        <f>IF(HLOOKUP("Mins",A1:CV300,5,FALSE)=0,0,HLOOKUP("SOT",A1:CV300,5,FALSE)/HLOOKUP("Mins",A1:CV300,5,FALSE)* 90)</f>
      </c>
      <c r="BG5" s="16595">
        <f>IF(HLOOKUP("Mins",A1:CV300,5,FALSE)=0,0,HLOOKUP("As",A1:CV300,5,FALSE)/HLOOKUP("Mins",A1:CV300,5,FALSE)* 90)</f>
      </c>
      <c r="BH5" s="16596">
        <f>IF(HLOOKUP("Mins",A1:CV300,5,FALSE)=0,0,HLOOKUP("FPL As",A1:CV300,5,FALSE)/HLOOKUP("Mins",A1:CV300,5,FALSE)* 90)</f>
      </c>
      <c r="BI5" s="16597">
        <f>IF(HLOOKUP("Mins",A1:CV300,5,FALSE)=0,0,HLOOKUP("BC Created",A1:CV300,5,FALSE)/HLOOKUP("Mins",A1:CV300,5,FALSE)* 90)</f>
      </c>
      <c r="BJ5" s="16598">
        <f>IF(HLOOKUP("Mins",A1:CV300,5,FALSE)=0,0,HLOOKUP("KP",A1:CV300,5,FALSE)/HLOOKUP("Mins",A1:CV300,5,FALSE)* 90)</f>
      </c>
      <c r="BK5" s="16599">
        <f>IF(HLOOKUP("Mins",A1:CV300,5,FALSE)=0,0,HLOOKUP("BC",A1:CV300,5,FALSE)/HLOOKUP("Mins",A1:CV300,5,FALSE)* 90)</f>
      </c>
      <c r="BL5" s="16600">
        <f>IF(HLOOKUP("Mins",A1:CV300,5,FALSE)=0,0,HLOOKUP("BC Miss",A1:CV300,5,FALSE)/HLOOKUP("Mins",A1:CV300,5,FALSE)* 90)</f>
      </c>
      <c r="BM5" s="16601">
        <f>IF(HLOOKUP("Mins",A1:CV300,5,FALSE)=0,0,HLOOKUP("Gs - BC",A1:CV300,5,FALSE)/HLOOKUP("Mins",A1:CV300,5,FALSE)* 90)</f>
      </c>
      <c r="BN5" s="16602">
        <f>IF(HLOOKUP("Mins",A1:CV300,5,FALSE)=0,0,HLOOKUP("GIB",A1:CV300,5,FALSE)/HLOOKUP("Mins",A1:CV300,5,FALSE)* 90)</f>
      </c>
      <c r="BO5" s="16603">
        <f>IF(HLOOKUP("Mins",A1:CV300,5,FALSE)=0,0,HLOOKUP("Gs - Open",A1:CV300,5,FALSE)/HLOOKUP("Mins",A1:CV300,5,FALSE)* 90)</f>
      </c>
      <c r="BP5" s="16604">
        <f>IF(HLOOKUP("Mins",A1:CV300,5,FALSE)=0,0,HLOOKUP("ICT Index",A1:CV300,5,FALSE)/HLOOKUP("Mins",A1:CV300,5,FALSE)* 90)</f>
      </c>
      <c r="BQ5" s="16605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</c>
      <c r="BR5" s="16606">
        <f>0.0885*HLOOKUP("KP/90",A1:CV300,5,FALSE)</f>
      </c>
      <c r="BS5" s="16607">
        <f>5*HLOOKUP("xG/90",A1:CV300,5,FALSE)+3*HLOOKUP("xA/90",A1:CV300,5,FALSE)</f>
      </c>
      <c r="BT5" s="16608">
        <f>HLOOKUP("xPts/90",A1:CV300,5,FALSE)-(5*0.75*(HLOOKUP("PK Gs",A1:CV300,5,FALSE)+HLOOKUP("PK Miss",A1:CV300,5,FALSE))*90/HLOOKUP("Mins",A1:CV300,5,FALSE))</f>
      </c>
      <c r="BU5" s="16609">
        <f>IF(HLOOKUP("Mins",A1:CV300,5,FALSE)=0,0,HLOOKUP("fsXG",A1:CV300,5,FALSE)/HLOOKUP("Mins",A1:CV300,5,FALSE)* 90)</f>
      </c>
      <c r="BV5" s="16610">
        <f>IF(HLOOKUP("Mins",A1:CV300,5,FALSE)=0,0,HLOOKUP("fsXA",A1:CV300,5,FALSE)/HLOOKUP("Mins",A1:CV300,5,FALSE)* 90)</f>
      </c>
      <c r="BW5" s="16611">
        <f>5*HLOOKUP("fsXG/90",A1:CV300,5,FALSE)+3*HLOOKUP("fsXA/90",A1:CV300,5,FALSE)</f>
      </c>
      <c r="BX5" t="n" s="16612">
        <v>0.47118905186653137</v>
      </c>
      <c r="BY5" t="n" s="16613">
        <v>0.13554245233535767</v>
      </c>
      <c r="BZ5" s="16614">
        <f>5*HLOOKUP("uXG/90",A1:CV300,5,FALSE)+3*HLOOKUP("uXA/90",A1:CV300,5,FALSE)</f>
      </c>
    </row>
    <row r="6">
      <c r="A6" t="s" s="16615">
        <v>309</v>
      </c>
      <c r="B6" t="s" s="16616">
        <v>114</v>
      </c>
      <c r="C6" t="n" s="16617">
        <v>4.699999809265137</v>
      </c>
      <c r="D6" t="n" s="16618">
        <v>630.0</v>
      </c>
      <c r="E6" t="n" s="16619">
        <v>7.0</v>
      </c>
      <c r="F6" t="n" s="16620">
        <v>58.0</v>
      </c>
      <c r="G6" t="n" s="16621">
        <v>0.0</v>
      </c>
      <c r="H6" t="n" s="16622">
        <v>1.0</v>
      </c>
      <c r="I6" t="n" s="16623">
        <v>396.0</v>
      </c>
      <c r="J6" s="16624">
        <f>HLOOKUP("BPS",A1:CV300,6,FALSE)-((-6*HLOOKUP("OG",A1:CV300,6,FALSE))+(-6*HLOOKUP("PK Miss",A1:CV300,6,FALSE))+(9*HLOOKUP("FPL As",A1:CV300,6,FALSE))+(0*HLOOKUP("CS",A1:CV300,6,FALSE))+(18*HLOOKUP("Gs",A1:CV300,6,FALSE)))</f>
      </c>
      <c r="K6" t="n" s="16625">
        <v>0.0</v>
      </c>
      <c r="L6" t="n" s="16626">
        <v>6.0</v>
      </c>
      <c r="M6" t="n" s="16627">
        <v>7.0</v>
      </c>
      <c r="N6" t="n" s="16628">
        <v>3.0</v>
      </c>
      <c r="O6" t="n" s="16629">
        <v>3.0</v>
      </c>
      <c r="P6" s="16630">
        <f>IF(HLOOKUP("Shots",A1:CV300,6,FALSE)=0,0,HLOOKUP("SIB",A1:CV300,6,FALSE)/HLOOKUP("Shots",A1:CV300,6,FALSE))</f>
      </c>
      <c r="Q6" t="n" s="16631">
        <v>0.0</v>
      </c>
      <c r="R6" s="16632">
        <f>IF(HLOOKUP("Shots",A1:CV300,6,FALSE)=0,0,HLOOKUP("S6YD",A1:CV300,6,FALSE)/HLOOKUP("Shots",A1:CV300,6,FALSE))</f>
      </c>
      <c r="S6" t="n" s="16633">
        <v>2.0</v>
      </c>
      <c r="T6" s="16634">
        <f>IF(HLOOKUP("Shots",A1:CV300,6,FALSE)=0,0,HLOOKUP("Headers",A1:CV300,6,FALSE)/HLOOKUP("Shots",A1:CV300,6,FALSE))</f>
      </c>
      <c r="U6" t="n" s="16635">
        <v>2.0</v>
      </c>
      <c r="V6" s="16636">
        <f>IF(HLOOKUP("Shots",A1:CV300,6,FALSE)=0,0,HLOOKUP("SOT",A1:CV300,6,FALSE)/HLOOKUP("Shots",A1:CV300,6,FALSE))</f>
      </c>
      <c r="W6" s="16637">
        <f>IF(HLOOKUP("Shots",A1:CV300,6,FALSE)=0,0,HLOOKUP("Gs",A1:CV300,6,FALSE)/HLOOKUP("Shots",A1:CV300,6,FALSE))</f>
      </c>
      <c r="X6" t="n" s="16638">
        <v>1.0</v>
      </c>
      <c r="Y6" t="n" s="16639">
        <v>1.0</v>
      </c>
      <c r="Z6" t="n" s="16640">
        <v>4.0</v>
      </c>
      <c r="AA6" s="16641">
        <f>IF(HLOOKUP("KP",A1:CV300,6,FALSE)=0,0,HLOOKUP("As",A1:CV300,6,FALSE)/HLOOKUP("KP",A1:CV300,6,FALSE))</f>
      </c>
      <c r="AB6" s="16642"/>
      <c r="AC6" t="n" s="16643">
        <v>11.0</v>
      </c>
      <c r="AD6" t="n" s="16644">
        <v>1.0</v>
      </c>
      <c r="AE6" t="n" s="16645">
        <v>0.0</v>
      </c>
      <c r="AF6" t="n" s="16646">
        <v>0.0</v>
      </c>
      <c r="AG6" s="16647">
        <f>IF(HLOOKUP("BC",A1:CV300,6,FALSE)=0,0,HLOOKUP("Gs - BC",A1:CV300,6,FALSE)/HLOOKUP("BC",A1:CV300,6,FALSE))</f>
      </c>
      <c r="AH6" s="16648">
        <f>HLOOKUP("BC",A1:CV300,6,FALSE) - HLOOKUP("BC Miss",A1:CV300,6,FALSE)</f>
      </c>
      <c r="AI6" s="16649">
        <f>IF(HLOOKUP("Gs",A1:CV300,6,FALSE)=0,0,HLOOKUP("Gs - BC",A1:CV300,6,FALSE)/HLOOKUP("Gs",A1:CV300,6,FALSE))</f>
      </c>
      <c r="AJ6" t="n" s="16650">
        <v>0.0</v>
      </c>
      <c r="AK6" t="n" s="16651">
        <v>0.0</v>
      </c>
      <c r="AL6" s="16652">
        <f>HLOOKUP("BC",A1:CV300,6,FALSE) - (HLOOKUP("PK Gs",A1:CV300,6,FALSE) + HLOOKUP("PK Miss",A1:CV300,6,FALSE))</f>
      </c>
      <c r="AM6" s="16653">
        <f>HLOOKUP("BC Miss",A1:CV300,6,FALSE) - HLOOKUP("PK Miss",A1:CV300,6,FALSE)</f>
      </c>
      <c r="AN6" s="16654">
        <f>IF(HLOOKUP("BC - Open",A1:CV300,6,FALSE)=0,0,HLOOKUP("BC - Open Miss",A1:CV300,6,FALSE)/HLOOKUP("BC - Open",A1:CV300,6,FALSE))</f>
      </c>
      <c r="AO6" t="n" s="16655">
        <v>0.0</v>
      </c>
      <c r="AP6" s="16656">
        <f>IF(HLOOKUP("Gs",A1:CV300,6,FALSE)=0,0,HLOOKUP("GIB",A1:CV300,6,FALSE)/HLOOKUP("Gs",A1:CV300,6,FALSE))</f>
      </c>
      <c r="AQ6" t="n" s="16657">
        <v>0.0</v>
      </c>
      <c r="AR6" s="16658">
        <f>IF(HLOOKUP("Gs",A1:CV300,6,FALSE)=0,0,HLOOKUP("Gs - Open",A1:CV300,6,FALSE)/HLOOKUP("Gs",A1:CV300,6,FALSE))</f>
      </c>
      <c r="AS6" t="n" s="16659">
        <v>0.15</v>
      </c>
      <c r="AT6" t="n" s="16660">
        <v>0.16</v>
      </c>
      <c r="AU6" s="16661">
        <f>IF(HLOOKUP("Mins",A1:CV300,6,FALSE)=0,0,HLOOKUP("Pts",A1:CV300,6,FALSE)/HLOOKUP("Mins",A1:CV300,6,FALSE)* 90)</f>
      </c>
      <c r="AV6" s="16662">
        <f>IF(HLOOKUP("Apps",A1:CV300,6,FALSE)=0,0,HLOOKUP("Pts",A1:CV300,6,FALSE)/HLOOKUP("Apps",A1:CV300,6,FALSE)* 1)</f>
      </c>
      <c r="AW6" s="16663">
        <f>IF(HLOOKUP("Mins",A1:CV300,6,FALSE)=0,0,HLOOKUP("Gs",A1:CV300,6,FALSE)/HLOOKUP("Mins",A1:CV300,6,FALSE)* 90)</f>
      </c>
      <c r="AX6" s="16664">
        <f>IF(HLOOKUP("Mins",A1:CV300,6,FALSE)=0,0,HLOOKUP("Bonus",A1:CV300,6,FALSE)/HLOOKUP("Mins",A1:CV300,6,FALSE)* 90)</f>
      </c>
      <c r="AY6" s="16665">
        <f>IF(HLOOKUP("Mins",A1:CV300,6,FALSE)=0,0,HLOOKUP("BPS",A1:CV300,6,FALSE)/HLOOKUP("Mins",A1:CV300,6,FALSE)* 90)</f>
      </c>
      <c r="AZ6" s="16666">
        <f>IF(HLOOKUP("Mins",A1:CV300,6,FALSE)=0,0,HLOOKUP("Base BPS",A1:CV300,6,FALSE)/HLOOKUP("Mins",A1:CV300,6,FALSE)* 90)</f>
      </c>
      <c r="BA6" s="16667">
        <f>IF(HLOOKUP("Mins",A1:CV300,6,FALSE)=0,0,HLOOKUP("PenTchs",A1:CV300,6,FALSE)/HLOOKUP("Mins",A1:CV300,6,FALSE)* 90)</f>
      </c>
      <c r="BB6" s="16668">
        <f>IF(HLOOKUP("Mins",A1:CV300,6,FALSE)=0,0,HLOOKUP("Shots",A1:CV300,6,FALSE)/HLOOKUP("Mins",A1:CV300,6,FALSE)* 90)</f>
      </c>
      <c r="BC6" s="16669">
        <f>IF(HLOOKUP("Mins",A1:CV300,6,FALSE)=0,0,HLOOKUP("SIB",A1:CV300,6,FALSE)/HLOOKUP("Mins",A1:CV300,6,FALSE)* 90)</f>
      </c>
      <c r="BD6" s="16670">
        <f>IF(HLOOKUP("Mins",A1:CV300,6,FALSE)=0,0,HLOOKUP("S6YD",A1:CV300,6,FALSE)/HLOOKUP("Mins",A1:CV300,6,FALSE)* 90)</f>
      </c>
      <c r="BE6" s="16671">
        <f>IF(HLOOKUP("Mins",A1:CV300,6,FALSE)=0,0,HLOOKUP("Headers",A1:CV300,6,FALSE)/HLOOKUP("Mins",A1:CV300,6,FALSE)* 90)</f>
      </c>
      <c r="BF6" s="16672">
        <f>IF(HLOOKUP("Mins",A1:CV300,6,FALSE)=0,0,HLOOKUP("SOT",A1:CV300,6,FALSE)/HLOOKUP("Mins",A1:CV300,6,FALSE)* 90)</f>
      </c>
      <c r="BG6" s="16673">
        <f>IF(HLOOKUP("Mins",A1:CV300,6,FALSE)=0,0,HLOOKUP("As",A1:CV300,6,FALSE)/HLOOKUP("Mins",A1:CV300,6,FALSE)* 90)</f>
      </c>
      <c r="BH6" s="16674">
        <f>IF(HLOOKUP("Mins",A1:CV300,6,FALSE)=0,0,HLOOKUP("FPL As",A1:CV300,6,FALSE)/HLOOKUP("Mins",A1:CV300,6,FALSE)* 90)</f>
      </c>
      <c r="BI6" s="16675">
        <f>IF(HLOOKUP("Mins",A1:CV300,6,FALSE)=0,0,HLOOKUP("BC Created",A1:CV300,6,FALSE)/HLOOKUP("Mins",A1:CV300,6,FALSE)* 90)</f>
      </c>
      <c r="BJ6" s="16676">
        <f>IF(HLOOKUP("Mins",A1:CV300,6,FALSE)=0,0,HLOOKUP("KP",A1:CV300,6,FALSE)/HLOOKUP("Mins",A1:CV300,6,FALSE)* 90)</f>
      </c>
      <c r="BK6" s="16677">
        <f>IF(HLOOKUP("Mins",A1:CV300,6,FALSE)=0,0,HLOOKUP("BC",A1:CV300,6,FALSE)/HLOOKUP("Mins",A1:CV300,6,FALSE)* 90)</f>
      </c>
      <c r="BL6" s="16678">
        <f>IF(HLOOKUP("Mins",A1:CV300,6,FALSE)=0,0,HLOOKUP("BC Miss",A1:CV300,6,FALSE)/HLOOKUP("Mins",A1:CV300,6,FALSE)* 90)</f>
      </c>
      <c r="BM6" s="16679">
        <f>IF(HLOOKUP("Mins",A1:CV300,6,FALSE)=0,0,HLOOKUP("Gs - BC",A1:CV300,6,FALSE)/HLOOKUP("Mins",A1:CV300,6,FALSE)* 90)</f>
      </c>
      <c r="BN6" s="16680">
        <f>IF(HLOOKUP("Mins",A1:CV300,6,FALSE)=0,0,HLOOKUP("GIB",A1:CV300,6,FALSE)/HLOOKUP("Mins",A1:CV300,6,FALSE)* 90)</f>
      </c>
      <c r="BO6" s="16681">
        <f>IF(HLOOKUP("Mins",A1:CV300,6,FALSE)=0,0,HLOOKUP("Gs - Open",A1:CV300,6,FALSE)/HLOOKUP("Mins",A1:CV300,6,FALSE)* 90)</f>
      </c>
      <c r="BP6" s="16682">
        <f>IF(HLOOKUP("Mins",A1:CV300,6,FALSE)=0,0,HLOOKUP("ICT Index",A1:CV300,6,FALSE)/HLOOKUP("Mins",A1:CV300,6,FALSE)* 90)</f>
      </c>
      <c r="BQ6" s="16683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</c>
      <c r="BR6" s="16684">
        <f>0.0885*HLOOKUP("KP/90",A1:CV300,6,FALSE)</f>
      </c>
      <c r="BS6" s="16685">
        <f>5*HLOOKUP("xG/90",A1:CV300,6,FALSE)+3*HLOOKUP("xA/90",A1:CV300,6,FALSE)</f>
      </c>
      <c r="BT6" s="16686">
        <f>HLOOKUP("xPts/90",A1:CV300,6,FALSE)-(5*0.75*(HLOOKUP("PK Gs",A1:CV300,6,FALSE)+HLOOKUP("PK Miss",A1:CV300,6,FALSE))*90/HLOOKUP("Mins",A1:CV300,6,FALSE))</f>
      </c>
      <c r="BU6" s="16687">
        <f>IF(HLOOKUP("Mins",A1:CV300,6,FALSE)=0,0,HLOOKUP("fsXG",A1:CV300,6,FALSE)/HLOOKUP("Mins",A1:CV300,6,FALSE)* 90)</f>
      </c>
      <c r="BV6" s="16688">
        <f>IF(HLOOKUP("Mins",A1:CV300,6,FALSE)=0,0,HLOOKUP("fsXA",A1:CV300,6,FALSE)/HLOOKUP("Mins",A1:CV300,6,FALSE)* 90)</f>
      </c>
      <c r="BW6" s="16689">
        <f>5*HLOOKUP("fsXG/90",A1:CV300,6,FALSE)+3*HLOOKUP("fsXA/90",A1:CV300,6,FALSE)</f>
      </c>
      <c r="BX6" t="n" s="16690">
        <v>0.022625813260674477</v>
      </c>
      <c r="BY6" t="n" s="16691">
        <v>0.05047563835978508</v>
      </c>
      <c r="BZ6" s="16692">
        <f>5*HLOOKUP("uXG/90",A1:CV300,6,FALSE)+3*HLOOKUP("uXA/90",A1:CV300,6,FALSE)</f>
      </c>
    </row>
    <row r="7">
      <c r="A7" t="s" s="16693">
        <v>310</v>
      </c>
      <c r="B7" t="s" s="16694">
        <v>122</v>
      </c>
      <c r="C7" t="n" s="16695">
        <v>4.900000095367432</v>
      </c>
      <c r="D7" t="n" s="16696">
        <v>304.0</v>
      </c>
      <c r="E7" t="n" s="16697">
        <v>6.0</v>
      </c>
      <c r="F7" t="n" s="16698">
        <v>58.0</v>
      </c>
      <c r="G7" t="n" s="16699">
        <v>0.0</v>
      </c>
      <c r="H7" t="n" s="16700">
        <v>1.0</v>
      </c>
      <c r="I7" t="n" s="16701">
        <v>190.0</v>
      </c>
      <c r="J7" s="16702">
        <f>HLOOKUP("BPS",A1:CV300,7,FALSE)-((-6*HLOOKUP("OG",A1:CV300,7,FALSE))+(-6*HLOOKUP("PK Miss",A1:CV300,7,FALSE))+(9*HLOOKUP("FPL As",A1:CV300,7,FALSE))+(0*HLOOKUP("CS",A1:CV300,7,FALSE))+(18*HLOOKUP("Gs",A1:CV300,7,FALSE)))</f>
      </c>
      <c r="K7" t="n" s="16703">
        <v>0.0</v>
      </c>
      <c r="L7" t="n" s="16704">
        <v>6.0</v>
      </c>
      <c r="M7" t="n" s="16705">
        <v>19.0</v>
      </c>
      <c r="N7" t="n" s="16706">
        <v>10.0</v>
      </c>
      <c r="O7" t="n" s="16707">
        <v>4.0</v>
      </c>
      <c r="P7" s="16708">
        <f>IF(HLOOKUP("Shots",A1:CV300,7,FALSE)=0,0,HLOOKUP("SIB",A1:CV300,7,FALSE)/HLOOKUP("Shots",A1:CV300,7,FALSE))</f>
      </c>
      <c r="Q7" t="n" s="16709">
        <v>1.0</v>
      </c>
      <c r="R7" s="16710">
        <f>IF(HLOOKUP("Shots",A1:CV300,7,FALSE)=0,0,HLOOKUP("S6YD",A1:CV300,7,FALSE)/HLOOKUP("Shots",A1:CV300,7,FALSE))</f>
      </c>
      <c r="S7" t="n" s="16711">
        <v>0.0</v>
      </c>
      <c r="T7" s="16712">
        <f>IF(HLOOKUP("Shots",A1:CV300,7,FALSE)=0,0,HLOOKUP("Headers",A1:CV300,7,FALSE)/HLOOKUP("Shots",A1:CV300,7,FALSE))</f>
      </c>
      <c r="U7" t="n" s="16713">
        <v>4.0</v>
      </c>
      <c r="V7" s="16714">
        <f>IF(HLOOKUP("Shots",A1:CV300,7,FALSE)=0,0,HLOOKUP("SOT",A1:CV300,7,FALSE)/HLOOKUP("Shots",A1:CV300,7,FALSE))</f>
      </c>
      <c r="W7" s="16715">
        <f>IF(HLOOKUP("Shots",A1:CV300,7,FALSE)=0,0,HLOOKUP("Gs",A1:CV300,7,FALSE)/HLOOKUP("Shots",A1:CV300,7,FALSE))</f>
      </c>
      <c r="X7" t="n" s="16716">
        <v>0.0</v>
      </c>
      <c r="Y7" t="n" s="16717">
        <v>3.0</v>
      </c>
      <c r="Z7" t="n" s="16718">
        <v>6.0</v>
      </c>
      <c r="AA7" s="16719">
        <f>IF(HLOOKUP("KP",A1:CV300,7,FALSE)=0,0,HLOOKUP("As",A1:CV300,7,FALSE)/HLOOKUP("KP",A1:CV300,7,FALSE))</f>
      </c>
      <c r="AB7" s="16720"/>
      <c r="AC7" t="n" s="16721">
        <v>0.0</v>
      </c>
      <c r="AD7" t="n" s="16722">
        <v>1.0</v>
      </c>
      <c r="AE7" t="n" s="16723">
        <v>1.0</v>
      </c>
      <c r="AF7" t="n" s="16724">
        <v>1.0</v>
      </c>
      <c r="AG7" s="16725">
        <f>IF(HLOOKUP("BC",A1:CV300,7,FALSE)=0,0,HLOOKUP("Gs - BC",A1:CV300,7,FALSE)/HLOOKUP("BC",A1:CV300,7,FALSE))</f>
      </c>
      <c r="AH7" s="16726">
        <f>HLOOKUP("BC",A1:CV300,7,FALSE) - HLOOKUP("BC Miss",A1:CV300,7,FALSE)</f>
      </c>
      <c r="AI7" s="16727">
        <f>IF(HLOOKUP("Gs",A1:CV300,7,FALSE)=0,0,HLOOKUP("Gs - BC",A1:CV300,7,FALSE)/HLOOKUP("Gs",A1:CV300,7,FALSE))</f>
      </c>
      <c r="AJ7" t="n" s="16728">
        <v>0.0</v>
      </c>
      <c r="AK7" t="n" s="16729">
        <v>0.0</v>
      </c>
      <c r="AL7" s="16730">
        <f>HLOOKUP("BC",A1:CV300,7,FALSE) - (HLOOKUP("PK Gs",A1:CV300,7,FALSE) + HLOOKUP("PK Miss",A1:CV300,7,FALSE))</f>
      </c>
      <c r="AM7" s="16731">
        <f>HLOOKUP("BC Miss",A1:CV300,7,FALSE) - HLOOKUP("PK Miss",A1:CV300,7,FALSE)</f>
      </c>
      <c r="AN7" s="16732">
        <f>IF(HLOOKUP("BC - Open",A1:CV300,7,FALSE)=0,0,HLOOKUP("BC - Open Miss",A1:CV300,7,FALSE)/HLOOKUP("BC - Open",A1:CV300,7,FALSE))</f>
      </c>
      <c r="AO7" t="n" s="16733">
        <v>0.0</v>
      </c>
      <c r="AP7" s="16734">
        <f>IF(HLOOKUP("Gs",A1:CV300,7,FALSE)=0,0,HLOOKUP("GIB",A1:CV300,7,FALSE)/HLOOKUP("Gs",A1:CV300,7,FALSE))</f>
      </c>
      <c r="AQ7" t="n" s="16735">
        <v>0.0</v>
      </c>
      <c r="AR7" s="16736">
        <f>IF(HLOOKUP("Gs",A1:CV300,7,FALSE)=0,0,HLOOKUP("Gs - Open",A1:CV300,7,FALSE)/HLOOKUP("Gs",A1:CV300,7,FALSE))</f>
      </c>
      <c r="AS7" t="n" s="16737">
        <v>1.19</v>
      </c>
      <c r="AT7" t="n" s="16738">
        <v>1.15</v>
      </c>
      <c r="AU7" s="16739">
        <f>IF(HLOOKUP("Mins",A1:CV300,7,FALSE)=0,0,HLOOKUP("Pts",A1:CV300,7,FALSE)/HLOOKUP("Mins",A1:CV300,7,FALSE)* 90)</f>
      </c>
      <c r="AV7" s="16740">
        <f>IF(HLOOKUP("Apps",A1:CV300,7,FALSE)=0,0,HLOOKUP("Pts",A1:CV300,7,FALSE)/HLOOKUP("Apps",A1:CV300,7,FALSE)* 1)</f>
      </c>
      <c r="AW7" s="16741">
        <f>IF(HLOOKUP("Mins",A1:CV300,7,FALSE)=0,0,HLOOKUP("Gs",A1:CV300,7,FALSE)/HLOOKUP("Mins",A1:CV300,7,FALSE)* 90)</f>
      </c>
      <c r="AX7" s="16742">
        <f>IF(HLOOKUP("Mins",A1:CV300,7,FALSE)=0,0,HLOOKUP("Bonus",A1:CV300,7,FALSE)/HLOOKUP("Mins",A1:CV300,7,FALSE)* 90)</f>
      </c>
      <c r="AY7" s="16743">
        <f>IF(HLOOKUP("Mins",A1:CV300,7,FALSE)=0,0,HLOOKUP("BPS",A1:CV300,7,FALSE)/HLOOKUP("Mins",A1:CV300,7,FALSE)* 90)</f>
      </c>
      <c r="AZ7" s="16744">
        <f>IF(HLOOKUP("Mins",A1:CV300,7,FALSE)=0,0,HLOOKUP("Base BPS",A1:CV300,7,FALSE)/HLOOKUP("Mins",A1:CV300,7,FALSE)* 90)</f>
      </c>
      <c r="BA7" s="16745">
        <f>IF(HLOOKUP("Mins",A1:CV300,7,FALSE)=0,0,HLOOKUP("PenTchs",A1:CV300,7,FALSE)/HLOOKUP("Mins",A1:CV300,7,FALSE)* 90)</f>
      </c>
      <c r="BB7" s="16746">
        <f>IF(HLOOKUP("Mins",A1:CV300,7,FALSE)=0,0,HLOOKUP("Shots",A1:CV300,7,FALSE)/HLOOKUP("Mins",A1:CV300,7,FALSE)* 90)</f>
      </c>
      <c r="BC7" s="16747">
        <f>IF(HLOOKUP("Mins",A1:CV300,7,FALSE)=0,0,HLOOKUP("SIB",A1:CV300,7,FALSE)/HLOOKUP("Mins",A1:CV300,7,FALSE)* 90)</f>
      </c>
      <c r="BD7" s="16748">
        <f>IF(HLOOKUP("Mins",A1:CV300,7,FALSE)=0,0,HLOOKUP("S6YD",A1:CV300,7,FALSE)/HLOOKUP("Mins",A1:CV300,7,FALSE)* 90)</f>
      </c>
      <c r="BE7" s="16749">
        <f>IF(HLOOKUP("Mins",A1:CV300,7,FALSE)=0,0,HLOOKUP("Headers",A1:CV300,7,FALSE)/HLOOKUP("Mins",A1:CV300,7,FALSE)* 90)</f>
      </c>
      <c r="BF7" s="16750">
        <f>IF(HLOOKUP("Mins",A1:CV300,7,FALSE)=0,0,HLOOKUP("SOT",A1:CV300,7,FALSE)/HLOOKUP("Mins",A1:CV300,7,FALSE)* 90)</f>
      </c>
      <c r="BG7" s="16751">
        <f>IF(HLOOKUP("Mins",A1:CV300,7,FALSE)=0,0,HLOOKUP("As",A1:CV300,7,FALSE)/HLOOKUP("Mins",A1:CV300,7,FALSE)* 90)</f>
      </c>
      <c r="BH7" s="16752">
        <f>IF(HLOOKUP("Mins",A1:CV300,7,FALSE)=0,0,HLOOKUP("FPL As",A1:CV300,7,FALSE)/HLOOKUP("Mins",A1:CV300,7,FALSE)* 90)</f>
      </c>
      <c r="BI7" s="16753">
        <f>IF(HLOOKUP("Mins",A1:CV300,7,FALSE)=0,0,HLOOKUP("BC Created",A1:CV300,7,FALSE)/HLOOKUP("Mins",A1:CV300,7,FALSE)* 90)</f>
      </c>
      <c r="BJ7" s="16754">
        <f>IF(HLOOKUP("Mins",A1:CV300,7,FALSE)=0,0,HLOOKUP("KP",A1:CV300,7,FALSE)/HLOOKUP("Mins",A1:CV300,7,FALSE)* 90)</f>
      </c>
      <c r="BK7" s="16755">
        <f>IF(HLOOKUP("Mins",A1:CV300,7,FALSE)=0,0,HLOOKUP("BC",A1:CV300,7,FALSE)/HLOOKUP("Mins",A1:CV300,7,FALSE)* 90)</f>
      </c>
      <c r="BL7" s="16756">
        <f>IF(HLOOKUP("Mins",A1:CV300,7,FALSE)=0,0,HLOOKUP("BC Miss",A1:CV300,7,FALSE)/HLOOKUP("Mins",A1:CV300,7,FALSE)* 90)</f>
      </c>
      <c r="BM7" s="16757">
        <f>IF(HLOOKUP("Mins",A1:CV300,7,FALSE)=0,0,HLOOKUP("Gs - BC",A1:CV300,7,FALSE)/HLOOKUP("Mins",A1:CV300,7,FALSE)* 90)</f>
      </c>
      <c r="BN7" s="16758">
        <f>IF(HLOOKUP("Mins",A1:CV300,7,FALSE)=0,0,HLOOKUP("GIB",A1:CV300,7,FALSE)/HLOOKUP("Mins",A1:CV300,7,FALSE)* 90)</f>
      </c>
      <c r="BO7" s="16759">
        <f>IF(HLOOKUP("Mins",A1:CV300,7,FALSE)=0,0,HLOOKUP("Gs - Open",A1:CV300,7,FALSE)/HLOOKUP("Mins",A1:CV300,7,FALSE)* 90)</f>
      </c>
      <c r="BP7" s="16760">
        <f>IF(HLOOKUP("Mins",A1:CV300,7,FALSE)=0,0,HLOOKUP("ICT Index",A1:CV300,7,FALSE)/HLOOKUP("Mins",A1:CV300,7,FALSE)* 90)</f>
      </c>
      <c r="BQ7" s="16761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</c>
      <c r="BR7" s="16762">
        <f>0.0885*HLOOKUP("KP/90",A1:CV300,7,FALSE)</f>
      </c>
      <c r="BS7" s="16763">
        <f>5*HLOOKUP("xG/90",A1:CV300,7,FALSE)+3*HLOOKUP("xA/90",A1:CV300,7,FALSE)</f>
      </c>
      <c r="BT7" s="16764">
        <f>HLOOKUP("xPts/90",A1:CV300,7,FALSE)-(5*0.75*(HLOOKUP("PK Gs",A1:CV300,7,FALSE)+HLOOKUP("PK Miss",A1:CV300,7,FALSE))*90/HLOOKUP("Mins",A1:CV300,7,FALSE))</f>
      </c>
      <c r="BU7" s="16765">
        <f>IF(HLOOKUP("Mins",A1:CV300,7,FALSE)=0,0,HLOOKUP("fsXG",A1:CV300,7,FALSE)/HLOOKUP("Mins",A1:CV300,7,FALSE)* 90)</f>
      </c>
      <c r="BV7" s="16766">
        <f>IF(HLOOKUP("Mins",A1:CV300,7,FALSE)=0,0,HLOOKUP("fsXA",A1:CV300,7,FALSE)/HLOOKUP("Mins",A1:CV300,7,FALSE)* 90)</f>
      </c>
      <c r="BW7" s="16767">
        <f>5*HLOOKUP("fsXG/90",A1:CV300,7,FALSE)+3*HLOOKUP("fsXA/90",A1:CV300,7,FALSE)</f>
      </c>
      <c r="BX7" t="n" s="16768">
        <v>0.3667239248752594</v>
      </c>
      <c r="BY7" t="n" s="16769">
        <v>0.2004377543926239</v>
      </c>
      <c r="BZ7" s="16770">
        <f>5*HLOOKUP("uXG/90",A1:CV300,7,FALSE)+3*HLOOKUP("uXA/90",A1:CV300,7,FALSE)</f>
      </c>
    </row>
    <row r="8">
      <c r="A8" t="s" s="16771">
        <v>311</v>
      </c>
      <c r="B8" t="s" s="16772">
        <v>122</v>
      </c>
      <c r="C8" t="n" s="16773">
        <v>4.800000190734863</v>
      </c>
      <c r="D8" t="n" s="16774">
        <v>10.0</v>
      </c>
      <c r="E8" t="n" s="16775">
        <v>1.0</v>
      </c>
      <c r="F8" t="n" s="16776">
        <v>2.0</v>
      </c>
      <c r="G8" t="n" s="16777">
        <v>0.0</v>
      </c>
      <c r="H8" t="n" s="16778">
        <v>0.0</v>
      </c>
      <c r="I8" t="n" s="16779">
        <v>7.0</v>
      </c>
      <c r="J8" s="16780">
        <f>HLOOKUP("BPS",A1:CV300,8,FALSE)-((-6*HLOOKUP("OG",A1:CV300,8,FALSE))+(-6*HLOOKUP("PK Miss",A1:CV300,8,FALSE))+(9*HLOOKUP("FPL As",A1:CV300,8,FALSE))+(0*HLOOKUP("CS",A1:CV300,8,FALSE))+(18*HLOOKUP("Gs",A1:CV300,8,FALSE)))</f>
      </c>
      <c r="K8" t="n" s="16781">
        <v>0.0</v>
      </c>
      <c r="L8" t="n" s="16782">
        <v>0.0</v>
      </c>
      <c r="M8" t="n" s="16783">
        <v>1.0</v>
      </c>
      <c r="N8" t="n" s="16784">
        <v>0.0</v>
      </c>
      <c r="O8" t="n" s="16785">
        <v>0.0</v>
      </c>
      <c r="P8" s="16786">
        <f>IF(HLOOKUP("Shots",A1:CV300,8,FALSE)=0,0,HLOOKUP("SIB",A1:CV300,8,FALSE)/HLOOKUP("Shots",A1:CV300,8,FALSE))</f>
      </c>
      <c r="Q8" t="n" s="16787">
        <v>0.0</v>
      </c>
      <c r="R8" s="16788">
        <f>IF(HLOOKUP("Shots",A1:CV300,8,FALSE)=0,0,HLOOKUP("S6YD",A1:CV300,8,FALSE)/HLOOKUP("Shots",A1:CV300,8,FALSE))</f>
      </c>
      <c r="S8" t="n" s="16789">
        <v>0.0</v>
      </c>
      <c r="T8" s="16790">
        <f>IF(HLOOKUP("Shots",A1:CV300,8,FALSE)=0,0,HLOOKUP("Headers",A1:CV300,8,FALSE)/HLOOKUP("Shots",A1:CV300,8,FALSE))</f>
      </c>
      <c r="U8" t="n" s="16791">
        <v>0.0</v>
      </c>
      <c r="V8" s="16792">
        <f>IF(HLOOKUP("Shots",A1:CV300,8,FALSE)=0,0,HLOOKUP("SOT",A1:CV300,8,FALSE)/HLOOKUP("Shots",A1:CV300,8,FALSE))</f>
      </c>
      <c r="W8" s="16793">
        <f>IF(HLOOKUP("Shots",A1:CV300,8,FALSE)=0,0,HLOOKUP("Gs",A1:CV300,8,FALSE)/HLOOKUP("Shots",A1:CV300,8,FALSE))</f>
      </c>
      <c r="X8" t="n" s="16794">
        <v>0.0</v>
      </c>
      <c r="Y8" t="n" s="16795">
        <v>0.0</v>
      </c>
      <c r="Z8" t="n" s="16796">
        <v>2.0</v>
      </c>
      <c r="AA8" s="16797">
        <f>IF(HLOOKUP("KP",A1:CV300,8,FALSE)=0,0,HLOOKUP("As",A1:CV300,8,FALSE)/HLOOKUP("KP",A1:CV300,8,FALSE))</f>
      </c>
      <c r="AB8" s="16798"/>
      <c r="AC8" t="n" s="16799">
        <v>0.0</v>
      </c>
      <c r="AD8" t="n" s="16800">
        <v>0.0</v>
      </c>
      <c r="AE8" t="n" s="16801">
        <v>0.0</v>
      </c>
      <c r="AF8" t="n" s="16802">
        <v>0.0</v>
      </c>
      <c r="AG8" s="16803">
        <f>IF(HLOOKUP("BC",A1:CV300,8,FALSE)=0,0,HLOOKUP("Gs - BC",A1:CV300,8,FALSE)/HLOOKUP("BC",A1:CV300,8,FALSE))</f>
      </c>
      <c r="AH8" s="16804">
        <f>HLOOKUP("BC",A1:CV300,8,FALSE) - HLOOKUP("BC Miss",A1:CV300,8,FALSE)</f>
      </c>
      <c r="AI8" s="16805">
        <f>IF(HLOOKUP("Gs",A1:CV300,8,FALSE)=0,0,HLOOKUP("Gs - BC",A1:CV300,8,FALSE)/HLOOKUP("Gs",A1:CV300,8,FALSE))</f>
      </c>
      <c r="AJ8" t="n" s="16806">
        <v>0.0</v>
      </c>
      <c r="AK8" t="n" s="16807">
        <v>0.0</v>
      </c>
      <c r="AL8" s="16808">
        <f>HLOOKUP("BC",A1:CV300,8,FALSE) - (HLOOKUP("PK Gs",A1:CV300,8,FALSE) + HLOOKUP("PK Miss",A1:CV300,8,FALSE))</f>
      </c>
      <c r="AM8" s="16809">
        <f>HLOOKUP("BC Miss",A1:CV300,8,FALSE) - HLOOKUP("PK Miss",A1:CV300,8,FALSE)</f>
      </c>
      <c r="AN8" s="16810">
        <f>IF(HLOOKUP("BC - Open",A1:CV300,8,FALSE)=0,0,HLOOKUP("BC - Open Miss",A1:CV300,8,FALSE)/HLOOKUP("BC - Open",A1:CV300,8,FALSE))</f>
      </c>
      <c r="AO8" t="n" s="16811">
        <v>0.0</v>
      </c>
      <c r="AP8" s="16812">
        <f>IF(HLOOKUP("Gs",A1:CV300,8,FALSE)=0,0,HLOOKUP("GIB",A1:CV300,8,FALSE)/HLOOKUP("Gs",A1:CV300,8,FALSE))</f>
      </c>
      <c r="AQ8" t="n" s="16813">
        <v>0.0</v>
      </c>
      <c r="AR8" s="16814">
        <f>IF(HLOOKUP("Gs",A1:CV300,8,FALSE)=0,0,HLOOKUP("Gs - Open",A1:CV300,8,FALSE)/HLOOKUP("Gs",A1:CV300,8,FALSE))</f>
      </c>
      <c r="AS8" t="n" s="16815">
        <v>0.0</v>
      </c>
      <c r="AT8" t="n" s="16816">
        <v>0.18</v>
      </c>
      <c r="AU8" s="16817">
        <f>IF(HLOOKUP("Mins",A1:CV300,8,FALSE)=0,0,HLOOKUP("Pts",A1:CV300,8,FALSE)/HLOOKUP("Mins",A1:CV300,8,FALSE)* 90)</f>
      </c>
      <c r="AV8" s="16818">
        <f>IF(HLOOKUP("Apps",A1:CV300,8,FALSE)=0,0,HLOOKUP("Pts",A1:CV300,8,FALSE)/HLOOKUP("Apps",A1:CV300,8,FALSE)* 1)</f>
      </c>
      <c r="AW8" s="16819">
        <f>IF(HLOOKUP("Mins",A1:CV300,8,FALSE)=0,0,HLOOKUP("Gs",A1:CV300,8,FALSE)/HLOOKUP("Mins",A1:CV300,8,FALSE)* 90)</f>
      </c>
      <c r="AX8" s="16820">
        <f>IF(HLOOKUP("Mins",A1:CV300,8,FALSE)=0,0,HLOOKUP("Bonus",A1:CV300,8,FALSE)/HLOOKUP("Mins",A1:CV300,8,FALSE)* 90)</f>
      </c>
      <c r="AY8" s="16821">
        <f>IF(HLOOKUP("Mins",A1:CV300,8,FALSE)=0,0,HLOOKUP("BPS",A1:CV300,8,FALSE)/HLOOKUP("Mins",A1:CV300,8,FALSE)* 90)</f>
      </c>
      <c r="AZ8" s="16822">
        <f>IF(HLOOKUP("Mins",A1:CV300,8,FALSE)=0,0,HLOOKUP("Base BPS",A1:CV300,8,FALSE)/HLOOKUP("Mins",A1:CV300,8,FALSE)* 90)</f>
      </c>
      <c r="BA8" s="16823">
        <f>IF(HLOOKUP("Mins",A1:CV300,8,FALSE)=0,0,HLOOKUP("PenTchs",A1:CV300,8,FALSE)/HLOOKUP("Mins",A1:CV300,8,FALSE)* 90)</f>
      </c>
      <c r="BB8" s="16824">
        <f>IF(HLOOKUP("Mins",A1:CV300,8,FALSE)=0,0,HLOOKUP("Shots",A1:CV300,8,FALSE)/HLOOKUP("Mins",A1:CV300,8,FALSE)* 90)</f>
      </c>
      <c r="BC8" s="16825">
        <f>IF(HLOOKUP("Mins",A1:CV300,8,FALSE)=0,0,HLOOKUP("SIB",A1:CV300,8,FALSE)/HLOOKUP("Mins",A1:CV300,8,FALSE)* 90)</f>
      </c>
      <c r="BD8" s="16826">
        <f>IF(HLOOKUP("Mins",A1:CV300,8,FALSE)=0,0,HLOOKUP("S6YD",A1:CV300,8,FALSE)/HLOOKUP("Mins",A1:CV300,8,FALSE)* 90)</f>
      </c>
      <c r="BE8" s="16827">
        <f>IF(HLOOKUP("Mins",A1:CV300,8,FALSE)=0,0,HLOOKUP("Headers",A1:CV300,8,FALSE)/HLOOKUP("Mins",A1:CV300,8,FALSE)* 90)</f>
      </c>
      <c r="BF8" s="16828">
        <f>IF(HLOOKUP("Mins",A1:CV300,8,FALSE)=0,0,HLOOKUP("SOT",A1:CV300,8,FALSE)/HLOOKUP("Mins",A1:CV300,8,FALSE)* 90)</f>
      </c>
      <c r="BG8" s="16829">
        <f>IF(HLOOKUP("Mins",A1:CV300,8,FALSE)=0,0,HLOOKUP("As",A1:CV300,8,FALSE)/HLOOKUP("Mins",A1:CV300,8,FALSE)* 90)</f>
      </c>
      <c r="BH8" s="16830">
        <f>IF(HLOOKUP("Mins",A1:CV300,8,FALSE)=0,0,HLOOKUP("FPL As",A1:CV300,8,FALSE)/HLOOKUP("Mins",A1:CV300,8,FALSE)* 90)</f>
      </c>
      <c r="BI8" s="16831">
        <f>IF(HLOOKUP("Mins",A1:CV300,8,FALSE)=0,0,HLOOKUP("BC Created",A1:CV300,8,FALSE)/HLOOKUP("Mins",A1:CV300,8,FALSE)* 90)</f>
      </c>
      <c r="BJ8" s="16832">
        <f>IF(HLOOKUP("Mins",A1:CV300,8,FALSE)=0,0,HLOOKUP("KP",A1:CV300,8,FALSE)/HLOOKUP("Mins",A1:CV300,8,FALSE)* 90)</f>
      </c>
      <c r="BK8" s="16833">
        <f>IF(HLOOKUP("Mins",A1:CV300,8,FALSE)=0,0,HLOOKUP("BC",A1:CV300,8,FALSE)/HLOOKUP("Mins",A1:CV300,8,FALSE)* 90)</f>
      </c>
      <c r="BL8" s="16834">
        <f>IF(HLOOKUP("Mins",A1:CV300,8,FALSE)=0,0,HLOOKUP("BC Miss",A1:CV300,8,FALSE)/HLOOKUP("Mins",A1:CV300,8,FALSE)* 90)</f>
      </c>
      <c r="BM8" s="16835">
        <f>IF(HLOOKUP("Mins",A1:CV300,8,FALSE)=0,0,HLOOKUP("Gs - BC",A1:CV300,8,FALSE)/HLOOKUP("Mins",A1:CV300,8,FALSE)* 90)</f>
      </c>
      <c r="BN8" s="16836">
        <f>IF(HLOOKUP("Mins",A1:CV300,8,FALSE)=0,0,HLOOKUP("GIB",A1:CV300,8,FALSE)/HLOOKUP("Mins",A1:CV300,8,FALSE)* 90)</f>
      </c>
      <c r="BO8" s="16837">
        <f>IF(HLOOKUP("Mins",A1:CV300,8,FALSE)=0,0,HLOOKUP("Gs - Open",A1:CV300,8,FALSE)/HLOOKUP("Mins",A1:CV300,8,FALSE)* 90)</f>
      </c>
      <c r="BP8" s="16838">
        <f>IF(HLOOKUP("Mins",A1:CV300,8,FALSE)=0,0,HLOOKUP("ICT Index",A1:CV300,8,FALSE)/HLOOKUP("Mins",A1:CV300,8,FALSE)* 90)</f>
      </c>
      <c r="BQ8" s="16839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</c>
      <c r="BR8" s="16840">
        <f>0.0885*HLOOKUP("KP/90",A1:CV300,8,FALSE)</f>
      </c>
      <c r="BS8" s="16841">
        <f>5*HLOOKUP("xG/90",A1:CV300,8,FALSE)+3*HLOOKUP("xA/90",A1:CV300,8,FALSE)</f>
      </c>
      <c r="BT8" s="16842">
        <f>HLOOKUP("xPts/90",A1:CV300,8,FALSE)-(5*0.75*(HLOOKUP("PK Gs",A1:CV300,8,FALSE)+HLOOKUP("PK Miss",A1:CV300,8,FALSE))*90/HLOOKUP("Mins",A1:CV300,8,FALSE))</f>
      </c>
      <c r="BU8" s="16843">
        <f>IF(HLOOKUP("Mins",A1:CV300,8,FALSE)=0,0,HLOOKUP("fsXG",A1:CV300,8,FALSE)/HLOOKUP("Mins",A1:CV300,8,FALSE)* 90)</f>
      </c>
      <c r="BV8" s="16844">
        <f>IF(HLOOKUP("Mins",A1:CV300,8,FALSE)=0,0,HLOOKUP("fsXA",A1:CV300,8,FALSE)/HLOOKUP("Mins",A1:CV300,8,FALSE)* 90)</f>
      </c>
      <c r="BW8" s="16845">
        <f>5*HLOOKUP("fsXG/90",A1:CV300,8,FALSE)+3*HLOOKUP("fsXA/90",A1:CV300,8,FALSE)</f>
      </c>
      <c r="BX8" t="n" s="16846">
        <v>0.0</v>
      </c>
      <c r="BY8" t="n" s="16847">
        <v>2.2920327186584473</v>
      </c>
      <c r="BZ8" s="16848">
        <f>5*HLOOKUP("uXG/90",A1:CV300,8,FALSE)+3*HLOOKUP("uXA/90",A1:CV300,8,FALSE)</f>
      </c>
    </row>
    <row r="9">
      <c r="A9" t="s" s="16849">
        <v>312</v>
      </c>
      <c r="B9" t="s" s="16850">
        <v>109</v>
      </c>
      <c r="C9" t="n" s="16851">
        <v>4.800000190734863</v>
      </c>
      <c r="D9" t="n" s="16852">
        <v>401.0</v>
      </c>
      <c r="E9" t="n" s="16853">
        <v>5.0</v>
      </c>
      <c r="F9" t="n" s="16854">
        <v>57.0</v>
      </c>
      <c r="G9" t="n" s="16855">
        <v>1.0</v>
      </c>
      <c r="H9" t="n" s="16856">
        <v>9.0</v>
      </c>
      <c r="I9" t="n" s="16857">
        <v>231.0</v>
      </c>
      <c r="J9" s="16858">
        <f>HLOOKUP("BPS",A1:CV300,9,FALSE)-((-6*HLOOKUP("OG",A1:CV300,9,FALSE))+(-6*HLOOKUP("PK Miss",A1:CV300,9,FALSE))+(9*HLOOKUP("FPL As",A1:CV300,9,FALSE))+(0*HLOOKUP("CS",A1:CV300,9,FALSE))+(18*HLOOKUP("Gs",A1:CV300,9,FALSE)))</f>
      </c>
      <c r="K9" t="n" s="16859">
        <v>0.0</v>
      </c>
      <c r="L9" t="n" s="16860">
        <v>3.0</v>
      </c>
      <c r="M9" t="n" s="16861">
        <v>8.0</v>
      </c>
      <c r="N9" t="n" s="16862">
        <v>10.0</v>
      </c>
      <c r="O9" t="n" s="16863">
        <v>5.0</v>
      </c>
      <c r="P9" s="16864">
        <f>IF(HLOOKUP("Shots",A1:CV300,9,FALSE)=0,0,HLOOKUP("SIB",A1:CV300,9,FALSE)/HLOOKUP("Shots",A1:CV300,9,FALSE))</f>
      </c>
      <c r="Q9" t="n" s="16865">
        <v>1.0</v>
      </c>
      <c r="R9" s="16866">
        <f>IF(HLOOKUP("Shots",A1:CV300,9,FALSE)=0,0,HLOOKUP("S6YD",A1:CV300,9,FALSE)/HLOOKUP("Shots",A1:CV300,9,FALSE))</f>
      </c>
      <c r="S9" t="n" s="16867">
        <v>1.0</v>
      </c>
      <c r="T9" s="16868">
        <f>IF(HLOOKUP("Shots",A1:CV300,9,FALSE)=0,0,HLOOKUP("Headers",A1:CV300,9,FALSE)/HLOOKUP("Shots",A1:CV300,9,FALSE))</f>
      </c>
      <c r="U9" t="n" s="16869">
        <v>3.0</v>
      </c>
      <c r="V9" s="16870">
        <f>IF(HLOOKUP("Shots",A1:CV300,9,FALSE)=0,0,HLOOKUP("SOT",A1:CV300,9,FALSE)/HLOOKUP("Shots",A1:CV300,9,FALSE))</f>
      </c>
      <c r="W9" s="16871">
        <f>IF(HLOOKUP("Shots",A1:CV300,9,FALSE)=0,0,HLOOKUP("Gs",A1:CV300,9,FALSE)/HLOOKUP("Shots",A1:CV300,9,FALSE))</f>
      </c>
      <c r="X9" t="n" s="16872">
        <v>0.0</v>
      </c>
      <c r="Y9" t="n" s="16873">
        <v>1.0</v>
      </c>
      <c r="Z9" t="n" s="16874">
        <v>8.0</v>
      </c>
      <c r="AA9" s="16875">
        <f>IF(HLOOKUP("KP",A1:CV300,9,FALSE)=0,0,HLOOKUP("As",A1:CV300,9,FALSE)/HLOOKUP("KP",A1:CV300,9,FALSE))</f>
      </c>
      <c r="AB9" s="16876"/>
      <c r="AC9" t="n" s="16877">
        <v>25.0</v>
      </c>
      <c r="AD9" t="n" s="16878">
        <v>2.0</v>
      </c>
      <c r="AE9" t="n" s="16879">
        <v>3.0</v>
      </c>
      <c r="AF9" t="n" s="16880">
        <v>3.0</v>
      </c>
      <c r="AG9" s="16881">
        <f>IF(HLOOKUP("BC",A1:CV300,9,FALSE)=0,0,HLOOKUP("Gs - BC",A1:CV300,9,FALSE)/HLOOKUP("BC",A1:CV300,9,FALSE))</f>
      </c>
      <c r="AH9" s="16882">
        <f>HLOOKUP("BC",A1:CV300,9,FALSE) - HLOOKUP("BC Miss",A1:CV300,9,FALSE)</f>
      </c>
      <c r="AI9" s="16883">
        <f>IF(HLOOKUP("Gs",A1:CV300,9,FALSE)=0,0,HLOOKUP("Gs - BC",A1:CV300,9,FALSE)/HLOOKUP("Gs",A1:CV300,9,FALSE))</f>
      </c>
      <c r="AJ9" t="n" s="16884">
        <v>0.0</v>
      </c>
      <c r="AK9" t="n" s="16885">
        <v>0.0</v>
      </c>
      <c r="AL9" s="16886">
        <f>HLOOKUP("BC",A1:CV300,9,FALSE) - (HLOOKUP("PK Gs",A1:CV300,9,FALSE) + HLOOKUP("PK Miss",A1:CV300,9,FALSE))</f>
      </c>
      <c r="AM9" s="16887">
        <f>HLOOKUP("BC Miss",A1:CV300,9,FALSE) - HLOOKUP("PK Miss",A1:CV300,9,FALSE)</f>
      </c>
      <c r="AN9" s="16888">
        <f>IF(HLOOKUP("BC - Open",A1:CV300,9,FALSE)=0,0,HLOOKUP("BC - Open Miss",A1:CV300,9,FALSE)/HLOOKUP("BC - Open",A1:CV300,9,FALSE))</f>
      </c>
      <c r="AO9" t="n" s="16889">
        <v>1.0</v>
      </c>
      <c r="AP9" s="16890">
        <f>IF(HLOOKUP("Gs",A1:CV300,9,FALSE)=0,0,HLOOKUP("GIB",A1:CV300,9,FALSE)/HLOOKUP("Gs",A1:CV300,9,FALSE))</f>
      </c>
      <c r="AQ9" t="n" s="16891">
        <v>1.0</v>
      </c>
      <c r="AR9" s="16892">
        <f>IF(HLOOKUP("Gs",A1:CV300,9,FALSE)=0,0,HLOOKUP("Gs - Open",A1:CV300,9,FALSE)/HLOOKUP("Gs",A1:CV300,9,FALSE))</f>
      </c>
      <c r="AS9" t="n" s="16893">
        <v>1.22</v>
      </c>
      <c r="AT9" t="n" s="16894">
        <v>0.47</v>
      </c>
      <c r="AU9" s="16895">
        <f>IF(HLOOKUP("Mins",A1:CV300,9,FALSE)=0,0,HLOOKUP("Pts",A1:CV300,9,FALSE)/HLOOKUP("Mins",A1:CV300,9,FALSE)* 90)</f>
      </c>
      <c r="AV9" s="16896">
        <f>IF(HLOOKUP("Apps",A1:CV300,9,FALSE)=0,0,HLOOKUP("Pts",A1:CV300,9,FALSE)/HLOOKUP("Apps",A1:CV300,9,FALSE)* 1)</f>
      </c>
      <c r="AW9" s="16897">
        <f>IF(HLOOKUP("Mins",A1:CV300,9,FALSE)=0,0,HLOOKUP("Gs",A1:CV300,9,FALSE)/HLOOKUP("Mins",A1:CV300,9,FALSE)* 90)</f>
      </c>
      <c r="AX9" s="16898">
        <f>IF(HLOOKUP("Mins",A1:CV300,9,FALSE)=0,0,HLOOKUP("Bonus",A1:CV300,9,FALSE)/HLOOKUP("Mins",A1:CV300,9,FALSE)* 90)</f>
      </c>
      <c r="AY9" s="16899">
        <f>IF(HLOOKUP("Mins",A1:CV300,9,FALSE)=0,0,HLOOKUP("BPS",A1:CV300,9,FALSE)/HLOOKUP("Mins",A1:CV300,9,FALSE)* 90)</f>
      </c>
      <c r="AZ9" s="16900">
        <f>IF(HLOOKUP("Mins",A1:CV300,9,FALSE)=0,0,HLOOKUP("Base BPS",A1:CV300,9,FALSE)/HLOOKUP("Mins",A1:CV300,9,FALSE)* 90)</f>
      </c>
      <c r="BA9" s="16901">
        <f>IF(HLOOKUP("Mins",A1:CV300,9,FALSE)=0,0,HLOOKUP("PenTchs",A1:CV300,9,FALSE)/HLOOKUP("Mins",A1:CV300,9,FALSE)* 90)</f>
      </c>
      <c r="BB9" s="16902">
        <f>IF(HLOOKUP("Mins",A1:CV300,9,FALSE)=0,0,HLOOKUP("Shots",A1:CV300,9,FALSE)/HLOOKUP("Mins",A1:CV300,9,FALSE)* 90)</f>
      </c>
      <c r="BC9" s="16903">
        <f>IF(HLOOKUP("Mins",A1:CV300,9,FALSE)=0,0,HLOOKUP("SIB",A1:CV300,9,FALSE)/HLOOKUP("Mins",A1:CV300,9,FALSE)* 90)</f>
      </c>
      <c r="BD9" s="16904">
        <f>IF(HLOOKUP("Mins",A1:CV300,9,FALSE)=0,0,HLOOKUP("S6YD",A1:CV300,9,FALSE)/HLOOKUP("Mins",A1:CV300,9,FALSE)* 90)</f>
      </c>
      <c r="BE9" s="16905">
        <f>IF(HLOOKUP("Mins",A1:CV300,9,FALSE)=0,0,HLOOKUP("Headers",A1:CV300,9,FALSE)/HLOOKUP("Mins",A1:CV300,9,FALSE)* 90)</f>
      </c>
      <c r="BF9" s="16906">
        <f>IF(HLOOKUP("Mins",A1:CV300,9,FALSE)=0,0,HLOOKUP("SOT",A1:CV300,9,FALSE)/HLOOKUP("Mins",A1:CV300,9,FALSE)* 90)</f>
      </c>
      <c r="BG9" s="16907">
        <f>IF(HLOOKUP("Mins",A1:CV300,9,FALSE)=0,0,HLOOKUP("As",A1:CV300,9,FALSE)/HLOOKUP("Mins",A1:CV300,9,FALSE)* 90)</f>
      </c>
      <c r="BH9" s="16908">
        <f>IF(HLOOKUP("Mins",A1:CV300,9,FALSE)=0,0,HLOOKUP("FPL As",A1:CV300,9,FALSE)/HLOOKUP("Mins",A1:CV300,9,FALSE)* 90)</f>
      </c>
      <c r="BI9" s="16909">
        <f>IF(HLOOKUP("Mins",A1:CV300,9,FALSE)=0,0,HLOOKUP("BC Created",A1:CV300,9,FALSE)/HLOOKUP("Mins",A1:CV300,9,FALSE)* 90)</f>
      </c>
      <c r="BJ9" s="16910">
        <f>IF(HLOOKUP("Mins",A1:CV300,9,FALSE)=0,0,HLOOKUP("KP",A1:CV300,9,FALSE)/HLOOKUP("Mins",A1:CV300,9,FALSE)* 90)</f>
      </c>
      <c r="BK9" s="16911">
        <f>IF(HLOOKUP("Mins",A1:CV300,9,FALSE)=0,0,HLOOKUP("BC",A1:CV300,9,FALSE)/HLOOKUP("Mins",A1:CV300,9,FALSE)* 90)</f>
      </c>
      <c r="BL9" s="16912">
        <f>IF(HLOOKUP("Mins",A1:CV300,9,FALSE)=0,0,HLOOKUP("BC Miss",A1:CV300,9,FALSE)/HLOOKUP("Mins",A1:CV300,9,FALSE)* 90)</f>
      </c>
      <c r="BM9" s="16913">
        <f>IF(HLOOKUP("Mins",A1:CV300,9,FALSE)=0,0,HLOOKUP("Gs - BC",A1:CV300,9,FALSE)/HLOOKUP("Mins",A1:CV300,9,FALSE)* 90)</f>
      </c>
      <c r="BN9" s="16914">
        <f>IF(HLOOKUP("Mins",A1:CV300,9,FALSE)=0,0,HLOOKUP("GIB",A1:CV300,9,FALSE)/HLOOKUP("Mins",A1:CV300,9,FALSE)* 90)</f>
      </c>
      <c r="BO9" s="16915">
        <f>IF(HLOOKUP("Mins",A1:CV300,9,FALSE)=0,0,HLOOKUP("Gs - Open",A1:CV300,9,FALSE)/HLOOKUP("Mins",A1:CV300,9,FALSE)* 90)</f>
      </c>
      <c r="BP9" s="16916">
        <f>IF(HLOOKUP("Mins",A1:CV300,9,FALSE)=0,0,HLOOKUP("ICT Index",A1:CV300,9,FALSE)/HLOOKUP("Mins",A1:CV300,9,FALSE)* 90)</f>
      </c>
      <c r="BQ9" s="16917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</c>
      <c r="BR9" s="16918">
        <f>0.0885*HLOOKUP("KP/90",A1:CV300,9,FALSE)</f>
      </c>
      <c r="BS9" s="16919">
        <f>5*HLOOKUP("xG/90",A1:CV300,9,FALSE)+3*HLOOKUP("xA/90",A1:CV300,9,FALSE)</f>
      </c>
      <c r="BT9" s="16920">
        <f>HLOOKUP("xPts/90",A1:CV300,9,FALSE)-(5*0.75*(HLOOKUP("PK Gs",A1:CV300,9,FALSE)+HLOOKUP("PK Miss",A1:CV300,9,FALSE))*90/HLOOKUP("Mins",A1:CV300,9,FALSE))</f>
      </c>
      <c r="BU9" s="16921">
        <f>IF(HLOOKUP("Mins",A1:CV300,9,FALSE)=0,0,HLOOKUP("fsXG",A1:CV300,9,FALSE)/HLOOKUP("Mins",A1:CV300,9,FALSE)* 90)</f>
      </c>
      <c r="BV9" s="16922">
        <f>IF(HLOOKUP("Mins",A1:CV300,9,FALSE)=0,0,HLOOKUP("fsXA",A1:CV300,9,FALSE)/HLOOKUP("Mins",A1:CV300,9,FALSE)* 90)</f>
      </c>
      <c r="BW9" s="16923">
        <f>5*HLOOKUP("fsXG/90",A1:CV300,9,FALSE)+3*HLOOKUP("fsXA/90",A1:CV300,9,FALSE)</f>
      </c>
      <c r="BX9" t="n" s="16924">
        <v>0.2854164242744446</v>
      </c>
      <c r="BY9" t="n" s="16925">
        <v>0.19582931697368622</v>
      </c>
      <c r="BZ9" s="16926">
        <f>5*HLOOKUP("uXG/90",A1:CV300,9,FALSE)+3*HLOOKUP("uXA/90",A1:CV300,9,FALSE)</f>
      </c>
    </row>
    <row r="10">
      <c r="A10" t="s" s="16927">
        <v>313</v>
      </c>
      <c r="B10" t="s" s="16928">
        <v>116</v>
      </c>
      <c r="C10" t="n" s="16929">
        <v>5.300000190734863</v>
      </c>
      <c r="D10" t="n" s="16930">
        <v>90.0</v>
      </c>
      <c r="E10" t="n" s="16931">
        <v>1.0</v>
      </c>
      <c r="F10" t="n" s="16932">
        <v>43.0</v>
      </c>
      <c r="G10" t="n" s="16933">
        <v>0.0</v>
      </c>
      <c r="H10" t="n" s="16934">
        <v>3.0</v>
      </c>
      <c r="I10" t="n" s="16935">
        <v>152.0</v>
      </c>
      <c r="J10" s="16936">
        <f>HLOOKUP("BPS",A1:CV300,10,FALSE)-((-6*HLOOKUP("OG",A1:CV300,10,FALSE))+(-6*HLOOKUP("PK Miss",A1:CV300,10,FALSE))+(9*HLOOKUP("FPL As",A1:CV300,10,FALSE))+(0*HLOOKUP("CS",A1:CV300,10,FALSE))+(18*HLOOKUP("Gs",A1:CV300,10,FALSE)))</f>
      </c>
      <c r="K10" t="n" s="16937">
        <v>0.0</v>
      </c>
      <c r="L10" t="n" s="16938">
        <v>4.0</v>
      </c>
      <c r="M10" t="n" s="16939">
        <v>1.0</v>
      </c>
      <c r="N10" t="n" s="16940">
        <v>1.0</v>
      </c>
      <c r="O10" t="n" s="16941">
        <v>0.0</v>
      </c>
      <c r="P10" s="16942">
        <f>IF(HLOOKUP("Shots",A1:CV300,10,FALSE)=0,0,HLOOKUP("SIB",A1:CV300,10,FALSE)/HLOOKUP("Shots",A1:CV300,10,FALSE))</f>
      </c>
      <c r="Q10" t="n" s="16943">
        <v>0.0</v>
      </c>
      <c r="R10" s="16944">
        <f>IF(HLOOKUP("Shots",A1:CV300,10,FALSE)=0,0,HLOOKUP("S6YD",A1:CV300,10,FALSE)/HLOOKUP("Shots",A1:CV300,10,FALSE))</f>
      </c>
      <c r="S10" t="n" s="16945">
        <v>0.0</v>
      </c>
      <c r="T10" s="16946">
        <f>IF(HLOOKUP("Shots",A1:CV300,10,FALSE)=0,0,HLOOKUP("Headers",A1:CV300,10,FALSE)/HLOOKUP("Shots",A1:CV300,10,FALSE))</f>
      </c>
      <c r="U10" t="n" s="16947">
        <v>0.0</v>
      </c>
      <c r="V10" s="16948">
        <f>IF(HLOOKUP("Shots",A1:CV300,10,FALSE)=0,0,HLOOKUP("SOT",A1:CV300,10,FALSE)/HLOOKUP("Shots",A1:CV300,10,FALSE))</f>
      </c>
      <c r="W10" s="16949">
        <f>IF(HLOOKUP("Shots",A1:CV300,10,FALSE)=0,0,HLOOKUP("Gs",A1:CV300,10,FALSE)/HLOOKUP("Shots",A1:CV300,10,FALSE))</f>
      </c>
      <c r="X10" t="n" s="16950">
        <v>0.0</v>
      </c>
      <c r="Y10" t="n" s="16951">
        <v>1.0</v>
      </c>
      <c r="Z10" t="n" s="16952">
        <v>1.0</v>
      </c>
      <c r="AA10" s="16953">
        <f>IF(HLOOKUP("KP",A1:CV300,10,FALSE)=0,0,HLOOKUP("As",A1:CV300,10,FALSE)/HLOOKUP("KP",A1:CV300,10,FALSE))</f>
      </c>
      <c r="AB10" s="16954"/>
      <c r="AC10" t="n" s="16955">
        <v>0.0</v>
      </c>
      <c r="AD10" t="n" s="16956">
        <v>0.0</v>
      </c>
      <c r="AE10" t="n" s="16957">
        <v>0.0</v>
      </c>
      <c r="AF10" t="n" s="16958">
        <v>0.0</v>
      </c>
      <c r="AG10" s="16959">
        <f>IF(HLOOKUP("BC",A1:CV300,10,FALSE)=0,0,HLOOKUP("Gs - BC",A1:CV300,10,FALSE)/HLOOKUP("BC",A1:CV300,10,FALSE))</f>
      </c>
      <c r="AH10" s="16960">
        <f>HLOOKUP("BC",A1:CV300,10,FALSE) - HLOOKUP("BC Miss",A1:CV300,10,FALSE)</f>
      </c>
      <c r="AI10" s="16961">
        <f>IF(HLOOKUP("Gs",A1:CV300,10,FALSE)=0,0,HLOOKUP("Gs - BC",A1:CV300,10,FALSE)/HLOOKUP("Gs",A1:CV300,10,FALSE))</f>
      </c>
      <c r="AJ10" t="n" s="16962">
        <v>0.0</v>
      </c>
      <c r="AK10" t="n" s="16963">
        <v>0.0</v>
      </c>
      <c r="AL10" s="16964">
        <f>HLOOKUP("BC",A1:CV300,10,FALSE) - (HLOOKUP("PK Gs",A1:CV300,10,FALSE) + HLOOKUP("PK Miss",A1:CV300,10,FALSE))</f>
      </c>
      <c r="AM10" s="16965">
        <f>HLOOKUP("BC Miss",A1:CV300,10,FALSE) - HLOOKUP("PK Miss",A1:CV300,10,FALSE)</f>
      </c>
      <c r="AN10" s="16966">
        <f>IF(HLOOKUP("BC - Open",A1:CV300,10,FALSE)=0,0,HLOOKUP("BC - Open Miss",A1:CV300,10,FALSE)/HLOOKUP("BC - Open",A1:CV300,10,FALSE))</f>
      </c>
      <c r="AO10" t="n" s="16967">
        <v>0.0</v>
      </c>
      <c r="AP10" s="16968">
        <f>IF(HLOOKUP("Gs",A1:CV300,10,FALSE)=0,0,HLOOKUP("GIB",A1:CV300,10,FALSE)/HLOOKUP("Gs",A1:CV300,10,FALSE))</f>
      </c>
      <c r="AQ10" t="n" s="16969">
        <v>0.0</v>
      </c>
      <c r="AR10" s="16970">
        <f>IF(HLOOKUP("Gs",A1:CV300,10,FALSE)=0,0,HLOOKUP("Gs - Open",A1:CV300,10,FALSE)/HLOOKUP("Gs",A1:CV300,10,FALSE))</f>
      </c>
      <c r="AS10" t="n" s="16971">
        <v>0.04</v>
      </c>
      <c r="AT10" t="n" s="16972">
        <v>0.11</v>
      </c>
      <c r="AU10" s="16973">
        <f>IF(HLOOKUP("Mins",A1:CV300,10,FALSE)=0,0,HLOOKUP("Pts",A1:CV300,10,FALSE)/HLOOKUP("Mins",A1:CV300,10,FALSE)* 90)</f>
      </c>
      <c r="AV10" s="16974">
        <f>IF(HLOOKUP("Apps",A1:CV300,10,FALSE)=0,0,HLOOKUP("Pts",A1:CV300,10,FALSE)/HLOOKUP("Apps",A1:CV300,10,FALSE)* 1)</f>
      </c>
      <c r="AW10" s="16975">
        <f>IF(HLOOKUP("Mins",A1:CV300,10,FALSE)=0,0,HLOOKUP("Gs",A1:CV300,10,FALSE)/HLOOKUP("Mins",A1:CV300,10,FALSE)* 90)</f>
      </c>
      <c r="AX10" s="16976">
        <f>IF(HLOOKUP("Mins",A1:CV300,10,FALSE)=0,0,HLOOKUP("Bonus",A1:CV300,10,FALSE)/HLOOKUP("Mins",A1:CV300,10,FALSE)* 90)</f>
      </c>
      <c r="AY10" s="16977">
        <f>IF(HLOOKUP("Mins",A1:CV300,10,FALSE)=0,0,HLOOKUP("BPS",A1:CV300,10,FALSE)/HLOOKUP("Mins",A1:CV300,10,FALSE)* 90)</f>
      </c>
      <c r="AZ10" s="16978">
        <f>IF(HLOOKUP("Mins",A1:CV300,10,FALSE)=0,0,HLOOKUP("Base BPS",A1:CV300,10,FALSE)/HLOOKUP("Mins",A1:CV300,10,FALSE)* 90)</f>
      </c>
      <c r="BA10" s="16979">
        <f>IF(HLOOKUP("Mins",A1:CV300,10,FALSE)=0,0,HLOOKUP("PenTchs",A1:CV300,10,FALSE)/HLOOKUP("Mins",A1:CV300,10,FALSE)* 90)</f>
      </c>
      <c r="BB10" s="16980">
        <f>IF(HLOOKUP("Mins",A1:CV300,10,FALSE)=0,0,HLOOKUP("Shots",A1:CV300,10,FALSE)/HLOOKUP("Mins",A1:CV300,10,FALSE)* 90)</f>
      </c>
      <c r="BC10" s="16981">
        <f>IF(HLOOKUP("Mins",A1:CV300,10,FALSE)=0,0,HLOOKUP("SIB",A1:CV300,10,FALSE)/HLOOKUP("Mins",A1:CV300,10,FALSE)* 90)</f>
      </c>
      <c r="BD10" s="16982">
        <f>IF(HLOOKUP("Mins",A1:CV300,10,FALSE)=0,0,HLOOKUP("S6YD",A1:CV300,10,FALSE)/HLOOKUP("Mins",A1:CV300,10,FALSE)* 90)</f>
      </c>
      <c r="BE10" s="16983">
        <f>IF(HLOOKUP("Mins",A1:CV300,10,FALSE)=0,0,HLOOKUP("Headers",A1:CV300,10,FALSE)/HLOOKUP("Mins",A1:CV300,10,FALSE)* 90)</f>
      </c>
      <c r="BF10" s="16984">
        <f>IF(HLOOKUP("Mins",A1:CV300,10,FALSE)=0,0,HLOOKUP("SOT",A1:CV300,10,FALSE)/HLOOKUP("Mins",A1:CV300,10,FALSE)* 90)</f>
      </c>
      <c r="BG10" s="16985">
        <f>IF(HLOOKUP("Mins",A1:CV300,10,FALSE)=0,0,HLOOKUP("As",A1:CV300,10,FALSE)/HLOOKUP("Mins",A1:CV300,10,FALSE)* 90)</f>
      </c>
      <c r="BH10" s="16986">
        <f>IF(HLOOKUP("Mins",A1:CV300,10,FALSE)=0,0,HLOOKUP("FPL As",A1:CV300,10,FALSE)/HLOOKUP("Mins",A1:CV300,10,FALSE)* 90)</f>
      </c>
      <c r="BI10" s="16987">
        <f>IF(HLOOKUP("Mins",A1:CV300,10,FALSE)=0,0,HLOOKUP("BC Created",A1:CV300,10,FALSE)/HLOOKUP("Mins",A1:CV300,10,FALSE)* 90)</f>
      </c>
      <c r="BJ10" s="16988">
        <f>IF(HLOOKUP("Mins",A1:CV300,10,FALSE)=0,0,HLOOKUP("KP",A1:CV300,10,FALSE)/HLOOKUP("Mins",A1:CV300,10,FALSE)* 90)</f>
      </c>
      <c r="BK10" s="16989">
        <f>IF(HLOOKUP("Mins",A1:CV300,10,FALSE)=0,0,HLOOKUP("BC",A1:CV300,10,FALSE)/HLOOKUP("Mins",A1:CV300,10,FALSE)* 90)</f>
      </c>
      <c r="BL10" s="16990">
        <f>IF(HLOOKUP("Mins",A1:CV300,10,FALSE)=0,0,HLOOKUP("BC Miss",A1:CV300,10,FALSE)/HLOOKUP("Mins",A1:CV300,10,FALSE)* 90)</f>
      </c>
      <c r="BM10" s="16991">
        <f>IF(HLOOKUP("Mins",A1:CV300,10,FALSE)=0,0,HLOOKUP("Gs - BC",A1:CV300,10,FALSE)/HLOOKUP("Mins",A1:CV300,10,FALSE)* 90)</f>
      </c>
      <c r="BN10" s="16992">
        <f>IF(HLOOKUP("Mins",A1:CV300,10,FALSE)=0,0,HLOOKUP("GIB",A1:CV300,10,FALSE)/HLOOKUP("Mins",A1:CV300,10,FALSE)* 90)</f>
      </c>
      <c r="BO10" s="16993">
        <f>IF(HLOOKUP("Mins",A1:CV300,10,FALSE)=0,0,HLOOKUP("Gs - Open",A1:CV300,10,FALSE)/HLOOKUP("Mins",A1:CV300,10,FALSE)* 90)</f>
      </c>
      <c r="BP10" s="16994">
        <f>IF(HLOOKUP("Mins",A1:CV300,10,FALSE)=0,0,HLOOKUP("ICT Index",A1:CV300,10,FALSE)/HLOOKUP("Mins",A1:CV300,10,FALSE)* 90)</f>
      </c>
      <c r="BQ10" s="16995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</c>
      <c r="BR10" s="16996">
        <f>0.0885*HLOOKUP("KP/90",A1:CV300,10,FALSE)</f>
      </c>
      <c r="BS10" s="16997">
        <f>5*HLOOKUP("xG/90",A1:CV300,10,FALSE)+3*HLOOKUP("xA/90",A1:CV300,10,FALSE)</f>
      </c>
      <c r="BT10" s="16998">
        <f>HLOOKUP("xPts/90",A1:CV300,10,FALSE)-(5*0.75*(HLOOKUP("PK Gs",A1:CV300,10,FALSE)+HLOOKUP("PK Miss",A1:CV300,10,FALSE))*90/HLOOKUP("Mins",A1:CV300,10,FALSE))</f>
      </c>
      <c r="BU10" s="16999">
        <f>IF(HLOOKUP("Mins",A1:CV300,10,FALSE)=0,0,HLOOKUP("fsXG",A1:CV300,10,FALSE)/HLOOKUP("Mins",A1:CV300,10,FALSE)* 90)</f>
      </c>
      <c r="BV10" s="17000">
        <f>IF(HLOOKUP("Mins",A1:CV300,10,FALSE)=0,0,HLOOKUP("fsXA",A1:CV300,10,FALSE)/HLOOKUP("Mins",A1:CV300,10,FALSE)* 90)</f>
      </c>
      <c r="BW10" s="17001">
        <f>5*HLOOKUP("fsXG/90",A1:CV300,10,FALSE)+3*HLOOKUP("fsXA/90",A1:CV300,10,FALSE)</f>
      </c>
      <c r="BX10" t="n" s="17002">
        <v>0.05818586051464081</v>
      </c>
      <c r="BY10" t="n" s="17003">
        <v>0.03559885174036026</v>
      </c>
      <c r="BZ10" s="17004">
        <f>5*HLOOKUP("uXG/90",A1:CV300,10,FALSE)+3*HLOOKUP("uXA/90",A1:CV300,10,FALSE)</f>
      </c>
    </row>
    <row r="11">
      <c r="A11" t="s" s="17005">
        <v>314</v>
      </c>
      <c r="B11" t="s" s="17006">
        <v>95</v>
      </c>
      <c r="C11" t="n" s="17007">
        <v>4.800000190734863</v>
      </c>
      <c r="D11" t="n" s="17008">
        <v>100.0</v>
      </c>
      <c r="E11" t="n" s="17009">
        <v>3.0</v>
      </c>
      <c r="F11" t="n" s="17010">
        <v>21.0</v>
      </c>
      <c r="G11" t="n" s="17011">
        <v>0.0</v>
      </c>
      <c r="H11" t="n" s="17012">
        <v>0.0</v>
      </c>
      <c r="I11" t="n" s="17013">
        <v>90.0</v>
      </c>
      <c r="J11" s="17014">
        <f>HLOOKUP("BPS",A1:CV300,11,FALSE)-((-6*HLOOKUP("OG",A1:CV300,11,FALSE))+(-6*HLOOKUP("PK Miss",A1:CV300,11,FALSE))+(9*HLOOKUP("FPL As",A1:CV300,11,FALSE))+(0*HLOOKUP("CS",A1:CV300,11,FALSE))+(18*HLOOKUP("Gs",A1:CV300,11,FALSE)))</f>
      </c>
      <c r="K11" t="n" s="17015">
        <v>0.0</v>
      </c>
      <c r="L11" t="n" s="17016">
        <v>1.0</v>
      </c>
      <c r="M11" t="n" s="17017">
        <v>2.0</v>
      </c>
      <c r="N11" t="n" s="17018">
        <v>0.0</v>
      </c>
      <c r="O11" t="n" s="17019">
        <v>0.0</v>
      </c>
      <c r="P11" s="17020">
        <f>IF(HLOOKUP("Shots",A1:CV300,11,FALSE)=0,0,HLOOKUP("SIB",A1:CV300,11,FALSE)/HLOOKUP("Shots",A1:CV300,11,FALSE))</f>
      </c>
      <c r="Q11" t="n" s="17021">
        <v>0.0</v>
      </c>
      <c r="R11" s="17022">
        <f>IF(HLOOKUP("Shots",A1:CV300,11,FALSE)=0,0,HLOOKUP("S6YD",A1:CV300,11,FALSE)/HLOOKUP("Shots",A1:CV300,11,FALSE))</f>
      </c>
      <c r="S11" t="n" s="17023">
        <v>0.0</v>
      </c>
      <c r="T11" s="17024">
        <f>IF(HLOOKUP("Shots",A1:CV300,11,FALSE)=0,0,HLOOKUP("Headers",A1:CV300,11,FALSE)/HLOOKUP("Shots",A1:CV300,11,FALSE))</f>
      </c>
      <c r="U11" t="n" s="17025">
        <v>0.0</v>
      </c>
      <c r="V11" s="17026">
        <f>IF(HLOOKUP("Shots",A1:CV300,11,FALSE)=0,0,HLOOKUP("SOT",A1:CV300,11,FALSE)/HLOOKUP("Shots",A1:CV300,11,FALSE))</f>
      </c>
      <c r="W11" s="17027">
        <f>IF(HLOOKUP("Shots",A1:CV300,11,FALSE)=0,0,HLOOKUP("Gs",A1:CV300,11,FALSE)/HLOOKUP("Shots",A1:CV300,11,FALSE))</f>
      </c>
      <c r="X11" t="n" s="17028">
        <v>1.0</v>
      </c>
      <c r="Y11" t="n" s="17029">
        <v>2.0</v>
      </c>
      <c r="Z11" t="n" s="17030">
        <v>1.0</v>
      </c>
      <c r="AA11" s="17031">
        <f>IF(HLOOKUP("KP",A1:CV300,11,FALSE)=0,0,HLOOKUP("As",A1:CV300,11,FALSE)/HLOOKUP("KP",A1:CV300,11,FALSE))</f>
      </c>
      <c r="AB11" s="17032"/>
      <c r="AC11" t="n" s="17033">
        <v>33.0</v>
      </c>
      <c r="AD11" t="n" s="17034">
        <v>0.0</v>
      </c>
      <c r="AE11" t="n" s="17035">
        <v>0.0</v>
      </c>
      <c r="AF11" t="n" s="17036">
        <v>0.0</v>
      </c>
      <c r="AG11" s="17037">
        <f>IF(HLOOKUP("BC",A1:CV300,11,FALSE)=0,0,HLOOKUP("Gs - BC",A1:CV300,11,FALSE)/HLOOKUP("BC",A1:CV300,11,FALSE))</f>
      </c>
      <c r="AH11" s="17038">
        <f>HLOOKUP("BC",A1:CV300,11,FALSE) - HLOOKUP("BC Miss",A1:CV300,11,FALSE)</f>
      </c>
      <c r="AI11" s="17039">
        <f>IF(HLOOKUP("Gs",A1:CV300,11,FALSE)=0,0,HLOOKUP("Gs - BC",A1:CV300,11,FALSE)/HLOOKUP("Gs",A1:CV300,11,FALSE))</f>
      </c>
      <c r="AJ11" t="n" s="17040">
        <v>0.0</v>
      </c>
      <c r="AK11" t="n" s="17041">
        <v>0.0</v>
      </c>
      <c r="AL11" s="17042">
        <f>HLOOKUP("BC",A1:CV300,11,FALSE) - (HLOOKUP("PK Gs",A1:CV300,11,FALSE) + HLOOKUP("PK Miss",A1:CV300,11,FALSE))</f>
      </c>
      <c r="AM11" s="17043">
        <f>HLOOKUP("BC Miss",A1:CV300,11,FALSE) - HLOOKUP("PK Miss",A1:CV300,11,FALSE)</f>
      </c>
      <c r="AN11" s="17044">
        <f>IF(HLOOKUP("BC - Open",A1:CV300,11,FALSE)=0,0,HLOOKUP("BC - Open Miss",A1:CV300,11,FALSE)/HLOOKUP("BC - Open",A1:CV300,11,FALSE))</f>
      </c>
      <c r="AO11" t="n" s="17045">
        <v>0.0</v>
      </c>
      <c r="AP11" s="17046">
        <f>IF(HLOOKUP("Gs",A1:CV300,11,FALSE)=0,0,HLOOKUP("GIB",A1:CV300,11,FALSE)/HLOOKUP("Gs",A1:CV300,11,FALSE))</f>
      </c>
      <c r="AQ11" t="n" s="17047">
        <v>0.0</v>
      </c>
      <c r="AR11" s="17048">
        <f>IF(HLOOKUP("Gs",A1:CV300,11,FALSE)=0,0,HLOOKUP("Gs - Open",A1:CV300,11,FALSE)/HLOOKUP("Gs",A1:CV300,11,FALSE))</f>
      </c>
      <c r="AS11" t="n" s="17049">
        <v>0.0</v>
      </c>
      <c r="AT11" t="n" s="17050">
        <v>0.18</v>
      </c>
      <c r="AU11" s="17051">
        <f>IF(HLOOKUP("Mins",A1:CV300,11,FALSE)=0,0,HLOOKUP("Pts",A1:CV300,11,FALSE)/HLOOKUP("Mins",A1:CV300,11,FALSE)* 90)</f>
      </c>
      <c r="AV11" s="17052">
        <f>IF(HLOOKUP("Apps",A1:CV300,11,FALSE)=0,0,HLOOKUP("Pts",A1:CV300,11,FALSE)/HLOOKUP("Apps",A1:CV300,11,FALSE)* 1)</f>
      </c>
      <c r="AW11" s="17053">
        <f>IF(HLOOKUP("Mins",A1:CV300,11,FALSE)=0,0,HLOOKUP("Gs",A1:CV300,11,FALSE)/HLOOKUP("Mins",A1:CV300,11,FALSE)* 90)</f>
      </c>
      <c r="AX11" s="17054">
        <f>IF(HLOOKUP("Mins",A1:CV300,11,FALSE)=0,0,HLOOKUP("Bonus",A1:CV300,11,FALSE)/HLOOKUP("Mins",A1:CV300,11,FALSE)* 90)</f>
      </c>
      <c r="AY11" s="17055">
        <f>IF(HLOOKUP("Mins",A1:CV300,11,FALSE)=0,0,HLOOKUP("BPS",A1:CV300,11,FALSE)/HLOOKUP("Mins",A1:CV300,11,FALSE)* 90)</f>
      </c>
      <c r="AZ11" s="17056">
        <f>IF(HLOOKUP("Mins",A1:CV300,11,FALSE)=0,0,HLOOKUP("Base BPS",A1:CV300,11,FALSE)/HLOOKUP("Mins",A1:CV300,11,FALSE)* 90)</f>
      </c>
      <c r="BA11" s="17057">
        <f>IF(HLOOKUP("Mins",A1:CV300,11,FALSE)=0,0,HLOOKUP("PenTchs",A1:CV300,11,FALSE)/HLOOKUP("Mins",A1:CV300,11,FALSE)* 90)</f>
      </c>
      <c r="BB11" s="17058">
        <f>IF(HLOOKUP("Mins",A1:CV300,11,FALSE)=0,0,HLOOKUP("Shots",A1:CV300,11,FALSE)/HLOOKUP("Mins",A1:CV300,11,FALSE)* 90)</f>
      </c>
      <c r="BC11" s="17059">
        <f>IF(HLOOKUP("Mins",A1:CV300,11,FALSE)=0,0,HLOOKUP("SIB",A1:CV300,11,FALSE)/HLOOKUP("Mins",A1:CV300,11,FALSE)* 90)</f>
      </c>
      <c r="BD11" s="17060">
        <f>IF(HLOOKUP("Mins",A1:CV300,11,FALSE)=0,0,HLOOKUP("S6YD",A1:CV300,11,FALSE)/HLOOKUP("Mins",A1:CV300,11,FALSE)* 90)</f>
      </c>
      <c r="BE11" s="17061">
        <f>IF(HLOOKUP("Mins",A1:CV300,11,FALSE)=0,0,HLOOKUP("Headers",A1:CV300,11,FALSE)/HLOOKUP("Mins",A1:CV300,11,FALSE)* 90)</f>
      </c>
      <c r="BF11" s="17062">
        <f>IF(HLOOKUP("Mins",A1:CV300,11,FALSE)=0,0,HLOOKUP("SOT",A1:CV300,11,FALSE)/HLOOKUP("Mins",A1:CV300,11,FALSE)* 90)</f>
      </c>
      <c r="BG11" s="17063">
        <f>IF(HLOOKUP("Mins",A1:CV300,11,FALSE)=0,0,HLOOKUP("As",A1:CV300,11,FALSE)/HLOOKUP("Mins",A1:CV300,11,FALSE)* 90)</f>
      </c>
      <c r="BH11" s="17064">
        <f>IF(HLOOKUP("Mins",A1:CV300,11,FALSE)=0,0,HLOOKUP("FPL As",A1:CV300,11,FALSE)/HLOOKUP("Mins",A1:CV300,11,FALSE)* 90)</f>
      </c>
      <c r="BI11" s="17065">
        <f>IF(HLOOKUP("Mins",A1:CV300,11,FALSE)=0,0,HLOOKUP("BC Created",A1:CV300,11,FALSE)/HLOOKUP("Mins",A1:CV300,11,FALSE)* 90)</f>
      </c>
      <c r="BJ11" s="17066">
        <f>IF(HLOOKUP("Mins",A1:CV300,11,FALSE)=0,0,HLOOKUP("KP",A1:CV300,11,FALSE)/HLOOKUP("Mins",A1:CV300,11,FALSE)* 90)</f>
      </c>
      <c r="BK11" s="17067">
        <f>IF(HLOOKUP("Mins",A1:CV300,11,FALSE)=0,0,HLOOKUP("BC",A1:CV300,11,FALSE)/HLOOKUP("Mins",A1:CV300,11,FALSE)* 90)</f>
      </c>
      <c r="BL11" s="17068">
        <f>IF(HLOOKUP("Mins",A1:CV300,11,FALSE)=0,0,HLOOKUP("BC Miss",A1:CV300,11,FALSE)/HLOOKUP("Mins",A1:CV300,11,FALSE)* 90)</f>
      </c>
      <c r="BM11" s="17069">
        <f>IF(HLOOKUP("Mins",A1:CV300,11,FALSE)=0,0,HLOOKUP("Gs - BC",A1:CV300,11,FALSE)/HLOOKUP("Mins",A1:CV300,11,FALSE)* 90)</f>
      </c>
      <c r="BN11" s="17070">
        <f>IF(HLOOKUP("Mins",A1:CV300,11,FALSE)=0,0,HLOOKUP("GIB",A1:CV300,11,FALSE)/HLOOKUP("Mins",A1:CV300,11,FALSE)* 90)</f>
      </c>
      <c r="BO11" s="17071">
        <f>IF(HLOOKUP("Mins",A1:CV300,11,FALSE)=0,0,HLOOKUP("Gs - Open",A1:CV300,11,FALSE)/HLOOKUP("Mins",A1:CV300,11,FALSE)* 90)</f>
      </c>
      <c r="BP11" s="17072">
        <f>IF(HLOOKUP("Mins",A1:CV300,11,FALSE)=0,0,HLOOKUP("ICT Index",A1:CV300,11,FALSE)/HLOOKUP("Mins",A1:CV300,11,FALSE)* 90)</f>
      </c>
      <c r="BQ11" s="17073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</c>
      <c r="BR11" s="17074">
        <f>0.0885*HLOOKUP("KP/90",A1:CV300,11,FALSE)</f>
      </c>
      <c r="BS11" s="17075">
        <f>5*HLOOKUP("xG/90",A1:CV300,11,FALSE)+3*HLOOKUP("xA/90",A1:CV300,11,FALSE)</f>
      </c>
      <c r="BT11" s="17076">
        <f>HLOOKUP("xPts/90",A1:CV300,11,FALSE)-(5*0.75*(HLOOKUP("PK Gs",A1:CV300,11,FALSE)+HLOOKUP("PK Miss",A1:CV300,11,FALSE))*90/HLOOKUP("Mins",A1:CV300,11,FALSE))</f>
      </c>
      <c r="BU11" s="17077">
        <f>IF(HLOOKUP("Mins",A1:CV300,11,FALSE)=0,0,HLOOKUP("fsXG",A1:CV300,11,FALSE)/HLOOKUP("Mins",A1:CV300,11,FALSE)* 90)</f>
      </c>
      <c r="BV11" s="17078">
        <f>IF(HLOOKUP("Mins",A1:CV300,11,FALSE)=0,0,HLOOKUP("fsXA",A1:CV300,11,FALSE)/HLOOKUP("Mins",A1:CV300,11,FALSE)* 90)</f>
      </c>
      <c r="BW11" s="17079">
        <f>5*HLOOKUP("fsXG/90",A1:CV300,11,FALSE)+3*HLOOKUP("fsXA/90",A1:CV300,11,FALSE)</f>
      </c>
      <c r="BX11" t="n" s="17080">
        <v>0.0</v>
      </c>
      <c r="BY11" t="n" s="17081">
        <v>0.06410786509513855</v>
      </c>
      <c r="BZ11" s="17082">
        <f>5*HLOOKUP("uXG/90",A1:CV300,11,FALSE)+3*HLOOKUP("uXA/90",A1:CV300,11,FALSE)</f>
      </c>
    </row>
    <row r="12">
      <c r="A12" t="s" s="17083">
        <v>315</v>
      </c>
      <c r="B12" t="s" s="17084">
        <v>109</v>
      </c>
      <c r="C12" t="n" s="17085">
        <v>5.800000190734863</v>
      </c>
      <c r="D12" t="n" s="17086">
        <v>471.0</v>
      </c>
      <c r="E12" t="n" s="17087">
        <v>6.0</v>
      </c>
      <c r="F12" t="n" s="17088">
        <v>69.0</v>
      </c>
      <c r="G12" t="n" s="17089">
        <v>1.0</v>
      </c>
      <c r="H12" t="n" s="17090">
        <v>6.0</v>
      </c>
      <c r="I12" t="n" s="17091">
        <v>256.0</v>
      </c>
      <c r="J12" s="17092">
        <f>HLOOKUP("BPS",A1:CV300,12,FALSE)-((-6*HLOOKUP("OG",A1:CV300,12,FALSE))+(-6*HLOOKUP("PK Miss",A1:CV300,12,FALSE))+(9*HLOOKUP("FPL As",A1:CV300,12,FALSE))+(0*HLOOKUP("CS",A1:CV300,12,FALSE))+(18*HLOOKUP("Gs",A1:CV300,12,FALSE)))</f>
      </c>
      <c r="K12" t="n" s="17093">
        <v>0.0</v>
      </c>
      <c r="L12" t="n" s="17094">
        <v>1.0</v>
      </c>
      <c r="M12" t="n" s="17095">
        <v>28.0</v>
      </c>
      <c r="N12" t="n" s="17096">
        <v>10.0</v>
      </c>
      <c r="O12" t="n" s="17097">
        <v>7.0</v>
      </c>
      <c r="P12" s="17098">
        <f>IF(HLOOKUP("Shots",A1:CV300,12,FALSE)=0,0,HLOOKUP("SIB",A1:CV300,12,FALSE)/HLOOKUP("Shots",A1:CV300,12,FALSE))</f>
      </c>
      <c r="Q12" t="n" s="17099">
        <v>0.0</v>
      </c>
      <c r="R12" s="17100">
        <f>IF(HLOOKUP("Shots",A1:CV300,12,FALSE)=0,0,HLOOKUP("S6YD",A1:CV300,12,FALSE)/HLOOKUP("Shots",A1:CV300,12,FALSE))</f>
      </c>
      <c r="S12" t="n" s="17101">
        <v>0.0</v>
      </c>
      <c r="T12" s="17102">
        <f>IF(HLOOKUP("Shots",A1:CV300,12,FALSE)=0,0,HLOOKUP("Headers",A1:CV300,12,FALSE)/HLOOKUP("Shots",A1:CV300,12,FALSE))</f>
      </c>
      <c r="U12" t="n" s="17103">
        <v>3.0</v>
      </c>
      <c r="V12" s="17104">
        <f>IF(HLOOKUP("Shots",A1:CV300,12,FALSE)=0,0,HLOOKUP("SOT",A1:CV300,12,FALSE)/HLOOKUP("Shots",A1:CV300,12,FALSE))</f>
      </c>
      <c r="W12" s="17105">
        <f>IF(HLOOKUP("Shots",A1:CV300,12,FALSE)=0,0,HLOOKUP("Gs",A1:CV300,12,FALSE)/HLOOKUP("Shots",A1:CV300,12,FALSE))</f>
      </c>
      <c r="X12" t="n" s="17106">
        <v>0.0</v>
      </c>
      <c r="Y12" t="n" s="17107">
        <v>5.0</v>
      </c>
      <c r="Z12" t="n" s="17108">
        <v>8.0</v>
      </c>
      <c r="AA12" s="17109">
        <f>IF(HLOOKUP("KP",A1:CV300,12,FALSE)=0,0,HLOOKUP("As",A1:CV300,12,FALSE)/HLOOKUP("KP",A1:CV300,12,FALSE))</f>
      </c>
      <c r="AB12" s="17110"/>
      <c r="AC12" t="n" s="17111">
        <v>14.0</v>
      </c>
      <c r="AD12" t="n" s="17112">
        <v>0.0</v>
      </c>
      <c r="AE12" t="n" s="17113">
        <v>1.0</v>
      </c>
      <c r="AF12" t="n" s="17114">
        <v>1.0</v>
      </c>
      <c r="AG12" s="17115">
        <f>IF(HLOOKUP("BC",A1:CV300,12,FALSE)=0,0,HLOOKUP("Gs - BC",A1:CV300,12,FALSE)/HLOOKUP("BC",A1:CV300,12,FALSE))</f>
      </c>
      <c r="AH12" s="17116">
        <f>HLOOKUP("BC",A1:CV300,12,FALSE) - HLOOKUP("BC Miss",A1:CV300,12,FALSE)</f>
      </c>
      <c r="AI12" s="17117">
        <f>IF(HLOOKUP("Gs",A1:CV300,12,FALSE)=0,0,HLOOKUP("Gs - BC",A1:CV300,12,FALSE)/HLOOKUP("Gs",A1:CV300,12,FALSE))</f>
      </c>
      <c r="AJ12" t="n" s="17118">
        <v>0.0</v>
      </c>
      <c r="AK12" t="n" s="17119">
        <v>0.0</v>
      </c>
      <c r="AL12" s="17120">
        <f>HLOOKUP("BC",A1:CV300,12,FALSE) - (HLOOKUP("PK Gs",A1:CV300,12,FALSE) + HLOOKUP("PK Miss",A1:CV300,12,FALSE))</f>
      </c>
      <c r="AM12" s="17121">
        <f>HLOOKUP("BC Miss",A1:CV300,12,FALSE) - HLOOKUP("PK Miss",A1:CV300,12,FALSE)</f>
      </c>
      <c r="AN12" s="17122">
        <f>IF(HLOOKUP("BC - Open",A1:CV300,12,FALSE)=0,0,HLOOKUP("BC - Open Miss",A1:CV300,12,FALSE)/HLOOKUP("BC - Open",A1:CV300,12,FALSE))</f>
      </c>
      <c r="AO12" t="n" s="17123">
        <v>1.0</v>
      </c>
      <c r="AP12" s="17124">
        <f>IF(HLOOKUP("Gs",A1:CV300,12,FALSE)=0,0,HLOOKUP("GIB",A1:CV300,12,FALSE)/HLOOKUP("Gs",A1:CV300,12,FALSE))</f>
      </c>
      <c r="AQ12" t="n" s="17125">
        <v>1.0</v>
      </c>
      <c r="AR12" s="17126">
        <f>IF(HLOOKUP("Gs",A1:CV300,12,FALSE)=0,0,HLOOKUP("Gs - Open",A1:CV300,12,FALSE)/HLOOKUP("Gs",A1:CV300,12,FALSE))</f>
      </c>
      <c r="AS12" t="n" s="17127">
        <v>0.79</v>
      </c>
      <c r="AT12" t="n" s="17128">
        <v>0.62</v>
      </c>
      <c r="AU12" s="17129">
        <f>IF(HLOOKUP("Mins",A1:CV300,12,FALSE)=0,0,HLOOKUP("Pts",A1:CV300,12,FALSE)/HLOOKUP("Mins",A1:CV300,12,FALSE)* 90)</f>
      </c>
      <c r="AV12" s="17130">
        <f>IF(HLOOKUP("Apps",A1:CV300,12,FALSE)=0,0,HLOOKUP("Pts",A1:CV300,12,FALSE)/HLOOKUP("Apps",A1:CV300,12,FALSE)* 1)</f>
      </c>
      <c r="AW12" s="17131">
        <f>IF(HLOOKUP("Mins",A1:CV300,12,FALSE)=0,0,HLOOKUP("Gs",A1:CV300,12,FALSE)/HLOOKUP("Mins",A1:CV300,12,FALSE)* 90)</f>
      </c>
      <c r="AX12" s="17132">
        <f>IF(HLOOKUP("Mins",A1:CV300,12,FALSE)=0,0,HLOOKUP("Bonus",A1:CV300,12,FALSE)/HLOOKUP("Mins",A1:CV300,12,FALSE)* 90)</f>
      </c>
      <c r="AY12" s="17133">
        <f>IF(HLOOKUP("Mins",A1:CV300,12,FALSE)=0,0,HLOOKUP("BPS",A1:CV300,12,FALSE)/HLOOKUP("Mins",A1:CV300,12,FALSE)* 90)</f>
      </c>
      <c r="AZ12" s="17134">
        <f>IF(HLOOKUP("Mins",A1:CV300,12,FALSE)=0,0,HLOOKUP("Base BPS",A1:CV300,12,FALSE)/HLOOKUP("Mins",A1:CV300,12,FALSE)* 90)</f>
      </c>
      <c r="BA12" s="17135">
        <f>IF(HLOOKUP("Mins",A1:CV300,12,FALSE)=0,0,HLOOKUP("PenTchs",A1:CV300,12,FALSE)/HLOOKUP("Mins",A1:CV300,12,FALSE)* 90)</f>
      </c>
      <c r="BB12" s="17136">
        <f>IF(HLOOKUP("Mins",A1:CV300,12,FALSE)=0,0,HLOOKUP("Shots",A1:CV300,12,FALSE)/HLOOKUP("Mins",A1:CV300,12,FALSE)* 90)</f>
      </c>
      <c r="BC12" s="17137">
        <f>IF(HLOOKUP("Mins",A1:CV300,12,FALSE)=0,0,HLOOKUP("SIB",A1:CV300,12,FALSE)/HLOOKUP("Mins",A1:CV300,12,FALSE)* 90)</f>
      </c>
      <c r="BD12" s="17138">
        <f>IF(HLOOKUP("Mins",A1:CV300,12,FALSE)=0,0,HLOOKUP("S6YD",A1:CV300,12,FALSE)/HLOOKUP("Mins",A1:CV300,12,FALSE)* 90)</f>
      </c>
      <c r="BE12" s="17139">
        <f>IF(HLOOKUP("Mins",A1:CV300,12,FALSE)=0,0,HLOOKUP("Headers",A1:CV300,12,FALSE)/HLOOKUP("Mins",A1:CV300,12,FALSE)* 90)</f>
      </c>
      <c r="BF12" s="17140">
        <f>IF(HLOOKUP("Mins",A1:CV300,12,FALSE)=0,0,HLOOKUP("SOT",A1:CV300,12,FALSE)/HLOOKUP("Mins",A1:CV300,12,FALSE)* 90)</f>
      </c>
      <c r="BG12" s="17141">
        <f>IF(HLOOKUP("Mins",A1:CV300,12,FALSE)=0,0,HLOOKUP("As",A1:CV300,12,FALSE)/HLOOKUP("Mins",A1:CV300,12,FALSE)* 90)</f>
      </c>
      <c r="BH12" s="17142">
        <f>IF(HLOOKUP("Mins",A1:CV300,12,FALSE)=0,0,HLOOKUP("FPL As",A1:CV300,12,FALSE)/HLOOKUP("Mins",A1:CV300,12,FALSE)* 90)</f>
      </c>
      <c r="BI12" s="17143">
        <f>IF(HLOOKUP("Mins",A1:CV300,12,FALSE)=0,0,HLOOKUP("BC Created",A1:CV300,12,FALSE)/HLOOKUP("Mins",A1:CV300,12,FALSE)* 90)</f>
      </c>
      <c r="BJ12" s="17144">
        <f>IF(HLOOKUP("Mins",A1:CV300,12,FALSE)=0,0,HLOOKUP("KP",A1:CV300,12,FALSE)/HLOOKUP("Mins",A1:CV300,12,FALSE)* 90)</f>
      </c>
      <c r="BK12" s="17145">
        <f>IF(HLOOKUP("Mins",A1:CV300,12,FALSE)=0,0,HLOOKUP("BC",A1:CV300,12,FALSE)/HLOOKUP("Mins",A1:CV300,12,FALSE)* 90)</f>
      </c>
      <c r="BL12" s="17146">
        <f>IF(HLOOKUP("Mins",A1:CV300,12,FALSE)=0,0,HLOOKUP("BC Miss",A1:CV300,12,FALSE)/HLOOKUP("Mins",A1:CV300,12,FALSE)* 90)</f>
      </c>
      <c r="BM12" s="17147">
        <f>IF(HLOOKUP("Mins",A1:CV300,12,FALSE)=0,0,HLOOKUP("Gs - BC",A1:CV300,12,FALSE)/HLOOKUP("Mins",A1:CV300,12,FALSE)* 90)</f>
      </c>
      <c r="BN12" s="17148">
        <f>IF(HLOOKUP("Mins",A1:CV300,12,FALSE)=0,0,HLOOKUP("GIB",A1:CV300,12,FALSE)/HLOOKUP("Mins",A1:CV300,12,FALSE)* 90)</f>
      </c>
      <c r="BO12" s="17149">
        <f>IF(HLOOKUP("Mins",A1:CV300,12,FALSE)=0,0,HLOOKUP("Gs - Open",A1:CV300,12,FALSE)/HLOOKUP("Mins",A1:CV300,12,FALSE)* 90)</f>
      </c>
      <c r="BP12" s="17150">
        <f>IF(HLOOKUP("Mins",A1:CV300,12,FALSE)=0,0,HLOOKUP("ICT Index",A1:CV300,12,FALSE)/HLOOKUP("Mins",A1:CV300,12,FALSE)* 90)</f>
      </c>
      <c r="BQ12" s="17151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</c>
      <c r="BR12" s="17152">
        <f>0.0885*HLOOKUP("KP/90",A1:CV300,12,FALSE)</f>
      </c>
      <c r="BS12" s="17153">
        <f>5*HLOOKUP("xG/90",A1:CV300,12,FALSE)+3*HLOOKUP("xA/90",A1:CV300,12,FALSE)</f>
      </c>
      <c r="BT12" s="17154">
        <f>HLOOKUP("xPts/90",A1:CV300,12,FALSE)-(5*0.75*(HLOOKUP("PK Gs",A1:CV300,12,FALSE)+HLOOKUP("PK Miss",A1:CV300,12,FALSE))*90/HLOOKUP("Mins",A1:CV300,12,FALSE))</f>
      </c>
      <c r="BU12" s="17155">
        <f>IF(HLOOKUP("Mins",A1:CV300,12,FALSE)=0,0,HLOOKUP("fsXG",A1:CV300,12,FALSE)/HLOOKUP("Mins",A1:CV300,12,FALSE)* 90)</f>
      </c>
      <c r="BV12" s="17156">
        <f>IF(HLOOKUP("Mins",A1:CV300,12,FALSE)=0,0,HLOOKUP("fsXA",A1:CV300,12,FALSE)/HLOOKUP("Mins",A1:CV300,12,FALSE)* 90)</f>
      </c>
      <c r="BW12" s="17157">
        <f>5*HLOOKUP("fsXG/90",A1:CV300,12,FALSE)+3*HLOOKUP("fsXA/90",A1:CV300,12,FALSE)</f>
      </c>
      <c r="BX12" t="n" s="17158">
        <v>0.15406852960586548</v>
      </c>
      <c r="BY12" t="n" s="17159">
        <v>0.07687907665967941</v>
      </c>
      <c r="BZ12" s="17160">
        <f>5*HLOOKUP("uXG/90",A1:CV300,12,FALSE)+3*HLOOKUP("uXA/90",A1:CV300,12,FALSE)</f>
      </c>
    </row>
    <row r="13">
      <c r="A13" t="s" s="17161">
        <v>316</v>
      </c>
      <c r="B13" t="s" s="17162">
        <v>80</v>
      </c>
      <c r="C13" t="n" s="17163">
        <v>4.300000190734863</v>
      </c>
      <c r="D13" t="n" s="17164">
        <v>178.0</v>
      </c>
      <c r="E13" t="n" s="17165">
        <v>4.0</v>
      </c>
      <c r="F13" t="n" s="17166">
        <v>43.0</v>
      </c>
      <c r="G13" t="n" s="17167">
        <v>0.0</v>
      </c>
      <c r="H13" t="n" s="17168">
        <v>2.0</v>
      </c>
      <c r="I13" t="n" s="17169">
        <v>248.0</v>
      </c>
      <c r="J13" s="17170">
        <f>HLOOKUP("BPS",A1:CV300,13,FALSE)-((-6*HLOOKUP("OG",A1:CV300,13,FALSE))+(-6*HLOOKUP("PK Miss",A1:CV300,13,FALSE))+(9*HLOOKUP("FPL As",A1:CV300,13,FALSE))+(0*HLOOKUP("CS",A1:CV300,13,FALSE))+(18*HLOOKUP("Gs",A1:CV300,13,FALSE)))</f>
      </c>
      <c r="K13" t="n" s="17171">
        <v>0.0</v>
      </c>
      <c r="L13" t="n" s="17172">
        <v>3.0</v>
      </c>
      <c r="M13" t="n" s="17173">
        <v>0.0</v>
      </c>
      <c r="N13" t="n" s="17174">
        <v>1.0</v>
      </c>
      <c r="O13" t="n" s="17175">
        <v>0.0</v>
      </c>
      <c r="P13" s="17176">
        <f>IF(HLOOKUP("Shots",A1:CV300,13,FALSE)=0,0,HLOOKUP("SIB",A1:CV300,13,FALSE)/HLOOKUP("Shots",A1:CV300,13,FALSE))</f>
      </c>
      <c r="Q13" t="n" s="17177">
        <v>0.0</v>
      </c>
      <c r="R13" s="17178">
        <f>IF(HLOOKUP("Shots",A1:CV300,13,FALSE)=0,0,HLOOKUP("S6YD",A1:CV300,13,FALSE)/HLOOKUP("Shots",A1:CV300,13,FALSE))</f>
      </c>
      <c r="S13" t="n" s="17179">
        <v>0.0</v>
      </c>
      <c r="T13" s="17180">
        <f>IF(HLOOKUP("Shots",A1:CV300,13,FALSE)=0,0,HLOOKUP("Headers",A1:CV300,13,FALSE)/HLOOKUP("Shots",A1:CV300,13,FALSE))</f>
      </c>
      <c r="U13" t="n" s="17181">
        <v>0.0</v>
      </c>
      <c r="V13" s="17182">
        <f>IF(HLOOKUP("Shots",A1:CV300,13,FALSE)=0,0,HLOOKUP("SOT",A1:CV300,13,FALSE)/HLOOKUP("Shots",A1:CV300,13,FALSE))</f>
      </c>
      <c r="W13" s="17183">
        <f>IF(HLOOKUP("Shots",A1:CV300,13,FALSE)=0,0,HLOOKUP("Gs",A1:CV300,13,FALSE)/HLOOKUP("Shots",A1:CV300,13,FALSE))</f>
      </c>
      <c r="X13" t="n" s="17184">
        <v>0.0</v>
      </c>
      <c r="Y13" t="n" s="17185">
        <v>2.0</v>
      </c>
      <c r="Z13" t="n" s="17186">
        <v>0.0</v>
      </c>
      <c r="AA13" s="17187">
        <f>IF(HLOOKUP("KP",A1:CV300,13,FALSE)=0,0,HLOOKUP("As",A1:CV300,13,FALSE)/HLOOKUP("KP",A1:CV300,13,FALSE))</f>
      </c>
      <c r="AB13" s="17188"/>
      <c r="AC13" t="n" s="17189">
        <v>0.0</v>
      </c>
      <c r="AD13" t="n" s="17190">
        <v>0.0</v>
      </c>
      <c r="AE13" t="n" s="17191">
        <v>0.0</v>
      </c>
      <c r="AF13" t="n" s="17192">
        <v>0.0</v>
      </c>
      <c r="AG13" s="17193">
        <f>IF(HLOOKUP("BC",A1:CV300,13,FALSE)=0,0,HLOOKUP("Gs - BC",A1:CV300,13,FALSE)/HLOOKUP("BC",A1:CV300,13,FALSE))</f>
      </c>
      <c r="AH13" s="17194">
        <f>HLOOKUP("BC",A1:CV300,13,FALSE) - HLOOKUP("BC Miss",A1:CV300,13,FALSE)</f>
      </c>
      <c r="AI13" s="17195">
        <f>IF(HLOOKUP("Gs",A1:CV300,13,FALSE)=0,0,HLOOKUP("Gs - BC",A1:CV300,13,FALSE)/HLOOKUP("Gs",A1:CV300,13,FALSE))</f>
      </c>
      <c r="AJ13" t="n" s="17196">
        <v>0.0</v>
      </c>
      <c r="AK13" t="n" s="17197">
        <v>0.0</v>
      </c>
      <c r="AL13" s="17198">
        <f>HLOOKUP("BC",A1:CV300,13,FALSE) - (HLOOKUP("PK Gs",A1:CV300,13,FALSE) + HLOOKUP("PK Miss",A1:CV300,13,FALSE))</f>
      </c>
      <c r="AM13" s="17199">
        <f>HLOOKUP("BC Miss",A1:CV300,13,FALSE) - HLOOKUP("PK Miss",A1:CV300,13,FALSE)</f>
      </c>
      <c r="AN13" s="17200">
        <f>IF(HLOOKUP("BC - Open",A1:CV300,13,FALSE)=0,0,HLOOKUP("BC - Open Miss",A1:CV300,13,FALSE)/HLOOKUP("BC - Open",A1:CV300,13,FALSE))</f>
      </c>
      <c r="AO13" t="n" s="17201">
        <v>0.0</v>
      </c>
      <c r="AP13" s="17202">
        <f>IF(HLOOKUP("Gs",A1:CV300,13,FALSE)=0,0,HLOOKUP("GIB",A1:CV300,13,FALSE)/HLOOKUP("Gs",A1:CV300,13,FALSE))</f>
      </c>
      <c r="AQ13" t="n" s="17203">
        <v>0.0</v>
      </c>
      <c r="AR13" s="17204">
        <f>IF(HLOOKUP("Gs",A1:CV300,13,FALSE)=0,0,HLOOKUP("Gs - Open",A1:CV300,13,FALSE)/HLOOKUP("Gs",A1:CV300,13,FALSE))</f>
      </c>
      <c r="AS13" t="n" s="17205">
        <v>0.02</v>
      </c>
      <c r="AT13" t="n" s="17206">
        <v>0.09</v>
      </c>
      <c r="AU13" s="17207">
        <f>IF(HLOOKUP("Mins",A1:CV300,13,FALSE)=0,0,HLOOKUP("Pts",A1:CV300,13,FALSE)/HLOOKUP("Mins",A1:CV300,13,FALSE)* 90)</f>
      </c>
      <c r="AV13" s="17208">
        <f>IF(HLOOKUP("Apps",A1:CV300,13,FALSE)=0,0,HLOOKUP("Pts",A1:CV300,13,FALSE)/HLOOKUP("Apps",A1:CV300,13,FALSE)* 1)</f>
      </c>
      <c r="AW13" s="17209">
        <f>IF(HLOOKUP("Mins",A1:CV300,13,FALSE)=0,0,HLOOKUP("Gs",A1:CV300,13,FALSE)/HLOOKUP("Mins",A1:CV300,13,FALSE)* 90)</f>
      </c>
      <c r="AX13" s="17210">
        <f>IF(HLOOKUP("Mins",A1:CV300,13,FALSE)=0,0,HLOOKUP("Bonus",A1:CV300,13,FALSE)/HLOOKUP("Mins",A1:CV300,13,FALSE)* 90)</f>
      </c>
      <c r="AY13" s="17211">
        <f>IF(HLOOKUP("Mins",A1:CV300,13,FALSE)=0,0,HLOOKUP("BPS",A1:CV300,13,FALSE)/HLOOKUP("Mins",A1:CV300,13,FALSE)* 90)</f>
      </c>
      <c r="AZ13" s="17212">
        <f>IF(HLOOKUP("Mins",A1:CV300,13,FALSE)=0,0,HLOOKUP("Base BPS",A1:CV300,13,FALSE)/HLOOKUP("Mins",A1:CV300,13,FALSE)* 90)</f>
      </c>
      <c r="BA13" s="17213">
        <f>IF(HLOOKUP("Mins",A1:CV300,13,FALSE)=0,0,HLOOKUP("PenTchs",A1:CV300,13,FALSE)/HLOOKUP("Mins",A1:CV300,13,FALSE)* 90)</f>
      </c>
      <c r="BB13" s="17214">
        <f>IF(HLOOKUP("Mins",A1:CV300,13,FALSE)=0,0,HLOOKUP("Shots",A1:CV300,13,FALSE)/HLOOKUP("Mins",A1:CV300,13,FALSE)* 90)</f>
      </c>
      <c r="BC13" s="17215">
        <f>IF(HLOOKUP("Mins",A1:CV300,13,FALSE)=0,0,HLOOKUP("SIB",A1:CV300,13,FALSE)/HLOOKUP("Mins",A1:CV300,13,FALSE)* 90)</f>
      </c>
      <c r="BD13" s="17216">
        <f>IF(HLOOKUP("Mins",A1:CV300,13,FALSE)=0,0,HLOOKUP("S6YD",A1:CV300,13,FALSE)/HLOOKUP("Mins",A1:CV300,13,FALSE)* 90)</f>
      </c>
      <c r="BE13" s="17217">
        <f>IF(HLOOKUP("Mins",A1:CV300,13,FALSE)=0,0,HLOOKUP("Headers",A1:CV300,13,FALSE)/HLOOKUP("Mins",A1:CV300,13,FALSE)* 90)</f>
      </c>
      <c r="BF13" s="17218">
        <f>IF(HLOOKUP("Mins",A1:CV300,13,FALSE)=0,0,HLOOKUP("SOT",A1:CV300,13,FALSE)/HLOOKUP("Mins",A1:CV300,13,FALSE)* 90)</f>
      </c>
      <c r="BG13" s="17219">
        <f>IF(HLOOKUP("Mins",A1:CV300,13,FALSE)=0,0,HLOOKUP("As",A1:CV300,13,FALSE)/HLOOKUP("Mins",A1:CV300,13,FALSE)* 90)</f>
      </c>
      <c r="BH13" s="17220">
        <f>IF(HLOOKUP("Mins",A1:CV300,13,FALSE)=0,0,HLOOKUP("FPL As",A1:CV300,13,FALSE)/HLOOKUP("Mins",A1:CV300,13,FALSE)* 90)</f>
      </c>
      <c r="BI13" s="17221">
        <f>IF(HLOOKUP("Mins",A1:CV300,13,FALSE)=0,0,HLOOKUP("BC Created",A1:CV300,13,FALSE)/HLOOKUP("Mins",A1:CV300,13,FALSE)* 90)</f>
      </c>
      <c r="BJ13" s="17222">
        <f>IF(HLOOKUP("Mins",A1:CV300,13,FALSE)=0,0,HLOOKUP("KP",A1:CV300,13,FALSE)/HLOOKUP("Mins",A1:CV300,13,FALSE)* 90)</f>
      </c>
      <c r="BK13" s="17223">
        <f>IF(HLOOKUP("Mins",A1:CV300,13,FALSE)=0,0,HLOOKUP("BC",A1:CV300,13,FALSE)/HLOOKUP("Mins",A1:CV300,13,FALSE)* 90)</f>
      </c>
      <c r="BL13" s="17224">
        <f>IF(HLOOKUP("Mins",A1:CV300,13,FALSE)=0,0,HLOOKUP("BC Miss",A1:CV300,13,FALSE)/HLOOKUP("Mins",A1:CV300,13,FALSE)* 90)</f>
      </c>
      <c r="BM13" s="17225">
        <f>IF(HLOOKUP("Mins",A1:CV300,13,FALSE)=0,0,HLOOKUP("Gs - BC",A1:CV300,13,FALSE)/HLOOKUP("Mins",A1:CV300,13,FALSE)* 90)</f>
      </c>
      <c r="BN13" s="17226">
        <f>IF(HLOOKUP("Mins",A1:CV300,13,FALSE)=0,0,HLOOKUP("GIB",A1:CV300,13,FALSE)/HLOOKUP("Mins",A1:CV300,13,FALSE)* 90)</f>
      </c>
      <c r="BO13" s="17227">
        <f>IF(HLOOKUP("Mins",A1:CV300,13,FALSE)=0,0,HLOOKUP("Gs - Open",A1:CV300,13,FALSE)/HLOOKUP("Mins",A1:CV300,13,FALSE)* 90)</f>
      </c>
      <c r="BP13" s="17228">
        <f>IF(HLOOKUP("Mins",A1:CV300,13,FALSE)=0,0,HLOOKUP("ICT Index",A1:CV300,13,FALSE)/HLOOKUP("Mins",A1:CV300,13,FALSE)* 90)</f>
      </c>
      <c r="BQ13" s="17229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</c>
      <c r="BR13" s="17230">
        <f>0.0885*HLOOKUP("KP/90",A1:CV300,13,FALSE)</f>
      </c>
      <c r="BS13" s="17231">
        <f>5*HLOOKUP("xG/90",A1:CV300,13,FALSE)+3*HLOOKUP("xA/90",A1:CV300,13,FALSE)</f>
      </c>
      <c r="BT13" s="17232">
        <f>HLOOKUP("xPts/90",A1:CV300,13,FALSE)-(5*0.75*(HLOOKUP("PK Gs",A1:CV300,13,FALSE)+HLOOKUP("PK Miss",A1:CV300,13,FALSE))*90/HLOOKUP("Mins",A1:CV300,13,FALSE))</f>
      </c>
      <c r="BU13" s="17233">
        <f>IF(HLOOKUP("Mins",A1:CV300,13,FALSE)=0,0,HLOOKUP("fsXG",A1:CV300,13,FALSE)/HLOOKUP("Mins",A1:CV300,13,FALSE)* 90)</f>
      </c>
      <c r="BV13" s="17234">
        <f>IF(HLOOKUP("Mins",A1:CV300,13,FALSE)=0,0,HLOOKUP("fsXA",A1:CV300,13,FALSE)/HLOOKUP("Mins",A1:CV300,13,FALSE)* 90)</f>
      </c>
      <c r="BW13" s="17235">
        <f>5*HLOOKUP("fsXG/90",A1:CV300,13,FALSE)+3*HLOOKUP("fsXA/90",A1:CV300,13,FALSE)</f>
      </c>
      <c r="BX13" t="n" s="17236">
        <v>0.008861002512276173</v>
      </c>
      <c r="BY13" t="n" s="17237">
        <v>0.0</v>
      </c>
      <c r="BZ13" s="17238">
        <f>5*HLOOKUP("uXG/90",A1:CV300,13,FALSE)+3*HLOOKUP("uXA/90",A1:CV300,13,FALSE)</f>
      </c>
    </row>
    <row r="14">
      <c r="A14" t="s" s="17239">
        <v>317</v>
      </c>
      <c r="B14" t="s" s="17240">
        <v>87</v>
      </c>
      <c r="C14" t="n" s="17241">
        <v>4.400000095367432</v>
      </c>
      <c r="D14" t="n" s="17242">
        <v>11.0</v>
      </c>
      <c r="E14" t="n" s="17243">
        <v>1.0</v>
      </c>
      <c r="F14" t="n" s="17244">
        <v>11.0</v>
      </c>
      <c r="G14" t="n" s="17245">
        <v>0.0</v>
      </c>
      <c r="H14" t="n" s="17246">
        <v>0.0</v>
      </c>
      <c r="I14" t="n" s="17247">
        <v>34.0</v>
      </c>
      <c r="J14" s="17248">
        <f>HLOOKUP("BPS",A1:CV300,14,FALSE)-((-6*HLOOKUP("OG",A1:CV300,14,FALSE))+(-6*HLOOKUP("PK Miss",A1:CV300,14,FALSE))+(9*HLOOKUP("FPL As",A1:CV300,14,FALSE))+(0*HLOOKUP("CS",A1:CV300,14,FALSE))+(18*HLOOKUP("Gs",A1:CV300,14,FALSE)))</f>
      </c>
      <c r="K14" t="n" s="17249">
        <v>0.0</v>
      </c>
      <c r="L14" t="n" s="17250">
        <v>0.0</v>
      </c>
      <c r="M14" t="n" s="17251">
        <v>0.0</v>
      </c>
      <c r="N14" t="n" s="17252">
        <v>0.0</v>
      </c>
      <c r="O14" t="n" s="17253">
        <v>0.0</v>
      </c>
      <c r="P14" s="17254">
        <f>IF(HLOOKUP("Shots",A1:CV300,14,FALSE)=0,0,HLOOKUP("SIB",A1:CV300,14,FALSE)/HLOOKUP("Shots",A1:CV300,14,FALSE))</f>
      </c>
      <c r="Q14" t="n" s="17255">
        <v>0.0</v>
      </c>
      <c r="R14" s="17256">
        <f>IF(HLOOKUP("Shots",A1:CV300,14,FALSE)=0,0,HLOOKUP("S6YD",A1:CV300,14,FALSE)/HLOOKUP("Shots",A1:CV300,14,FALSE))</f>
      </c>
      <c r="S14" t="n" s="17257">
        <v>0.0</v>
      </c>
      <c r="T14" s="17258">
        <f>IF(HLOOKUP("Shots",A1:CV300,14,FALSE)=0,0,HLOOKUP("Headers",A1:CV300,14,FALSE)/HLOOKUP("Shots",A1:CV300,14,FALSE))</f>
      </c>
      <c r="U14" t="n" s="17259">
        <v>0.0</v>
      </c>
      <c r="V14" s="17260">
        <f>IF(HLOOKUP("Shots",A1:CV300,14,FALSE)=0,0,HLOOKUP("SOT",A1:CV300,14,FALSE)/HLOOKUP("Shots",A1:CV300,14,FALSE))</f>
      </c>
      <c r="W14" s="17261">
        <f>IF(HLOOKUP("Shots",A1:CV300,14,FALSE)=0,0,HLOOKUP("Gs",A1:CV300,14,FALSE)/HLOOKUP("Shots",A1:CV300,14,FALSE))</f>
      </c>
      <c r="X14" t="n" s="17262">
        <v>0.0</v>
      </c>
      <c r="Y14" t="n" s="17263">
        <v>0.0</v>
      </c>
      <c r="Z14" t="n" s="17264">
        <v>0.0</v>
      </c>
      <c r="AA14" s="17265">
        <f>IF(HLOOKUP("KP",A1:CV300,14,FALSE)=0,0,HLOOKUP("As",A1:CV300,14,FALSE)/HLOOKUP("KP",A1:CV300,14,FALSE))</f>
      </c>
      <c r="AB14" s="17266"/>
      <c r="AC14" t="n" s="17267">
        <v>0.0</v>
      </c>
      <c r="AD14" t="n" s="17268">
        <v>0.0</v>
      </c>
      <c r="AE14" t="n" s="17269">
        <v>0.0</v>
      </c>
      <c r="AF14" t="n" s="17270">
        <v>0.0</v>
      </c>
      <c r="AG14" s="17271">
        <f>IF(HLOOKUP("BC",A1:CV300,14,FALSE)=0,0,HLOOKUP("Gs - BC",A1:CV300,14,FALSE)/HLOOKUP("BC",A1:CV300,14,FALSE))</f>
      </c>
      <c r="AH14" s="17272">
        <f>HLOOKUP("BC",A1:CV300,14,FALSE) - HLOOKUP("BC Miss",A1:CV300,14,FALSE)</f>
      </c>
      <c r="AI14" s="17273">
        <f>IF(HLOOKUP("Gs",A1:CV300,14,FALSE)=0,0,HLOOKUP("Gs - BC",A1:CV300,14,FALSE)/HLOOKUP("Gs",A1:CV300,14,FALSE))</f>
      </c>
      <c r="AJ14" t="n" s="17274">
        <v>0.0</v>
      </c>
      <c r="AK14" t="n" s="17275">
        <v>0.0</v>
      </c>
      <c r="AL14" s="17276">
        <f>HLOOKUP("BC",A1:CV300,14,FALSE) - (HLOOKUP("PK Gs",A1:CV300,14,FALSE) + HLOOKUP("PK Miss",A1:CV300,14,FALSE))</f>
      </c>
      <c r="AM14" s="17277">
        <f>HLOOKUP("BC Miss",A1:CV300,14,FALSE) - HLOOKUP("PK Miss",A1:CV300,14,FALSE)</f>
      </c>
      <c r="AN14" s="17278">
        <f>IF(HLOOKUP("BC - Open",A1:CV300,14,FALSE)=0,0,HLOOKUP("BC - Open Miss",A1:CV300,14,FALSE)/HLOOKUP("BC - Open",A1:CV300,14,FALSE))</f>
      </c>
      <c r="AO14" t="n" s="17279">
        <v>0.0</v>
      </c>
      <c r="AP14" s="17280">
        <f>IF(HLOOKUP("Gs",A1:CV300,14,FALSE)=0,0,HLOOKUP("GIB",A1:CV300,14,FALSE)/HLOOKUP("Gs",A1:CV300,14,FALSE))</f>
      </c>
      <c r="AQ14" t="n" s="17281">
        <v>0.0</v>
      </c>
      <c r="AR14" s="17282">
        <f>IF(HLOOKUP("Gs",A1:CV300,14,FALSE)=0,0,HLOOKUP("Gs - Open",A1:CV300,14,FALSE)/HLOOKUP("Gs",A1:CV300,14,FALSE))</f>
      </c>
      <c r="AS14" t="n" s="17283">
        <v>0.0</v>
      </c>
      <c r="AT14" t="n" s="17284">
        <v>0.0</v>
      </c>
      <c r="AU14" s="17285">
        <f>IF(HLOOKUP("Mins",A1:CV300,14,FALSE)=0,0,HLOOKUP("Pts",A1:CV300,14,FALSE)/HLOOKUP("Mins",A1:CV300,14,FALSE)* 90)</f>
      </c>
      <c r="AV14" s="17286">
        <f>IF(HLOOKUP("Apps",A1:CV300,14,FALSE)=0,0,HLOOKUP("Pts",A1:CV300,14,FALSE)/HLOOKUP("Apps",A1:CV300,14,FALSE)* 1)</f>
      </c>
      <c r="AW14" s="17287">
        <f>IF(HLOOKUP("Mins",A1:CV300,14,FALSE)=0,0,HLOOKUP("Gs",A1:CV300,14,FALSE)/HLOOKUP("Mins",A1:CV300,14,FALSE)* 90)</f>
      </c>
      <c r="AX14" s="17288">
        <f>IF(HLOOKUP("Mins",A1:CV300,14,FALSE)=0,0,HLOOKUP("Bonus",A1:CV300,14,FALSE)/HLOOKUP("Mins",A1:CV300,14,FALSE)* 90)</f>
      </c>
      <c r="AY14" s="17289">
        <f>IF(HLOOKUP("Mins",A1:CV300,14,FALSE)=0,0,HLOOKUP("BPS",A1:CV300,14,FALSE)/HLOOKUP("Mins",A1:CV300,14,FALSE)* 90)</f>
      </c>
      <c r="AZ14" s="17290">
        <f>IF(HLOOKUP("Mins",A1:CV300,14,FALSE)=0,0,HLOOKUP("Base BPS",A1:CV300,14,FALSE)/HLOOKUP("Mins",A1:CV300,14,FALSE)* 90)</f>
      </c>
      <c r="BA14" s="17291">
        <f>IF(HLOOKUP("Mins",A1:CV300,14,FALSE)=0,0,HLOOKUP("PenTchs",A1:CV300,14,FALSE)/HLOOKUP("Mins",A1:CV300,14,FALSE)* 90)</f>
      </c>
      <c r="BB14" s="17292">
        <f>IF(HLOOKUP("Mins",A1:CV300,14,FALSE)=0,0,HLOOKUP("Shots",A1:CV300,14,FALSE)/HLOOKUP("Mins",A1:CV300,14,FALSE)* 90)</f>
      </c>
      <c r="BC14" s="17293">
        <f>IF(HLOOKUP("Mins",A1:CV300,14,FALSE)=0,0,HLOOKUP("SIB",A1:CV300,14,FALSE)/HLOOKUP("Mins",A1:CV300,14,FALSE)* 90)</f>
      </c>
      <c r="BD14" s="17294">
        <f>IF(HLOOKUP("Mins",A1:CV300,14,FALSE)=0,0,HLOOKUP("S6YD",A1:CV300,14,FALSE)/HLOOKUP("Mins",A1:CV300,14,FALSE)* 90)</f>
      </c>
      <c r="BE14" s="17295">
        <f>IF(HLOOKUP("Mins",A1:CV300,14,FALSE)=0,0,HLOOKUP("Headers",A1:CV300,14,FALSE)/HLOOKUP("Mins",A1:CV300,14,FALSE)* 90)</f>
      </c>
      <c r="BF14" s="17296">
        <f>IF(HLOOKUP("Mins",A1:CV300,14,FALSE)=0,0,HLOOKUP("SOT",A1:CV300,14,FALSE)/HLOOKUP("Mins",A1:CV300,14,FALSE)* 90)</f>
      </c>
      <c r="BG14" s="17297">
        <f>IF(HLOOKUP("Mins",A1:CV300,14,FALSE)=0,0,HLOOKUP("As",A1:CV300,14,FALSE)/HLOOKUP("Mins",A1:CV300,14,FALSE)* 90)</f>
      </c>
      <c r="BH14" s="17298">
        <f>IF(HLOOKUP("Mins",A1:CV300,14,FALSE)=0,0,HLOOKUP("FPL As",A1:CV300,14,FALSE)/HLOOKUP("Mins",A1:CV300,14,FALSE)* 90)</f>
      </c>
      <c r="BI14" s="17299">
        <f>IF(HLOOKUP("Mins",A1:CV300,14,FALSE)=0,0,HLOOKUP("BC Created",A1:CV300,14,FALSE)/HLOOKUP("Mins",A1:CV300,14,FALSE)* 90)</f>
      </c>
      <c r="BJ14" s="17300">
        <f>IF(HLOOKUP("Mins",A1:CV300,14,FALSE)=0,0,HLOOKUP("KP",A1:CV300,14,FALSE)/HLOOKUP("Mins",A1:CV300,14,FALSE)* 90)</f>
      </c>
      <c r="BK14" s="17301">
        <f>IF(HLOOKUP("Mins",A1:CV300,14,FALSE)=0,0,HLOOKUP("BC",A1:CV300,14,FALSE)/HLOOKUP("Mins",A1:CV300,14,FALSE)* 90)</f>
      </c>
      <c r="BL14" s="17302">
        <f>IF(HLOOKUP("Mins",A1:CV300,14,FALSE)=0,0,HLOOKUP("BC Miss",A1:CV300,14,FALSE)/HLOOKUP("Mins",A1:CV300,14,FALSE)* 90)</f>
      </c>
      <c r="BM14" s="17303">
        <f>IF(HLOOKUP("Mins",A1:CV300,14,FALSE)=0,0,HLOOKUP("Gs - BC",A1:CV300,14,FALSE)/HLOOKUP("Mins",A1:CV300,14,FALSE)* 90)</f>
      </c>
      <c r="BN14" s="17304">
        <f>IF(HLOOKUP("Mins",A1:CV300,14,FALSE)=0,0,HLOOKUP("GIB",A1:CV300,14,FALSE)/HLOOKUP("Mins",A1:CV300,14,FALSE)* 90)</f>
      </c>
      <c r="BO14" s="17305">
        <f>IF(HLOOKUP("Mins",A1:CV300,14,FALSE)=0,0,HLOOKUP("Gs - Open",A1:CV300,14,FALSE)/HLOOKUP("Mins",A1:CV300,14,FALSE)* 90)</f>
      </c>
      <c r="BP14" s="17306">
        <f>IF(HLOOKUP("Mins",A1:CV300,14,FALSE)=0,0,HLOOKUP("ICT Index",A1:CV300,14,FALSE)/HLOOKUP("Mins",A1:CV300,14,FALSE)* 90)</f>
      </c>
      <c r="BQ14" s="17307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</c>
      <c r="BR14" s="17308">
        <f>0.0885*HLOOKUP("KP/90",A1:CV300,14,FALSE)</f>
      </c>
      <c r="BS14" s="17309">
        <f>5*HLOOKUP("xG/90",A1:CV300,14,FALSE)+3*HLOOKUP("xA/90",A1:CV300,14,FALSE)</f>
      </c>
      <c r="BT14" s="17310">
        <f>HLOOKUP("xPts/90",A1:CV300,14,FALSE)-(5*0.75*(HLOOKUP("PK Gs",A1:CV300,14,FALSE)+HLOOKUP("PK Miss",A1:CV300,14,FALSE))*90/HLOOKUP("Mins",A1:CV300,14,FALSE))</f>
      </c>
      <c r="BU14" s="17311">
        <f>IF(HLOOKUP("Mins",A1:CV300,14,FALSE)=0,0,HLOOKUP("fsXG",A1:CV300,14,FALSE)/HLOOKUP("Mins",A1:CV300,14,FALSE)* 90)</f>
      </c>
      <c r="BV14" s="17312">
        <f>IF(HLOOKUP("Mins",A1:CV300,14,FALSE)=0,0,HLOOKUP("fsXA",A1:CV300,14,FALSE)/HLOOKUP("Mins",A1:CV300,14,FALSE)* 90)</f>
      </c>
      <c r="BW14" s="17313">
        <f>5*HLOOKUP("fsXG/90",A1:CV300,14,FALSE)+3*HLOOKUP("fsXA/90",A1:CV300,14,FALSE)</f>
      </c>
      <c r="BX14" t="n" s="17314">
        <v>0.0</v>
      </c>
      <c r="BY14" t="n" s="17315">
        <v>0.0</v>
      </c>
      <c r="BZ14" s="17316">
        <f>5*HLOOKUP("uXG/90",A1:CV300,14,FALSE)+3*HLOOKUP("uXA/90",A1:CV300,14,FALSE)</f>
      </c>
    </row>
    <row r="15">
      <c r="A15" t="s" s="17317">
        <v>318</v>
      </c>
      <c r="B15" t="s" s="17318">
        <v>92</v>
      </c>
      <c r="C15" t="n" s="17319">
        <v>5.0</v>
      </c>
      <c r="D15" t="n" s="17320">
        <v>391.0</v>
      </c>
      <c r="E15" t="n" s="17321">
        <v>5.0</v>
      </c>
      <c r="F15" t="n" s="17322">
        <v>54.0</v>
      </c>
      <c r="G15" t="n" s="17323">
        <v>1.0</v>
      </c>
      <c r="H15" t="n" s="17324">
        <v>5.0</v>
      </c>
      <c r="I15" t="n" s="17325">
        <v>279.0</v>
      </c>
      <c r="J15" s="17326">
        <f>HLOOKUP("BPS",A1:CV300,15,FALSE)-((-6*HLOOKUP("OG",A1:CV300,15,FALSE))+(-6*HLOOKUP("PK Miss",A1:CV300,15,FALSE))+(9*HLOOKUP("FPL As",A1:CV300,15,FALSE))+(0*HLOOKUP("CS",A1:CV300,15,FALSE))+(18*HLOOKUP("Gs",A1:CV300,15,FALSE)))</f>
      </c>
      <c r="K15" t="n" s="17327">
        <v>0.0</v>
      </c>
      <c r="L15" t="n" s="17328">
        <v>5.0</v>
      </c>
      <c r="M15" t="n" s="17329">
        <v>11.0</v>
      </c>
      <c r="N15" t="n" s="17330">
        <v>7.0</v>
      </c>
      <c r="O15" t="n" s="17331">
        <v>3.0</v>
      </c>
      <c r="P15" s="17332">
        <f>IF(HLOOKUP("Shots",A1:CV300,15,FALSE)=0,0,HLOOKUP("SIB",A1:CV300,15,FALSE)/HLOOKUP("Shots",A1:CV300,15,FALSE))</f>
      </c>
      <c r="Q15" t="n" s="17333">
        <v>1.0</v>
      </c>
      <c r="R15" s="17334">
        <f>IF(HLOOKUP("Shots",A1:CV300,15,FALSE)=0,0,HLOOKUP("S6YD",A1:CV300,15,FALSE)/HLOOKUP("Shots",A1:CV300,15,FALSE))</f>
      </c>
      <c r="S15" t="n" s="17335">
        <v>1.0</v>
      </c>
      <c r="T15" s="17336">
        <f>IF(HLOOKUP("Shots",A1:CV300,15,FALSE)=0,0,HLOOKUP("Headers",A1:CV300,15,FALSE)/HLOOKUP("Shots",A1:CV300,15,FALSE))</f>
      </c>
      <c r="U15" t="n" s="17337">
        <v>3.0</v>
      </c>
      <c r="V15" s="17338">
        <f>IF(HLOOKUP("Shots",A1:CV300,15,FALSE)=0,0,HLOOKUP("SOT",A1:CV300,15,FALSE)/HLOOKUP("Shots",A1:CV300,15,FALSE))</f>
      </c>
      <c r="W15" s="17339">
        <f>IF(HLOOKUP("Shots",A1:CV300,15,FALSE)=0,0,HLOOKUP("Gs",A1:CV300,15,FALSE)/HLOOKUP("Shots",A1:CV300,15,FALSE))</f>
      </c>
      <c r="X15" t="n" s="17340">
        <v>0.0</v>
      </c>
      <c r="Y15" t="n" s="17341">
        <v>1.0</v>
      </c>
      <c r="Z15" t="n" s="17342">
        <v>4.0</v>
      </c>
      <c r="AA15" s="17343">
        <f>IF(HLOOKUP("KP",A1:CV300,15,FALSE)=0,0,HLOOKUP("As",A1:CV300,15,FALSE)/HLOOKUP("KP",A1:CV300,15,FALSE))</f>
      </c>
      <c r="AB15" s="17344"/>
      <c r="AC15" t="n" s="17345">
        <v>17.0</v>
      </c>
      <c r="AD15" t="n" s="17346">
        <v>0.0</v>
      </c>
      <c r="AE15" t="n" s="17347">
        <v>2.0</v>
      </c>
      <c r="AF15" t="n" s="17348">
        <v>1.0</v>
      </c>
      <c r="AG15" s="17349">
        <f>IF(HLOOKUP("BC",A1:CV300,15,FALSE)=0,0,HLOOKUP("Gs - BC",A1:CV300,15,FALSE)/HLOOKUP("BC",A1:CV300,15,FALSE))</f>
      </c>
      <c r="AH15" s="17350">
        <f>HLOOKUP("BC",A1:CV300,15,FALSE) - HLOOKUP("BC Miss",A1:CV300,15,FALSE)</f>
      </c>
      <c r="AI15" s="17351">
        <f>IF(HLOOKUP("Gs",A1:CV300,15,FALSE)=0,0,HLOOKUP("Gs - BC",A1:CV300,15,FALSE)/HLOOKUP("Gs",A1:CV300,15,FALSE))</f>
      </c>
      <c r="AJ15" t="n" s="17352">
        <v>0.0</v>
      </c>
      <c r="AK15" t="n" s="17353">
        <v>0.0</v>
      </c>
      <c r="AL15" s="17354">
        <f>HLOOKUP("BC",A1:CV300,15,FALSE) - (HLOOKUP("PK Gs",A1:CV300,15,FALSE) + HLOOKUP("PK Miss",A1:CV300,15,FALSE))</f>
      </c>
      <c r="AM15" s="17355">
        <f>HLOOKUP("BC Miss",A1:CV300,15,FALSE) - HLOOKUP("PK Miss",A1:CV300,15,FALSE)</f>
      </c>
      <c r="AN15" s="17356">
        <f>IF(HLOOKUP("BC - Open",A1:CV300,15,FALSE)=0,0,HLOOKUP("BC - Open Miss",A1:CV300,15,FALSE)/HLOOKUP("BC - Open",A1:CV300,15,FALSE))</f>
      </c>
      <c r="AO15" t="n" s="17357">
        <v>1.0</v>
      </c>
      <c r="AP15" s="17358">
        <f>IF(HLOOKUP("Gs",A1:CV300,15,FALSE)=0,0,HLOOKUP("GIB",A1:CV300,15,FALSE)/HLOOKUP("Gs",A1:CV300,15,FALSE))</f>
      </c>
      <c r="AQ15" t="n" s="17359">
        <v>0.0</v>
      </c>
      <c r="AR15" s="17360">
        <f>IF(HLOOKUP("Gs",A1:CV300,15,FALSE)=0,0,HLOOKUP("Gs - Open",A1:CV300,15,FALSE)/HLOOKUP("Gs",A1:CV300,15,FALSE))</f>
      </c>
      <c r="AS15" t="n" s="17361">
        <v>0.57</v>
      </c>
      <c r="AT15" t="n" s="17362">
        <v>0.53</v>
      </c>
      <c r="AU15" s="17363">
        <f>IF(HLOOKUP("Mins",A1:CV300,15,FALSE)=0,0,HLOOKUP("Pts",A1:CV300,15,FALSE)/HLOOKUP("Mins",A1:CV300,15,FALSE)* 90)</f>
      </c>
      <c r="AV15" s="17364">
        <f>IF(HLOOKUP("Apps",A1:CV300,15,FALSE)=0,0,HLOOKUP("Pts",A1:CV300,15,FALSE)/HLOOKUP("Apps",A1:CV300,15,FALSE)* 1)</f>
      </c>
      <c r="AW15" s="17365">
        <f>IF(HLOOKUP("Mins",A1:CV300,15,FALSE)=0,0,HLOOKUP("Gs",A1:CV300,15,FALSE)/HLOOKUP("Mins",A1:CV300,15,FALSE)* 90)</f>
      </c>
      <c r="AX15" s="17366">
        <f>IF(HLOOKUP("Mins",A1:CV300,15,FALSE)=0,0,HLOOKUP("Bonus",A1:CV300,15,FALSE)/HLOOKUP("Mins",A1:CV300,15,FALSE)* 90)</f>
      </c>
      <c r="AY15" s="17367">
        <f>IF(HLOOKUP("Mins",A1:CV300,15,FALSE)=0,0,HLOOKUP("BPS",A1:CV300,15,FALSE)/HLOOKUP("Mins",A1:CV300,15,FALSE)* 90)</f>
      </c>
      <c r="AZ15" s="17368">
        <f>IF(HLOOKUP("Mins",A1:CV300,15,FALSE)=0,0,HLOOKUP("Base BPS",A1:CV300,15,FALSE)/HLOOKUP("Mins",A1:CV300,15,FALSE)* 90)</f>
      </c>
      <c r="BA15" s="17369">
        <f>IF(HLOOKUP("Mins",A1:CV300,15,FALSE)=0,0,HLOOKUP("PenTchs",A1:CV300,15,FALSE)/HLOOKUP("Mins",A1:CV300,15,FALSE)* 90)</f>
      </c>
      <c r="BB15" s="17370">
        <f>IF(HLOOKUP("Mins",A1:CV300,15,FALSE)=0,0,HLOOKUP("Shots",A1:CV300,15,FALSE)/HLOOKUP("Mins",A1:CV300,15,FALSE)* 90)</f>
      </c>
      <c r="BC15" s="17371">
        <f>IF(HLOOKUP("Mins",A1:CV300,15,FALSE)=0,0,HLOOKUP("SIB",A1:CV300,15,FALSE)/HLOOKUP("Mins",A1:CV300,15,FALSE)* 90)</f>
      </c>
      <c r="BD15" s="17372">
        <f>IF(HLOOKUP("Mins",A1:CV300,15,FALSE)=0,0,HLOOKUP("S6YD",A1:CV300,15,FALSE)/HLOOKUP("Mins",A1:CV300,15,FALSE)* 90)</f>
      </c>
      <c r="BE15" s="17373">
        <f>IF(HLOOKUP("Mins",A1:CV300,15,FALSE)=0,0,HLOOKUP("Headers",A1:CV300,15,FALSE)/HLOOKUP("Mins",A1:CV300,15,FALSE)* 90)</f>
      </c>
      <c r="BF15" s="17374">
        <f>IF(HLOOKUP("Mins",A1:CV300,15,FALSE)=0,0,HLOOKUP("SOT",A1:CV300,15,FALSE)/HLOOKUP("Mins",A1:CV300,15,FALSE)* 90)</f>
      </c>
      <c r="BG15" s="17375">
        <f>IF(HLOOKUP("Mins",A1:CV300,15,FALSE)=0,0,HLOOKUP("As",A1:CV300,15,FALSE)/HLOOKUP("Mins",A1:CV300,15,FALSE)* 90)</f>
      </c>
      <c r="BH15" s="17376">
        <f>IF(HLOOKUP("Mins",A1:CV300,15,FALSE)=0,0,HLOOKUP("FPL As",A1:CV300,15,FALSE)/HLOOKUP("Mins",A1:CV300,15,FALSE)* 90)</f>
      </c>
      <c r="BI15" s="17377">
        <f>IF(HLOOKUP("Mins",A1:CV300,15,FALSE)=0,0,HLOOKUP("BC Created",A1:CV300,15,FALSE)/HLOOKUP("Mins",A1:CV300,15,FALSE)* 90)</f>
      </c>
      <c r="BJ15" s="17378">
        <f>IF(HLOOKUP("Mins",A1:CV300,15,FALSE)=0,0,HLOOKUP("KP",A1:CV300,15,FALSE)/HLOOKUP("Mins",A1:CV300,15,FALSE)* 90)</f>
      </c>
      <c r="BK15" s="17379">
        <f>IF(HLOOKUP("Mins",A1:CV300,15,FALSE)=0,0,HLOOKUP("BC",A1:CV300,15,FALSE)/HLOOKUP("Mins",A1:CV300,15,FALSE)* 90)</f>
      </c>
      <c r="BL15" s="17380">
        <f>IF(HLOOKUP("Mins",A1:CV300,15,FALSE)=0,0,HLOOKUP("BC Miss",A1:CV300,15,FALSE)/HLOOKUP("Mins",A1:CV300,15,FALSE)* 90)</f>
      </c>
      <c r="BM15" s="17381">
        <f>IF(HLOOKUP("Mins",A1:CV300,15,FALSE)=0,0,HLOOKUP("Gs - BC",A1:CV300,15,FALSE)/HLOOKUP("Mins",A1:CV300,15,FALSE)* 90)</f>
      </c>
      <c r="BN15" s="17382">
        <f>IF(HLOOKUP("Mins",A1:CV300,15,FALSE)=0,0,HLOOKUP("GIB",A1:CV300,15,FALSE)/HLOOKUP("Mins",A1:CV300,15,FALSE)* 90)</f>
      </c>
      <c r="BO15" s="17383">
        <f>IF(HLOOKUP("Mins",A1:CV300,15,FALSE)=0,0,HLOOKUP("Gs - Open",A1:CV300,15,FALSE)/HLOOKUP("Mins",A1:CV300,15,FALSE)* 90)</f>
      </c>
      <c r="BP15" s="17384">
        <f>IF(HLOOKUP("Mins",A1:CV300,15,FALSE)=0,0,HLOOKUP("ICT Index",A1:CV300,15,FALSE)/HLOOKUP("Mins",A1:CV300,15,FALSE)* 90)</f>
      </c>
      <c r="BQ15" s="17385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</c>
      <c r="BR15" s="17386">
        <f>0.0885*HLOOKUP("KP/90",A1:CV300,15,FALSE)</f>
      </c>
      <c r="BS15" s="17387">
        <f>5*HLOOKUP("xG/90",A1:CV300,15,FALSE)+3*HLOOKUP("xA/90",A1:CV300,15,FALSE)</f>
      </c>
      <c r="BT15" s="17388">
        <f>HLOOKUP("xPts/90",A1:CV300,15,FALSE)-(5*0.75*(HLOOKUP("PK Gs",A1:CV300,15,FALSE)+HLOOKUP("PK Miss",A1:CV300,15,FALSE))*90/HLOOKUP("Mins",A1:CV300,15,FALSE))</f>
      </c>
      <c r="BU15" s="17389">
        <f>IF(HLOOKUP("Mins",A1:CV300,15,FALSE)=0,0,HLOOKUP("fsXG",A1:CV300,15,FALSE)/HLOOKUP("Mins",A1:CV300,15,FALSE)* 90)</f>
      </c>
      <c r="BV15" s="17390">
        <f>IF(HLOOKUP("Mins",A1:CV300,15,FALSE)=0,0,HLOOKUP("fsXA",A1:CV300,15,FALSE)/HLOOKUP("Mins",A1:CV300,15,FALSE)* 90)</f>
      </c>
      <c r="BW15" s="17391">
        <f>5*HLOOKUP("fsXG/90",A1:CV300,15,FALSE)+3*HLOOKUP("fsXA/90",A1:CV300,15,FALSE)</f>
      </c>
      <c r="BX15" t="n" s="17392">
        <v>0.22552905976772308</v>
      </c>
      <c r="BY15" t="n" s="17393">
        <v>0.07332085072994232</v>
      </c>
      <c r="BZ15" s="17394">
        <f>5*HLOOKUP("uXG/90",A1:CV300,15,FALSE)+3*HLOOKUP("uXA/90",A1:CV300,15,FALSE)</f>
      </c>
    </row>
    <row r="16">
      <c r="A16" t="s" s="17395">
        <v>319</v>
      </c>
      <c r="B16" t="s" s="17396">
        <v>82</v>
      </c>
      <c r="C16" t="n" s="17397">
        <v>6.199999809265137</v>
      </c>
      <c r="D16" t="n" s="17398">
        <v>479.0</v>
      </c>
      <c r="E16" t="n" s="17399">
        <v>6.0</v>
      </c>
      <c r="F16" t="n" s="17400">
        <v>107.0</v>
      </c>
      <c r="G16" t="n" s="17401">
        <v>3.0</v>
      </c>
      <c r="H16" t="n" s="17402">
        <v>9.0</v>
      </c>
      <c r="I16" t="n" s="17403">
        <v>323.0</v>
      </c>
      <c r="J16" s="17404">
        <f>HLOOKUP("BPS",A1:CV300,16,FALSE)-((-6*HLOOKUP("OG",A1:CV300,16,FALSE))+(-6*HLOOKUP("PK Miss",A1:CV300,16,FALSE))+(9*HLOOKUP("FPL As",A1:CV300,16,FALSE))+(0*HLOOKUP("CS",A1:CV300,16,FALSE))+(18*HLOOKUP("Gs",A1:CV300,16,FALSE)))</f>
      </c>
      <c r="K16" t="n" s="17405">
        <v>0.0</v>
      </c>
      <c r="L16" t="n" s="17406">
        <v>7.0</v>
      </c>
      <c r="M16" t="n" s="17407">
        <v>32.0</v>
      </c>
      <c r="N16" t="n" s="17408">
        <v>10.0</v>
      </c>
      <c r="O16" t="n" s="17409">
        <v>9.0</v>
      </c>
      <c r="P16" s="17410">
        <f>IF(HLOOKUP("Shots",A1:CV300,16,FALSE)=0,0,HLOOKUP("SIB",A1:CV300,16,FALSE)/HLOOKUP("Shots",A1:CV300,16,FALSE))</f>
      </c>
      <c r="Q16" t="n" s="17411">
        <v>2.0</v>
      </c>
      <c r="R16" s="17412">
        <f>IF(HLOOKUP("Shots",A1:CV300,16,FALSE)=0,0,HLOOKUP("S6YD",A1:CV300,16,FALSE)/HLOOKUP("Shots",A1:CV300,16,FALSE))</f>
      </c>
      <c r="S16" t="n" s="17413">
        <v>1.0</v>
      </c>
      <c r="T16" s="17414">
        <f>IF(HLOOKUP("Shots",A1:CV300,16,FALSE)=0,0,HLOOKUP("Headers",A1:CV300,16,FALSE)/HLOOKUP("Shots",A1:CV300,16,FALSE))</f>
      </c>
      <c r="U16" t="n" s="17415">
        <v>6.0</v>
      </c>
      <c r="V16" s="17416">
        <f>IF(HLOOKUP("Shots",A1:CV300,16,FALSE)=0,0,HLOOKUP("SOT",A1:CV300,16,FALSE)/HLOOKUP("Shots",A1:CV300,16,FALSE))</f>
      </c>
      <c r="W16" s="17417">
        <f>IF(HLOOKUP("Shots",A1:CV300,16,FALSE)=0,0,HLOOKUP("Gs",A1:CV300,16,FALSE)/HLOOKUP("Shots",A1:CV300,16,FALSE))</f>
      </c>
      <c r="X16" t="n" s="17418">
        <v>1.0</v>
      </c>
      <c r="Y16" t="n" s="17419">
        <v>5.0</v>
      </c>
      <c r="Z16" t="n" s="17420">
        <v>9.0</v>
      </c>
      <c r="AA16" s="17421">
        <f>IF(HLOOKUP("KP",A1:CV300,16,FALSE)=0,0,HLOOKUP("As",A1:CV300,16,FALSE)/HLOOKUP("KP",A1:CV300,16,FALSE))</f>
      </c>
      <c r="AB16" s="17422"/>
      <c r="AC16" t="n" s="17423">
        <v>36.0</v>
      </c>
      <c r="AD16" t="n" s="17424">
        <v>3.0</v>
      </c>
      <c r="AE16" t="n" s="17425">
        <v>3.0</v>
      </c>
      <c r="AF16" t="n" s="17426">
        <v>1.0</v>
      </c>
      <c r="AG16" s="17427">
        <f>IF(HLOOKUP("BC",A1:CV300,16,FALSE)=0,0,HLOOKUP("Gs - BC",A1:CV300,16,FALSE)/HLOOKUP("BC",A1:CV300,16,FALSE))</f>
      </c>
      <c r="AH16" s="17428">
        <f>HLOOKUP("BC",A1:CV300,16,FALSE) - HLOOKUP("BC Miss",A1:CV300,16,FALSE)</f>
      </c>
      <c r="AI16" s="17429">
        <f>IF(HLOOKUP("Gs",A1:CV300,16,FALSE)=0,0,HLOOKUP("Gs - BC",A1:CV300,16,FALSE)/HLOOKUP("Gs",A1:CV300,16,FALSE))</f>
      </c>
      <c r="AJ16" t="n" s="17430">
        <v>1.0</v>
      </c>
      <c r="AK16" t="n" s="17431">
        <v>0.0</v>
      </c>
      <c r="AL16" s="17432">
        <f>HLOOKUP("BC",A1:CV300,16,FALSE) - (HLOOKUP("PK Gs",A1:CV300,16,FALSE) + HLOOKUP("PK Miss",A1:CV300,16,FALSE))</f>
      </c>
      <c r="AM16" s="17433">
        <f>HLOOKUP("BC Miss",A1:CV300,16,FALSE) - HLOOKUP("PK Miss",A1:CV300,16,FALSE)</f>
      </c>
      <c r="AN16" s="17434">
        <f>IF(HLOOKUP("BC - Open",A1:CV300,16,FALSE)=0,0,HLOOKUP("BC - Open Miss",A1:CV300,16,FALSE)/HLOOKUP("BC - Open",A1:CV300,16,FALSE))</f>
      </c>
      <c r="AO16" t="n" s="17435">
        <v>3.0</v>
      </c>
      <c r="AP16" s="17436">
        <f>IF(HLOOKUP("Gs",A1:CV300,16,FALSE)=0,0,HLOOKUP("GIB",A1:CV300,16,FALSE)/HLOOKUP("Gs",A1:CV300,16,FALSE))</f>
      </c>
      <c r="AQ16" t="n" s="17437">
        <v>2.0</v>
      </c>
      <c r="AR16" s="17438">
        <f>IF(HLOOKUP("Gs",A1:CV300,16,FALSE)=0,0,HLOOKUP("Gs - Open",A1:CV300,16,FALSE)/HLOOKUP("Gs",A1:CV300,16,FALSE))</f>
      </c>
      <c r="AS16" t="n" s="17439">
        <v>2.53</v>
      </c>
      <c r="AT16" t="n" s="17440">
        <v>1.02</v>
      </c>
      <c r="AU16" s="17441">
        <f>IF(HLOOKUP("Mins",A1:CV300,16,FALSE)=0,0,HLOOKUP("Pts",A1:CV300,16,FALSE)/HLOOKUP("Mins",A1:CV300,16,FALSE)* 90)</f>
      </c>
      <c r="AV16" s="17442">
        <f>IF(HLOOKUP("Apps",A1:CV300,16,FALSE)=0,0,HLOOKUP("Pts",A1:CV300,16,FALSE)/HLOOKUP("Apps",A1:CV300,16,FALSE)* 1)</f>
      </c>
      <c r="AW16" s="17443">
        <f>IF(HLOOKUP("Mins",A1:CV300,16,FALSE)=0,0,HLOOKUP("Gs",A1:CV300,16,FALSE)/HLOOKUP("Mins",A1:CV300,16,FALSE)* 90)</f>
      </c>
      <c r="AX16" s="17444">
        <f>IF(HLOOKUP("Mins",A1:CV300,16,FALSE)=0,0,HLOOKUP("Bonus",A1:CV300,16,FALSE)/HLOOKUP("Mins",A1:CV300,16,FALSE)* 90)</f>
      </c>
      <c r="AY16" s="17445">
        <f>IF(HLOOKUP("Mins",A1:CV300,16,FALSE)=0,0,HLOOKUP("BPS",A1:CV300,16,FALSE)/HLOOKUP("Mins",A1:CV300,16,FALSE)* 90)</f>
      </c>
      <c r="AZ16" s="17446">
        <f>IF(HLOOKUP("Mins",A1:CV300,16,FALSE)=0,0,HLOOKUP("Base BPS",A1:CV300,16,FALSE)/HLOOKUP("Mins",A1:CV300,16,FALSE)* 90)</f>
      </c>
      <c r="BA16" s="17447">
        <f>IF(HLOOKUP("Mins",A1:CV300,16,FALSE)=0,0,HLOOKUP("PenTchs",A1:CV300,16,FALSE)/HLOOKUP("Mins",A1:CV300,16,FALSE)* 90)</f>
      </c>
      <c r="BB16" s="17448">
        <f>IF(HLOOKUP("Mins",A1:CV300,16,FALSE)=0,0,HLOOKUP("Shots",A1:CV300,16,FALSE)/HLOOKUP("Mins",A1:CV300,16,FALSE)* 90)</f>
      </c>
      <c r="BC16" s="17449">
        <f>IF(HLOOKUP("Mins",A1:CV300,16,FALSE)=0,0,HLOOKUP("SIB",A1:CV300,16,FALSE)/HLOOKUP("Mins",A1:CV300,16,FALSE)* 90)</f>
      </c>
      <c r="BD16" s="17450">
        <f>IF(HLOOKUP("Mins",A1:CV300,16,FALSE)=0,0,HLOOKUP("S6YD",A1:CV300,16,FALSE)/HLOOKUP("Mins",A1:CV300,16,FALSE)* 90)</f>
      </c>
      <c r="BE16" s="17451">
        <f>IF(HLOOKUP("Mins",A1:CV300,16,FALSE)=0,0,HLOOKUP("Headers",A1:CV300,16,FALSE)/HLOOKUP("Mins",A1:CV300,16,FALSE)* 90)</f>
      </c>
      <c r="BF16" s="17452">
        <f>IF(HLOOKUP("Mins",A1:CV300,16,FALSE)=0,0,HLOOKUP("SOT",A1:CV300,16,FALSE)/HLOOKUP("Mins",A1:CV300,16,FALSE)* 90)</f>
      </c>
      <c r="BG16" s="17453">
        <f>IF(HLOOKUP("Mins",A1:CV300,16,FALSE)=0,0,HLOOKUP("As",A1:CV300,16,FALSE)/HLOOKUP("Mins",A1:CV300,16,FALSE)* 90)</f>
      </c>
      <c r="BH16" s="17454">
        <f>IF(HLOOKUP("Mins",A1:CV300,16,FALSE)=0,0,HLOOKUP("FPL As",A1:CV300,16,FALSE)/HLOOKUP("Mins",A1:CV300,16,FALSE)* 90)</f>
      </c>
      <c r="BI16" s="17455">
        <f>IF(HLOOKUP("Mins",A1:CV300,16,FALSE)=0,0,HLOOKUP("BC Created",A1:CV300,16,FALSE)/HLOOKUP("Mins",A1:CV300,16,FALSE)* 90)</f>
      </c>
      <c r="BJ16" s="17456">
        <f>IF(HLOOKUP("Mins",A1:CV300,16,FALSE)=0,0,HLOOKUP("KP",A1:CV300,16,FALSE)/HLOOKUP("Mins",A1:CV300,16,FALSE)* 90)</f>
      </c>
      <c r="BK16" s="17457">
        <f>IF(HLOOKUP("Mins",A1:CV300,16,FALSE)=0,0,HLOOKUP("BC",A1:CV300,16,FALSE)/HLOOKUP("Mins",A1:CV300,16,FALSE)* 90)</f>
      </c>
      <c r="BL16" s="17458">
        <f>IF(HLOOKUP("Mins",A1:CV300,16,FALSE)=0,0,HLOOKUP("BC Miss",A1:CV300,16,FALSE)/HLOOKUP("Mins",A1:CV300,16,FALSE)* 90)</f>
      </c>
      <c r="BM16" s="17459">
        <f>IF(HLOOKUP("Mins",A1:CV300,16,FALSE)=0,0,HLOOKUP("Gs - BC",A1:CV300,16,FALSE)/HLOOKUP("Mins",A1:CV300,16,FALSE)* 90)</f>
      </c>
      <c r="BN16" s="17460">
        <f>IF(HLOOKUP("Mins",A1:CV300,16,FALSE)=0,0,HLOOKUP("GIB",A1:CV300,16,FALSE)/HLOOKUP("Mins",A1:CV300,16,FALSE)* 90)</f>
      </c>
      <c r="BO16" s="17461">
        <f>IF(HLOOKUP("Mins",A1:CV300,16,FALSE)=0,0,HLOOKUP("Gs - Open",A1:CV300,16,FALSE)/HLOOKUP("Mins",A1:CV300,16,FALSE)* 90)</f>
      </c>
      <c r="BP16" s="17462">
        <f>IF(HLOOKUP("Mins",A1:CV300,16,FALSE)=0,0,HLOOKUP("ICT Index",A1:CV300,16,FALSE)/HLOOKUP("Mins",A1:CV300,16,FALSE)* 90)</f>
      </c>
      <c r="BQ16" s="17463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</c>
      <c r="BR16" s="17464">
        <f>0.0885*HLOOKUP("KP/90",A1:CV300,16,FALSE)</f>
      </c>
      <c r="BS16" s="17465">
        <f>5*HLOOKUP("xG/90",A1:CV300,16,FALSE)+3*HLOOKUP("xA/90",A1:CV300,16,FALSE)</f>
      </c>
      <c r="BT16" s="17466">
        <f>HLOOKUP("xPts/90",A1:CV300,16,FALSE)-(5*0.75*(HLOOKUP("PK Gs",A1:CV300,16,FALSE)+HLOOKUP("PK Miss",A1:CV300,16,FALSE))*90/HLOOKUP("Mins",A1:CV300,16,FALSE))</f>
      </c>
      <c r="BU16" s="17467">
        <f>IF(HLOOKUP("Mins",A1:CV300,16,FALSE)=0,0,HLOOKUP("fsXG",A1:CV300,16,FALSE)/HLOOKUP("Mins",A1:CV300,16,FALSE)* 90)</f>
      </c>
      <c r="BV16" s="17468">
        <f>IF(HLOOKUP("Mins",A1:CV300,16,FALSE)=0,0,HLOOKUP("fsXA",A1:CV300,16,FALSE)/HLOOKUP("Mins",A1:CV300,16,FALSE)* 90)</f>
      </c>
      <c r="BW16" s="17469">
        <f>5*HLOOKUP("fsXG/90",A1:CV300,16,FALSE)+3*HLOOKUP("fsXA/90",A1:CV300,16,FALSE)</f>
      </c>
      <c r="BX16" t="n" s="17470">
        <v>0.46689271926879883</v>
      </c>
      <c r="BY16" t="n" s="17471">
        <v>0.20560750365257263</v>
      </c>
      <c r="BZ16" s="17472">
        <f>5*HLOOKUP("uXG/90",A1:CV300,16,FALSE)+3*HLOOKUP("uXA/90",A1:CV300,16,FALSE)</f>
      </c>
    </row>
    <row r="17">
      <c r="A17" t="s" s="17473">
        <v>320</v>
      </c>
      <c r="B17" t="s" s="17474">
        <v>134</v>
      </c>
      <c r="C17" t="n" s="17475">
        <v>4.5</v>
      </c>
      <c r="D17" t="n" s="17476">
        <v>1.0</v>
      </c>
      <c r="E17" t="n" s="17477">
        <v>1.0</v>
      </c>
      <c r="F17" t="n" s="17478">
        <v>1.0</v>
      </c>
      <c r="G17" t="n" s="17479">
        <v>0.0</v>
      </c>
      <c r="H17" t="n" s="17480">
        <v>0.0</v>
      </c>
      <c r="I17" t="n" s="17481">
        <v>3.0</v>
      </c>
      <c r="J17" s="17482">
        <f>HLOOKUP("BPS",A1:CV300,17,FALSE)-((-6*HLOOKUP("OG",A1:CV300,17,FALSE))+(-6*HLOOKUP("PK Miss",A1:CV300,17,FALSE))+(9*HLOOKUP("FPL As",A1:CV300,17,FALSE))+(0*HLOOKUP("CS",A1:CV300,17,FALSE))+(18*HLOOKUP("Gs",A1:CV300,17,FALSE)))</f>
      </c>
      <c r="K17" t="n" s="17483">
        <v>0.0</v>
      </c>
      <c r="L17" t="n" s="17484">
        <v>0.0</v>
      </c>
      <c r="M17" t="n" s="17485">
        <v>0.0</v>
      </c>
      <c r="N17" t="n" s="17486">
        <v>0.0</v>
      </c>
      <c r="O17" t="n" s="17487">
        <v>0.0</v>
      </c>
      <c r="P17" s="17488">
        <f>IF(HLOOKUP("Shots",A1:CV300,17,FALSE)=0,0,HLOOKUP("SIB",A1:CV300,17,FALSE)/HLOOKUP("Shots",A1:CV300,17,FALSE))</f>
      </c>
      <c r="Q17" t="n" s="17489">
        <v>0.0</v>
      </c>
      <c r="R17" s="17490">
        <f>IF(HLOOKUP("Shots",A1:CV300,17,FALSE)=0,0,HLOOKUP("S6YD",A1:CV300,17,FALSE)/HLOOKUP("Shots",A1:CV300,17,FALSE))</f>
      </c>
      <c r="S17" t="n" s="17491">
        <v>0.0</v>
      </c>
      <c r="T17" s="17492">
        <f>IF(HLOOKUP("Shots",A1:CV300,17,FALSE)=0,0,HLOOKUP("Headers",A1:CV300,17,FALSE)/HLOOKUP("Shots",A1:CV300,17,FALSE))</f>
      </c>
      <c r="U17" t="n" s="17493">
        <v>0.0</v>
      </c>
      <c r="V17" s="17494">
        <f>IF(HLOOKUP("Shots",A1:CV300,17,FALSE)=0,0,HLOOKUP("SOT",A1:CV300,17,FALSE)/HLOOKUP("Shots",A1:CV300,17,FALSE))</f>
      </c>
      <c r="W17" s="17495">
        <f>IF(HLOOKUP("Shots",A1:CV300,17,FALSE)=0,0,HLOOKUP("Gs",A1:CV300,17,FALSE)/HLOOKUP("Shots",A1:CV300,17,FALSE))</f>
      </c>
      <c r="X17" t="n" s="17496">
        <v>0.0</v>
      </c>
      <c r="Y17" t="n" s="17497">
        <v>0.0</v>
      </c>
      <c r="Z17" t="n" s="17498">
        <v>0.0</v>
      </c>
      <c r="AA17" s="17499">
        <f>IF(HLOOKUP("KP",A1:CV300,17,FALSE)=0,0,HLOOKUP("As",A1:CV300,17,FALSE)/HLOOKUP("KP",A1:CV300,17,FALSE))</f>
      </c>
      <c r="AB17" s="17500"/>
      <c r="AC17" t="n" s="17501">
        <v>0.0</v>
      </c>
      <c r="AD17" t="n" s="17502">
        <v>0.0</v>
      </c>
      <c r="AE17" t="n" s="17503">
        <v>0.0</v>
      </c>
      <c r="AF17" t="n" s="17504">
        <v>0.0</v>
      </c>
      <c r="AG17" s="17505">
        <f>IF(HLOOKUP("BC",A1:CV300,17,FALSE)=0,0,HLOOKUP("Gs - BC",A1:CV300,17,FALSE)/HLOOKUP("BC",A1:CV300,17,FALSE))</f>
      </c>
      <c r="AH17" s="17506">
        <f>HLOOKUP("BC",A1:CV300,17,FALSE) - HLOOKUP("BC Miss",A1:CV300,17,FALSE)</f>
      </c>
      <c r="AI17" s="17507">
        <f>IF(HLOOKUP("Gs",A1:CV300,17,FALSE)=0,0,HLOOKUP("Gs - BC",A1:CV300,17,FALSE)/HLOOKUP("Gs",A1:CV300,17,FALSE))</f>
      </c>
      <c r="AJ17" t="n" s="17508">
        <v>0.0</v>
      </c>
      <c r="AK17" t="n" s="17509">
        <v>0.0</v>
      </c>
      <c r="AL17" s="17510">
        <f>HLOOKUP("BC",A1:CV300,17,FALSE) - (HLOOKUP("PK Gs",A1:CV300,17,FALSE) + HLOOKUP("PK Miss",A1:CV300,17,FALSE))</f>
      </c>
      <c r="AM17" s="17511">
        <f>HLOOKUP("BC Miss",A1:CV300,17,FALSE) - HLOOKUP("PK Miss",A1:CV300,17,FALSE)</f>
      </c>
      <c r="AN17" s="17512">
        <f>IF(HLOOKUP("BC - Open",A1:CV300,17,FALSE)=0,0,HLOOKUP("BC - Open Miss",A1:CV300,17,FALSE)/HLOOKUP("BC - Open",A1:CV300,17,FALSE))</f>
      </c>
      <c r="AO17" t="n" s="17513">
        <v>0.0</v>
      </c>
      <c r="AP17" s="17514">
        <f>IF(HLOOKUP("Gs",A1:CV300,17,FALSE)=0,0,HLOOKUP("GIB",A1:CV300,17,FALSE)/HLOOKUP("Gs",A1:CV300,17,FALSE))</f>
      </c>
      <c r="AQ17" t="n" s="17515">
        <v>0.0</v>
      </c>
      <c r="AR17" s="17516">
        <f>IF(HLOOKUP("Gs",A1:CV300,17,FALSE)=0,0,HLOOKUP("Gs - Open",A1:CV300,17,FALSE)/HLOOKUP("Gs",A1:CV300,17,FALSE))</f>
      </c>
      <c r="AS17" t="n" s="17517">
        <v>0.0</v>
      </c>
      <c r="AT17" t="n" s="17518">
        <v>0.0</v>
      </c>
      <c r="AU17" s="17519">
        <f>IF(HLOOKUP("Mins",A1:CV300,17,FALSE)=0,0,HLOOKUP("Pts",A1:CV300,17,FALSE)/HLOOKUP("Mins",A1:CV300,17,FALSE)* 90)</f>
      </c>
      <c r="AV17" s="17520">
        <f>IF(HLOOKUP("Apps",A1:CV300,17,FALSE)=0,0,HLOOKUP("Pts",A1:CV300,17,FALSE)/HLOOKUP("Apps",A1:CV300,17,FALSE)* 1)</f>
      </c>
      <c r="AW17" s="17521">
        <f>IF(HLOOKUP("Mins",A1:CV300,17,FALSE)=0,0,HLOOKUP("Gs",A1:CV300,17,FALSE)/HLOOKUP("Mins",A1:CV300,17,FALSE)* 90)</f>
      </c>
      <c r="AX17" s="17522">
        <f>IF(HLOOKUP("Mins",A1:CV300,17,FALSE)=0,0,HLOOKUP("Bonus",A1:CV300,17,FALSE)/HLOOKUP("Mins",A1:CV300,17,FALSE)* 90)</f>
      </c>
      <c r="AY17" s="17523">
        <f>IF(HLOOKUP("Mins",A1:CV300,17,FALSE)=0,0,HLOOKUP("BPS",A1:CV300,17,FALSE)/HLOOKUP("Mins",A1:CV300,17,FALSE)* 90)</f>
      </c>
      <c r="AZ17" s="17524">
        <f>IF(HLOOKUP("Mins",A1:CV300,17,FALSE)=0,0,HLOOKUP("Base BPS",A1:CV300,17,FALSE)/HLOOKUP("Mins",A1:CV300,17,FALSE)* 90)</f>
      </c>
      <c r="BA17" s="17525">
        <f>IF(HLOOKUP("Mins",A1:CV300,17,FALSE)=0,0,HLOOKUP("PenTchs",A1:CV300,17,FALSE)/HLOOKUP("Mins",A1:CV300,17,FALSE)* 90)</f>
      </c>
      <c r="BB17" s="17526">
        <f>IF(HLOOKUP("Mins",A1:CV300,17,FALSE)=0,0,HLOOKUP("Shots",A1:CV300,17,FALSE)/HLOOKUP("Mins",A1:CV300,17,FALSE)* 90)</f>
      </c>
      <c r="BC17" s="17527">
        <f>IF(HLOOKUP("Mins",A1:CV300,17,FALSE)=0,0,HLOOKUP("SIB",A1:CV300,17,FALSE)/HLOOKUP("Mins",A1:CV300,17,FALSE)* 90)</f>
      </c>
      <c r="BD17" s="17528">
        <f>IF(HLOOKUP("Mins",A1:CV300,17,FALSE)=0,0,HLOOKUP("S6YD",A1:CV300,17,FALSE)/HLOOKUP("Mins",A1:CV300,17,FALSE)* 90)</f>
      </c>
      <c r="BE17" s="17529">
        <f>IF(HLOOKUP("Mins",A1:CV300,17,FALSE)=0,0,HLOOKUP("Headers",A1:CV300,17,FALSE)/HLOOKUP("Mins",A1:CV300,17,FALSE)* 90)</f>
      </c>
      <c r="BF17" s="17530">
        <f>IF(HLOOKUP("Mins",A1:CV300,17,FALSE)=0,0,HLOOKUP("SOT",A1:CV300,17,FALSE)/HLOOKUP("Mins",A1:CV300,17,FALSE)* 90)</f>
      </c>
      <c r="BG17" s="17531">
        <f>IF(HLOOKUP("Mins",A1:CV300,17,FALSE)=0,0,HLOOKUP("As",A1:CV300,17,FALSE)/HLOOKUP("Mins",A1:CV300,17,FALSE)* 90)</f>
      </c>
      <c r="BH17" s="17532">
        <f>IF(HLOOKUP("Mins",A1:CV300,17,FALSE)=0,0,HLOOKUP("FPL As",A1:CV300,17,FALSE)/HLOOKUP("Mins",A1:CV300,17,FALSE)* 90)</f>
      </c>
      <c r="BI17" s="17533">
        <f>IF(HLOOKUP("Mins",A1:CV300,17,FALSE)=0,0,HLOOKUP("BC Created",A1:CV300,17,FALSE)/HLOOKUP("Mins",A1:CV300,17,FALSE)* 90)</f>
      </c>
      <c r="BJ17" s="17534">
        <f>IF(HLOOKUP("Mins",A1:CV300,17,FALSE)=0,0,HLOOKUP("KP",A1:CV300,17,FALSE)/HLOOKUP("Mins",A1:CV300,17,FALSE)* 90)</f>
      </c>
      <c r="BK17" s="17535">
        <f>IF(HLOOKUP("Mins",A1:CV300,17,FALSE)=0,0,HLOOKUP("BC",A1:CV300,17,FALSE)/HLOOKUP("Mins",A1:CV300,17,FALSE)* 90)</f>
      </c>
      <c r="BL17" s="17536">
        <f>IF(HLOOKUP("Mins",A1:CV300,17,FALSE)=0,0,HLOOKUP("BC Miss",A1:CV300,17,FALSE)/HLOOKUP("Mins",A1:CV300,17,FALSE)* 90)</f>
      </c>
      <c r="BM17" s="17537">
        <f>IF(HLOOKUP("Mins",A1:CV300,17,FALSE)=0,0,HLOOKUP("Gs - BC",A1:CV300,17,FALSE)/HLOOKUP("Mins",A1:CV300,17,FALSE)* 90)</f>
      </c>
      <c r="BN17" s="17538">
        <f>IF(HLOOKUP("Mins",A1:CV300,17,FALSE)=0,0,HLOOKUP("GIB",A1:CV300,17,FALSE)/HLOOKUP("Mins",A1:CV300,17,FALSE)* 90)</f>
      </c>
      <c r="BO17" s="17539">
        <f>IF(HLOOKUP("Mins",A1:CV300,17,FALSE)=0,0,HLOOKUP("Gs - Open",A1:CV300,17,FALSE)/HLOOKUP("Mins",A1:CV300,17,FALSE)* 90)</f>
      </c>
      <c r="BP17" s="17540">
        <f>IF(HLOOKUP("Mins",A1:CV300,17,FALSE)=0,0,HLOOKUP("ICT Index",A1:CV300,17,FALSE)/HLOOKUP("Mins",A1:CV300,17,FALSE)* 90)</f>
      </c>
      <c r="BQ17" s="17541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</c>
      <c r="BR17" s="17542">
        <f>0.0885*HLOOKUP("KP/90",A1:CV300,17,FALSE)</f>
      </c>
      <c r="BS17" s="17543">
        <f>5*HLOOKUP("xG/90",A1:CV300,17,FALSE)+3*HLOOKUP("xA/90",A1:CV300,17,FALSE)</f>
      </c>
      <c r="BT17" s="17544">
        <f>HLOOKUP("xPts/90",A1:CV300,17,FALSE)-(5*0.75*(HLOOKUP("PK Gs",A1:CV300,17,FALSE)+HLOOKUP("PK Miss",A1:CV300,17,FALSE))*90/HLOOKUP("Mins",A1:CV300,17,FALSE))</f>
      </c>
      <c r="BU17" s="17545">
        <f>IF(HLOOKUP("Mins",A1:CV300,17,FALSE)=0,0,HLOOKUP("fsXG",A1:CV300,17,FALSE)/HLOOKUP("Mins",A1:CV300,17,FALSE)* 90)</f>
      </c>
      <c r="BV17" s="17546">
        <f>IF(HLOOKUP("Mins",A1:CV300,17,FALSE)=0,0,HLOOKUP("fsXA",A1:CV300,17,FALSE)/HLOOKUP("Mins",A1:CV300,17,FALSE)* 90)</f>
      </c>
      <c r="BW17" s="17547">
        <f>5*HLOOKUP("fsXG/90",A1:CV300,17,FALSE)+3*HLOOKUP("fsXA/90",A1:CV300,17,FALSE)</f>
      </c>
      <c r="BX17" t="n" s="17548">
        <v>0.0</v>
      </c>
      <c r="BY17" t="n" s="17549">
        <v>0.0</v>
      </c>
      <c r="BZ17" s="17550">
        <f>5*HLOOKUP("uXG/90",A1:CV300,17,FALSE)+3*HLOOKUP("uXA/90",A1:CV300,17,FALSE)</f>
      </c>
    </row>
    <row r="18">
      <c r="A18" t="s" s="17551">
        <v>321</v>
      </c>
      <c r="B18" t="s" s="17552">
        <v>131</v>
      </c>
      <c r="C18" t="n" s="17553">
        <v>5.800000190734863</v>
      </c>
      <c r="D18" t="n" s="17554">
        <v>462.0</v>
      </c>
      <c r="E18" t="n" s="17555">
        <v>6.0</v>
      </c>
      <c r="F18" t="n" s="17556">
        <v>104.0</v>
      </c>
      <c r="G18" t="n" s="17557">
        <v>0.0</v>
      </c>
      <c r="H18" t="n" s="17558">
        <v>14.0</v>
      </c>
      <c r="I18" t="n" s="17559">
        <v>443.0</v>
      </c>
      <c r="J18" s="17560">
        <f>HLOOKUP("BPS",A1:CV300,18,FALSE)-((-6*HLOOKUP("OG",A1:CV300,18,FALSE))+(-6*HLOOKUP("PK Miss",A1:CV300,18,FALSE))+(9*HLOOKUP("FPL As",A1:CV300,18,FALSE))+(0*HLOOKUP("CS",A1:CV300,18,FALSE))+(18*HLOOKUP("Gs",A1:CV300,18,FALSE)))</f>
      </c>
      <c r="K18" t="n" s="17561">
        <v>0.0</v>
      </c>
      <c r="L18" t="n" s="17562">
        <v>4.0</v>
      </c>
      <c r="M18" t="n" s="17563">
        <v>25.0</v>
      </c>
      <c r="N18" t="n" s="17564">
        <v>6.0</v>
      </c>
      <c r="O18" t="n" s="17565">
        <v>4.0</v>
      </c>
      <c r="P18" s="17566">
        <f>IF(HLOOKUP("Shots",A1:CV300,18,FALSE)=0,0,HLOOKUP("SIB",A1:CV300,18,FALSE)/HLOOKUP("Shots",A1:CV300,18,FALSE))</f>
      </c>
      <c r="Q18" t="n" s="17567">
        <v>0.0</v>
      </c>
      <c r="R18" s="17568">
        <f>IF(HLOOKUP("Shots",A1:CV300,18,FALSE)=0,0,HLOOKUP("S6YD",A1:CV300,18,FALSE)/HLOOKUP("Shots",A1:CV300,18,FALSE))</f>
      </c>
      <c r="S18" t="n" s="17569">
        <v>0.0</v>
      </c>
      <c r="T18" s="17570">
        <f>IF(HLOOKUP("Shots",A1:CV300,18,FALSE)=0,0,HLOOKUP("Headers",A1:CV300,18,FALSE)/HLOOKUP("Shots",A1:CV300,18,FALSE))</f>
      </c>
      <c r="U18" t="n" s="17571">
        <v>2.0</v>
      </c>
      <c r="V18" s="17572">
        <f>IF(HLOOKUP("Shots",A1:CV300,18,FALSE)=0,0,HLOOKUP("SOT",A1:CV300,18,FALSE)/HLOOKUP("Shots",A1:CV300,18,FALSE))</f>
      </c>
      <c r="W18" s="17573">
        <f>IF(HLOOKUP("Shots",A1:CV300,18,FALSE)=0,0,HLOOKUP("Gs",A1:CV300,18,FALSE)/HLOOKUP("Shots",A1:CV300,18,FALSE))</f>
      </c>
      <c r="X18" t="n" s="17574">
        <v>3.0</v>
      </c>
      <c r="Y18" t="n" s="17575">
        <v>7.0</v>
      </c>
      <c r="Z18" t="n" s="17576">
        <v>12.0</v>
      </c>
      <c r="AA18" s="17577">
        <f>IF(HLOOKUP("KP",A1:CV300,18,FALSE)=0,0,HLOOKUP("As",A1:CV300,18,FALSE)/HLOOKUP("KP",A1:CV300,18,FALSE))</f>
      </c>
      <c r="AB18" s="17578"/>
      <c r="AC18" t="n" s="17579">
        <v>50.0</v>
      </c>
      <c r="AD18" t="n" s="17580">
        <v>5.0</v>
      </c>
      <c r="AE18" t="n" s="17581">
        <v>0.0</v>
      </c>
      <c r="AF18" t="n" s="17582">
        <v>0.0</v>
      </c>
      <c r="AG18" s="17583">
        <f>IF(HLOOKUP("BC",A1:CV300,18,FALSE)=0,0,HLOOKUP("Gs - BC",A1:CV300,18,FALSE)/HLOOKUP("BC",A1:CV300,18,FALSE))</f>
      </c>
      <c r="AH18" s="17584">
        <f>HLOOKUP("BC",A1:CV300,18,FALSE) - HLOOKUP("BC Miss",A1:CV300,18,FALSE)</f>
      </c>
      <c r="AI18" s="17585">
        <f>IF(HLOOKUP("Gs",A1:CV300,18,FALSE)=0,0,HLOOKUP("Gs - BC",A1:CV300,18,FALSE)/HLOOKUP("Gs",A1:CV300,18,FALSE))</f>
      </c>
      <c r="AJ18" t="n" s="17586">
        <v>0.0</v>
      </c>
      <c r="AK18" t="n" s="17587">
        <v>0.0</v>
      </c>
      <c r="AL18" s="17588">
        <f>HLOOKUP("BC",A1:CV300,18,FALSE) - (HLOOKUP("PK Gs",A1:CV300,18,FALSE) + HLOOKUP("PK Miss",A1:CV300,18,FALSE))</f>
      </c>
      <c r="AM18" s="17589">
        <f>HLOOKUP("BC Miss",A1:CV300,18,FALSE) - HLOOKUP("PK Miss",A1:CV300,18,FALSE)</f>
      </c>
      <c r="AN18" s="17590">
        <f>IF(HLOOKUP("BC - Open",A1:CV300,18,FALSE)=0,0,HLOOKUP("BC - Open Miss",A1:CV300,18,FALSE)/HLOOKUP("BC - Open",A1:CV300,18,FALSE))</f>
      </c>
      <c r="AO18" t="n" s="17591">
        <v>0.0</v>
      </c>
      <c r="AP18" s="17592">
        <f>IF(HLOOKUP("Gs",A1:CV300,18,FALSE)=0,0,HLOOKUP("GIB",A1:CV300,18,FALSE)/HLOOKUP("Gs",A1:CV300,18,FALSE))</f>
      </c>
      <c r="AQ18" t="n" s="17593">
        <v>0.0</v>
      </c>
      <c r="AR18" s="17594">
        <f>IF(HLOOKUP("Gs",A1:CV300,18,FALSE)=0,0,HLOOKUP("Gs - Open",A1:CV300,18,FALSE)/HLOOKUP("Gs",A1:CV300,18,FALSE))</f>
      </c>
      <c r="AS18" t="n" s="17595">
        <v>0.3</v>
      </c>
      <c r="AT18" t="n" s="17596">
        <v>1.27</v>
      </c>
      <c r="AU18" s="17597">
        <f>IF(HLOOKUP("Mins",A1:CV300,18,FALSE)=0,0,HLOOKUP("Pts",A1:CV300,18,FALSE)/HLOOKUP("Mins",A1:CV300,18,FALSE)* 90)</f>
      </c>
      <c r="AV18" s="17598">
        <f>IF(HLOOKUP("Apps",A1:CV300,18,FALSE)=0,0,HLOOKUP("Pts",A1:CV300,18,FALSE)/HLOOKUP("Apps",A1:CV300,18,FALSE)* 1)</f>
      </c>
      <c r="AW18" s="17599">
        <f>IF(HLOOKUP("Mins",A1:CV300,18,FALSE)=0,0,HLOOKUP("Gs",A1:CV300,18,FALSE)/HLOOKUP("Mins",A1:CV300,18,FALSE)* 90)</f>
      </c>
      <c r="AX18" s="17600">
        <f>IF(HLOOKUP("Mins",A1:CV300,18,FALSE)=0,0,HLOOKUP("Bonus",A1:CV300,18,FALSE)/HLOOKUP("Mins",A1:CV300,18,FALSE)* 90)</f>
      </c>
      <c r="AY18" s="17601">
        <f>IF(HLOOKUP("Mins",A1:CV300,18,FALSE)=0,0,HLOOKUP("BPS",A1:CV300,18,FALSE)/HLOOKUP("Mins",A1:CV300,18,FALSE)* 90)</f>
      </c>
      <c r="AZ18" s="17602">
        <f>IF(HLOOKUP("Mins",A1:CV300,18,FALSE)=0,0,HLOOKUP("Base BPS",A1:CV300,18,FALSE)/HLOOKUP("Mins",A1:CV300,18,FALSE)* 90)</f>
      </c>
      <c r="BA18" s="17603">
        <f>IF(HLOOKUP("Mins",A1:CV300,18,FALSE)=0,0,HLOOKUP("PenTchs",A1:CV300,18,FALSE)/HLOOKUP("Mins",A1:CV300,18,FALSE)* 90)</f>
      </c>
      <c r="BB18" s="17604">
        <f>IF(HLOOKUP("Mins",A1:CV300,18,FALSE)=0,0,HLOOKUP("Shots",A1:CV300,18,FALSE)/HLOOKUP("Mins",A1:CV300,18,FALSE)* 90)</f>
      </c>
      <c r="BC18" s="17605">
        <f>IF(HLOOKUP("Mins",A1:CV300,18,FALSE)=0,0,HLOOKUP("SIB",A1:CV300,18,FALSE)/HLOOKUP("Mins",A1:CV300,18,FALSE)* 90)</f>
      </c>
      <c r="BD18" s="17606">
        <f>IF(HLOOKUP("Mins",A1:CV300,18,FALSE)=0,0,HLOOKUP("S6YD",A1:CV300,18,FALSE)/HLOOKUP("Mins",A1:CV300,18,FALSE)* 90)</f>
      </c>
      <c r="BE18" s="17607">
        <f>IF(HLOOKUP("Mins",A1:CV300,18,FALSE)=0,0,HLOOKUP("Headers",A1:CV300,18,FALSE)/HLOOKUP("Mins",A1:CV300,18,FALSE)* 90)</f>
      </c>
      <c r="BF18" s="17608">
        <f>IF(HLOOKUP("Mins",A1:CV300,18,FALSE)=0,0,HLOOKUP("SOT",A1:CV300,18,FALSE)/HLOOKUP("Mins",A1:CV300,18,FALSE)* 90)</f>
      </c>
      <c r="BG18" s="17609">
        <f>IF(HLOOKUP("Mins",A1:CV300,18,FALSE)=0,0,HLOOKUP("As",A1:CV300,18,FALSE)/HLOOKUP("Mins",A1:CV300,18,FALSE)* 90)</f>
      </c>
      <c r="BH18" s="17610">
        <f>IF(HLOOKUP("Mins",A1:CV300,18,FALSE)=0,0,HLOOKUP("FPL As",A1:CV300,18,FALSE)/HLOOKUP("Mins",A1:CV300,18,FALSE)* 90)</f>
      </c>
      <c r="BI18" s="17611">
        <f>IF(HLOOKUP("Mins",A1:CV300,18,FALSE)=0,0,HLOOKUP("BC Created",A1:CV300,18,FALSE)/HLOOKUP("Mins",A1:CV300,18,FALSE)* 90)</f>
      </c>
      <c r="BJ18" s="17612">
        <f>IF(HLOOKUP("Mins",A1:CV300,18,FALSE)=0,0,HLOOKUP("KP",A1:CV300,18,FALSE)/HLOOKUP("Mins",A1:CV300,18,FALSE)* 90)</f>
      </c>
      <c r="BK18" s="17613">
        <f>IF(HLOOKUP("Mins",A1:CV300,18,FALSE)=0,0,HLOOKUP("BC",A1:CV300,18,FALSE)/HLOOKUP("Mins",A1:CV300,18,FALSE)* 90)</f>
      </c>
      <c r="BL18" s="17614">
        <f>IF(HLOOKUP("Mins",A1:CV300,18,FALSE)=0,0,HLOOKUP("BC Miss",A1:CV300,18,FALSE)/HLOOKUP("Mins",A1:CV300,18,FALSE)* 90)</f>
      </c>
      <c r="BM18" s="17615">
        <f>IF(HLOOKUP("Mins",A1:CV300,18,FALSE)=0,0,HLOOKUP("Gs - BC",A1:CV300,18,FALSE)/HLOOKUP("Mins",A1:CV300,18,FALSE)* 90)</f>
      </c>
      <c r="BN18" s="17616">
        <f>IF(HLOOKUP("Mins",A1:CV300,18,FALSE)=0,0,HLOOKUP("GIB",A1:CV300,18,FALSE)/HLOOKUP("Mins",A1:CV300,18,FALSE)* 90)</f>
      </c>
      <c r="BO18" s="17617">
        <f>IF(HLOOKUP("Mins",A1:CV300,18,FALSE)=0,0,HLOOKUP("Gs - Open",A1:CV300,18,FALSE)/HLOOKUP("Mins",A1:CV300,18,FALSE)* 90)</f>
      </c>
      <c r="BP18" s="17618">
        <f>IF(HLOOKUP("Mins",A1:CV300,18,FALSE)=0,0,HLOOKUP("ICT Index",A1:CV300,18,FALSE)/HLOOKUP("Mins",A1:CV300,18,FALSE)* 90)</f>
      </c>
      <c r="BQ18" s="17619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</c>
      <c r="BR18" s="17620">
        <f>0.0885*HLOOKUP("KP/90",A1:CV300,18,FALSE)</f>
      </c>
      <c r="BS18" s="17621">
        <f>5*HLOOKUP("xG/90",A1:CV300,18,FALSE)+3*HLOOKUP("xA/90",A1:CV300,18,FALSE)</f>
      </c>
      <c r="BT18" s="17622">
        <f>HLOOKUP("xPts/90",A1:CV300,18,FALSE)-(5*0.75*(HLOOKUP("PK Gs",A1:CV300,18,FALSE)+HLOOKUP("PK Miss",A1:CV300,18,FALSE))*90/HLOOKUP("Mins",A1:CV300,18,FALSE))</f>
      </c>
      <c r="BU18" s="17623">
        <f>IF(HLOOKUP("Mins",A1:CV300,18,FALSE)=0,0,HLOOKUP("fsXG",A1:CV300,18,FALSE)/HLOOKUP("Mins",A1:CV300,18,FALSE)* 90)</f>
      </c>
      <c r="BV18" s="17624">
        <f>IF(HLOOKUP("Mins",A1:CV300,18,FALSE)=0,0,HLOOKUP("fsXA",A1:CV300,18,FALSE)/HLOOKUP("Mins",A1:CV300,18,FALSE)* 90)</f>
      </c>
      <c r="BW18" s="17625">
        <f>5*HLOOKUP("fsXG/90",A1:CV300,18,FALSE)+3*HLOOKUP("fsXA/90",A1:CV300,18,FALSE)</f>
      </c>
      <c r="BX18" t="n" s="17626">
        <v>0.05359592288732529</v>
      </c>
      <c r="BY18" t="n" s="17627">
        <v>0.4523511230945587</v>
      </c>
      <c r="BZ18" s="17628">
        <f>5*HLOOKUP("uXG/90",A1:CV300,18,FALSE)+3*HLOOKUP("uXA/90",A1:CV300,18,FALSE)</f>
      </c>
    </row>
    <row r="19">
      <c r="A19" t="s" s="17629">
        <v>322</v>
      </c>
      <c r="B19" t="s" s="17630">
        <v>114</v>
      </c>
      <c r="C19" t="n" s="17631">
        <v>6.599999904632568</v>
      </c>
      <c r="D19" t="n" s="17632">
        <v>158.0</v>
      </c>
      <c r="E19" t="n" s="17633">
        <v>2.0</v>
      </c>
      <c r="F19" t="n" s="17634">
        <v>57.0</v>
      </c>
      <c r="G19" t="n" s="17635">
        <v>1.0</v>
      </c>
      <c r="H19" t="n" s="17636">
        <v>1.0</v>
      </c>
      <c r="I19" t="n" s="17637">
        <v>282.0</v>
      </c>
      <c r="J19" s="17638">
        <f>HLOOKUP("BPS",A1:CV300,19,FALSE)-((-6*HLOOKUP("OG",A1:CV300,19,FALSE))+(-6*HLOOKUP("PK Miss",A1:CV300,19,FALSE))+(9*HLOOKUP("FPL As",A1:CV300,19,FALSE))+(0*HLOOKUP("CS",A1:CV300,19,FALSE))+(18*HLOOKUP("Gs",A1:CV300,19,FALSE)))</f>
      </c>
      <c r="K19" t="n" s="17639">
        <v>0.0</v>
      </c>
      <c r="L19" t="n" s="17640">
        <v>6.0</v>
      </c>
      <c r="M19" t="n" s="17641">
        <v>9.0</v>
      </c>
      <c r="N19" t="n" s="17642">
        <v>3.0</v>
      </c>
      <c r="O19" t="n" s="17643">
        <v>2.0</v>
      </c>
      <c r="P19" s="17644">
        <f>IF(HLOOKUP("Shots",A1:CV300,19,FALSE)=0,0,HLOOKUP("SIB",A1:CV300,19,FALSE)/HLOOKUP("Shots",A1:CV300,19,FALSE))</f>
      </c>
      <c r="Q19" t="n" s="17645">
        <v>0.0</v>
      </c>
      <c r="R19" s="17646">
        <f>IF(HLOOKUP("Shots",A1:CV300,19,FALSE)=0,0,HLOOKUP("S6YD",A1:CV300,19,FALSE)/HLOOKUP("Shots",A1:CV300,19,FALSE))</f>
      </c>
      <c r="S19" t="n" s="17647">
        <v>0.0</v>
      </c>
      <c r="T19" s="17648">
        <f>IF(HLOOKUP("Shots",A1:CV300,19,FALSE)=0,0,HLOOKUP("Headers",A1:CV300,19,FALSE)/HLOOKUP("Shots",A1:CV300,19,FALSE))</f>
      </c>
      <c r="U19" t="n" s="17649">
        <v>1.0</v>
      </c>
      <c r="V19" s="17650">
        <f>IF(HLOOKUP("Shots",A1:CV300,19,FALSE)=0,0,HLOOKUP("SOT",A1:CV300,19,FALSE)/HLOOKUP("Shots",A1:CV300,19,FALSE))</f>
      </c>
      <c r="W19" s="17651">
        <f>IF(HLOOKUP("Shots",A1:CV300,19,FALSE)=0,0,HLOOKUP("Gs",A1:CV300,19,FALSE)/HLOOKUP("Shots",A1:CV300,19,FALSE))</f>
      </c>
      <c r="X19" t="n" s="17652">
        <v>0.0</v>
      </c>
      <c r="Y19" t="n" s="17653">
        <v>4.0</v>
      </c>
      <c r="Z19" t="n" s="17654">
        <v>2.0</v>
      </c>
      <c r="AA19" s="17655">
        <f>IF(HLOOKUP("KP",A1:CV300,19,FALSE)=0,0,HLOOKUP("As",A1:CV300,19,FALSE)/HLOOKUP("KP",A1:CV300,19,FALSE))</f>
      </c>
      <c r="AB19" s="17656"/>
      <c r="AC19" t="n" s="17657">
        <v>25.0</v>
      </c>
      <c r="AD19" t="n" s="17658">
        <v>0.0</v>
      </c>
      <c r="AE19" t="n" s="17659">
        <v>2.0</v>
      </c>
      <c r="AF19" t="n" s="17660">
        <v>1.0</v>
      </c>
      <c r="AG19" s="17661">
        <f>IF(HLOOKUP("BC",A1:CV300,19,FALSE)=0,0,HLOOKUP("Gs - BC",A1:CV300,19,FALSE)/HLOOKUP("BC",A1:CV300,19,FALSE))</f>
      </c>
      <c r="AH19" s="17662">
        <f>HLOOKUP("BC",A1:CV300,19,FALSE) - HLOOKUP("BC Miss",A1:CV300,19,FALSE)</f>
      </c>
      <c r="AI19" s="17663">
        <f>IF(HLOOKUP("Gs",A1:CV300,19,FALSE)=0,0,HLOOKUP("Gs - BC",A1:CV300,19,FALSE)/HLOOKUP("Gs",A1:CV300,19,FALSE))</f>
      </c>
      <c r="AJ19" t="n" s="17664">
        <v>0.0</v>
      </c>
      <c r="AK19" t="n" s="17665">
        <v>0.0</v>
      </c>
      <c r="AL19" s="17666">
        <f>HLOOKUP("BC",A1:CV300,19,FALSE) - (HLOOKUP("PK Gs",A1:CV300,19,FALSE) + HLOOKUP("PK Miss",A1:CV300,19,FALSE))</f>
      </c>
      <c r="AM19" s="17667">
        <f>HLOOKUP("BC Miss",A1:CV300,19,FALSE) - HLOOKUP("PK Miss",A1:CV300,19,FALSE)</f>
      </c>
      <c r="AN19" s="17668">
        <f>IF(HLOOKUP("BC - Open",A1:CV300,19,FALSE)=0,0,HLOOKUP("BC - Open Miss",A1:CV300,19,FALSE)/HLOOKUP("BC - Open",A1:CV300,19,FALSE))</f>
      </c>
      <c r="AO19" t="n" s="17669">
        <v>1.0</v>
      </c>
      <c r="AP19" s="17670">
        <f>IF(HLOOKUP("Gs",A1:CV300,19,FALSE)=0,0,HLOOKUP("GIB",A1:CV300,19,FALSE)/HLOOKUP("Gs",A1:CV300,19,FALSE))</f>
      </c>
      <c r="AQ19" t="n" s="17671">
        <v>1.0</v>
      </c>
      <c r="AR19" s="17672">
        <f>IF(HLOOKUP("Gs",A1:CV300,19,FALSE)=0,0,HLOOKUP("Gs - Open",A1:CV300,19,FALSE)/HLOOKUP("Gs",A1:CV300,19,FALSE))</f>
      </c>
      <c r="AS19" t="n" s="17673">
        <v>0.82</v>
      </c>
      <c r="AT19" t="n" s="17674">
        <v>0.08</v>
      </c>
      <c r="AU19" s="17675">
        <f>IF(HLOOKUP("Mins",A1:CV300,19,FALSE)=0,0,HLOOKUP("Pts",A1:CV300,19,FALSE)/HLOOKUP("Mins",A1:CV300,19,FALSE)* 90)</f>
      </c>
      <c r="AV19" s="17676">
        <f>IF(HLOOKUP("Apps",A1:CV300,19,FALSE)=0,0,HLOOKUP("Pts",A1:CV300,19,FALSE)/HLOOKUP("Apps",A1:CV300,19,FALSE)* 1)</f>
      </c>
      <c r="AW19" s="17677">
        <f>IF(HLOOKUP("Mins",A1:CV300,19,FALSE)=0,0,HLOOKUP("Gs",A1:CV300,19,FALSE)/HLOOKUP("Mins",A1:CV300,19,FALSE)* 90)</f>
      </c>
      <c r="AX19" s="17678">
        <f>IF(HLOOKUP("Mins",A1:CV300,19,FALSE)=0,0,HLOOKUP("Bonus",A1:CV300,19,FALSE)/HLOOKUP("Mins",A1:CV300,19,FALSE)* 90)</f>
      </c>
      <c r="AY19" s="17679">
        <f>IF(HLOOKUP("Mins",A1:CV300,19,FALSE)=0,0,HLOOKUP("BPS",A1:CV300,19,FALSE)/HLOOKUP("Mins",A1:CV300,19,FALSE)* 90)</f>
      </c>
      <c r="AZ19" s="17680">
        <f>IF(HLOOKUP("Mins",A1:CV300,19,FALSE)=0,0,HLOOKUP("Base BPS",A1:CV300,19,FALSE)/HLOOKUP("Mins",A1:CV300,19,FALSE)* 90)</f>
      </c>
      <c r="BA19" s="17681">
        <f>IF(HLOOKUP("Mins",A1:CV300,19,FALSE)=0,0,HLOOKUP("PenTchs",A1:CV300,19,FALSE)/HLOOKUP("Mins",A1:CV300,19,FALSE)* 90)</f>
      </c>
      <c r="BB19" s="17682">
        <f>IF(HLOOKUP("Mins",A1:CV300,19,FALSE)=0,0,HLOOKUP("Shots",A1:CV300,19,FALSE)/HLOOKUP("Mins",A1:CV300,19,FALSE)* 90)</f>
      </c>
      <c r="BC19" s="17683">
        <f>IF(HLOOKUP("Mins",A1:CV300,19,FALSE)=0,0,HLOOKUP("SIB",A1:CV300,19,FALSE)/HLOOKUP("Mins",A1:CV300,19,FALSE)* 90)</f>
      </c>
      <c r="BD19" s="17684">
        <f>IF(HLOOKUP("Mins",A1:CV300,19,FALSE)=0,0,HLOOKUP("S6YD",A1:CV300,19,FALSE)/HLOOKUP("Mins",A1:CV300,19,FALSE)* 90)</f>
      </c>
      <c r="BE19" s="17685">
        <f>IF(HLOOKUP("Mins",A1:CV300,19,FALSE)=0,0,HLOOKUP("Headers",A1:CV300,19,FALSE)/HLOOKUP("Mins",A1:CV300,19,FALSE)* 90)</f>
      </c>
      <c r="BF19" s="17686">
        <f>IF(HLOOKUP("Mins",A1:CV300,19,FALSE)=0,0,HLOOKUP("SOT",A1:CV300,19,FALSE)/HLOOKUP("Mins",A1:CV300,19,FALSE)* 90)</f>
      </c>
      <c r="BG19" s="17687">
        <f>IF(HLOOKUP("Mins",A1:CV300,19,FALSE)=0,0,HLOOKUP("As",A1:CV300,19,FALSE)/HLOOKUP("Mins",A1:CV300,19,FALSE)* 90)</f>
      </c>
      <c r="BH19" s="17688">
        <f>IF(HLOOKUP("Mins",A1:CV300,19,FALSE)=0,0,HLOOKUP("FPL As",A1:CV300,19,FALSE)/HLOOKUP("Mins",A1:CV300,19,FALSE)* 90)</f>
      </c>
      <c r="BI19" s="17689">
        <f>IF(HLOOKUP("Mins",A1:CV300,19,FALSE)=0,0,HLOOKUP("BC Created",A1:CV300,19,FALSE)/HLOOKUP("Mins",A1:CV300,19,FALSE)* 90)</f>
      </c>
      <c r="BJ19" s="17690">
        <f>IF(HLOOKUP("Mins",A1:CV300,19,FALSE)=0,0,HLOOKUP("KP",A1:CV300,19,FALSE)/HLOOKUP("Mins",A1:CV300,19,FALSE)* 90)</f>
      </c>
      <c r="BK19" s="17691">
        <f>IF(HLOOKUP("Mins",A1:CV300,19,FALSE)=0,0,HLOOKUP("BC",A1:CV300,19,FALSE)/HLOOKUP("Mins",A1:CV300,19,FALSE)* 90)</f>
      </c>
      <c r="BL19" s="17692">
        <f>IF(HLOOKUP("Mins",A1:CV300,19,FALSE)=0,0,HLOOKUP("BC Miss",A1:CV300,19,FALSE)/HLOOKUP("Mins",A1:CV300,19,FALSE)* 90)</f>
      </c>
      <c r="BM19" s="17693">
        <f>IF(HLOOKUP("Mins",A1:CV300,19,FALSE)=0,0,HLOOKUP("Gs - BC",A1:CV300,19,FALSE)/HLOOKUP("Mins",A1:CV300,19,FALSE)* 90)</f>
      </c>
      <c r="BN19" s="17694">
        <f>IF(HLOOKUP("Mins",A1:CV300,19,FALSE)=0,0,HLOOKUP("GIB",A1:CV300,19,FALSE)/HLOOKUP("Mins",A1:CV300,19,FALSE)* 90)</f>
      </c>
      <c r="BO19" s="17695">
        <f>IF(HLOOKUP("Mins",A1:CV300,19,FALSE)=0,0,HLOOKUP("Gs - Open",A1:CV300,19,FALSE)/HLOOKUP("Mins",A1:CV300,19,FALSE)* 90)</f>
      </c>
      <c r="BP19" s="17696">
        <f>IF(HLOOKUP("Mins",A1:CV300,19,FALSE)=0,0,HLOOKUP("ICT Index",A1:CV300,19,FALSE)/HLOOKUP("Mins",A1:CV300,19,FALSE)* 90)</f>
      </c>
      <c r="BQ19" s="17697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</c>
      <c r="BR19" s="17698">
        <f>0.0885*HLOOKUP("KP/90",A1:CV300,19,FALSE)</f>
      </c>
      <c r="BS19" s="17699">
        <f>5*HLOOKUP("xG/90",A1:CV300,19,FALSE)+3*HLOOKUP("xA/90",A1:CV300,19,FALSE)</f>
      </c>
      <c r="BT19" s="17700">
        <f>HLOOKUP("xPts/90",A1:CV300,19,FALSE)-(5*0.75*(HLOOKUP("PK Gs",A1:CV300,19,FALSE)+HLOOKUP("PK Miss",A1:CV300,19,FALSE))*90/HLOOKUP("Mins",A1:CV300,19,FALSE))</f>
      </c>
      <c r="BU19" s="17701">
        <f>IF(HLOOKUP("Mins",A1:CV300,19,FALSE)=0,0,HLOOKUP("fsXG",A1:CV300,19,FALSE)/HLOOKUP("Mins",A1:CV300,19,FALSE)* 90)</f>
      </c>
      <c r="BV19" s="17702">
        <f>IF(HLOOKUP("Mins",A1:CV300,19,FALSE)=0,0,HLOOKUP("fsXA",A1:CV300,19,FALSE)/HLOOKUP("Mins",A1:CV300,19,FALSE)* 90)</f>
      </c>
      <c r="BW19" s="17703">
        <f>5*HLOOKUP("fsXG/90",A1:CV300,19,FALSE)+3*HLOOKUP("fsXA/90",A1:CV300,19,FALSE)</f>
      </c>
      <c r="BX19" t="n" s="17704">
        <v>0.2802703380584717</v>
      </c>
      <c r="BY19" t="n" s="17705">
        <v>0.05783558264374733</v>
      </c>
      <c r="BZ19" s="17706">
        <f>5*HLOOKUP("uXG/90",A1:CV300,19,FALSE)+3*HLOOKUP("uXA/90",A1:CV300,19,FALSE)</f>
      </c>
    </row>
    <row r="20">
      <c r="A20" t="s" s="17707">
        <v>323</v>
      </c>
      <c r="B20" t="s" s="17708">
        <v>116</v>
      </c>
      <c r="C20" t="n" s="17709">
        <v>4.800000190734863</v>
      </c>
      <c r="D20" t="n" s="17710">
        <v>540.0</v>
      </c>
      <c r="E20" t="n" s="17711">
        <v>6.0</v>
      </c>
      <c r="F20" t="n" s="17712">
        <v>56.0</v>
      </c>
      <c r="G20" t="n" s="17713">
        <v>0.0</v>
      </c>
      <c r="H20" t="n" s="17714">
        <v>5.0</v>
      </c>
      <c r="I20" t="n" s="17715">
        <v>290.0</v>
      </c>
      <c r="J20" s="17716">
        <f>HLOOKUP("BPS",A1:CV300,20,FALSE)-((-6*HLOOKUP("OG",A1:CV300,20,FALSE))+(-6*HLOOKUP("PK Miss",A1:CV300,20,FALSE))+(9*HLOOKUP("FPL As",A1:CV300,20,FALSE))+(0*HLOOKUP("CS",A1:CV300,20,FALSE))+(18*HLOOKUP("Gs",A1:CV300,20,FALSE)))</f>
      </c>
      <c r="K20" t="n" s="17717">
        <v>0.0</v>
      </c>
      <c r="L20" t="n" s="17718">
        <v>6.0</v>
      </c>
      <c r="M20" t="n" s="17719">
        <v>5.0</v>
      </c>
      <c r="N20" t="n" s="17720">
        <v>5.0</v>
      </c>
      <c r="O20" t="n" s="17721">
        <v>0.0</v>
      </c>
      <c r="P20" s="17722">
        <f>IF(HLOOKUP("Shots",A1:CV300,20,FALSE)=0,0,HLOOKUP("SIB",A1:CV300,20,FALSE)/HLOOKUP("Shots",A1:CV300,20,FALSE))</f>
      </c>
      <c r="Q20" t="n" s="17723">
        <v>0.0</v>
      </c>
      <c r="R20" s="17724">
        <f>IF(HLOOKUP("Shots",A1:CV300,20,FALSE)=0,0,HLOOKUP("S6YD",A1:CV300,20,FALSE)/HLOOKUP("Shots",A1:CV300,20,FALSE))</f>
      </c>
      <c r="S20" t="n" s="17725">
        <v>0.0</v>
      </c>
      <c r="T20" s="17726">
        <f>IF(HLOOKUP("Shots",A1:CV300,20,FALSE)=0,0,HLOOKUP("Headers",A1:CV300,20,FALSE)/HLOOKUP("Shots",A1:CV300,20,FALSE))</f>
      </c>
      <c r="U20" t="n" s="17727">
        <v>0.0</v>
      </c>
      <c r="V20" s="17728">
        <f>IF(HLOOKUP("Shots",A1:CV300,20,FALSE)=0,0,HLOOKUP("SOT",A1:CV300,20,FALSE)/HLOOKUP("Shots",A1:CV300,20,FALSE))</f>
      </c>
      <c r="W20" s="17729">
        <f>IF(HLOOKUP("Shots",A1:CV300,20,FALSE)=0,0,HLOOKUP("Gs",A1:CV300,20,FALSE)/HLOOKUP("Shots",A1:CV300,20,FALSE))</f>
      </c>
      <c r="X20" t="n" s="17730">
        <v>1.0</v>
      </c>
      <c r="Y20" t="n" s="17731">
        <v>3.0</v>
      </c>
      <c r="Z20" t="n" s="17732">
        <v>3.0</v>
      </c>
      <c r="AA20" s="17733">
        <f>IF(HLOOKUP("KP",A1:CV300,20,FALSE)=0,0,HLOOKUP("As",A1:CV300,20,FALSE)/HLOOKUP("KP",A1:CV300,20,FALSE))</f>
      </c>
      <c r="AB20" s="17734"/>
      <c r="AC20" t="n" s="17735">
        <v>11.0</v>
      </c>
      <c r="AD20" t="n" s="17736">
        <v>0.0</v>
      </c>
      <c r="AE20" t="n" s="17737">
        <v>0.0</v>
      </c>
      <c r="AF20" t="n" s="17738">
        <v>0.0</v>
      </c>
      <c r="AG20" s="17739">
        <f>IF(HLOOKUP("BC",A1:CV300,20,FALSE)=0,0,HLOOKUP("Gs - BC",A1:CV300,20,FALSE)/HLOOKUP("BC",A1:CV300,20,FALSE))</f>
      </c>
      <c r="AH20" s="17740">
        <f>HLOOKUP("BC",A1:CV300,20,FALSE) - HLOOKUP("BC Miss",A1:CV300,20,FALSE)</f>
      </c>
      <c r="AI20" s="17741">
        <f>IF(HLOOKUP("Gs",A1:CV300,20,FALSE)=0,0,HLOOKUP("Gs - BC",A1:CV300,20,FALSE)/HLOOKUP("Gs",A1:CV300,20,FALSE))</f>
      </c>
      <c r="AJ20" t="n" s="17742">
        <v>0.0</v>
      </c>
      <c r="AK20" t="n" s="17743">
        <v>0.0</v>
      </c>
      <c r="AL20" s="17744">
        <f>HLOOKUP("BC",A1:CV300,20,FALSE) - (HLOOKUP("PK Gs",A1:CV300,20,FALSE) + HLOOKUP("PK Miss",A1:CV300,20,FALSE))</f>
      </c>
      <c r="AM20" s="17745">
        <f>HLOOKUP("BC Miss",A1:CV300,20,FALSE) - HLOOKUP("PK Miss",A1:CV300,20,FALSE)</f>
      </c>
      <c r="AN20" s="17746">
        <f>IF(HLOOKUP("BC - Open",A1:CV300,20,FALSE)=0,0,HLOOKUP("BC - Open Miss",A1:CV300,20,FALSE)/HLOOKUP("BC - Open",A1:CV300,20,FALSE))</f>
      </c>
      <c r="AO20" t="n" s="17747">
        <v>0.0</v>
      </c>
      <c r="AP20" s="17748">
        <f>IF(HLOOKUP("Gs",A1:CV300,20,FALSE)=0,0,HLOOKUP("GIB",A1:CV300,20,FALSE)/HLOOKUP("Gs",A1:CV300,20,FALSE))</f>
      </c>
      <c r="AQ20" t="n" s="17749">
        <v>0.0</v>
      </c>
      <c r="AR20" s="17750">
        <f>IF(HLOOKUP("Gs",A1:CV300,20,FALSE)=0,0,HLOOKUP("Gs - Open",A1:CV300,20,FALSE)/HLOOKUP("Gs",A1:CV300,20,FALSE))</f>
      </c>
      <c r="AS20" t="n" s="17751">
        <v>0.18</v>
      </c>
      <c r="AT20" t="n" s="17752">
        <v>0.19</v>
      </c>
      <c r="AU20" s="17753">
        <f>IF(HLOOKUP("Mins",A1:CV300,20,FALSE)=0,0,HLOOKUP("Pts",A1:CV300,20,FALSE)/HLOOKUP("Mins",A1:CV300,20,FALSE)* 90)</f>
      </c>
      <c r="AV20" s="17754">
        <f>IF(HLOOKUP("Apps",A1:CV300,20,FALSE)=0,0,HLOOKUP("Pts",A1:CV300,20,FALSE)/HLOOKUP("Apps",A1:CV300,20,FALSE)* 1)</f>
      </c>
      <c r="AW20" s="17755">
        <f>IF(HLOOKUP("Mins",A1:CV300,20,FALSE)=0,0,HLOOKUP("Gs",A1:CV300,20,FALSE)/HLOOKUP("Mins",A1:CV300,20,FALSE)* 90)</f>
      </c>
      <c r="AX20" s="17756">
        <f>IF(HLOOKUP("Mins",A1:CV300,20,FALSE)=0,0,HLOOKUP("Bonus",A1:CV300,20,FALSE)/HLOOKUP("Mins",A1:CV300,20,FALSE)* 90)</f>
      </c>
      <c r="AY20" s="17757">
        <f>IF(HLOOKUP("Mins",A1:CV300,20,FALSE)=0,0,HLOOKUP("BPS",A1:CV300,20,FALSE)/HLOOKUP("Mins",A1:CV300,20,FALSE)* 90)</f>
      </c>
      <c r="AZ20" s="17758">
        <f>IF(HLOOKUP("Mins",A1:CV300,20,FALSE)=0,0,HLOOKUP("Base BPS",A1:CV300,20,FALSE)/HLOOKUP("Mins",A1:CV300,20,FALSE)* 90)</f>
      </c>
      <c r="BA20" s="17759">
        <f>IF(HLOOKUP("Mins",A1:CV300,20,FALSE)=0,0,HLOOKUP("PenTchs",A1:CV300,20,FALSE)/HLOOKUP("Mins",A1:CV300,20,FALSE)* 90)</f>
      </c>
      <c r="BB20" s="17760">
        <f>IF(HLOOKUP("Mins",A1:CV300,20,FALSE)=0,0,HLOOKUP("Shots",A1:CV300,20,FALSE)/HLOOKUP("Mins",A1:CV300,20,FALSE)* 90)</f>
      </c>
      <c r="BC20" s="17761">
        <f>IF(HLOOKUP("Mins",A1:CV300,20,FALSE)=0,0,HLOOKUP("SIB",A1:CV300,20,FALSE)/HLOOKUP("Mins",A1:CV300,20,FALSE)* 90)</f>
      </c>
      <c r="BD20" s="17762">
        <f>IF(HLOOKUP("Mins",A1:CV300,20,FALSE)=0,0,HLOOKUP("S6YD",A1:CV300,20,FALSE)/HLOOKUP("Mins",A1:CV300,20,FALSE)* 90)</f>
      </c>
      <c r="BE20" s="17763">
        <f>IF(HLOOKUP("Mins",A1:CV300,20,FALSE)=0,0,HLOOKUP("Headers",A1:CV300,20,FALSE)/HLOOKUP("Mins",A1:CV300,20,FALSE)* 90)</f>
      </c>
      <c r="BF20" s="17764">
        <f>IF(HLOOKUP("Mins",A1:CV300,20,FALSE)=0,0,HLOOKUP("SOT",A1:CV300,20,FALSE)/HLOOKUP("Mins",A1:CV300,20,FALSE)* 90)</f>
      </c>
      <c r="BG20" s="17765">
        <f>IF(HLOOKUP("Mins",A1:CV300,20,FALSE)=0,0,HLOOKUP("As",A1:CV300,20,FALSE)/HLOOKUP("Mins",A1:CV300,20,FALSE)* 90)</f>
      </c>
      <c r="BH20" s="17766">
        <f>IF(HLOOKUP("Mins",A1:CV300,20,FALSE)=0,0,HLOOKUP("FPL As",A1:CV300,20,FALSE)/HLOOKUP("Mins",A1:CV300,20,FALSE)* 90)</f>
      </c>
      <c r="BI20" s="17767">
        <f>IF(HLOOKUP("Mins",A1:CV300,20,FALSE)=0,0,HLOOKUP("BC Created",A1:CV300,20,FALSE)/HLOOKUP("Mins",A1:CV300,20,FALSE)* 90)</f>
      </c>
      <c r="BJ20" s="17768">
        <f>IF(HLOOKUP("Mins",A1:CV300,20,FALSE)=0,0,HLOOKUP("KP",A1:CV300,20,FALSE)/HLOOKUP("Mins",A1:CV300,20,FALSE)* 90)</f>
      </c>
      <c r="BK20" s="17769">
        <f>IF(HLOOKUP("Mins",A1:CV300,20,FALSE)=0,0,HLOOKUP("BC",A1:CV300,20,FALSE)/HLOOKUP("Mins",A1:CV300,20,FALSE)* 90)</f>
      </c>
      <c r="BL20" s="17770">
        <f>IF(HLOOKUP("Mins",A1:CV300,20,FALSE)=0,0,HLOOKUP("BC Miss",A1:CV300,20,FALSE)/HLOOKUP("Mins",A1:CV300,20,FALSE)* 90)</f>
      </c>
      <c r="BM20" s="17771">
        <f>IF(HLOOKUP("Mins",A1:CV300,20,FALSE)=0,0,HLOOKUP("Gs - BC",A1:CV300,20,FALSE)/HLOOKUP("Mins",A1:CV300,20,FALSE)* 90)</f>
      </c>
      <c r="BN20" s="17772">
        <f>IF(HLOOKUP("Mins",A1:CV300,20,FALSE)=0,0,HLOOKUP("GIB",A1:CV300,20,FALSE)/HLOOKUP("Mins",A1:CV300,20,FALSE)* 90)</f>
      </c>
      <c r="BO20" s="17773">
        <f>IF(HLOOKUP("Mins",A1:CV300,20,FALSE)=0,0,HLOOKUP("Gs - Open",A1:CV300,20,FALSE)/HLOOKUP("Mins",A1:CV300,20,FALSE)* 90)</f>
      </c>
      <c r="BP20" s="17774">
        <f>IF(HLOOKUP("Mins",A1:CV300,20,FALSE)=0,0,HLOOKUP("ICT Index",A1:CV300,20,FALSE)/HLOOKUP("Mins",A1:CV300,20,FALSE)* 90)</f>
      </c>
      <c r="BQ20" s="17775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</c>
      <c r="BR20" s="17776">
        <f>0.0885*HLOOKUP("KP/90",A1:CV300,20,FALSE)</f>
      </c>
      <c r="BS20" s="17777">
        <f>5*HLOOKUP("xG/90",A1:CV300,20,FALSE)+3*HLOOKUP("xA/90",A1:CV300,20,FALSE)</f>
      </c>
      <c r="BT20" s="17778">
        <f>HLOOKUP("xPts/90",A1:CV300,20,FALSE)-(5*0.75*(HLOOKUP("PK Gs",A1:CV300,20,FALSE)+HLOOKUP("PK Miss",A1:CV300,20,FALSE))*90/HLOOKUP("Mins",A1:CV300,20,FALSE))</f>
      </c>
      <c r="BU20" s="17779">
        <f>IF(HLOOKUP("Mins",A1:CV300,20,FALSE)=0,0,HLOOKUP("fsXG",A1:CV300,20,FALSE)/HLOOKUP("Mins",A1:CV300,20,FALSE)* 90)</f>
      </c>
      <c r="BV20" s="17780">
        <f>IF(HLOOKUP("Mins",A1:CV300,20,FALSE)=0,0,HLOOKUP("fsXA",A1:CV300,20,FALSE)/HLOOKUP("Mins",A1:CV300,20,FALSE)* 90)</f>
      </c>
      <c r="BW20" s="17781">
        <f>5*HLOOKUP("fsXG/90",A1:CV300,20,FALSE)+3*HLOOKUP("fsXA/90",A1:CV300,20,FALSE)</f>
      </c>
      <c r="BX20" t="n" s="17782">
        <v>0.02490590326488018</v>
      </c>
      <c r="BY20" t="n" s="17783">
        <v>0.045227110385894775</v>
      </c>
      <c r="BZ20" s="17784">
        <f>5*HLOOKUP("uXG/90",A1:CV300,20,FALSE)+3*HLOOKUP("uXA/90",A1:CV300,20,FALSE)</f>
      </c>
    </row>
    <row r="21">
      <c r="A21" t="s" s="17785">
        <v>324</v>
      </c>
      <c r="B21" t="s" s="17786">
        <v>109</v>
      </c>
      <c r="C21" t="n" s="17787">
        <v>5.0</v>
      </c>
      <c r="D21" t="n" s="17788">
        <v>45.0</v>
      </c>
      <c r="E21" t="n" s="17789">
        <v>1.0</v>
      </c>
      <c r="F21" t="n" s="17790">
        <v>13.0</v>
      </c>
      <c r="G21" t="n" s="17791">
        <v>0.0</v>
      </c>
      <c r="H21" t="n" s="17792">
        <v>0.0</v>
      </c>
      <c r="I21" t="n" s="17793">
        <v>65.0</v>
      </c>
      <c r="J21" s="17794">
        <f>HLOOKUP("BPS",A1:CV300,21,FALSE)-((-6*HLOOKUP("OG",A1:CV300,21,FALSE))+(-6*HLOOKUP("PK Miss",A1:CV300,21,FALSE))+(9*HLOOKUP("FPL As",A1:CV300,21,FALSE))+(0*HLOOKUP("CS",A1:CV300,21,FALSE))+(18*HLOOKUP("Gs",A1:CV300,21,FALSE)))</f>
      </c>
      <c r="K21" t="n" s="17795">
        <v>0.0</v>
      </c>
      <c r="L21" t="n" s="17796">
        <v>1.0</v>
      </c>
      <c r="M21" t="n" s="17797">
        <v>1.0</v>
      </c>
      <c r="N21" t="n" s="17798">
        <v>0.0</v>
      </c>
      <c r="O21" t="n" s="17799">
        <v>0.0</v>
      </c>
      <c r="P21" s="17800">
        <f>IF(HLOOKUP("Shots",A1:CV300,21,FALSE)=0,0,HLOOKUP("SIB",A1:CV300,21,FALSE)/HLOOKUP("Shots",A1:CV300,21,FALSE))</f>
      </c>
      <c r="Q21" t="n" s="17801">
        <v>0.0</v>
      </c>
      <c r="R21" s="17802">
        <f>IF(HLOOKUP("Shots",A1:CV300,21,FALSE)=0,0,HLOOKUP("S6YD",A1:CV300,21,FALSE)/HLOOKUP("Shots",A1:CV300,21,FALSE))</f>
      </c>
      <c r="S21" t="n" s="17803">
        <v>0.0</v>
      </c>
      <c r="T21" s="17804">
        <f>IF(HLOOKUP("Shots",A1:CV300,21,FALSE)=0,0,HLOOKUP("Headers",A1:CV300,21,FALSE)/HLOOKUP("Shots",A1:CV300,21,FALSE))</f>
      </c>
      <c r="U21" t="n" s="17805">
        <v>0.0</v>
      </c>
      <c r="V21" s="17806">
        <f>IF(HLOOKUP("Shots",A1:CV300,21,FALSE)=0,0,HLOOKUP("SOT",A1:CV300,21,FALSE)/HLOOKUP("Shots",A1:CV300,21,FALSE))</f>
      </c>
      <c r="W21" s="17807">
        <f>IF(HLOOKUP("Shots",A1:CV300,21,FALSE)=0,0,HLOOKUP("Gs",A1:CV300,21,FALSE)/HLOOKUP("Shots",A1:CV300,21,FALSE))</f>
      </c>
      <c r="X21" t="n" s="17808">
        <v>0.0</v>
      </c>
      <c r="Y21" t="n" s="17809">
        <v>0.0</v>
      </c>
      <c r="Z21" t="n" s="17810">
        <v>0.0</v>
      </c>
      <c r="AA21" s="17811">
        <f>IF(HLOOKUP("KP",A1:CV300,21,FALSE)=0,0,HLOOKUP("As",A1:CV300,21,FALSE)/HLOOKUP("KP",A1:CV300,21,FALSE))</f>
      </c>
      <c r="AB21" s="17812"/>
      <c r="AC21" t="n" s="17813">
        <v>0.0</v>
      </c>
      <c r="AD21" t="n" s="17814">
        <v>0.0</v>
      </c>
      <c r="AE21" t="n" s="17815">
        <v>0.0</v>
      </c>
      <c r="AF21" t="n" s="17816">
        <v>0.0</v>
      </c>
      <c r="AG21" s="17817">
        <f>IF(HLOOKUP("BC",A1:CV300,21,FALSE)=0,0,HLOOKUP("Gs - BC",A1:CV300,21,FALSE)/HLOOKUP("BC",A1:CV300,21,FALSE))</f>
      </c>
      <c r="AH21" s="17818">
        <f>HLOOKUP("BC",A1:CV300,21,FALSE) - HLOOKUP("BC Miss",A1:CV300,21,FALSE)</f>
      </c>
      <c r="AI21" s="17819">
        <f>IF(HLOOKUP("Gs",A1:CV300,21,FALSE)=0,0,HLOOKUP("Gs - BC",A1:CV300,21,FALSE)/HLOOKUP("Gs",A1:CV300,21,FALSE))</f>
      </c>
      <c r="AJ21" t="n" s="17820">
        <v>0.0</v>
      </c>
      <c r="AK21" t="n" s="17821">
        <v>0.0</v>
      </c>
      <c r="AL21" s="17822">
        <f>HLOOKUP("BC",A1:CV300,21,FALSE) - (HLOOKUP("PK Gs",A1:CV300,21,FALSE) + HLOOKUP("PK Miss",A1:CV300,21,FALSE))</f>
      </c>
      <c r="AM21" s="17823">
        <f>HLOOKUP("BC Miss",A1:CV300,21,FALSE) - HLOOKUP("PK Miss",A1:CV300,21,FALSE)</f>
      </c>
      <c r="AN21" s="17824">
        <f>IF(HLOOKUP("BC - Open",A1:CV300,21,FALSE)=0,0,HLOOKUP("BC - Open Miss",A1:CV300,21,FALSE)/HLOOKUP("BC - Open",A1:CV300,21,FALSE))</f>
      </c>
      <c r="AO21" t="n" s="17825">
        <v>0.0</v>
      </c>
      <c r="AP21" s="17826">
        <f>IF(HLOOKUP("Gs",A1:CV300,21,FALSE)=0,0,HLOOKUP("GIB",A1:CV300,21,FALSE)/HLOOKUP("Gs",A1:CV300,21,FALSE))</f>
      </c>
      <c r="AQ21" t="n" s="17827">
        <v>0.0</v>
      </c>
      <c r="AR21" s="17828">
        <f>IF(HLOOKUP("Gs",A1:CV300,21,FALSE)=0,0,HLOOKUP("Gs - Open",A1:CV300,21,FALSE)/HLOOKUP("Gs",A1:CV300,21,FALSE))</f>
      </c>
      <c r="AS21" t="n" s="17829">
        <v>0.0</v>
      </c>
      <c r="AT21" t="n" s="17830">
        <v>0.0</v>
      </c>
      <c r="AU21" s="17831">
        <f>IF(HLOOKUP("Mins",A1:CV300,21,FALSE)=0,0,HLOOKUP("Pts",A1:CV300,21,FALSE)/HLOOKUP("Mins",A1:CV300,21,FALSE)* 90)</f>
      </c>
      <c r="AV21" s="17832">
        <f>IF(HLOOKUP("Apps",A1:CV300,21,FALSE)=0,0,HLOOKUP("Pts",A1:CV300,21,FALSE)/HLOOKUP("Apps",A1:CV300,21,FALSE)* 1)</f>
      </c>
      <c r="AW21" s="17833">
        <f>IF(HLOOKUP("Mins",A1:CV300,21,FALSE)=0,0,HLOOKUP("Gs",A1:CV300,21,FALSE)/HLOOKUP("Mins",A1:CV300,21,FALSE)* 90)</f>
      </c>
      <c r="AX21" s="17834">
        <f>IF(HLOOKUP("Mins",A1:CV300,21,FALSE)=0,0,HLOOKUP("Bonus",A1:CV300,21,FALSE)/HLOOKUP("Mins",A1:CV300,21,FALSE)* 90)</f>
      </c>
      <c r="AY21" s="17835">
        <f>IF(HLOOKUP("Mins",A1:CV300,21,FALSE)=0,0,HLOOKUP("BPS",A1:CV300,21,FALSE)/HLOOKUP("Mins",A1:CV300,21,FALSE)* 90)</f>
      </c>
      <c r="AZ21" s="17836">
        <f>IF(HLOOKUP("Mins",A1:CV300,21,FALSE)=0,0,HLOOKUP("Base BPS",A1:CV300,21,FALSE)/HLOOKUP("Mins",A1:CV300,21,FALSE)* 90)</f>
      </c>
      <c r="BA21" s="17837">
        <f>IF(HLOOKUP("Mins",A1:CV300,21,FALSE)=0,0,HLOOKUP("PenTchs",A1:CV300,21,FALSE)/HLOOKUP("Mins",A1:CV300,21,FALSE)* 90)</f>
      </c>
      <c r="BB21" s="17838">
        <f>IF(HLOOKUP("Mins",A1:CV300,21,FALSE)=0,0,HLOOKUP("Shots",A1:CV300,21,FALSE)/HLOOKUP("Mins",A1:CV300,21,FALSE)* 90)</f>
      </c>
      <c r="BC21" s="17839">
        <f>IF(HLOOKUP("Mins",A1:CV300,21,FALSE)=0,0,HLOOKUP("SIB",A1:CV300,21,FALSE)/HLOOKUP("Mins",A1:CV300,21,FALSE)* 90)</f>
      </c>
      <c r="BD21" s="17840">
        <f>IF(HLOOKUP("Mins",A1:CV300,21,FALSE)=0,0,HLOOKUP("S6YD",A1:CV300,21,FALSE)/HLOOKUP("Mins",A1:CV300,21,FALSE)* 90)</f>
      </c>
      <c r="BE21" s="17841">
        <f>IF(HLOOKUP("Mins",A1:CV300,21,FALSE)=0,0,HLOOKUP("Headers",A1:CV300,21,FALSE)/HLOOKUP("Mins",A1:CV300,21,FALSE)* 90)</f>
      </c>
      <c r="BF21" s="17842">
        <f>IF(HLOOKUP("Mins",A1:CV300,21,FALSE)=0,0,HLOOKUP("SOT",A1:CV300,21,FALSE)/HLOOKUP("Mins",A1:CV300,21,FALSE)* 90)</f>
      </c>
      <c r="BG21" s="17843">
        <f>IF(HLOOKUP("Mins",A1:CV300,21,FALSE)=0,0,HLOOKUP("As",A1:CV300,21,FALSE)/HLOOKUP("Mins",A1:CV300,21,FALSE)* 90)</f>
      </c>
      <c r="BH21" s="17844">
        <f>IF(HLOOKUP("Mins",A1:CV300,21,FALSE)=0,0,HLOOKUP("FPL As",A1:CV300,21,FALSE)/HLOOKUP("Mins",A1:CV300,21,FALSE)* 90)</f>
      </c>
      <c r="BI21" s="17845">
        <f>IF(HLOOKUP("Mins",A1:CV300,21,FALSE)=0,0,HLOOKUP("BC Created",A1:CV300,21,FALSE)/HLOOKUP("Mins",A1:CV300,21,FALSE)* 90)</f>
      </c>
      <c r="BJ21" s="17846">
        <f>IF(HLOOKUP("Mins",A1:CV300,21,FALSE)=0,0,HLOOKUP("KP",A1:CV300,21,FALSE)/HLOOKUP("Mins",A1:CV300,21,FALSE)* 90)</f>
      </c>
      <c r="BK21" s="17847">
        <f>IF(HLOOKUP("Mins",A1:CV300,21,FALSE)=0,0,HLOOKUP("BC",A1:CV300,21,FALSE)/HLOOKUP("Mins",A1:CV300,21,FALSE)* 90)</f>
      </c>
      <c r="BL21" s="17848">
        <f>IF(HLOOKUP("Mins",A1:CV300,21,FALSE)=0,0,HLOOKUP("BC Miss",A1:CV300,21,FALSE)/HLOOKUP("Mins",A1:CV300,21,FALSE)* 90)</f>
      </c>
      <c r="BM21" s="17849">
        <f>IF(HLOOKUP("Mins",A1:CV300,21,FALSE)=0,0,HLOOKUP("Gs - BC",A1:CV300,21,FALSE)/HLOOKUP("Mins",A1:CV300,21,FALSE)* 90)</f>
      </c>
      <c r="BN21" s="17850">
        <f>IF(HLOOKUP("Mins",A1:CV300,21,FALSE)=0,0,HLOOKUP("GIB",A1:CV300,21,FALSE)/HLOOKUP("Mins",A1:CV300,21,FALSE)* 90)</f>
      </c>
      <c r="BO21" s="17851">
        <f>IF(HLOOKUP("Mins",A1:CV300,21,FALSE)=0,0,HLOOKUP("Gs - Open",A1:CV300,21,FALSE)/HLOOKUP("Mins",A1:CV300,21,FALSE)* 90)</f>
      </c>
      <c r="BP21" s="17852">
        <f>IF(HLOOKUP("Mins",A1:CV300,21,FALSE)=0,0,HLOOKUP("ICT Index",A1:CV300,21,FALSE)/HLOOKUP("Mins",A1:CV300,21,FALSE)* 90)</f>
      </c>
      <c r="BQ21" s="17853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</c>
      <c r="BR21" s="17854">
        <f>0.0885*HLOOKUP("KP/90",A1:CV300,21,FALSE)</f>
      </c>
      <c r="BS21" s="17855">
        <f>5*HLOOKUP("xG/90",A1:CV300,21,FALSE)+3*HLOOKUP("xA/90",A1:CV300,21,FALSE)</f>
      </c>
      <c r="BT21" s="17856">
        <f>HLOOKUP("xPts/90",A1:CV300,21,FALSE)-(5*0.75*(HLOOKUP("PK Gs",A1:CV300,21,FALSE)+HLOOKUP("PK Miss",A1:CV300,21,FALSE))*90/HLOOKUP("Mins",A1:CV300,21,FALSE))</f>
      </c>
      <c r="BU21" s="17857">
        <f>IF(HLOOKUP("Mins",A1:CV300,21,FALSE)=0,0,HLOOKUP("fsXG",A1:CV300,21,FALSE)/HLOOKUP("Mins",A1:CV300,21,FALSE)* 90)</f>
      </c>
      <c r="BV21" s="17858">
        <f>IF(HLOOKUP("Mins",A1:CV300,21,FALSE)=0,0,HLOOKUP("fsXA",A1:CV300,21,FALSE)/HLOOKUP("Mins",A1:CV300,21,FALSE)* 90)</f>
      </c>
      <c r="BW21" s="17859">
        <f>5*HLOOKUP("fsXG/90",A1:CV300,21,FALSE)+3*HLOOKUP("fsXA/90",A1:CV300,21,FALSE)</f>
      </c>
      <c r="BX21" t="n" s="17860">
        <v>0.0</v>
      </c>
      <c r="BY21" t="n" s="17861">
        <v>0.0</v>
      </c>
      <c r="BZ21" s="17862">
        <f>5*HLOOKUP("uXG/90",A1:CV300,21,FALSE)+3*HLOOKUP("uXA/90",A1:CV300,21,FALSE)</f>
      </c>
    </row>
    <row r="22">
      <c r="A22" t="s" s="17863">
        <v>325</v>
      </c>
      <c r="B22" t="s" s="17864">
        <v>85</v>
      </c>
      <c r="C22" t="n" s="17865">
        <v>5.0</v>
      </c>
      <c r="D22" t="n" s="17866">
        <v>35.0</v>
      </c>
      <c r="E22" t="n" s="17867">
        <v>2.0</v>
      </c>
      <c r="F22" t="n" s="17868">
        <v>33.0</v>
      </c>
      <c r="G22" t="n" s="17869">
        <v>0.0</v>
      </c>
      <c r="H22" t="n" s="17870">
        <v>1.0</v>
      </c>
      <c r="I22" t="n" s="17871">
        <v>73.0</v>
      </c>
      <c r="J22" s="17872">
        <f>HLOOKUP("BPS",A1:CV300,22,FALSE)-((-6*HLOOKUP("OG",A1:CV300,22,FALSE))+(-6*HLOOKUP("PK Miss",A1:CV300,22,FALSE))+(9*HLOOKUP("FPL As",A1:CV300,22,FALSE))+(0*HLOOKUP("CS",A1:CV300,22,FALSE))+(18*HLOOKUP("Gs",A1:CV300,22,FALSE)))</f>
      </c>
      <c r="K22" t="n" s="17873">
        <v>0.0</v>
      </c>
      <c r="L22" t="n" s="17874">
        <v>2.0</v>
      </c>
      <c r="M22" t="n" s="17875">
        <v>1.0</v>
      </c>
      <c r="N22" t="n" s="17876">
        <v>0.0</v>
      </c>
      <c r="O22" t="n" s="17877">
        <v>0.0</v>
      </c>
      <c r="P22" s="17878">
        <f>IF(HLOOKUP("Shots",A1:CV300,22,FALSE)=0,0,HLOOKUP("SIB",A1:CV300,22,FALSE)/HLOOKUP("Shots",A1:CV300,22,FALSE))</f>
      </c>
      <c r="Q22" t="n" s="17879">
        <v>0.0</v>
      </c>
      <c r="R22" s="17880">
        <f>IF(HLOOKUP("Shots",A1:CV300,22,FALSE)=0,0,HLOOKUP("S6YD",A1:CV300,22,FALSE)/HLOOKUP("Shots",A1:CV300,22,FALSE))</f>
      </c>
      <c r="S22" t="n" s="17881">
        <v>0.0</v>
      </c>
      <c r="T22" s="17882">
        <f>IF(HLOOKUP("Shots",A1:CV300,22,FALSE)=0,0,HLOOKUP("Headers",A1:CV300,22,FALSE)/HLOOKUP("Shots",A1:CV300,22,FALSE))</f>
      </c>
      <c r="U22" t="n" s="17883">
        <v>0.0</v>
      </c>
      <c r="V22" s="17884">
        <f>IF(HLOOKUP("Shots",A1:CV300,22,FALSE)=0,0,HLOOKUP("SOT",A1:CV300,22,FALSE)/HLOOKUP("Shots",A1:CV300,22,FALSE))</f>
      </c>
      <c r="W22" s="17885">
        <f>IF(HLOOKUP("Shots",A1:CV300,22,FALSE)=0,0,HLOOKUP("Gs",A1:CV300,22,FALSE)/HLOOKUP("Shots",A1:CV300,22,FALSE))</f>
      </c>
      <c r="X22" t="n" s="17886">
        <v>0.0</v>
      </c>
      <c r="Y22" t="n" s="17887">
        <v>2.0</v>
      </c>
      <c r="Z22" t="n" s="17888">
        <v>1.0</v>
      </c>
      <c r="AA22" s="17889">
        <f>IF(HLOOKUP("KP",A1:CV300,22,FALSE)=0,0,HLOOKUP("As",A1:CV300,22,FALSE)/HLOOKUP("KP",A1:CV300,22,FALSE))</f>
      </c>
      <c r="AB22" s="17890"/>
      <c r="AC22" t="n" s="17891">
        <v>0.0</v>
      </c>
      <c r="AD22" t="n" s="17892">
        <v>0.0</v>
      </c>
      <c r="AE22" t="n" s="17893">
        <v>0.0</v>
      </c>
      <c r="AF22" t="n" s="17894">
        <v>0.0</v>
      </c>
      <c r="AG22" s="17895">
        <f>IF(HLOOKUP("BC",A1:CV300,22,FALSE)=0,0,HLOOKUP("Gs - BC",A1:CV300,22,FALSE)/HLOOKUP("BC",A1:CV300,22,FALSE))</f>
      </c>
      <c r="AH22" s="17896">
        <f>HLOOKUP("BC",A1:CV300,22,FALSE) - HLOOKUP("BC Miss",A1:CV300,22,FALSE)</f>
      </c>
      <c r="AI22" s="17897">
        <f>IF(HLOOKUP("Gs",A1:CV300,22,FALSE)=0,0,HLOOKUP("Gs - BC",A1:CV300,22,FALSE)/HLOOKUP("Gs",A1:CV300,22,FALSE))</f>
      </c>
      <c r="AJ22" t="n" s="17898">
        <v>0.0</v>
      </c>
      <c r="AK22" t="n" s="17899">
        <v>0.0</v>
      </c>
      <c r="AL22" s="17900">
        <f>HLOOKUP("BC",A1:CV300,22,FALSE) - (HLOOKUP("PK Gs",A1:CV300,22,FALSE) + HLOOKUP("PK Miss",A1:CV300,22,FALSE))</f>
      </c>
      <c r="AM22" s="17901">
        <f>HLOOKUP("BC Miss",A1:CV300,22,FALSE) - HLOOKUP("PK Miss",A1:CV300,22,FALSE)</f>
      </c>
      <c r="AN22" s="17902">
        <f>IF(HLOOKUP("BC - Open",A1:CV300,22,FALSE)=0,0,HLOOKUP("BC - Open Miss",A1:CV300,22,FALSE)/HLOOKUP("BC - Open",A1:CV300,22,FALSE))</f>
      </c>
      <c r="AO22" t="n" s="17903">
        <v>0.0</v>
      </c>
      <c r="AP22" s="17904">
        <f>IF(HLOOKUP("Gs",A1:CV300,22,FALSE)=0,0,HLOOKUP("GIB",A1:CV300,22,FALSE)/HLOOKUP("Gs",A1:CV300,22,FALSE))</f>
      </c>
      <c r="AQ22" t="n" s="17905">
        <v>0.0</v>
      </c>
      <c r="AR22" s="17906">
        <f>IF(HLOOKUP("Gs",A1:CV300,22,FALSE)=0,0,HLOOKUP("Gs - Open",A1:CV300,22,FALSE)/HLOOKUP("Gs",A1:CV300,22,FALSE))</f>
      </c>
      <c r="AS22" t="n" s="17907">
        <v>0.0</v>
      </c>
      <c r="AT22" t="n" s="17908">
        <v>0.05</v>
      </c>
      <c r="AU22" s="17909">
        <f>IF(HLOOKUP("Mins",A1:CV300,22,FALSE)=0,0,HLOOKUP("Pts",A1:CV300,22,FALSE)/HLOOKUP("Mins",A1:CV300,22,FALSE)* 90)</f>
      </c>
      <c r="AV22" s="17910">
        <f>IF(HLOOKUP("Apps",A1:CV300,22,FALSE)=0,0,HLOOKUP("Pts",A1:CV300,22,FALSE)/HLOOKUP("Apps",A1:CV300,22,FALSE)* 1)</f>
      </c>
      <c r="AW22" s="17911">
        <f>IF(HLOOKUP("Mins",A1:CV300,22,FALSE)=0,0,HLOOKUP("Gs",A1:CV300,22,FALSE)/HLOOKUP("Mins",A1:CV300,22,FALSE)* 90)</f>
      </c>
      <c r="AX22" s="17912">
        <f>IF(HLOOKUP("Mins",A1:CV300,22,FALSE)=0,0,HLOOKUP("Bonus",A1:CV300,22,FALSE)/HLOOKUP("Mins",A1:CV300,22,FALSE)* 90)</f>
      </c>
      <c r="AY22" s="17913">
        <f>IF(HLOOKUP("Mins",A1:CV300,22,FALSE)=0,0,HLOOKUP("BPS",A1:CV300,22,FALSE)/HLOOKUP("Mins",A1:CV300,22,FALSE)* 90)</f>
      </c>
      <c r="AZ22" s="17914">
        <f>IF(HLOOKUP("Mins",A1:CV300,22,FALSE)=0,0,HLOOKUP("Base BPS",A1:CV300,22,FALSE)/HLOOKUP("Mins",A1:CV300,22,FALSE)* 90)</f>
      </c>
      <c r="BA22" s="17915">
        <f>IF(HLOOKUP("Mins",A1:CV300,22,FALSE)=0,0,HLOOKUP("PenTchs",A1:CV300,22,FALSE)/HLOOKUP("Mins",A1:CV300,22,FALSE)* 90)</f>
      </c>
      <c r="BB22" s="17916">
        <f>IF(HLOOKUP("Mins",A1:CV300,22,FALSE)=0,0,HLOOKUP("Shots",A1:CV300,22,FALSE)/HLOOKUP("Mins",A1:CV300,22,FALSE)* 90)</f>
      </c>
      <c r="BC22" s="17917">
        <f>IF(HLOOKUP("Mins",A1:CV300,22,FALSE)=0,0,HLOOKUP("SIB",A1:CV300,22,FALSE)/HLOOKUP("Mins",A1:CV300,22,FALSE)* 90)</f>
      </c>
      <c r="BD22" s="17918">
        <f>IF(HLOOKUP("Mins",A1:CV300,22,FALSE)=0,0,HLOOKUP("S6YD",A1:CV300,22,FALSE)/HLOOKUP("Mins",A1:CV300,22,FALSE)* 90)</f>
      </c>
      <c r="BE22" s="17919">
        <f>IF(HLOOKUP("Mins",A1:CV300,22,FALSE)=0,0,HLOOKUP("Headers",A1:CV300,22,FALSE)/HLOOKUP("Mins",A1:CV300,22,FALSE)* 90)</f>
      </c>
      <c r="BF22" s="17920">
        <f>IF(HLOOKUP("Mins",A1:CV300,22,FALSE)=0,0,HLOOKUP("SOT",A1:CV300,22,FALSE)/HLOOKUP("Mins",A1:CV300,22,FALSE)* 90)</f>
      </c>
      <c r="BG22" s="17921">
        <f>IF(HLOOKUP("Mins",A1:CV300,22,FALSE)=0,0,HLOOKUP("As",A1:CV300,22,FALSE)/HLOOKUP("Mins",A1:CV300,22,FALSE)* 90)</f>
      </c>
      <c r="BH22" s="17922">
        <f>IF(HLOOKUP("Mins",A1:CV300,22,FALSE)=0,0,HLOOKUP("FPL As",A1:CV300,22,FALSE)/HLOOKUP("Mins",A1:CV300,22,FALSE)* 90)</f>
      </c>
      <c r="BI22" s="17923">
        <f>IF(HLOOKUP("Mins",A1:CV300,22,FALSE)=0,0,HLOOKUP("BC Created",A1:CV300,22,FALSE)/HLOOKUP("Mins",A1:CV300,22,FALSE)* 90)</f>
      </c>
      <c r="BJ22" s="17924">
        <f>IF(HLOOKUP("Mins",A1:CV300,22,FALSE)=0,0,HLOOKUP("KP",A1:CV300,22,FALSE)/HLOOKUP("Mins",A1:CV300,22,FALSE)* 90)</f>
      </c>
      <c r="BK22" s="17925">
        <f>IF(HLOOKUP("Mins",A1:CV300,22,FALSE)=0,0,HLOOKUP("BC",A1:CV300,22,FALSE)/HLOOKUP("Mins",A1:CV300,22,FALSE)* 90)</f>
      </c>
      <c r="BL22" s="17926">
        <f>IF(HLOOKUP("Mins",A1:CV300,22,FALSE)=0,0,HLOOKUP("BC Miss",A1:CV300,22,FALSE)/HLOOKUP("Mins",A1:CV300,22,FALSE)* 90)</f>
      </c>
      <c r="BM22" s="17927">
        <f>IF(HLOOKUP("Mins",A1:CV300,22,FALSE)=0,0,HLOOKUP("Gs - BC",A1:CV300,22,FALSE)/HLOOKUP("Mins",A1:CV300,22,FALSE)* 90)</f>
      </c>
      <c r="BN22" s="17928">
        <f>IF(HLOOKUP("Mins",A1:CV300,22,FALSE)=0,0,HLOOKUP("GIB",A1:CV300,22,FALSE)/HLOOKUP("Mins",A1:CV300,22,FALSE)* 90)</f>
      </c>
      <c r="BO22" s="17929">
        <f>IF(HLOOKUP("Mins",A1:CV300,22,FALSE)=0,0,HLOOKUP("Gs - Open",A1:CV300,22,FALSE)/HLOOKUP("Mins",A1:CV300,22,FALSE)* 90)</f>
      </c>
      <c r="BP22" s="17930">
        <f>IF(HLOOKUP("Mins",A1:CV300,22,FALSE)=0,0,HLOOKUP("ICT Index",A1:CV300,22,FALSE)/HLOOKUP("Mins",A1:CV300,22,FALSE)* 90)</f>
      </c>
      <c r="BQ22" s="17931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</c>
      <c r="BR22" s="17932">
        <f>0.0885*HLOOKUP("KP/90",A1:CV300,22,FALSE)</f>
      </c>
      <c r="BS22" s="17933">
        <f>5*HLOOKUP("xG/90",A1:CV300,22,FALSE)+3*HLOOKUP("xA/90",A1:CV300,22,FALSE)</f>
      </c>
      <c r="BT22" s="17934">
        <f>HLOOKUP("xPts/90",A1:CV300,22,FALSE)-(5*0.75*(HLOOKUP("PK Gs",A1:CV300,22,FALSE)+HLOOKUP("PK Miss",A1:CV300,22,FALSE))*90/HLOOKUP("Mins",A1:CV300,22,FALSE))</f>
      </c>
      <c r="BU22" s="17935">
        <f>IF(HLOOKUP("Mins",A1:CV300,22,FALSE)=0,0,HLOOKUP("fsXG",A1:CV300,22,FALSE)/HLOOKUP("Mins",A1:CV300,22,FALSE)* 90)</f>
      </c>
      <c r="BV22" s="17936">
        <f>IF(HLOOKUP("Mins",A1:CV300,22,FALSE)=0,0,HLOOKUP("fsXA",A1:CV300,22,FALSE)/HLOOKUP("Mins",A1:CV300,22,FALSE)* 90)</f>
      </c>
      <c r="BW22" s="17937">
        <f>5*HLOOKUP("fsXG/90",A1:CV300,22,FALSE)+3*HLOOKUP("fsXA/90",A1:CV300,22,FALSE)</f>
      </c>
      <c r="BX22" t="n" s="17938">
        <v>0.0</v>
      </c>
      <c r="BY22" t="n" s="17939">
        <v>0.3079982399940491</v>
      </c>
      <c r="BZ22" s="17940">
        <f>5*HLOOKUP("uXG/90",A1:CV300,22,FALSE)+3*HLOOKUP("uXA/90",A1:CV300,22,FALSE)</f>
      </c>
    </row>
    <row r="23">
      <c r="A23" t="s" s="17941">
        <v>326</v>
      </c>
      <c r="B23" t="s" s="17942">
        <v>118</v>
      </c>
      <c r="C23" t="n" s="17943">
        <v>8.199999809265137</v>
      </c>
      <c r="D23" t="n" s="17944">
        <v>360.0</v>
      </c>
      <c r="E23" t="n" s="17945">
        <v>4.0</v>
      </c>
      <c r="F23" t="n" s="17946">
        <v>123.0</v>
      </c>
      <c r="G23" t="n" s="17947">
        <v>3.0</v>
      </c>
      <c r="H23" t="n" s="17948">
        <v>13.0</v>
      </c>
      <c r="I23" t="n" s="17949">
        <v>395.0</v>
      </c>
      <c r="J23" s="17950">
        <f>HLOOKUP("BPS",A1:CV300,23,FALSE)-((-6*HLOOKUP("OG",A1:CV300,23,FALSE))+(-6*HLOOKUP("PK Miss",A1:CV300,23,FALSE))+(9*HLOOKUP("FPL As",A1:CV300,23,FALSE))+(0*HLOOKUP("CS",A1:CV300,23,FALSE))+(18*HLOOKUP("Gs",A1:CV300,23,FALSE)))</f>
      </c>
      <c r="K23" t="n" s="17951">
        <v>0.0</v>
      </c>
      <c r="L23" t="n" s="17952">
        <v>6.0</v>
      </c>
      <c r="M23" t="n" s="17953">
        <v>17.0</v>
      </c>
      <c r="N23" t="n" s="17954">
        <v>12.0</v>
      </c>
      <c r="O23" t="n" s="17955">
        <v>9.0</v>
      </c>
      <c r="P23" s="17956">
        <f>IF(HLOOKUP("Shots",A1:CV300,23,FALSE)=0,0,HLOOKUP("SIB",A1:CV300,23,FALSE)/HLOOKUP("Shots",A1:CV300,23,FALSE))</f>
      </c>
      <c r="Q23" t="n" s="17957">
        <v>1.0</v>
      </c>
      <c r="R23" s="17958">
        <f>IF(HLOOKUP("Shots",A1:CV300,23,FALSE)=0,0,HLOOKUP("S6YD",A1:CV300,23,FALSE)/HLOOKUP("Shots",A1:CV300,23,FALSE))</f>
      </c>
      <c r="S23" t="n" s="17959">
        <v>1.0</v>
      </c>
      <c r="T23" s="17960">
        <f>IF(HLOOKUP("Shots",A1:CV300,23,FALSE)=0,0,HLOOKUP("Headers",A1:CV300,23,FALSE)/HLOOKUP("Shots",A1:CV300,23,FALSE))</f>
      </c>
      <c r="U23" t="n" s="17961">
        <v>6.0</v>
      </c>
      <c r="V23" s="17962">
        <f>IF(HLOOKUP("Shots",A1:CV300,23,FALSE)=0,0,HLOOKUP("SOT",A1:CV300,23,FALSE)/HLOOKUP("Shots",A1:CV300,23,FALSE))</f>
      </c>
      <c r="W23" s="17963">
        <f>IF(HLOOKUP("Shots",A1:CV300,23,FALSE)=0,0,HLOOKUP("Gs",A1:CV300,23,FALSE)/HLOOKUP("Shots",A1:CV300,23,FALSE))</f>
      </c>
      <c r="X23" t="n" s="17964">
        <v>0.0</v>
      </c>
      <c r="Y23" t="n" s="17965">
        <v>5.0</v>
      </c>
      <c r="Z23" t="n" s="17966">
        <v>4.0</v>
      </c>
      <c r="AA23" s="17967">
        <f>IF(HLOOKUP("KP",A1:CV300,23,FALSE)=0,0,HLOOKUP("As",A1:CV300,23,FALSE)/HLOOKUP("KP",A1:CV300,23,FALSE))</f>
      </c>
      <c r="AB23" s="17968"/>
      <c r="AC23" t="n" s="17969">
        <v>50.0</v>
      </c>
      <c r="AD23" t="n" s="17970">
        <v>3.0</v>
      </c>
      <c r="AE23" t="n" s="17971">
        <v>1.0</v>
      </c>
      <c r="AF23" t="n" s="17972">
        <v>0.0</v>
      </c>
      <c r="AG23" s="17973">
        <f>IF(HLOOKUP("BC",A1:CV300,23,FALSE)=0,0,HLOOKUP("Gs - BC",A1:CV300,23,FALSE)/HLOOKUP("BC",A1:CV300,23,FALSE))</f>
      </c>
      <c r="AH23" s="17974">
        <f>HLOOKUP("BC",A1:CV300,23,FALSE) - HLOOKUP("BC Miss",A1:CV300,23,FALSE)</f>
      </c>
      <c r="AI23" s="17975">
        <f>IF(HLOOKUP("Gs",A1:CV300,23,FALSE)=0,0,HLOOKUP("Gs - BC",A1:CV300,23,FALSE)/HLOOKUP("Gs",A1:CV300,23,FALSE))</f>
      </c>
      <c r="AJ23" t="n" s="17976">
        <v>0.0</v>
      </c>
      <c r="AK23" t="n" s="17977">
        <v>0.0</v>
      </c>
      <c r="AL23" s="17978">
        <f>HLOOKUP("BC",A1:CV300,23,FALSE) - (HLOOKUP("PK Gs",A1:CV300,23,FALSE) + HLOOKUP("PK Miss",A1:CV300,23,FALSE))</f>
      </c>
      <c r="AM23" s="17979">
        <f>HLOOKUP("BC Miss",A1:CV300,23,FALSE) - HLOOKUP("PK Miss",A1:CV300,23,FALSE)</f>
      </c>
      <c r="AN23" s="17980">
        <f>IF(HLOOKUP("BC - Open",A1:CV300,23,FALSE)=0,0,HLOOKUP("BC - Open Miss",A1:CV300,23,FALSE)/HLOOKUP("BC - Open",A1:CV300,23,FALSE))</f>
      </c>
      <c r="AO23" t="n" s="17981">
        <v>3.0</v>
      </c>
      <c r="AP23" s="17982">
        <f>IF(HLOOKUP("Gs",A1:CV300,23,FALSE)=0,0,HLOOKUP("GIB",A1:CV300,23,FALSE)/HLOOKUP("Gs",A1:CV300,23,FALSE))</f>
      </c>
      <c r="AQ23" t="n" s="17983">
        <v>2.0</v>
      </c>
      <c r="AR23" s="17984">
        <f>IF(HLOOKUP("Gs",A1:CV300,23,FALSE)=0,0,HLOOKUP("Gs - Open",A1:CV300,23,FALSE)/HLOOKUP("Gs",A1:CV300,23,FALSE))</f>
      </c>
      <c r="AS23" t="n" s="17985">
        <v>1.5</v>
      </c>
      <c r="AT23" t="n" s="17986">
        <v>0.16</v>
      </c>
      <c r="AU23" s="17987">
        <f>IF(HLOOKUP("Mins",A1:CV300,23,FALSE)=0,0,HLOOKUP("Pts",A1:CV300,23,FALSE)/HLOOKUP("Mins",A1:CV300,23,FALSE)* 90)</f>
      </c>
      <c r="AV23" s="17988">
        <f>IF(HLOOKUP("Apps",A1:CV300,23,FALSE)=0,0,HLOOKUP("Pts",A1:CV300,23,FALSE)/HLOOKUP("Apps",A1:CV300,23,FALSE)* 1)</f>
      </c>
      <c r="AW23" s="17989">
        <f>IF(HLOOKUP("Mins",A1:CV300,23,FALSE)=0,0,HLOOKUP("Gs",A1:CV300,23,FALSE)/HLOOKUP("Mins",A1:CV300,23,FALSE)* 90)</f>
      </c>
      <c r="AX23" s="17990">
        <f>IF(HLOOKUP("Mins",A1:CV300,23,FALSE)=0,0,HLOOKUP("Bonus",A1:CV300,23,FALSE)/HLOOKUP("Mins",A1:CV300,23,FALSE)* 90)</f>
      </c>
      <c r="AY23" s="17991">
        <f>IF(HLOOKUP("Mins",A1:CV300,23,FALSE)=0,0,HLOOKUP("BPS",A1:CV300,23,FALSE)/HLOOKUP("Mins",A1:CV300,23,FALSE)* 90)</f>
      </c>
      <c r="AZ23" s="17992">
        <f>IF(HLOOKUP("Mins",A1:CV300,23,FALSE)=0,0,HLOOKUP("Base BPS",A1:CV300,23,FALSE)/HLOOKUP("Mins",A1:CV300,23,FALSE)* 90)</f>
      </c>
      <c r="BA23" s="17993">
        <f>IF(HLOOKUP("Mins",A1:CV300,23,FALSE)=0,0,HLOOKUP("PenTchs",A1:CV300,23,FALSE)/HLOOKUP("Mins",A1:CV300,23,FALSE)* 90)</f>
      </c>
      <c r="BB23" s="17994">
        <f>IF(HLOOKUP("Mins",A1:CV300,23,FALSE)=0,0,HLOOKUP("Shots",A1:CV300,23,FALSE)/HLOOKUP("Mins",A1:CV300,23,FALSE)* 90)</f>
      </c>
      <c r="BC23" s="17995">
        <f>IF(HLOOKUP("Mins",A1:CV300,23,FALSE)=0,0,HLOOKUP("SIB",A1:CV300,23,FALSE)/HLOOKUP("Mins",A1:CV300,23,FALSE)* 90)</f>
      </c>
      <c r="BD23" s="17996">
        <f>IF(HLOOKUP("Mins",A1:CV300,23,FALSE)=0,0,HLOOKUP("S6YD",A1:CV300,23,FALSE)/HLOOKUP("Mins",A1:CV300,23,FALSE)* 90)</f>
      </c>
      <c r="BE23" s="17997">
        <f>IF(HLOOKUP("Mins",A1:CV300,23,FALSE)=0,0,HLOOKUP("Headers",A1:CV300,23,FALSE)/HLOOKUP("Mins",A1:CV300,23,FALSE)* 90)</f>
      </c>
      <c r="BF23" s="17998">
        <f>IF(HLOOKUP("Mins",A1:CV300,23,FALSE)=0,0,HLOOKUP("SOT",A1:CV300,23,FALSE)/HLOOKUP("Mins",A1:CV300,23,FALSE)* 90)</f>
      </c>
      <c r="BG23" s="17999">
        <f>IF(HLOOKUP("Mins",A1:CV300,23,FALSE)=0,0,HLOOKUP("As",A1:CV300,23,FALSE)/HLOOKUP("Mins",A1:CV300,23,FALSE)* 90)</f>
      </c>
      <c r="BH23" s="18000">
        <f>IF(HLOOKUP("Mins",A1:CV300,23,FALSE)=0,0,HLOOKUP("FPL As",A1:CV300,23,FALSE)/HLOOKUP("Mins",A1:CV300,23,FALSE)* 90)</f>
      </c>
      <c r="BI23" s="18001">
        <f>IF(HLOOKUP("Mins",A1:CV300,23,FALSE)=0,0,HLOOKUP("BC Created",A1:CV300,23,FALSE)/HLOOKUP("Mins",A1:CV300,23,FALSE)* 90)</f>
      </c>
      <c r="BJ23" s="18002">
        <f>IF(HLOOKUP("Mins",A1:CV300,23,FALSE)=0,0,HLOOKUP("KP",A1:CV300,23,FALSE)/HLOOKUP("Mins",A1:CV300,23,FALSE)* 90)</f>
      </c>
      <c r="BK23" s="18003">
        <f>IF(HLOOKUP("Mins",A1:CV300,23,FALSE)=0,0,HLOOKUP("BC",A1:CV300,23,FALSE)/HLOOKUP("Mins",A1:CV300,23,FALSE)* 90)</f>
      </c>
      <c r="BL23" s="18004">
        <f>IF(HLOOKUP("Mins",A1:CV300,23,FALSE)=0,0,HLOOKUP("BC Miss",A1:CV300,23,FALSE)/HLOOKUP("Mins",A1:CV300,23,FALSE)* 90)</f>
      </c>
      <c r="BM23" s="18005">
        <f>IF(HLOOKUP("Mins",A1:CV300,23,FALSE)=0,0,HLOOKUP("Gs - BC",A1:CV300,23,FALSE)/HLOOKUP("Mins",A1:CV300,23,FALSE)* 90)</f>
      </c>
      <c r="BN23" s="18006">
        <f>IF(HLOOKUP("Mins",A1:CV300,23,FALSE)=0,0,HLOOKUP("GIB",A1:CV300,23,FALSE)/HLOOKUP("Mins",A1:CV300,23,FALSE)* 90)</f>
      </c>
      <c r="BO23" s="18007">
        <f>IF(HLOOKUP("Mins",A1:CV300,23,FALSE)=0,0,HLOOKUP("Gs - Open",A1:CV300,23,FALSE)/HLOOKUP("Mins",A1:CV300,23,FALSE)* 90)</f>
      </c>
      <c r="BP23" s="18008">
        <f>IF(HLOOKUP("Mins",A1:CV300,23,FALSE)=0,0,HLOOKUP("ICT Index",A1:CV300,23,FALSE)/HLOOKUP("Mins",A1:CV300,23,FALSE)* 90)</f>
      </c>
      <c r="BQ23" s="18009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</c>
      <c r="BR23" s="18010">
        <f>0.0885*HLOOKUP("KP/90",A1:CV300,23,FALSE)</f>
      </c>
      <c r="BS23" s="18011">
        <f>5*HLOOKUP("xG/90",A1:CV300,23,FALSE)+3*HLOOKUP("xA/90",A1:CV300,23,FALSE)</f>
      </c>
      <c r="BT23" s="18012">
        <f>HLOOKUP("xPts/90",A1:CV300,23,FALSE)-(5*0.75*(HLOOKUP("PK Gs",A1:CV300,23,FALSE)+HLOOKUP("PK Miss",A1:CV300,23,FALSE))*90/HLOOKUP("Mins",A1:CV300,23,FALSE))</f>
      </c>
      <c r="BU23" s="18013">
        <f>IF(HLOOKUP("Mins",A1:CV300,23,FALSE)=0,0,HLOOKUP("fsXG",A1:CV300,23,FALSE)/HLOOKUP("Mins",A1:CV300,23,FALSE)* 90)</f>
      </c>
      <c r="BV23" s="18014">
        <f>IF(HLOOKUP("Mins",A1:CV300,23,FALSE)=0,0,HLOOKUP("fsXA",A1:CV300,23,FALSE)/HLOOKUP("Mins",A1:CV300,23,FALSE)* 90)</f>
      </c>
      <c r="BW23" s="18015">
        <f>5*HLOOKUP("fsXG/90",A1:CV300,23,FALSE)+3*HLOOKUP("fsXA/90",A1:CV300,23,FALSE)</f>
      </c>
      <c r="BX23" t="n" s="18016">
        <v>0.35689491033554077</v>
      </c>
      <c r="BY23" t="n" s="18017">
        <v>0.3005000054836273</v>
      </c>
      <c r="BZ23" s="18018">
        <f>5*HLOOKUP("uXG/90",A1:CV300,23,FALSE)+3*HLOOKUP("uXA/90",A1:CV300,23,FALSE)</f>
      </c>
    </row>
    <row r="24">
      <c r="A24" t="s" s="18019">
        <v>327</v>
      </c>
      <c r="B24" t="s" s="18020">
        <v>100</v>
      </c>
      <c r="C24" t="n" s="18021">
        <v>5.5</v>
      </c>
      <c r="D24" t="n" s="18022">
        <v>59.0</v>
      </c>
      <c r="E24" t="n" s="18023">
        <v>3.0</v>
      </c>
      <c r="F24" t="n" s="18024">
        <v>30.0</v>
      </c>
      <c r="G24" t="n" s="18025">
        <v>0.0</v>
      </c>
      <c r="H24" t="n" s="18026">
        <v>0.0</v>
      </c>
      <c r="I24" t="n" s="18027">
        <v>87.0</v>
      </c>
      <c r="J24" s="18028">
        <f>HLOOKUP("BPS",A1:CV300,24,FALSE)-((-6*HLOOKUP("OG",A1:CV300,24,FALSE))+(-6*HLOOKUP("PK Miss",A1:CV300,24,FALSE))+(9*HLOOKUP("FPL As",A1:CV300,24,FALSE))+(0*HLOOKUP("CS",A1:CV300,24,FALSE))+(18*HLOOKUP("Gs",A1:CV300,24,FALSE)))</f>
      </c>
      <c r="K24" t="n" s="18029">
        <v>0.0</v>
      </c>
      <c r="L24" t="n" s="18030">
        <v>1.0</v>
      </c>
      <c r="M24" t="n" s="18031">
        <v>10.0</v>
      </c>
      <c r="N24" t="n" s="18032">
        <v>2.0</v>
      </c>
      <c r="O24" t="n" s="18033">
        <v>2.0</v>
      </c>
      <c r="P24" s="18034">
        <f>IF(HLOOKUP("Shots",A1:CV300,24,FALSE)=0,0,HLOOKUP("SIB",A1:CV300,24,FALSE)/HLOOKUP("Shots",A1:CV300,24,FALSE))</f>
      </c>
      <c r="Q24" t="n" s="18035">
        <v>0.0</v>
      </c>
      <c r="R24" s="18036">
        <f>IF(HLOOKUP("Shots",A1:CV300,24,FALSE)=0,0,HLOOKUP("S6YD",A1:CV300,24,FALSE)/HLOOKUP("Shots",A1:CV300,24,FALSE))</f>
      </c>
      <c r="S24" t="n" s="18037">
        <v>0.0</v>
      </c>
      <c r="T24" s="18038">
        <f>IF(HLOOKUP("Shots",A1:CV300,24,FALSE)=0,0,HLOOKUP("Headers",A1:CV300,24,FALSE)/HLOOKUP("Shots",A1:CV300,24,FALSE))</f>
      </c>
      <c r="U24" t="n" s="18039">
        <v>0.0</v>
      </c>
      <c r="V24" s="18040">
        <f>IF(HLOOKUP("Shots",A1:CV300,24,FALSE)=0,0,HLOOKUP("SOT",A1:CV300,24,FALSE)/HLOOKUP("Shots",A1:CV300,24,FALSE))</f>
      </c>
      <c r="W24" s="18041">
        <f>IF(HLOOKUP("Shots",A1:CV300,24,FALSE)=0,0,HLOOKUP("Gs",A1:CV300,24,FALSE)/HLOOKUP("Shots",A1:CV300,24,FALSE))</f>
      </c>
      <c r="X24" t="n" s="18042">
        <v>0.0</v>
      </c>
      <c r="Y24" t="n" s="18043">
        <v>3.0</v>
      </c>
      <c r="Z24" t="n" s="18044">
        <v>1.0</v>
      </c>
      <c r="AA24" s="18045">
        <f>IF(HLOOKUP("KP",A1:CV300,24,FALSE)=0,0,HLOOKUP("As",A1:CV300,24,FALSE)/HLOOKUP("KP",A1:CV300,24,FALSE))</f>
      </c>
      <c r="AB24" s="18046"/>
      <c r="AC24" t="n" s="18047">
        <v>0.0</v>
      </c>
      <c r="AD24" t="n" s="18048">
        <v>0.0</v>
      </c>
      <c r="AE24" t="n" s="18049">
        <v>0.0</v>
      </c>
      <c r="AF24" t="n" s="18050">
        <v>0.0</v>
      </c>
      <c r="AG24" s="18051">
        <f>IF(HLOOKUP("BC",A1:CV300,24,FALSE)=0,0,HLOOKUP("Gs - BC",A1:CV300,24,FALSE)/HLOOKUP("BC",A1:CV300,24,FALSE))</f>
      </c>
      <c r="AH24" s="18052">
        <f>HLOOKUP("BC",A1:CV300,24,FALSE) - HLOOKUP("BC Miss",A1:CV300,24,FALSE)</f>
      </c>
      <c r="AI24" s="18053">
        <f>IF(HLOOKUP("Gs",A1:CV300,24,FALSE)=0,0,HLOOKUP("Gs - BC",A1:CV300,24,FALSE)/HLOOKUP("Gs",A1:CV300,24,FALSE))</f>
      </c>
      <c r="AJ24" t="n" s="18054">
        <v>0.0</v>
      </c>
      <c r="AK24" t="n" s="18055">
        <v>0.0</v>
      </c>
      <c r="AL24" s="18056">
        <f>HLOOKUP("BC",A1:CV300,24,FALSE) - (HLOOKUP("PK Gs",A1:CV300,24,FALSE) + HLOOKUP("PK Miss",A1:CV300,24,FALSE))</f>
      </c>
      <c r="AM24" s="18057">
        <f>HLOOKUP("BC Miss",A1:CV300,24,FALSE) - HLOOKUP("PK Miss",A1:CV300,24,FALSE)</f>
      </c>
      <c r="AN24" s="18058">
        <f>IF(HLOOKUP("BC - Open",A1:CV300,24,FALSE)=0,0,HLOOKUP("BC - Open Miss",A1:CV300,24,FALSE)/HLOOKUP("BC - Open",A1:CV300,24,FALSE))</f>
      </c>
      <c r="AO24" t="n" s="18059">
        <v>0.0</v>
      </c>
      <c r="AP24" s="18060">
        <f>IF(HLOOKUP("Gs",A1:CV300,24,FALSE)=0,0,HLOOKUP("GIB",A1:CV300,24,FALSE)/HLOOKUP("Gs",A1:CV300,24,FALSE))</f>
      </c>
      <c r="AQ24" t="n" s="18061">
        <v>0.0</v>
      </c>
      <c r="AR24" s="18062">
        <f>IF(HLOOKUP("Gs",A1:CV300,24,FALSE)=0,0,HLOOKUP("Gs - Open",A1:CV300,24,FALSE)/HLOOKUP("Gs",A1:CV300,24,FALSE))</f>
      </c>
      <c r="AS24" t="n" s="18063">
        <v>0.12</v>
      </c>
      <c r="AT24" t="n" s="18064">
        <v>0.24</v>
      </c>
      <c r="AU24" s="18065">
        <f>IF(HLOOKUP("Mins",A1:CV300,24,FALSE)=0,0,HLOOKUP("Pts",A1:CV300,24,FALSE)/HLOOKUP("Mins",A1:CV300,24,FALSE)* 90)</f>
      </c>
      <c r="AV24" s="18066">
        <f>IF(HLOOKUP("Apps",A1:CV300,24,FALSE)=0,0,HLOOKUP("Pts",A1:CV300,24,FALSE)/HLOOKUP("Apps",A1:CV300,24,FALSE)* 1)</f>
      </c>
      <c r="AW24" s="18067">
        <f>IF(HLOOKUP("Mins",A1:CV300,24,FALSE)=0,0,HLOOKUP("Gs",A1:CV300,24,FALSE)/HLOOKUP("Mins",A1:CV300,24,FALSE)* 90)</f>
      </c>
      <c r="AX24" s="18068">
        <f>IF(HLOOKUP("Mins",A1:CV300,24,FALSE)=0,0,HLOOKUP("Bonus",A1:CV300,24,FALSE)/HLOOKUP("Mins",A1:CV300,24,FALSE)* 90)</f>
      </c>
      <c r="AY24" s="18069">
        <f>IF(HLOOKUP("Mins",A1:CV300,24,FALSE)=0,0,HLOOKUP("BPS",A1:CV300,24,FALSE)/HLOOKUP("Mins",A1:CV300,24,FALSE)* 90)</f>
      </c>
      <c r="AZ24" s="18070">
        <f>IF(HLOOKUP("Mins",A1:CV300,24,FALSE)=0,0,HLOOKUP("Base BPS",A1:CV300,24,FALSE)/HLOOKUP("Mins",A1:CV300,24,FALSE)* 90)</f>
      </c>
      <c r="BA24" s="18071">
        <f>IF(HLOOKUP("Mins",A1:CV300,24,FALSE)=0,0,HLOOKUP("PenTchs",A1:CV300,24,FALSE)/HLOOKUP("Mins",A1:CV300,24,FALSE)* 90)</f>
      </c>
      <c r="BB24" s="18072">
        <f>IF(HLOOKUP("Mins",A1:CV300,24,FALSE)=0,0,HLOOKUP("Shots",A1:CV300,24,FALSE)/HLOOKUP("Mins",A1:CV300,24,FALSE)* 90)</f>
      </c>
      <c r="BC24" s="18073">
        <f>IF(HLOOKUP("Mins",A1:CV300,24,FALSE)=0,0,HLOOKUP("SIB",A1:CV300,24,FALSE)/HLOOKUP("Mins",A1:CV300,24,FALSE)* 90)</f>
      </c>
      <c r="BD24" s="18074">
        <f>IF(HLOOKUP("Mins",A1:CV300,24,FALSE)=0,0,HLOOKUP("S6YD",A1:CV300,24,FALSE)/HLOOKUP("Mins",A1:CV300,24,FALSE)* 90)</f>
      </c>
      <c r="BE24" s="18075">
        <f>IF(HLOOKUP("Mins",A1:CV300,24,FALSE)=0,0,HLOOKUP("Headers",A1:CV300,24,FALSE)/HLOOKUP("Mins",A1:CV300,24,FALSE)* 90)</f>
      </c>
      <c r="BF24" s="18076">
        <f>IF(HLOOKUP("Mins",A1:CV300,24,FALSE)=0,0,HLOOKUP("SOT",A1:CV300,24,FALSE)/HLOOKUP("Mins",A1:CV300,24,FALSE)* 90)</f>
      </c>
      <c r="BG24" s="18077">
        <f>IF(HLOOKUP("Mins",A1:CV300,24,FALSE)=0,0,HLOOKUP("As",A1:CV300,24,FALSE)/HLOOKUP("Mins",A1:CV300,24,FALSE)* 90)</f>
      </c>
      <c r="BH24" s="18078">
        <f>IF(HLOOKUP("Mins",A1:CV300,24,FALSE)=0,0,HLOOKUP("FPL As",A1:CV300,24,FALSE)/HLOOKUP("Mins",A1:CV300,24,FALSE)* 90)</f>
      </c>
      <c r="BI24" s="18079">
        <f>IF(HLOOKUP("Mins",A1:CV300,24,FALSE)=0,0,HLOOKUP("BC Created",A1:CV300,24,FALSE)/HLOOKUP("Mins",A1:CV300,24,FALSE)* 90)</f>
      </c>
      <c r="BJ24" s="18080">
        <f>IF(HLOOKUP("Mins",A1:CV300,24,FALSE)=0,0,HLOOKUP("KP",A1:CV300,24,FALSE)/HLOOKUP("Mins",A1:CV300,24,FALSE)* 90)</f>
      </c>
      <c r="BK24" s="18081">
        <f>IF(HLOOKUP("Mins",A1:CV300,24,FALSE)=0,0,HLOOKUP("BC",A1:CV300,24,FALSE)/HLOOKUP("Mins",A1:CV300,24,FALSE)* 90)</f>
      </c>
      <c r="BL24" s="18082">
        <f>IF(HLOOKUP("Mins",A1:CV300,24,FALSE)=0,0,HLOOKUP("BC Miss",A1:CV300,24,FALSE)/HLOOKUP("Mins",A1:CV300,24,FALSE)* 90)</f>
      </c>
      <c r="BM24" s="18083">
        <f>IF(HLOOKUP("Mins",A1:CV300,24,FALSE)=0,0,HLOOKUP("Gs - BC",A1:CV300,24,FALSE)/HLOOKUP("Mins",A1:CV300,24,FALSE)* 90)</f>
      </c>
      <c r="BN24" s="18084">
        <f>IF(HLOOKUP("Mins",A1:CV300,24,FALSE)=0,0,HLOOKUP("GIB",A1:CV300,24,FALSE)/HLOOKUP("Mins",A1:CV300,24,FALSE)* 90)</f>
      </c>
      <c r="BO24" s="18085">
        <f>IF(HLOOKUP("Mins",A1:CV300,24,FALSE)=0,0,HLOOKUP("Gs - Open",A1:CV300,24,FALSE)/HLOOKUP("Mins",A1:CV300,24,FALSE)* 90)</f>
      </c>
      <c r="BP24" s="18086">
        <f>IF(HLOOKUP("Mins",A1:CV300,24,FALSE)=0,0,HLOOKUP("ICT Index",A1:CV300,24,FALSE)/HLOOKUP("Mins",A1:CV300,24,FALSE)* 90)</f>
      </c>
      <c r="BQ24" s="18087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</c>
      <c r="BR24" s="18088">
        <f>0.0885*HLOOKUP("KP/90",A1:CV300,24,FALSE)</f>
      </c>
      <c r="BS24" s="18089">
        <f>5*HLOOKUP("xG/90",A1:CV300,24,FALSE)+3*HLOOKUP("xA/90",A1:CV300,24,FALSE)</f>
      </c>
      <c r="BT24" s="18090">
        <f>HLOOKUP("xPts/90",A1:CV300,24,FALSE)-(5*0.75*(HLOOKUP("PK Gs",A1:CV300,24,FALSE)+HLOOKUP("PK Miss",A1:CV300,24,FALSE))*90/HLOOKUP("Mins",A1:CV300,24,FALSE))</f>
      </c>
      <c r="BU24" s="18091">
        <f>IF(HLOOKUP("Mins",A1:CV300,24,FALSE)=0,0,HLOOKUP("fsXG",A1:CV300,24,FALSE)/HLOOKUP("Mins",A1:CV300,24,FALSE)* 90)</f>
      </c>
      <c r="BV24" s="18092">
        <f>IF(HLOOKUP("Mins",A1:CV300,24,FALSE)=0,0,HLOOKUP("fsXA",A1:CV300,24,FALSE)/HLOOKUP("Mins",A1:CV300,24,FALSE)* 90)</f>
      </c>
      <c r="BW24" s="18093">
        <f>5*HLOOKUP("fsXG/90",A1:CV300,24,FALSE)+3*HLOOKUP("fsXA/90",A1:CV300,24,FALSE)</f>
      </c>
      <c r="BX24" t="n" s="18094">
        <v>0.28774577379226685</v>
      </c>
      <c r="BY24" t="n" s="18095">
        <v>0.11884608119726181</v>
      </c>
      <c r="BZ24" s="18096">
        <f>5*HLOOKUP("uXG/90",A1:CV300,24,FALSE)+3*HLOOKUP("uXA/90",A1:CV300,24,FALSE)</f>
      </c>
    </row>
    <row r="25">
      <c r="A25" t="s" s="18097">
        <v>328</v>
      </c>
      <c r="B25" t="s" s="18098">
        <v>118</v>
      </c>
      <c r="C25" t="n" s="18099">
        <v>4.400000095367432</v>
      </c>
      <c r="D25" t="n" s="18100">
        <v>203.0</v>
      </c>
      <c r="E25" t="n" s="18101">
        <v>3.0</v>
      </c>
      <c r="F25" t="n" s="18102">
        <v>18.0</v>
      </c>
      <c r="G25" t="n" s="18103">
        <v>0.0</v>
      </c>
      <c r="H25" t="n" s="18104">
        <v>0.0</v>
      </c>
      <c r="I25" t="n" s="18105">
        <v>133.0</v>
      </c>
      <c r="J25" s="18106">
        <f>HLOOKUP("BPS",A1:CV300,25,FALSE)-((-6*HLOOKUP("OG",A1:CV300,25,FALSE))+(-6*HLOOKUP("PK Miss",A1:CV300,25,FALSE))+(9*HLOOKUP("FPL As",A1:CV300,25,FALSE))+(0*HLOOKUP("CS",A1:CV300,25,FALSE))+(18*HLOOKUP("Gs",A1:CV300,25,FALSE)))</f>
      </c>
      <c r="K25" t="n" s="18107">
        <v>0.0</v>
      </c>
      <c r="L25" t="n" s="18108">
        <v>1.0</v>
      </c>
      <c r="M25" t="n" s="18109">
        <v>2.0</v>
      </c>
      <c r="N25" t="n" s="18110">
        <v>1.0</v>
      </c>
      <c r="O25" t="n" s="18111">
        <v>1.0</v>
      </c>
      <c r="P25" s="18112">
        <f>IF(HLOOKUP("Shots",A1:CV300,25,FALSE)=0,0,HLOOKUP("SIB",A1:CV300,25,FALSE)/HLOOKUP("Shots",A1:CV300,25,FALSE))</f>
      </c>
      <c r="Q25" t="n" s="18113">
        <v>0.0</v>
      </c>
      <c r="R25" s="18114">
        <f>IF(HLOOKUP("Shots",A1:CV300,25,FALSE)=0,0,HLOOKUP("S6YD",A1:CV300,25,FALSE)/HLOOKUP("Shots",A1:CV300,25,FALSE))</f>
      </c>
      <c r="S25" t="n" s="18115">
        <v>0.0</v>
      </c>
      <c r="T25" s="18116">
        <f>IF(HLOOKUP("Shots",A1:CV300,25,FALSE)=0,0,HLOOKUP("Headers",A1:CV300,25,FALSE)/HLOOKUP("Shots",A1:CV300,25,FALSE))</f>
      </c>
      <c r="U25" t="n" s="18117">
        <v>0.0</v>
      </c>
      <c r="V25" s="18118">
        <f>IF(HLOOKUP("Shots",A1:CV300,25,FALSE)=0,0,HLOOKUP("SOT",A1:CV300,25,FALSE)/HLOOKUP("Shots",A1:CV300,25,FALSE))</f>
      </c>
      <c r="W25" s="18119">
        <f>IF(HLOOKUP("Shots",A1:CV300,25,FALSE)=0,0,HLOOKUP("Gs",A1:CV300,25,FALSE)/HLOOKUP("Shots",A1:CV300,25,FALSE))</f>
      </c>
      <c r="X25" t="n" s="18120">
        <v>0.0</v>
      </c>
      <c r="Y25" t="n" s="18121">
        <v>0.0</v>
      </c>
      <c r="Z25" t="n" s="18122">
        <v>1.0</v>
      </c>
      <c r="AA25" s="18123">
        <f>IF(HLOOKUP("KP",A1:CV300,25,FALSE)=0,0,HLOOKUP("As",A1:CV300,25,FALSE)/HLOOKUP("KP",A1:CV300,25,FALSE))</f>
      </c>
      <c r="AB25" s="18124"/>
      <c r="AC25" t="n" s="18125">
        <v>0.0</v>
      </c>
      <c r="AD25" t="n" s="18126">
        <v>0.0</v>
      </c>
      <c r="AE25" t="n" s="18127">
        <v>0.0</v>
      </c>
      <c r="AF25" t="n" s="18128">
        <v>0.0</v>
      </c>
      <c r="AG25" s="18129">
        <f>IF(HLOOKUP("BC",A1:CV300,25,FALSE)=0,0,HLOOKUP("Gs - BC",A1:CV300,25,FALSE)/HLOOKUP("BC",A1:CV300,25,FALSE))</f>
      </c>
      <c r="AH25" s="18130">
        <f>HLOOKUP("BC",A1:CV300,25,FALSE) - HLOOKUP("BC Miss",A1:CV300,25,FALSE)</f>
      </c>
      <c r="AI25" s="18131">
        <f>IF(HLOOKUP("Gs",A1:CV300,25,FALSE)=0,0,HLOOKUP("Gs - BC",A1:CV300,25,FALSE)/HLOOKUP("Gs",A1:CV300,25,FALSE))</f>
      </c>
      <c r="AJ25" t="n" s="18132">
        <v>0.0</v>
      </c>
      <c r="AK25" t="n" s="18133">
        <v>0.0</v>
      </c>
      <c r="AL25" s="18134">
        <f>HLOOKUP("BC",A1:CV300,25,FALSE) - (HLOOKUP("PK Gs",A1:CV300,25,FALSE) + HLOOKUP("PK Miss",A1:CV300,25,FALSE))</f>
      </c>
      <c r="AM25" s="18135">
        <f>HLOOKUP("BC Miss",A1:CV300,25,FALSE) - HLOOKUP("PK Miss",A1:CV300,25,FALSE)</f>
      </c>
      <c r="AN25" s="18136">
        <f>IF(HLOOKUP("BC - Open",A1:CV300,25,FALSE)=0,0,HLOOKUP("BC - Open Miss",A1:CV300,25,FALSE)/HLOOKUP("BC - Open",A1:CV300,25,FALSE))</f>
      </c>
      <c r="AO25" t="n" s="18137">
        <v>0.0</v>
      </c>
      <c r="AP25" s="18138">
        <f>IF(HLOOKUP("Gs",A1:CV300,25,FALSE)=0,0,HLOOKUP("GIB",A1:CV300,25,FALSE)/HLOOKUP("Gs",A1:CV300,25,FALSE))</f>
      </c>
      <c r="AQ25" t="n" s="18139">
        <v>0.0</v>
      </c>
      <c r="AR25" s="18140">
        <f>IF(HLOOKUP("Gs",A1:CV300,25,FALSE)=0,0,HLOOKUP("Gs - Open",A1:CV300,25,FALSE)/HLOOKUP("Gs",A1:CV300,25,FALSE))</f>
      </c>
      <c r="AS25" t="n" s="18141">
        <v>0.08</v>
      </c>
      <c r="AT25" t="n" s="18142">
        <v>0.05</v>
      </c>
      <c r="AU25" s="18143">
        <f>IF(HLOOKUP("Mins",A1:CV300,25,FALSE)=0,0,HLOOKUP("Pts",A1:CV300,25,FALSE)/HLOOKUP("Mins",A1:CV300,25,FALSE)* 90)</f>
      </c>
      <c r="AV25" s="18144">
        <f>IF(HLOOKUP("Apps",A1:CV300,25,FALSE)=0,0,HLOOKUP("Pts",A1:CV300,25,FALSE)/HLOOKUP("Apps",A1:CV300,25,FALSE)* 1)</f>
      </c>
      <c r="AW25" s="18145">
        <f>IF(HLOOKUP("Mins",A1:CV300,25,FALSE)=0,0,HLOOKUP("Gs",A1:CV300,25,FALSE)/HLOOKUP("Mins",A1:CV300,25,FALSE)* 90)</f>
      </c>
      <c r="AX25" s="18146">
        <f>IF(HLOOKUP("Mins",A1:CV300,25,FALSE)=0,0,HLOOKUP("Bonus",A1:CV300,25,FALSE)/HLOOKUP("Mins",A1:CV300,25,FALSE)* 90)</f>
      </c>
      <c r="AY25" s="18147">
        <f>IF(HLOOKUP("Mins",A1:CV300,25,FALSE)=0,0,HLOOKUP("BPS",A1:CV300,25,FALSE)/HLOOKUP("Mins",A1:CV300,25,FALSE)* 90)</f>
      </c>
      <c r="AZ25" s="18148">
        <f>IF(HLOOKUP("Mins",A1:CV300,25,FALSE)=0,0,HLOOKUP("Base BPS",A1:CV300,25,FALSE)/HLOOKUP("Mins",A1:CV300,25,FALSE)* 90)</f>
      </c>
      <c r="BA25" s="18149">
        <f>IF(HLOOKUP("Mins",A1:CV300,25,FALSE)=0,0,HLOOKUP("PenTchs",A1:CV300,25,FALSE)/HLOOKUP("Mins",A1:CV300,25,FALSE)* 90)</f>
      </c>
      <c r="BB25" s="18150">
        <f>IF(HLOOKUP("Mins",A1:CV300,25,FALSE)=0,0,HLOOKUP("Shots",A1:CV300,25,FALSE)/HLOOKUP("Mins",A1:CV300,25,FALSE)* 90)</f>
      </c>
      <c r="BC25" s="18151">
        <f>IF(HLOOKUP("Mins",A1:CV300,25,FALSE)=0,0,HLOOKUP("SIB",A1:CV300,25,FALSE)/HLOOKUP("Mins",A1:CV300,25,FALSE)* 90)</f>
      </c>
      <c r="BD25" s="18152">
        <f>IF(HLOOKUP("Mins",A1:CV300,25,FALSE)=0,0,HLOOKUP("S6YD",A1:CV300,25,FALSE)/HLOOKUP("Mins",A1:CV300,25,FALSE)* 90)</f>
      </c>
      <c r="BE25" s="18153">
        <f>IF(HLOOKUP("Mins",A1:CV300,25,FALSE)=0,0,HLOOKUP("Headers",A1:CV300,25,FALSE)/HLOOKUP("Mins",A1:CV300,25,FALSE)* 90)</f>
      </c>
      <c r="BF25" s="18154">
        <f>IF(HLOOKUP("Mins",A1:CV300,25,FALSE)=0,0,HLOOKUP("SOT",A1:CV300,25,FALSE)/HLOOKUP("Mins",A1:CV300,25,FALSE)* 90)</f>
      </c>
      <c r="BG25" s="18155">
        <f>IF(HLOOKUP("Mins",A1:CV300,25,FALSE)=0,0,HLOOKUP("As",A1:CV300,25,FALSE)/HLOOKUP("Mins",A1:CV300,25,FALSE)* 90)</f>
      </c>
      <c r="BH25" s="18156">
        <f>IF(HLOOKUP("Mins",A1:CV300,25,FALSE)=0,0,HLOOKUP("FPL As",A1:CV300,25,FALSE)/HLOOKUP("Mins",A1:CV300,25,FALSE)* 90)</f>
      </c>
      <c r="BI25" s="18157">
        <f>IF(HLOOKUP("Mins",A1:CV300,25,FALSE)=0,0,HLOOKUP("BC Created",A1:CV300,25,FALSE)/HLOOKUP("Mins",A1:CV300,25,FALSE)* 90)</f>
      </c>
      <c r="BJ25" s="18158">
        <f>IF(HLOOKUP("Mins",A1:CV300,25,FALSE)=0,0,HLOOKUP("KP",A1:CV300,25,FALSE)/HLOOKUP("Mins",A1:CV300,25,FALSE)* 90)</f>
      </c>
      <c r="BK25" s="18159">
        <f>IF(HLOOKUP("Mins",A1:CV300,25,FALSE)=0,0,HLOOKUP("BC",A1:CV300,25,FALSE)/HLOOKUP("Mins",A1:CV300,25,FALSE)* 90)</f>
      </c>
      <c r="BL25" s="18160">
        <f>IF(HLOOKUP("Mins",A1:CV300,25,FALSE)=0,0,HLOOKUP("BC Miss",A1:CV300,25,FALSE)/HLOOKUP("Mins",A1:CV300,25,FALSE)* 90)</f>
      </c>
      <c r="BM25" s="18161">
        <f>IF(HLOOKUP("Mins",A1:CV300,25,FALSE)=0,0,HLOOKUP("Gs - BC",A1:CV300,25,FALSE)/HLOOKUP("Mins",A1:CV300,25,FALSE)* 90)</f>
      </c>
      <c r="BN25" s="18162">
        <f>IF(HLOOKUP("Mins",A1:CV300,25,FALSE)=0,0,HLOOKUP("GIB",A1:CV300,25,FALSE)/HLOOKUP("Mins",A1:CV300,25,FALSE)* 90)</f>
      </c>
      <c r="BO25" s="18163">
        <f>IF(HLOOKUP("Mins",A1:CV300,25,FALSE)=0,0,HLOOKUP("Gs - Open",A1:CV300,25,FALSE)/HLOOKUP("Mins",A1:CV300,25,FALSE)* 90)</f>
      </c>
      <c r="BP25" s="18164">
        <f>IF(HLOOKUP("Mins",A1:CV300,25,FALSE)=0,0,HLOOKUP("ICT Index",A1:CV300,25,FALSE)/HLOOKUP("Mins",A1:CV300,25,FALSE)* 90)</f>
      </c>
      <c r="BQ25" s="18165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</c>
      <c r="BR25" s="18166">
        <f>0.0885*HLOOKUP("KP/90",A1:CV300,25,FALSE)</f>
      </c>
      <c r="BS25" s="18167">
        <f>5*HLOOKUP("xG/90",A1:CV300,25,FALSE)+3*HLOOKUP("xA/90",A1:CV300,25,FALSE)</f>
      </c>
      <c r="BT25" s="18168">
        <f>HLOOKUP("xPts/90",A1:CV300,25,FALSE)-(5*0.75*(HLOOKUP("PK Gs",A1:CV300,25,FALSE)+HLOOKUP("PK Miss",A1:CV300,25,FALSE))*90/HLOOKUP("Mins",A1:CV300,25,FALSE))</f>
      </c>
      <c r="BU25" s="18169">
        <f>IF(HLOOKUP("Mins",A1:CV300,25,FALSE)=0,0,HLOOKUP("fsXG",A1:CV300,25,FALSE)/HLOOKUP("Mins",A1:CV300,25,FALSE)* 90)</f>
      </c>
      <c r="BV25" s="18170">
        <f>IF(HLOOKUP("Mins",A1:CV300,25,FALSE)=0,0,HLOOKUP("fsXA",A1:CV300,25,FALSE)/HLOOKUP("Mins",A1:CV300,25,FALSE)* 90)</f>
      </c>
      <c r="BW25" s="18171">
        <f>5*HLOOKUP("fsXG/90",A1:CV300,25,FALSE)+3*HLOOKUP("fsXA/90",A1:CV300,25,FALSE)</f>
      </c>
      <c r="BX25" t="n" s="18172">
        <v>0.059204284101724625</v>
      </c>
      <c r="BY25" t="n" s="18173">
        <v>0.015471897087991238</v>
      </c>
      <c r="BZ25" s="18174">
        <f>5*HLOOKUP("uXG/90",A1:CV300,25,FALSE)+3*HLOOKUP("uXA/90",A1:CV300,25,FALSE)</f>
      </c>
    </row>
    <row r="26">
      <c r="A26" t="s" s="18175">
        <v>329</v>
      </c>
      <c r="B26" t="s" s="18176">
        <v>118</v>
      </c>
      <c r="C26" t="n" s="18177">
        <v>7.300000190734863</v>
      </c>
      <c r="D26" t="n" s="18178">
        <v>309.0</v>
      </c>
      <c r="E26" t="n" s="18179">
        <v>4.0</v>
      </c>
      <c r="F26" t="n" s="18180">
        <v>64.0</v>
      </c>
      <c r="G26" t="n" s="18181">
        <v>0.0</v>
      </c>
      <c r="H26" t="n" s="18182">
        <v>4.0</v>
      </c>
      <c r="I26" t="n" s="18183">
        <v>290.0</v>
      </c>
      <c r="J26" s="18184">
        <f>HLOOKUP("BPS",A1:CV300,26,FALSE)-((-6*HLOOKUP("OG",A1:CV300,26,FALSE))+(-6*HLOOKUP("PK Miss",A1:CV300,26,FALSE))+(9*HLOOKUP("FPL As",A1:CV300,26,FALSE))+(0*HLOOKUP("CS",A1:CV300,26,FALSE))+(18*HLOOKUP("Gs",A1:CV300,26,FALSE)))</f>
      </c>
      <c r="K26" t="n" s="18185">
        <v>0.0</v>
      </c>
      <c r="L26" t="n" s="18186">
        <v>5.0</v>
      </c>
      <c r="M26" t="n" s="18187">
        <v>3.0</v>
      </c>
      <c r="N26" t="n" s="18188">
        <v>1.0</v>
      </c>
      <c r="O26" t="n" s="18189">
        <v>1.0</v>
      </c>
      <c r="P26" s="18190">
        <f>IF(HLOOKUP("Shots",A1:CV300,26,FALSE)=0,0,HLOOKUP("SIB",A1:CV300,26,FALSE)/HLOOKUP("Shots",A1:CV300,26,FALSE))</f>
      </c>
      <c r="Q26" t="n" s="18191">
        <v>0.0</v>
      </c>
      <c r="R26" s="18192">
        <f>IF(HLOOKUP("Shots",A1:CV300,26,FALSE)=0,0,HLOOKUP("S6YD",A1:CV300,26,FALSE)/HLOOKUP("Shots",A1:CV300,26,FALSE))</f>
      </c>
      <c r="S26" t="n" s="18193">
        <v>0.0</v>
      </c>
      <c r="T26" s="18194">
        <f>IF(HLOOKUP("Shots",A1:CV300,26,FALSE)=0,0,HLOOKUP("Headers",A1:CV300,26,FALSE)/HLOOKUP("Shots",A1:CV300,26,FALSE))</f>
      </c>
      <c r="U26" t="n" s="18195">
        <v>1.0</v>
      </c>
      <c r="V26" s="18196">
        <f>IF(HLOOKUP("Shots",A1:CV300,26,FALSE)=0,0,HLOOKUP("SOT",A1:CV300,26,FALSE)/HLOOKUP("Shots",A1:CV300,26,FALSE))</f>
      </c>
      <c r="W26" s="18197">
        <f>IF(HLOOKUP("Shots",A1:CV300,26,FALSE)=0,0,HLOOKUP("Gs",A1:CV300,26,FALSE)/HLOOKUP("Shots",A1:CV300,26,FALSE))</f>
      </c>
      <c r="X26" t="n" s="18198">
        <v>1.0</v>
      </c>
      <c r="Y26" t="n" s="18199">
        <v>3.0</v>
      </c>
      <c r="Z26" t="n" s="18200">
        <v>7.0</v>
      </c>
      <c r="AA26" s="18201">
        <f>IF(HLOOKUP("KP",A1:CV300,26,FALSE)=0,0,HLOOKUP("As",A1:CV300,26,FALSE)/HLOOKUP("KP",A1:CV300,26,FALSE))</f>
      </c>
      <c r="AB26" s="18202"/>
      <c r="AC26" t="n" s="18203">
        <v>20.0</v>
      </c>
      <c r="AD26" t="n" s="18204">
        <v>1.0</v>
      </c>
      <c r="AE26" t="n" s="18205">
        <v>1.0</v>
      </c>
      <c r="AF26" t="n" s="18206">
        <v>1.0</v>
      </c>
      <c r="AG26" s="18207">
        <f>IF(HLOOKUP("BC",A1:CV300,26,FALSE)=0,0,HLOOKUP("Gs - BC",A1:CV300,26,FALSE)/HLOOKUP("BC",A1:CV300,26,FALSE))</f>
      </c>
      <c r="AH26" s="18208">
        <f>HLOOKUP("BC",A1:CV300,26,FALSE) - HLOOKUP("BC Miss",A1:CV300,26,FALSE)</f>
      </c>
      <c r="AI26" s="18209">
        <f>IF(HLOOKUP("Gs",A1:CV300,26,FALSE)=0,0,HLOOKUP("Gs - BC",A1:CV300,26,FALSE)/HLOOKUP("Gs",A1:CV300,26,FALSE))</f>
      </c>
      <c r="AJ26" t="n" s="18210">
        <v>0.0</v>
      </c>
      <c r="AK26" t="n" s="18211">
        <v>0.0</v>
      </c>
      <c r="AL26" s="18212">
        <f>HLOOKUP("BC",A1:CV300,26,FALSE) - (HLOOKUP("PK Gs",A1:CV300,26,FALSE) + HLOOKUP("PK Miss",A1:CV300,26,FALSE))</f>
      </c>
      <c r="AM26" s="18213">
        <f>HLOOKUP("BC Miss",A1:CV300,26,FALSE) - HLOOKUP("PK Miss",A1:CV300,26,FALSE)</f>
      </c>
      <c r="AN26" s="18214">
        <f>IF(HLOOKUP("BC - Open",A1:CV300,26,FALSE)=0,0,HLOOKUP("BC - Open Miss",A1:CV300,26,FALSE)/HLOOKUP("BC - Open",A1:CV300,26,FALSE))</f>
      </c>
      <c r="AO26" t="n" s="18215">
        <v>0.0</v>
      </c>
      <c r="AP26" s="18216">
        <f>IF(HLOOKUP("Gs",A1:CV300,26,FALSE)=0,0,HLOOKUP("GIB",A1:CV300,26,FALSE)/HLOOKUP("Gs",A1:CV300,26,FALSE))</f>
      </c>
      <c r="AQ26" t="n" s="18217">
        <v>0.0</v>
      </c>
      <c r="AR26" s="18218">
        <f>IF(HLOOKUP("Gs",A1:CV300,26,FALSE)=0,0,HLOOKUP("Gs - Open",A1:CV300,26,FALSE)/HLOOKUP("Gs",A1:CV300,26,FALSE))</f>
      </c>
      <c r="AS26" t="n" s="18219">
        <v>0.53</v>
      </c>
      <c r="AT26" t="n" s="18220">
        <v>0.53</v>
      </c>
      <c r="AU26" s="18221">
        <f>IF(HLOOKUP("Mins",A1:CV300,26,FALSE)=0,0,HLOOKUP("Pts",A1:CV300,26,FALSE)/HLOOKUP("Mins",A1:CV300,26,FALSE)* 90)</f>
      </c>
      <c r="AV26" s="18222">
        <f>IF(HLOOKUP("Apps",A1:CV300,26,FALSE)=0,0,HLOOKUP("Pts",A1:CV300,26,FALSE)/HLOOKUP("Apps",A1:CV300,26,FALSE)* 1)</f>
      </c>
      <c r="AW26" s="18223">
        <f>IF(HLOOKUP("Mins",A1:CV300,26,FALSE)=0,0,HLOOKUP("Gs",A1:CV300,26,FALSE)/HLOOKUP("Mins",A1:CV300,26,FALSE)* 90)</f>
      </c>
      <c r="AX26" s="18224">
        <f>IF(HLOOKUP("Mins",A1:CV300,26,FALSE)=0,0,HLOOKUP("Bonus",A1:CV300,26,FALSE)/HLOOKUP("Mins",A1:CV300,26,FALSE)* 90)</f>
      </c>
      <c r="AY26" s="18225">
        <f>IF(HLOOKUP("Mins",A1:CV300,26,FALSE)=0,0,HLOOKUP("BPS",A1:CV300,26,FALSE)/HLOOKUP("Mins",A1:CV300,26,FALSE)* 90)</f>
      </c>
      <c r="AZ26" s="18226">
        <f>IF(HLOOKUP("Mins",A1:CV300,26,FALSE)=0,0,HLOOKUP("Base BPS",A1:CV300,26,FALSE)/HLOOKUP("Mins",A1:CV300,26,FALSE)* 90)</f>
      </c>
      <c r="BA26" s="18227">
        <f>IF(HLOOKUP("Mins",A1:CV300,26,FALSE)=0,0,HLOOKUP("PenTchs",A1:CV300,26,FALSE)/HLOOKUP("Mins",A1:CV300,26,FALSE)* 90)</f>
      </c>
      <c r="BB26" s="18228">
        <f>IF(HLOOKUP("Mins",A1:CV300,26,FALSE)=0,0,HLOOKUP("Shots",A1:CV300,26,FALSE)/HLOOKUP("Mins",A1:CV300,26,FALSE)* 90)</f>
      </c>
      <c r="BC26" s="18229">
        <f>IF(HLOOKUP("Mins",A1:CV300,26,FALSE)=0,0,HLOOKUP("SIB",A1:CV300,26,FALSE)/HLOOKUP("Mins",A1:CV300,26,FALSE)* 90)</f>
      </c>
      <c r="BD26" s="18230">
        <f>IF(HLOOKUP("Mins",A1:CV300,26,FALSE)=0,0,HLOOKUP("S6YD",A1:CV300,26,FALSE)/HLOOKUP("Mins",A1:CV300,26,FALSE)* 90)</f>
      </c>
      <c r="BE26" s="18231">
        <f>IF(HLOOKUP("Mins",A1:CV300,26,FALSE)=0,0,HLOOKUP("Headers",A1:CV300,26,FALSE)/HLOOKUP("Mins",A1:CV300,26,FALSE)* 90)</f>
      </c>
      <c r="BF26" s="18232">
        <f>IF(HLOOKUP("Mins",A1:CV300,26,FALSE)=0,0,HLOOKUP("SOT",A1:CV300,26,FALSE)/HLOOKUP("Mins",A1:CV300,26,FALSE)* 90)</f>
      </c>
      <c r="BG26" s="18233">
        <f>IF(HLOOKUP("Mins",A1:CV300,26,FALSE)=0,0,HLOOKUP("As",A1:CV300,26,FALSE)/HLOOKUP("Mins",A1:CV300,26,FALSE)* 90)</f>
      </c>
      <c r="BH26" s="18234">
        <f>IF(HLOOKUP("Mins",A1:CV300,26,FALSE)=0,0,HLOOKUP("FPL As",A1:CV300,26,FALSE)/HLOOKUP("Mins",A1:CV300,26,FALSE)* 90)</f>
      </c>
      <c r="BI26" s="18235">
        <f>IF(HLOOKUP("Mins",A1:CV300,26,FALSE)=0,0,HLOOKUP("BC Created",A1:CV300,26,FALSE)/HLOOKUP("Mins",A1:CV300,26,FALSE)* 90)</f>
      </c>
      <c r="BJ26" s="18236">
        <f>IF(HLOOKUP("Mins",A1:CV300,26,FALSE)=0,0,HLOOKUP("KP",A1:CV300,26,FALSE)/HLOOKUP("Mins",A1:CV300,26,FALSE)* 90)</f>
      </c>
      <c r="BK26" s="18237">
        <f>IF(HLOOKUP("Mins",A1:CV300,26,FALSE)=0,0,HLOOKUP("BC",A1:CV300,26,FALSE)/HLOOKUP("Mins",A1:CV300,26,FALSE)* 90)</f>
      </c>
      <c r="BL26" s="18238">
        <f>IF(HLOOKUP("Mins",A1:CV300,26,FALSE)=0,0,HLOOKUP("BC Miss",A1:CV300,26,FALSE)/HLOOKUP("Mins",A1:CV300,26,FALSE)* 90)</f>
      </c>
      <c r="BM26" s="18239">
        <f>IF(HLOOKUP("Mins",A1:CV300,26,FALSE)=0,0,HLOOKUP("Gs - BC",A1:CV300,26,FALSE)/HLOOKUP("Mins",A1:CV300,26,FALSE)* 90)</f>
      </c>
      <c r="BN26" s="18240">
        <f>IF(HLOOKUP("Mins",A1:CV300,26,FALSE)=0,0,HLOOKUP("GIB",A1:CV300,26,FALSE)/HLOOKUP("Mins",A1:CV300,26,FALSE)* 90)</f>
      </c>
      <c r="BO26" s="18241">
        <f>IF(HLOOKUP("Mins",A1:CV300,26,FALSE)=0,0,HLOOKUP("Gs - Open",A1:CV300,26,FALSE)/HLOOKUP("Mins",A1:CV300,26,FALSE)* 90)</f>
      </c>
      <c r="BP26" s="18242">
        <f>IF(HLOOKUP("Mins",A1:CV300,26,FALSE)=0,0,HLOOKUP("ICT Index",A1:CV300,26,FALSE)/HLOOKUP("Mins",A1:CV300,26,FALSE)* 90)</f>
      </c>
      <c r="BQ26" s="18243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</c>
      <c r="BR26" s="18244">
        <f>0.0885*HLOOKUP("KP/90",A1:CV300,26,FALSE)</f>
      </c>
      <c r="BS26" s="18245">
        <f>5*HLOOKUP("xG/90",A1:CV300,26,FALSE)+3*HLOOKUP("xA/90",A1:CV300,26,FALSE)</f>
      </c>
      <c r="BT26" s="18246">
        <f>HLOOKUP("xPts/90",A1:CV300,26,FALSE)-(5*0.75*(HLOOKUP("PK Gs",A1:CV300,26,FALSE)+HLOOKUP("PK Miss",A1:CV300,26,FALSE))*90/HLOOKUP("Mins",A1:CV300,26,FALSE))</f>
      </c>
      <c r="BU26" s="18247">
        <f>IF(HLOOKUP("Mins",A1:CV300,26,FALSE)=0,0,HLOOKUP("fsXG",A1:CV300,26,FALSE)/HLOOKUP("Mins",A1:CV300,26,FALSE)* 90)</f>
      </c>
      <c r="BV26" s="18248">
        <f>IF(HLOOKUP("Mins",A1:CV300,26,FALSE)=0,0,HLOOKUP("fsXA",A1:CV300,26,FALSE)/HLOOKUP("Mins",A1:CV300,26,FALSE)* 90)</f>
      </c>
      <c r="BW26" s="18249">
        <f>5*HLOOKUP("fsXG/90",A1:CV300,26,FALSE)+3*HLOOKUP("fsXA/90",A1:CV300,26,FALSE)</f>
      </c>
      <c r="BX26" t="n" s="18250">
        <v>0.1423417627811432</v>
      </c>
      <c r="BY26" t="n" s="18251">
        <v>0.17790710926055908</v>
      </c>
      <c r="BZ26" s="18252">
        <f>5*HLOOKUP("uXG/90",A1:CV300,26,FALSE)+3*HLOOKUP("uXA/90",A1:CV300,26,FALSE)</f>
      </c>
    </row>
    <row r="27">
      <c r="A27" t="s" s="18253">
        <v>330</v>
      </c>
      <c r="B27" t="s" s="18254">
        <v>107</v>
      </c>
      <c r="C27" t="n" s="18255">
        <v>4.5</v>
      </c>
      <c r="D27" t="n" s="18256">
        <v>358.0</v>
      </c>
      <c r="E27" t="n" s="18257">
        <v>4.0</v>
      </c>
      <c r="F27" t="n" s="18258">
        <v>13.0</v>
      </c>
      <c r="G27" t="n" s="18259">
        <v>0.0</v>
      </c>
      <c r="H27" t="n" s="18260">
        <v>0.0</v>
      </c>
      <c r="I27" t="n" s="18261">
        <v>83.0</v>
      </c>
      <c r="J27" s="18262">
        <f>HLOOKUP("BPS",A1:CV300,27,FALSE)-((-6*HLOOKUP("OG",A1:CV300,27,FALSE))+(-6*HLOOKUP("PK Miss",A1:CV300,27,FALSE))+(9*HLOOKUP("FPL As",A1:CV300,27,FALSE))+(0*HLOOKUP("CS",A1:CV300,27,FALSE))+(18*HLOOKUP("Gs",A1:CV300,27,FALSE)))</f>
      </c>
      <c r="K27" t="n" s="18263">
        <v>0.0</v>
      </c>
      <c r="L27" t="n" s="18264">
        <v>0.0</v>
      </c>
      <c r="M27" t="n" s="18265">
        <v>3.0</v>
      </c>
      <c r="N27" t="n" s="18266">
        <v>2.0</v>
      </c>
      <c r="O27" t="n" s="18267">
        <v>0.0</v>
      </c>
      <c r="P27" s="18268">
        <f>IF(HLOOKUP("Shots",A1:CV300,27,FALSE)=0,0,HLOOKUP("SIB",A1:CV300,27,FALSE)/HLOOKUP("Shots",A1:CV300,27,FALSE))</f>
      </c>
      <c r="Q27" t="n" s="18269">
        <v>0.0</v>
      </c>
      <c r="R27" s="18270">
        <f>IF(HLOOKUP("Shots",A1:CV300,27,FALSE)=0,0,HLOOKUP("S6YD",A1:CV300,27,FALSE)/HLOOKUP("Shots",A1:CV300,27,FALSE))</f>
      </c>
      <c r="S27" t="n" s="18271">
        <v>0.0</v>
      </c>
      <c r="T27" s="18272">
        <f>IF(HLOOKUP("Shots",A1:CV300,27,FALSE)=0,0,HLOOKUP("Headers",A1:CV300,27,FALSE)/HLOOKUP("Shots",A1:CV300,27,FALSE))</f>
      </c>
      <c r="U27" t="n" s="18273">
        <v>0.0</v>
      </c>
      <c r="V27" s="18274">
        <f>IF(HLOOKUP("Shots",A1:CV300,27,FALSE)=0,0,HLOOKUP("SOT",A1:CV300,27,FALSE)/HLOOKUP("Shots",A1:CV300,27,FALSE))</f>
      </c>
      <c r="W27" s="18275">
        <f>IF(HLOOKUP("Shots",A1:CV300,27,FALSE)=0,0,HLOOKUP("Gs",A1:CV300,27,FALSE)/HLOOKUP("Shots",A1:CV300,27,FALSE))</f>
      </c>
      <c r="X27" t="n" s="18276">
        <v>0.0</v>
      </c>
      <c r="Y27" t="n" s="18277">
        <v>0.0</v>
      </c>
      <c r="Z27" t="n" s="18278">
        <v>2.0</v>
      </c>
      <c r="AA27" s="18279">
        <f>IF(HLOOKUP("KP",A1:CV300,27,FALSE)=0,0,HLOOKUP("As",A1:CV300,27,FALSE)/HLOOKUP("KP",A1:CV300,27,FALSE))</f>
      </c>
      <c r="AB27" s="18280"/>
      <c r="AC27" t="n" s="18281">
        <v>0.0</v>
      </c>
      <c r="AD27" t="n" s="18282">
        <v>0.0</v>
      </c>
      <c r="AE27" t="n" s="18283">
        <v>0.0</v>
      </c>
      <c r="AF27" t="n" s="18284">
        <v>0.0</v>
      </c>
      <c r="AG27" s="18285">
        <f>IF(HLOOKUP("BC",A1:CV300,27,FALSE)=0,0,HLOOKUP("Gs - BC",A1:CV300,27,FALSE)/HLOOKUP("BC",A1:CV300,27,FALSE))</f>
      </c>
      <c r="AH27" s="18286">
        <f>HLOOKUP("BC",A1:CV300,27,FALSE) - HLOOKUP("BC Miss",A1:CV300,27,FALSE)</f>
      </c>
      <c r="AI27" s="18287">
        <f>IF(HLOOKUP("Gs",A1:CV300,27,FALSE)=0,0,HLOOKUP("Gs - BC",A1:CV300,27,FALSE)/HLOOKUP("Gs",A1:CV300,27,FALSE))</f>
      </c>
      <c r="AJ27" t="n" s="18288">
        <v>0.0</v>
      </c>
      <c r="AK27" t="n" s="18289">
        <v>0.0</v>
      </c>
      <c r="AL27" s="18290">
        <f>HLOOKUP("BC",A1:CV300,27,FALSE) - (HLOOKUP("PK Gs",A1:CV300,27,FALSE) + HLOOKUP("PK Miss",A1:CV300,27,FALSE))</f>
      </c>
      <c r="AM27" s="18291">
        <f>HLOOKUP("BC Miss",A1:CV300,27,FALSE) - HLOOKUP("PK Miss",A1:CV300,27,FALSE)</f>
      </c>
      <c r="AN27" s="18292">
        <f>IF(HLOOKUP("BC - Open",A1:CV300,27,FALSE)=0,0,HLOOKUP("BC - Open Miss",A1:CV300,27,FALSE)/HLOOKUP("BC - Open",A1:CV300,27,FALSE))</f>
      </c>
      <c r="AO27" t="n" s="18293">
        <v>0.0</v>
      </c>
      <c r="AP27" s="18294">
        <f>IF(HLOOKUP("Gs",A1:CV300,27,FALSE)=0,0,HLOOKUP("GIB",A1:CV300,27,FALSE)/HLOOKUP("Gs",A1:CV300,27,FALSE))</f>
      </c>
      <c r="AQ27" t="n" s="18295">
        <v>0.0</v>
      </c>
      <c r="AR27" s="18296">
        <f>IF(HLOOKUP("Gs",A1:CV300,27,FALSE)=0,0,HLOOKUP("Gs - Open",A1:CV300,27,FALSE)/HLOOKUP("Gs",A1:CV300,27,FALSE))</f>
      </c>
      <c r="AS27" t="n" s="18297">
        <v>0.05</v>
      </c>
      <c r="AT27" t="n" s="18298">
        <v>0.29</v>
      </c>
      <c r="AU27" s="18299">
        <f>IF(HLOOKUP("Mins",A1:CV300,27,FALSE)=0,0,HLOOKUP("Pts",A1:CV300,27,FALSE)/HLOOKUP("Mins",A1:CV300,27,FALSE)* 90)</f>
      </c>
      <c r="AV27" s="18300">
        <f>IF(HLOOKUP("Apps",A1:CV300,27,FALSE)=0,0,HLOOKUP("Pts",A1:CV300,27,FALSE)/HLOOKUP("Apps",A1:CV300,27,FALSE)* 1)</f>
      </c>
      <c r="AW27" s="18301">
        <f>IF(HLOOKUP("Mins",A1:CV300,27,FALSE)=0,0,HLOOKUP("Gs",A1:CV300,27,FALSE)/HLOOKUP("Mins",A1:CV300,27,FALSE)* 90)</f>
      </c>
      <c r="AX27" s="18302">
        <f>IF(HLOOKUP("Mins",A1:CV300,27,FALSE)=0,0,HLOOKUP("Bonus",A1:CV300,27,FALSE)/HLOOKUP("Mins",A1:CV300,27,FALSE)* 90)</f>
      </c>
      <c r="AY27" s="18303">
        <f>IF(HLOOKUP("Mins",A1:CV300,27,FALSE)=0,0,HLOOKUP("BPS",A1:CV300,27,FALSE)/HLOOKUP("Mins",A1:CV300,27,FALSE)* 90)</f>
      </c>
      <c r="AZ27" s="18304">
        <f>IF(HLOOKUP("Mins",A1:CV300,27,FALSE)=0,0,HLOOKUP("Base BPS",A1:CV300,27,FALSE)/HLOOKUP("Mins",A1:CV300,27,FALSE)* 90)</f>
      </c>
      <c r="BA27" s="18305">
        <f>IF(HLOOKUP("Mins",A1:CV300,27,FALSE)=0,0,HLOOKUP("PenTchs",A1:CV300,27,FALSE)/HLOOKUP("Mins",A1:CV300,27,FALSE)* 90)</f>
      </c>
      <c r="BB27" s="18306">
        <f>IF(HLOOKUP("Mins",A1:CV300,27,FALSE)=0,0,HLOOKUP("Shots",A1:CV300,27,FALSE)/HLOOKUP("Mins",A1:CV300,27,FALSE)* 90)</f>
      </c>
      <c r="BC27" s="18307">
        <f>IF(HLOOKUP("Mins",A1:CV300,27,FALSE)=0,0,HLOOKUP("SIB",A1:CV300,27,FALSE)/HLOOKUP("Mins",A1:CV300,27,FALSE)* 90)</f>
      </c>
      <c r="BD27" s="18308">
        <f>IF(HLOOKUP("Mins",A1:CV300,27,FALSE)=0,0,HLOOKUP("S6YD",A1:CV300,27,FALSE)/HLOOKUP("Mins",A1:CV300,27,FALSE)* 90)</f>
      </c>
      <c r="BE27" s="18309">
        <f>IF(HLOOKUP("Mins",A1:CV300,27,FALSE)=0,0,HLOOKUP("Headers",A1:CV300,27,FALSE)/HLOOKUP("Mins",A1:CV300,27,FALSE)* 90)</f>
      </c>
      <c r="BF27" s="18310">
        <f>IF(HLOOKUP("Mins",A1:CV300,27,FALSE)=0,0,HLOOKUP("SOT",A1:CV300,27,FALSE)/HLOOKUP("Mins",A1:CV300,27,FALSE)* 90)</f>
      </c>
      <c r="BG27" s="18311">
        <f>IF(HLOOKUP("Mins",A1:CV300,27,FALSE)=0,0,HLOOKUP("As",A1:CV300,27,FALSE)/HLOOKUP("Mins",A1:CV300,27,FALSE)* 90)</f>
      </c>
      <c r="BH27" s="18312">
        <f>IF(HLOOKUP("Mins",A1:CV300,27,FALSE)=0,0,HLOOKUP("FPL As",A1:CV300,27,FALSE)/HLOOKUP("Mins",A1:CV300,27,FALSE)* 90)</f>
      </c>
      <c r="BI27" s="18313">
        <f>IF(HLOOKUP("Mins",A1:CV300,27,FALSE)=0,0,HLOOKUP("BC Created",A1:CV300,27,FALSE)/HLOOKUP("Mins",A1:CV300,27,FALSE)* 90)</f>
      </c>
      <c r="BJ27" s="18314">
        <f>IF(HLOOKUP("Mins",A1:CV300,27,FALSE)=0,0,HLOOKUP("KP",A1:CV300,27,FALSE)/HLOOKUP("Mins",A1:CV300,27,FALSE)* 90)</f>
      </c>
      <c r="BK27" s="18315">
        <f>IF(HLOOKUP("Mins",A1:CV300,27,FALSE)=0,0,HLOOKUP("BC",A1:CV300,27,FALSE)/HLOOKUP("Mins",A1:CV300,27,FALSE)* 90)</f>
      </c>
      <c r="BL27" s="18316">
        <f>IF(HLOOKUP("Mins",A1:CV300,27,FALSE)=0,0,HLOOKUP("BC Miss",A1:CV300,27,FALSE)/HLOOKUP("Mins",A1:CV300,27,FALSE)* 90)</f>
      </c>
      <c r="BM27" s="18317">
        <f>IF(HLOOKUP("Mins",A1:CV300,27,FALSE)=0,0,HLOOKUP("Gs - BC",A1:CV300,27,FALSE)/HLOOKUP("Mins",A1:CV300,27,FALSE)* 90)</f>
      </c>
      <c r="BN27" s="18318">
        <f>IF(HLOOKUP("Mins",A1:CV300,27,FALSE)=0,0,HLOOKUP("GIB",A1:CV300,27,FALSE)/HLOOKUP("Mins",A1:CV300,27,FALSE)* 90)</f>
      </c>
      <c r="BO27" s="18319">
        <f>IF(HLOOKUP("Mins",A1:CV300,27,FALSE)=0,0,HLOOKUP("Gs - Open",A1:CV300,27,FALSE)/HLOOKUP("Mins",A1:CV300,27,FALSE)* 90)</f>
      </c>
      <c r="BP27" s="18320">
        <f>IF(HLOOKUP("Mins",A1:CV300,27,FALSE)=0,0,HLOOKUP("ICT Index",A1:CV300,27,FALSE)/HLOOKUP("Mins",A1:CV300,27,FALSE)* 90)</f>
      </c>
      <c r="BQ27" s="18321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</c>
      <c r="BR27" s="18322">
        <f>0.0885*HLOOKUP("KP/90",A1:CV300,27,FALSE)</f>
      </c>
      <c r="BS27" s="18323">
        <f>5*HLOOKUP("xG/90",A1:CV300,27,FALSE)+3*HLOOKUP("xA/90",A1:CV300,27,FALSE)</f>
      </c>
      <c r="BT27" s="18324">
        <f>HLOOKUP("xPts/90",A1:CV300,27,FALSE)-(5*0.75*(HLOOKUP("PK Gs",A1:CV300,27,FALSE)+HLOOKUP("PK Miss",A1:CV300,27,FALSE))*90/HLOOKUP("Mins",A1:CV300,27,FALSE))</f>
      </c>
      <c r="BU27" s="18325">
        <f>IF(HLOOKUP("Mins",A1:CV300,27,FALSE)=0,0,HLOOKUP("fsXG",A1:CV300,27,FALSE)/HLOOKUP("Mins",A1:CV300,27,FALSE)* 90)</f>
      </c>
      <c r="BV27" s="18326">
        <f>IF(HLOOKUP("Mins",A1:CV300,27,FALSE)=0,0,HLOOKUP("fsXA",A1:CV300,27,FALSE)/HLOOKUP("Mins",A1:CV300,27,FALSE)* 90)</f>
      </c>
      <c r="BW27" s="18327">
        <f>5*HLOOKUP("fsXG/90",A1:CV300,27,FALSE)+3*HLOOKUP("fsXA/90",A1:CV300,27,FALSE)</f>
      </c>
      <c r="BX27" t="n" s="18328">
        <v>0.007358412723988295</v>
      </c>
      <c r="BY27" t="n" s="18329">
        <v>0.1278100162744522</v>
      </c>
      <c r="BZ27" s="18330">
        <f>5*HLOOKUP("uXG/90",A1:CV300,27,FALSE)+3*HLOOKUP("uXA/90",A1:CV300,27,FALSE)</f>
      </c>
    </row>
    <row r="28">
      <c r="A28" t="s" s="18331">
        <v>331</v>
      </c>
      <c r="B28" t="s" s="18332">
        <v>116</v>
      </c>
      <c r="C28" t="n" s="18333">
        <v>5.599999904632568</v>
      </c>
      <c r="D28" t="n" s="18334">
        <v>258.0</v>
      </c>
      <c r="E28" t="n" s="18335">
        <v>6.0</v>
      </c>
      <c r="F28" t="n" s="18336">
        <v>46.0</v>
      </c>
      <c r="G28" t="n" s="18337">
        <v>2.0</v>
      </c>
      <c r="H28" t="n" s="18338">
        <v>0.0</v>
      </c>
      <c r="I28" t="n" s="18339">
        <v>147.0</v>
      </c>
      <c r="J28" s="18340">
        <f>HLOOKUP("BPS",A1:CV300,28,FALSE)-((-6*HLOOKUP("OG",A1:CV300,28,FALSE))+(-6*HLOOKUP("PK Miss",A1:CV300,28,FALSE))+(9*HLOOKUP("FPL As",A1:CV300,28,FALSE))+(0*HLOOKUP("CS",A1:CV300,28,FALSE))+(18*HLOOKUP("Gs",A1:CV300,28,FALSE)))</f>
      </c>
      <c r="K28" t="n" s="18341">
        <v>0.0</v>
      </c>
      <c r="L28" t="n" s="18342">
        <v>4.0</v>
      </c>
      <c r="M28" t="n" s="18343">
        <v>9.0</v>
      </c>
      <c r="N28" t="n" s="18344">
        <v>3.0</v>
      </c>
      <c r="O28" t="n" s="18345">
        <v>3.0</v>
      </c>
      <c r="P28" s="18346">
        <f>IF(HLOOKUP("Shots",A1:CV300,28,FALSE)=0,0,HLOOKUP("SIB",A1:CV300,28,FALSE)/HLOOKUP("Shots",A1:CV300,28,FALSE))</f>
      </c>
      <c r="Q28" t="n" s="18347">
        <v>0.0</v>
      </c>
      <c r="R28" s="18348">
        <f>IF(HLOOKUP("Shots",A1:CV300,28,FALSE)=0,0,HLOOKUP("S6YD",A1:CV300,28,FALSE)/HLOOKUP("Shots",A1:CV300,28,FALSE))</f>
      </c>
      <c r="S28" t="n" s="18349">
        <v>0.0</v>
      </c>
      <c r="T28" s="18350">
        <f>IF(HLOOKUP("Shots",A1:CV300,28,FALSE)=0,0,HLOOKUP("Headers",A1:CV300,28,FALSE)/HLOOKUP("Shots",A1:CV300,28,FALSE))</f>
      </c>
      <c r="U28" t="n" s="18351">
        <v>2.0</v>
      </c>
      <c r="V28" s="18352">
        <f>IF(HLOOKUP("Shots",A1:CV300,28,FALSE)=0,0,HLOOKUP("SOT",A1:CV300,28,FALSE)/HLOOKUP("Shots",A1:CV300,28,FALSE))</f>
      </c>
      <c r="W28" s="18353">
        <f>IF(HLOOKUP("Shots",A1:CV300,28,FALSE)=0,0,HLOOKUP("Gs",A1:CV300,28,FALSE)/HLOOKUP("Shots",A1:CV300,28,FALSE))</f>
      </c>
      <c r="X28" t="n" s="18354">
        <v>0.0</v>
      </c>
      <c r="Y28" t="n" s="18355">
        <v>0.0</v>
      </c>
      <c r="Z28" t="n" s="18356">
        <v>1.0</v>
      </c>
      <c r="AA28" s="18357">
        <f>IF(HLOOKUP("KP",A1:CV300,28,FALSE)=0,0,HLOOKUP("As",A1:CV300,28,FALSE)/HLOOKUP("KP",A1:CV300,28,FALSE))</f>
      </c>
      <c r="AB28" s="18358"/>
      <c r="AC28" t="n" s="18359">
        <v>40.0</v>
      </c>
      <c r="AD28" t="n" s="18360">
        <v>0.0</v>
      </c>
      <c r="AE28" t="n" s="18361">
        <v>2.0</v>
      </c>
      <c r="AF28" t="n" s="18362">
        <v>0.0</v>
      </c>
      <c r="AG28" s="18363">
        <f>IF(HLOOKUP("BC",A1:CV300,28,FALSE)=0,0,HLOOKUP("Gs - BC",A1:CV300,28,FALSE)/HLOOKUP("BC",A1:CV300,28,FALSE))</f>
      </c>
      <c r="AH28" s="18364">
        <f>HLOOKUP("BC",A1:CV300,28,FALSE) - HLOOKUP("BC Miss",A1:CV300,28,FALSE)</f>
      </c>
      <c r="AI28" s="18365">
        <f>IF(HLOOKUP("Gs",A1:CV300,28,FALSE)=0,0,HLOOKUP("Gs - BC",A1:CV300,28,FALSE)/HLOOKUP("Gs",A1:CV300,28,FALSE))</f>
      </c>
      <c r="AJ28" t="n" s="18366">
        <v>0.0</v>
      </c>
      <c r="AK28" t="n" s="18367">
        <v>0.0</v>
      </c>
      <c r="AL28" s="18368">
        <f>HLOOKUP("BC",A1:CV300,28,FALSE) - (HLOOKUP("PK Gs",A1:CV300,28,FALSE) + HLOOKUP("PK Miss",A1:CV300,28,FALSE))</f>
      </c>
      <c r="AM28" s="18369">
        <f>HLOOKUP("BC Miss",A1:CV300,28,FALSE) - HLOOKUP("PK Miss",A1:CV300,28,FALSE)</f>
      </c>
      <c r="AN28" s="18370">
        <f>IF(HLOOKUP("BC - Open",A1:CV300,28,FALSE)=0,0,HLOOKUP("BC - Open Miss",A1:CV300,28,FALSE)/HLOOKUP("BC - Open",A1:CV300,28,FALSE))</f>
      </c>
      <c r="AO28" t="n" s="18371">
        <v>2.0</v>
      </c>
      <c r="AP28" s="18372">
        <f>IF(HLOOKUP("Gs",A1:CV300,28,FALSE)=0,0,HLOOKUP("GIB",A1:CV300,28,FALSE)/HLOOKUP("Gs",A1:CV300,28,FALSE))</f>
      </c>
      <c r="AQ28" t="n" s="18373">
        <v>2.0</v>
      </c>
      <c r="AR28" s="18374">
        <f>IF(HLOOKUP("Gs",A1:CV300,28,FALSE)=0,0,HLOOKUP("Gs - Open",A1:CV300,28,FALSE)/HLOOKUP("Gs",A1:CV300,28,FALSE))</f>
      </c>
      <c r="AS28" t="n" s="18375">
        <v>0.69</v>
      </c>
      <c r="AT28" t="n" s="18376">
        <v>0.19</v>
      </c>
      <c r="AU28" s="18377">
        <f>IF(HLOOKUP("Mins",A1:CV300,28,FALSE)=0,0,HLOOKUP("Pts",A1:CV300,28,FALSE)/HLOOKUP("Mins",A1:CV300,28,FALSE)* 90)</f>
      </c>
      <c r="AV28" s="18378">
        <f>IF(HLOOKUP("Apps",A1:CV300,28,FALSE)=0,0,HLOOKUP("Pts",A1:CV300,28,FALSE)/HLOOKUP("Apps",A1:CV300,28,FALSE)* 1)</f>
      </c>
      <c r="AW28" s="18379">
        <f>IF(HLOOKUP("Mins",A1:CV300,28,FALSE)=0,0,HLOOKUP("Gs",A1:CV300,28,FALSE)/HLOOKUP("Mins",A1:CV300,28,FALSE)* 90)</f>
      </c>
      <c r="AX28" s="18380">
        <f>IF(HLOOKUP("Mins",A1:CV300,28,FALSE)=0,0,HLOOKUP("Bonus",A1:CV300,28,FALSE)/HLOOKUP("Mins",A1:CV300,28,FALSE)* 90)</f>
      </c>
      <c r="AY28" s="18381">
        <f>IF(HLOOKUP("Mins",A1:CV300,28,FALSE)=0,0,HLOOKUP("BPS",A1:CV300,28,FALSE)/HLOOKUP("Mins",A1:CV300,28,FALSE)* 90)</f>
      </c>
      <c r="AZ28" s="18382">
        <f>IF(HLOOKUP("Mins",A1:CV300,28,FALSE)=0,0,HLOOKUP("Base BPS",A1:CV300,28,FALSE)/HLOOKUP("Mins",A1:CV300,28,FALSE)* 90)</f>
      </c>
      <c r="BA28" s="18383">
        <f>IF(HLOOKUP("Mins",A1:CV300,28,FALSE)=0,0,HLOOKUP("PenTchs",A1:CV300,28,FALSE)/HLOOKUP("Mins",A1:CV300,28,FALSE)* 90)</f>
      </c>
      <c r="BB28" s="18384">
        <f>IF(HLOOKUP("Mins",A1:CV300,28,FALSE)=0,0,HLOOKUP("Shots",A1:CV300,28,FALSE)/HLOOKUP("Mins",A1:CV300,28,FALSE)* 90)</f>
      </c>
      <c r="BC28" s="18385">
        <f>IF(HLOOKUP("Mins",A1:CV300,28,FALSE)=0,0,HLOOKUP("SIB",A1:CV300,28,FALSE)/HLOOKUP("Mins",A1:CV300,28,FALSE)* 90)</f>
      </c>
      <c r="BD28" s="18386">
        <f>IF(HLOOKUP("Mins",A1:CV300,28,FALSE)=0,0,HLOOKUP("S6YD",A1:CV300,28,FALSE)/HLOOKUP("Mins",A1:CV300,28,FALSE)* 90)</f>
      </c>
      <c r="BE28" s="18387">
        <f>IF(HLOOKUP("Mins",A1:CV300,28,FALSE)=0,0,HLOOKUP("Headers",A1:CV300,28,FALSE)/HLOOKUP("Mins",A1:CV300,28,FALSE)* 90)</f>
      </c>
      <c r="BF28" s="18388">
        <f>IF(HLOOKUP("Mins",A1:CV300,28,FALSE)=0,0,HLOOKUP("SOT",A1:CV300,28,FALSE)/HLOOKUP("Mins",A1:CV300,28,FALSE)* 90)</f>
      </c>
      <c r="BG28" s="18389">
        <f>IF(HLOOKUP("Mins",A1:CV300,28,FALSE)=0,0,HLOOKUP("As",A1:CV300,28,FALSE)/HLOOKUP("Mins",A1:CV300,28,FALSE)* 90)</f>
      </c>
      <c r="BH28" s="18390">
        <f>IF(HLOOKUP("Mins",A1:CV300,28,FALSE)=0,0,HLOOKUP("FPL As",A1:CV300,28,FALSE)/HLOOKUP("Mins",A1:CV300,28,FALSE)* 90)</f>
      </c>
      <c r="BI28" s="18391">
        <f>IF(HLOOKUP("Mins",A1:CV300,28,FALSE)=0,0,HLOOKUP("BC Created",A1:CV300,28,FALSE)/HLOOKUP("Mins",A1:CV300,28,FALSE)* 90)</f>
      </c>
      <c r="BJ28" s="18392">
        <f>IF(HLOOKUP("Mins",A1:CV300,28,FALSE)=0,0,HLOOKUP("KP",A1:CV300,28,FALSE)/HLOOKUP("Mins",A1:CV300,28,FALSE)* 90)</f>
      </c>
      <c r="BK28" s="18393">
        <f>IF(HLOOKUP("Mins",A1:CV300,28,FALSE)=0,0,HLOOKUP("BC",A1:CV300,28,FALSE)/HLOOKUP("Mins",A1:CV300,28,FALSE)* 90)</f>
      </c>
      <c r="BL28" s="18394">
        <f>IF(HLOOKUP("Mins",A1:CV300,28,FALSE)=0,0,HLOOKUP("BC Miss",A1:CV300,28,FALSE)/HLOOKUP("Mins",A1:CV300,28,FALSE)* 90)</f>
      </c>
      <c r="BM28" s="18395">
        <f>IF(HLOOKUP("Mins",A1:CV300,28,FALSE)=0,0,HLOOKUP("Gs - BC",A1:CV300,28,FALSE)/HLOOKUP("Mins",A1:CV300,28,FALSE)* 90)</f>
      </c>
      <c r="BN28" s="18396">
        <f>IF(HLOOKUP("Mins",A1:CV300,28,FALSE)=0,0,HLOOKUP("GIB",A1:CV300,28,FALSE)/HLOOKUP("Mins",A1:CV300,28,FALSE)* 90)</f>
      </c>
      <c r="BO28" s="18397">
        <f>IF(HLOOKUP("Mins",A1:CV300,28,FALSE)=0,0,HLOOKUP("Gs - Open",A1:CV300,28,FALSE)/HLOOKUP("Mins",A1:CV300,28,FALSE)* 90)</f>
      </c>
      <c r="BP28" s="18398">
        <f>IF(HLOOKUP("Mins",A1:CV300,28,FALSE)=0,0,HLOOKUP("ICT Index",A1:CV300,28,FALSE)/HLOOKUP("Mins",A1:CV300,28,FALSE)* 90)</f>
      </c>
      <c r="BQ28" s="18399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</c>
      <c r="BR28" s="18400">
        <f>0.0885*HLOOKUP("KP/90",A1:CV300,28,FALSE)</f>
      </c>
      <c r="BS28" s="18401">
        <f>5*HLOOKUP("xG/90",A1:CV300,28,FALSE)+3*HLOOKUP("xA/90",A1:CV300,28,FALSE)</f>
      </c>
      <c r="BT28" s="18402">
        <f>HLOOKUP("xPts/90",A1:CV300,28,FALSE)-(5*0.75*(HLOOKUP("PK Gs",A1:CV300,28,FALSE)+HLOOKUP("PK Miss",A1:CV300,28,FALSE))*90/HLOOKUP("Mins",A1:CV300,28,FALSE))</f>
      </c>
      <c r="BU28" s="18403">
        <f>IF(HLOOKUP("Mins",A1:CV300,28,FALSE)=0,0,HLOOKUP("fsXG",A1:CV300,28,FALSE)/HLOOKUP("Mins",A1:CV300,28,FALSE)* 90)</f>
      </c>
      <c r="BV28" s="18404">
        <f>IF(HLOOKUP("Mins",A1:CV300,28,FALSE)=0,0,HLOOKUP("fsXA",A1:CV300,28,FALSE)/HLOOKUP("Mins",A1:CV300,28,FALSE)* 90)</f>
      </c>
      <c r="BW28" s="18405">
        <f>5*HLOOKUP("fsXG/90",A1:CV300,28,FALSE)+3*HLOOKUP("fsXA/90",A1:CV300,28,FALSE)</f>
      </c>
      <c r="BX28" t="n" s="18406">
        <v>0.30559271574020386</v>
      </c>
      <c r="BY28" t="n" s="18407">
        <v>0.016854673624038696</v>
      </c>
      <c r="BZ28" s="18408">
        <f>5*HLOOKUP("uXG/90",A1:CV300,28,FALSE)+3*HLOOKUP("uXA/90",A1:CV300,28,FALSE)</f>
      </c>
    </row>
    <row r="29">
      <c r="A29" t="s" s="18409">
        <v>332</v>
      </c>
      <c r="B29" t="s" s="18410">
        <v>118</v>
      </c>
      <c r="C29" t="n" s="18411">
        <v>6.199999809265137</v>
      </c>
      <c r="D29" t="n" s="18412">
        <v>366.0</v>
      </c>
      <c r="E29" t="n" s="18413">
        <v>6.0</v>
      </c>
      <c r="F29" t="n" s="18414">
        <v>46.0</v>
      </c>
      <c r="G29" t="n" s="18415">
        <v>1.0</v>
      </c>
      <c r="H29" t="n" s="18416">
        <v>1.0</v>
      </c>
      <c r="I29" t="n" s="18417">
        <v>127.0</v>
      </c>
      <c r="J29" s="18418">
        <f>HLOOKUP("BPS",A1:CV300,29,FALSE)-((-6*HLOOKUP("OG",A1:CV300,29,FALSE))+(-6*HLOOKUP("PK Miss",A1:CV300,29,FALSE))+(9*HLOOKUP("FPL As",A1:CV300,29,FALSE))+(0*HLOOKUP("CS",A1:CV300,29,FALSE))+(18*HLOOKUP("Gs",A1:CV300,29,FALSE)))</f>
      </c>
      <c r="K29" t="n" s="18419">
        <v>0.0</v>
      </c>
      <c r="L29" t="n" s="18420">
        <v>3.0</v>
      </c>
      <c r="M29" t="n" s="18421">
        <v>14.0</v>
      </c>
      <c r="N29" t="n" s="18422">
        <v>7.0</v>
      </c>
      <c r="O29" t="n" s="18423">
        <v>4.0</v>
      </c>
      <c r="P29" s="18424">
        <f>IF(HLOOKUP("Shots",A1:CV300,29,FALSE)=0,0,HLOOKUP("SIB",A1:CV300,29,FALSE)/HLOOKUP("Shots",A1:CV300,29,FALSE))</f>
      </c>
      <c r="Q29" t="n" s="18425">
        <v>2.0</v>
      </c>
      <c r="R29" s="18426">
        <f>IF(HLOOKUP("Shots",A1:CV300,29,FALSE)=0,0,HLOOKUP("S6YD",A1:CV300,29,FALSE)/HLOOKUP("Shots",A1:CV300,29,FALSE))</f>
      </c>
      <c r="S29" t="n" s="18427">
        <v>0.0</v>
      </c>
      <c r="T29" s="18428">
        <f>IF(HLOOKUP("Shots",A1:CV300,29,FALSE)=0,0,HLOOKUP("Headers",A1:CV300,29,FALSE)/HLOOKUP("Shots",A1:CV300,29,FALSE))</f>
      </c>
      <c r="U29" t="n" s="18429">
        <v>3.0</v>
      </c>
      <c r="V29" s="18430">
        <f>IF(HLOOKUP("Shots",A1:CV300,29,FALSE)=0,0,HLOOKUP("SOT",A1:CV300,29,FALSE)/HLOOKUP("Shots",A1:CV300,29,FALSE))</f>
      </c>
      <c r="W29" s="18431">
        <f>IF(HLOOKUP("Shots",A1:CV300,29,FALSE)=0,0,HLOOKUP("Gs",A1:CV300,29,FALSE)/HLOOKUP("Shots",A1:CV300,29,FALSE))</f>
      </c>
      <c r="X29" t="n" s="18432">
        <v>1.0</v>
      </c>
      <c r="Y29" t="n" s="18433">
        <v>3.0</v>
      </c>
      <c r="Z29" t="n" s="18434">
        <v>6.0</v>
      </c>
      <c r="AA29" s="18435">
        <f>IF(HLOOKUP("KP",A1:CV300,29,FALSE)=0,0,HLOOKUP("As",A1:CV300,29,FALSE)/HLOOKUP("KP",A1:CV300,29,FALSE))</f>
      </c>
      <c r="AB29" s="18436"/>
      <c r="AC29" t="n" s="18437">
        <v>33.0</v>
      </c>
      <c r="AD29" t="n" s="18438">
        <v>4.0</v>
      </c>
      <c r="AE29" t="n" s="18439">
        <v>3.0</v>
      </c>
      <c r="AF29" t="n" s="18440">
        <v>2.0</v>
      </c>
      <c r="AG29" s="18441">
        <f>IF(HLOOKUP("BC",A1:CV300,29,FALSE)=0,0,HLOOKUP("Gs - BC",A1:CV300,29,FALSE)/HLOOKUP("BC",A1:CV300,29,FALSE))</f>
      </c>
      <c r="AH29" s="18442">
        <f>HLOOKUP("BC",A1:CV300,29,FALSE) - HLOOKUP("BC Miss",A1:CV300,29,FALSE)</f>
      </c>
      <c r="AI29" s="18443">
        <f>IF(HLOOKUP("Gs",A1:CV300,29,FALSE)=0,0,HLOOKUP("Gs - BC",A1:CV300,29,FALSE)/HLOOKUP("Gs",A1:CV300,29,FALSE))</f>
      </c>
      <c r="AJ29" t="n" s="18444">
        <v>0.0</v>
      </c>
      <c r="AK29" t="n" s="18445">
        <v>0.0</v>
      </c>
      <c r="AL29" s="18446">
        <f>HLOOKUP("BC",A1:CV300,29,FALSE) - (HLOOKUP("PK Gs",A1:CV300,29,FALSE) + HLOOKUP("PK Miss",A1:CV300,29,FALSE))</f>
      </c>
      <c r="AM29" s="18447">
        <f>HLOOKUP("BC Miss",A1:CV300,29,FALSE) - HLOOKUP("PK Miss",A1:CV300,29,FALSE)</f>
      </c>
      <c r="AN29" s="18448">
        <f>IF(HLOOKUP("BC - Open",A1:CV300,29,FALSE)=0,0,HLOOKUP("BC - Open Miss",A1:CV300,29,FALSE)/HLOOKUP("BC - Open",A1:CV300,29,FALSE))</f>
      </c>
      <c r="AO29" t="n" s="18449">
        <v>1.0</v>
      </c>
      <c r="AP29" s="18450">
        <f>IF(HLOOKUP("Gs",A1:CV300,29,FALSE)=0,0,HLOOKUP("GIB",A1:CV300,29,FALSE)/HLOOKUP("Gs",A1:CV300,29,FALSE))</f>
      </c>
      <c r="AQ29" t="n" s="18451">
        <v>0.0</v>
      </c>
      <c r="AR29" s="18452">
        <f>IF(HLOOKUP("Gs",A1:CV300,29,FALSE)=0,0,HLOOKUP("Gs - Open",A1:CV300,29,FALSE)/HLOOKUP("Gs",A1:CV300,29,FALSE))</f>
      </c>
      <c r="AS29" t="n" s="18453">
        <v>1.15</v>
      </c>
      <c r="AT29" t="n" s="18454">
        <v>1.07</v>
      </c>
      <c r="AU29" s="18455">
        <f>IF(HLOOKUP("Mins",A1:CV300,29,FALSE)=0,0,HLOOKUP("Pts",A1:CV300,29,FALSE)/HLOOKUP("Mins",A1:CV300,29,FALSE)* 90)</f>
      </c>
      <c r="AV29" s="18456">
        <f>IF(HLOOKUP("Apps",A1:CV300,29,FALSE)=0,0,HLOOKUP("Pts",A1:CV300,29,FALSE)/HLOOKUP("Apps",A1:CV300,29,FALSE)* 1)</f>
      </c>
      <c r="AW29" s="18457">
        <f>IF(HLOOKUP("Mins",A1:CV300,29,FALSE)=0,0,HLOOKUP("Gs",A1:CV300,29,FALSE)/HLOOKUP("Mins",A1:CV300,29,FALSE)* 90)</f>
      </c>
      <c r="AX29" s="18458">
        <f>IF(HLOOKUP("Mins",A1:CV300,29,FALSE)=0,0,HLOOKUP("Bonus",A1:CV300,29,FALSE)/HLOOKUP("Mins",A1:CV300,29,FALSE)* 90)</f>
      </c>
      <c r="AY29" s="18459">
        <f>IF(HLOOKUP("Mins",A1:CV300,29,FALSE)=0,0,HLOOKUP("BPS",A1:CV300,29,FALSE)/HLOOKUP("Mins",A1:CV300,29,FALSE)* 90)</f>
      </c>
      <c r="AZ29" s="18460">
        <f>IF(HLOOKUP("Mins",A1:CV300,29,FALSE)=0,0,HLOOKUP("Base BPS",A1:CV300,29,FALSE)/HLOOKUP("Mins",A1:CV300,29,FALSE)* 90)</f>
      </c>
      <c r="BA29" s="18461">
        <f>IF(HLOOKUP("Mins",A1:CV300,29,FALSE)=0,0,HLOOKUP("PenTchs",A1:CV300,29,FALSE)/HLOOKUP("Mins",A1:CV300,29,FALSE)* 90)</f>
      </c>
      <c r="BB29" s="18462">
        <f>IF(HLOOKUP("Mins",A1:CV300,29,FALSE)=0,0,HLOOKUP("Shots",A1:CV300,29,FALSE)/HLOOKUP("Mins",A1:CV300,29,FALSE)* 90)</f>
      </c>
      <c r="BC29" s="18463">
        <f>IF(HLOOKUP("Mins",A1:CV300,29,FALSE)=0,0,HLOOKUP("SIB",A1:CV300,29,FALSE)/HLOOKUP("Mins",A1:CV300,29,FALSE)* 90)</f>
      </c>
      <c r="BD29" s="18464">
        <f>IF(HLOOKUP("Mins",A1:CV300,29,FALSE)=0,0,HLOOKUP("S6YD",A1:CV300,29,FALSE)/HLOOKUP("Mins",A1:CV300,29,FALSE)* 90)</f>
      </c>
      <c r="BE29" s="18465">
        <f>IF(HLOOKUP("Mins",A1:CV300,29,FALSE)=0,0,HLOOKUP("Headers",A1:CV300,29,FALSE)/HLOOKUP("Mins",A1:CV300,29,FALSE)* 90)</f>
      </c>
      <c r="BF29" s="18466">
        <f>IF(HLOOKUP("Mins",A1:CV300,29,FALSE)=0,0,HLOOKUP("SOT",A1:CV300,29,FALSE)/HLOOKUP("Mins",A1:CV300,29,FALSE)* 90)</f>
      </c>
      <c r="BG29" s="18467">
        <f>IF(HLOOKUP("Mins",A1:CV300,29,FALSE)=0,0,HLOOKUP("As",A1:CV300,29,FALSE)/HLOOKUP("Mins",A1:CV300,29,FALSE)* 90)</f>
      </c>
      <c r="BH29" s="18468">
        <f>IF(HLOOKUP("Mins",A1:CV300,29,FALSE)=0,0,HLOOKUP("FPL As",A1:CV300,29,FALSE)/HLOOKUP("Mins",A1:CV300,29,FALSE)* 90)</f>
      </c>
      <c r="BI29" s="18469">
        <f>IF(HLOOKUP("Mins",A1:CV300,29,FALSE)=0,0,HLOOKUP("BC Created",A1:CV300,29,FALSE)/HLOOKUP("Mins",A1:CV300,29,FALSE)* 90)</f>
      </c>
      <c r="BJ29" s="18470">
        <f>IF(HLOOKUP("Mins",A1:CV300,29,FALSE)=0,0,HLOOKUP("KP",A1:CV300,29,FALSE)/HLOOKUP("Mins",A1:CV300,29,FALSE)* 90)</f>
      </c>
      <c r="BK29" s="18471">
        <f>IF(HLOOKUP("Mins",A1:CV300,29,FALSE)=0,0,HLOOKUP("BC",A1:CV300,29,FALSE)/HLOOKUP("Mins",A1:CV300,29,FALSE)* 90)</f>
      </c>
      <c r="BL29" s="18472">
        <f>IF(HLOOKUP("Mins",A1:CV300,29,FALSE)=0,0,HLOOKUP("BC Miss",A1:CV300,29,FALSE)/HLOOKUP("Mins",A1:CV300,29,FALSE)* 90)</f>
      </c>
      <c r="BM29" s="18473">
        <f>IF(HLOOKUP("Mins",A1:CV300,29,FALSE)=0,0,HLOOKUP("Gs - BC",A1:CV300,29,FALSE)/HLOOKUP("Mins",A1:CV300,29,FALSE)* 90)</f>
      </c>
      <c r="BN29" s="18474">
        <f>IF(HLOOKUP("Mins",A1:CV300,29,FALSE)=0,0,HLOOKUP("GIB",A1:CV300,29,FALSE)/HLOOKUP("Mins",A1:CV300,29,FALSE)* 90)</f>
      </c>
      <c r="BO29" s="18475">
        <f>IF(HLOOKUP("Mins",A1:CV300,29,FALSE)=0,0,HLOOKUP("Gs - Open",A1:CV300,29,FALSE)/HLOOKUP("Mins",A1:CV300,29,FALSE)* 90)</f>
      </c>
      <c r="BP29" s="18476">
        <f>IF(HLOOKUP("Mins",A1:CV300,29,FALSE)=0,0,HLOOKUP("ICT Index",A1:CV300,29,FALSE)/HLOOKUP("Mins",A1:CV300,29,FALSE)* 90)</f>
      </c>
      <c r="BQ29" s="18477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</c>
      <c r="BR29" s="18478">
        <f>0.0885*HLOOKUP("KP/90",A1:CV300,29,FALSE)</f>
      </c>
      <c r="BS29" s="18479">
        <f>5*HLOOKUP("xG/90",A1:CV300,29,FALSE)+3*HLOOKUP("xA/90",A1:CV300,29,FALSE)</f>
      </c>
      <c r="BT29" s="18480">
        <f>HLOOKUP("xPts/90",A1:CV300,29,FALSE)-(5*0.75*(HLOOKUP("PK Gs",A1:CV300,29,FALSE)+HLOOKUP("PK Miss",A1:CV300,29,FALSE))*90/HLOOKUP("Mins",A1:CV300,29,FALSE))</f>
      </c>
      <c r="BU29" s="18481">
        <f>IF(HLOOKUP("Mins",A1:CV300,29,FALSE)=0,0,HLOOKUP("fsXG",A1:CV300,29,FALSE)/HLOOKUP("Mins",A1:CV300,29,FALSE)* 90)</f>
      </c>
      <c r="BV29" s="18482">
        <f>IF(HLOOKUP("Mins",A1:CV300,29,FALSE)=0,0,HLOOKUP("fsXA",A1:CV300,29,FALSE)/HLOOKUP("Mins",A1:CV300,29,FALSE)* 90)</f>
      </c>
      <c r="BW29" s="18483">
        <f>5*HLOOKUP("fsXG/90",A1:CV300,29,FALSE)+3*HLOOKUP("fsXA/90",A1:CV300,29,FALSE)</f>
      </c>
      <c r="BX29" t="n" s="18484">
        <v>0.31766462326049805</v>
      </c>
      <c r="BY29" t="n" s="18485">
        <v>0.2975892126560211</v>
      </c>
      <c r="BZ29" s="18486">
        <f>5*HLOOKUP("uXG/90",A1:CV300,29,FALSE)+3*HLOOKUP("uXA/90",A1:CV300,29,FALSE)</f>
      </c>
    </row>
    <row r="30">
      <c r="A30" t="s" s="18487">
        <v>333</v>
      </c>
      <c r="B30" t="s" s="18488">
        <v>90</v>
      </c>
      <c r="C30" t="n" s="18489">
        <v>6.199999809265137</v>
      </c>
      <c r="D30" t="n" s="18490">
        <v>156.0</v>
      </c>
      <c r="E30" t="n" s="18491">
        <v>3.0</v>
      </c>
      <c r="F30" t="n" s="18492">
        <v>19.0</v>
      </c>
      <c r="G30" t="n" s="18493">
        <v>0.0</v>
      </c>
      <c r="H30" t="n" s="18494">
        <v>1.0</v>
      </c>
      <c r="I30" t="n" s="18495">
        <v>78.0</v>
      </c>
      <c r="J30" s="18496">
        <f>HLOOKUP("BPS",A1:CV300,30,FALSE)-((-6*HLOOKUP("OG",A1:CV300,30,FALSE))+(-6*HLOOKUP("PK Miss",A1:CV300,30,FALSE))+(9*HLOOKUP("FPL As",A1:CV300,30,FALSE))+(0*HLOOKUP("CS",A1:CV300,30,FALSE))+(18*HLOOKUP("Gs",A1:CV300,30,FALSE)))</f>
      </c>
      <c r="K30" t="n" s="18497">
        <v>0.0</v>
      </c>
      <c r="L30" t="n" s="18498">
        <v>0.0</v>
      </c>
      <c r="M30" t="n" s="18499">
        <v>1.0</v>
      </c>
      <c r="N30" t="n" s="18500">
        <v>2.0</v>
      </c>
      <c r="O30" t="n" s="18501">
        <v>1.0</v>
      </c>
      <c r="P30" s="18502">
        <f>IF(HLOOKUP("Shots",A1:CV300,30,FALSE)=0,0,HLOOKUP("SIB",A1:CV300,30,FALSE)/HLOOKUP("Shots",A1:CV300,30,FALSE))</f>
      </c>
      <c r="Q30" t="n" s="18503">
        <v>1.0</v>
      </c>
      <c r="R30" s="18504">
        <f>IF(HLOOKUP("Shots",A1:CV300,30,FALSE)=0,0,HLOOKUP("S6YD",A1:CV300,30,FALSE)/HLOOKUP("Shots",A1:CV300,30,FALSE))</f>
      </c>
      <c r="S30" t="n" s="18505">
        <v>0.0</v>
      </c>
      <c r="T30" s="18506">
        <f>IF(HLOOKUP("Shots",A1:CV300,30,FALSE)=0,0,HLOOKUP("Headers",A1:CV300,30,FALSE)/HLOOKUP("Shots",A1:CV300,30,FALSE))</f>
      </c>
      <c r="U30" t="n" s="18507">
        <v>0.0</v>
      </c>
      <c r="V30" s="18508">
        <f>IF(HLOOKUP("Shots",A1:CV300,30,FALSE)=0,0,HLOOKUP("SOT",A1:CV300,30,FALSE)/HLOOKUP("Shots",A1:CV300,30,FALSE))</f>
      </c>
      <c r="W30" s="18509">
        <f>IF(HLOOKUP("Shots",A1:CV300,30,FALSE)=0,0,HLOOKUP("Gs",A1:CV300,30,FALSE)/HLOOKUP("Shots",A1:CV300,30,FALSE))</f>
      </c>
      <c r="X30" t="n" s="18510">
        <v>0.0</v>
      </c>
      <c r="Y30" t="n" s="18511">
        <v>0.0</v>
      </c>
      <c r="Z30" t="n" s="18512">
        <v>1.0</v>
      </c>
      <c r="AA30" s="18513">
        <f>IF(HLOOKUP("KP",A1:CV300,30,FALSE)=0,0,HLOOKUP("As",A1:CV300,30,FALSE)/HLOOKUP("KP",A1:CV300,30,FALSE))</f>
      </c>
      <c r="AB30" s="18514"/>
      <c r="AC30" t="n" s="18515">
        <v>0.0</v>
      </c>
      <c r="AD30" t="n" s="18516">
        <v>0.0</v>
      </c>
      <c r="AE30" t="n" s="18517">
        <v>1.0</v>
      </c>
      <c r="AF30" t="n" s="18518">
        <v>1.0</v>
      </c>
      <c r="AG30" s="18519">
        <f>IF(HLOOKUP("BC",A1:CV300,30,FALSE)=0,0,HLOOKUP("Gs - BC",A1:CV300,30,FALSE)/HLOOKUP("BC",A1:CV300,30,FALSE))</f>
      </c>
      <c r="AH30" s="18520">
        <f>HLOOKUP("BC",A1:CV300,30,FALSE) - HLOOKUP("BC Miss",A1:CV300,30,FALSE)</f>
      </c>
      <c r="AI30" s="18521">
        <f>IF(HLOOKUP("Gs",A1:CV300,30,FALSE)=0,0,HLOOKUP("Gs - BC",A1:CV300,30,FALSE)/HLOOKUP("Gs",A1:CV300,30,FALSE))</f>
      </c>
      <c r="AJ30" t="n" s="18522">
        <v>0.0</v>
      </c>
      <c r="AK30" t="n" s="18523">
        <v>0.0</v>
      </c>
      <c r="AL30" s="18524">
        <f>HLOOKUP("BC",A1:CV300,30,FALSE) - (HLOOKUP("PK Gs",A1:CV300,30,FALSE) + HLOOKUP("PK Miss",A1:CV300,30,FALSE))</f>
      </c>
      <c r="AM30" s="18525">
        <f>HLOOKUP("BC Miss",A1:CV300,30,FALSE) - HLOOKUP("PK Miss",A1:CV300,30,FALSE)</f>
      </c>
      <c r="AN30" s="18526">
        <f>IF(HLOOKUP("BC - Open",A1:CV300,30,FALSE)=0,0,HLOOKUP("BC - Open Miss",A1:CV300,30,FALSE)/HLOOKUP("BC - Open",A1:CV300,30,FALSE))</f>
      </c>
      <c r="AO30" t="n" s="18527">
        <v>0.0</v>
      </c>
      <c r="AP30" s="18528">
        <f>IF(HLOOKUP("Gs",A1:CV300,30,FALSE)=0,0,HLOOKUP("GIB",A1:CV300,30,FALSE)/HLOOKUP("Gs",A1:CV300,30,FALSE))</f>
      </c>
      <c r="AQ30" t="n" s="18529">
        <v>0.0</v>
      </c>
      <c r="AR30" s="18530">
        <f>IF(HLOOKUP("Gs",A1:CV300,30,FALSE)=0,0,HLOOKUP("Gs - Open",A1:CV300,30,FALSE)/HLOOKUP("Gs",A1:CV300,30,FALSE))</f>
      </c>
      <c r="AS30" t="n" s="18531">
        <v>0.18</v>
      </c>
      <c r="AT30" t="n" s="18532">
        <v>0.07</v>
      </c>
      <c r="AU30" s="18533">
        <f>IF(HLOOKUP("Mins",A1:CV300,30,FALSE)=0,0,HLOOKUP("Pts",A1:CV300,30,FALSE)/HLOOKUP("Mins",A1:CV300,30,FALSE)* 90)</f>
      </c>
      <c r="AV30" s="18534">
        <f>IF(HLOOKUP("Apps",A1:CV300,30,FALSE)=0,0,HLOOKUP("Pts",A1:CV300,30,FALSE)/HLOOKUP("Apps",A1:CV300,30,FALSE)* 1)</f>
      </c>
      <c r="AW30" s="18535">
        <f>IF(HLOOKUP("Mins",A1:CV300,30,FALSE)=0,0,HLOOKUP("Gs",A1:CV300,30,FALSE)/HLOOKUP("Mins",A1:CV300,30,FALSE)* 90)</f>
      </c>
      <c r="AX30" s="18536">
        <f>IF(HLOOKUP("Mins",A1:CV300,30,FALSE)=0,0,HLOOKUP("Bonus",A1:CV300,30,FALSE)/HLOOKUP("Mins",A1:CV300,30,FALSE)* 90)</f>
      </c>
      <c r="AY30" s="18537">
        <f>IF(HLOOKUP("Mins",A1:CV300,30,FALSE)=0,0,HLOOKUP("BPS",A1:CV300,30,FALSE)/HLOOKUP("Mins",A1:CV300,30,FALSE)* 90)</f>
      </c>
      <c r="AZ30" s="18538">
        <f>IF(HLOOKUP("Mins",A1:CV300,30,FALSE)=0,0,HLOOKUP("Base BPS",A1:CV300,30,FALSE)/HLOOKUP("Mins",A1:CV300,30,FALSE)* 90)</f>
      </c>
      <c r="BA30" s="18539">
        <f>IF(HLOOKUP("Mins",A1:CV300,30,FALSE)=0,0,HLOOKUP("PenTchs",A1:CV300,30,FALSE)/HLOOKUP("Mins",A1:CV300,30,FALSE)* 90)</f>
      </c>
      <c r="BB30" s="18540">
        <f>IF(HLOOKUP("Mins",A1:CV300,30,FALSE)=0,0,HLOOKUP("Shots",A1:CV300,30,FALSE)/HLOOKUP("Mins",A1:CV300,30,FALSE)* 90)</f>
      </c>
      <c r="BC30" s="18541">
        <f>IF(HLOOKUP("Mins",A1:CV300,30,FALSE)=0,0,HLOOKUP("SIB",A1:CV300,30,FALSE)/HLOOKUP("Mins",A1:CV300,30,FALSE)* 90)</f>
      </c>
      <c r="BD30" s="18542">
        <f>IF(HLOOKUP("Mins",A1:CV300,30,FALSE)=0,0,HLOOKUP("S6YD",A1:CV300,30,FALSE)/HLOOKUP("Mins",A1:CV300,30,FALSE)* 90)</f>
      </c>
      <c r="BE30" s="18543">
        <f>IF(HLOOKUP("Mins",A1:CV300,30,FALSE)=0,0,HLOOKUP("Headers",A1:CV300,30,FALSE)/HLOOKUP("Mins",A1:CV300,30,FALSE)* 90)</f>
      </c>
      <c r="BF30" s="18544">
        <f>IF(HLOOKUP("Mins",A1:CV300,30,FALSE)=0,0,HLOOKUP("SOT",A1:CV300,30,FALSE)/HLOOKUP("Mins",A1:CV300,30,FALSE)* 90)</f>
      </c>
      <c r="BG30" s="18545">
        <f>IF(HLOOKUP("Mins",A1:CV300,30,FALSE)=0,0,HLOOKUP("As",A1:CV300,30,FALSE)/HLOOKUP("Mins",A1:CV300,30,FALSE)* 90)</f>
      </c>
      <c r="BH30" s="18546">
        <f>IF(HLOOKUP("Mins",A1:CV300,30,FALSE)=0,0,HLOOKUP("FPL As",A1:CV300,30,FALSE)/HLOOKUP("Mins",A1:CV300,30,FALSE)* 90)</f>
      </c>
      <c r="BI30" s="18547">
        <f>IF(HLOOKUP("Mins",A1:CV300,30,FALSE)=0,0,HLOOKUP("BC Created",A1:CV300,30,FALSE)/HLOOKUP("Mins",A1:CV300,30,FALSE)* 90)</f>
      </c>
      <c r="BJ30" s="18548">
        <f>IF(HLOOKUP("Mins",A1:CV300,30,FALSE)=0,0,HLOOKUP("KP",A1:CV300,30,FALSE)/HLOOKUP("Mins",A1:CV300,30,FALSE)* 90)</f>
      </c>
      <c r="BK30" s="18549">
        <f>IF(HLOOKUP("Mins",A1:CV300,30,FALSE)=0,0,HLOOKUP("BC",A1:CV300,30,FALSE)/HLOOKUP("Mins",A1:CV300,30,FALSE)* 90)</f>
      </c>
      <c r="BL30" s="18550">
        <f>IF(HLOOKUP("Mins",A1:CV300,30,FALSE)=0,0,HLOOKUP("BC Miss",A1:CV300,30,FALSE)/HLOOKUP("Mins",A1:CV300,30,FALSE)* 90)</f>
      </c>
      <c r="BM30" s="18551">
        <f>IF(HLOOKUP("Mins",A1:CV300,30,FALSE)=0,0,HLOOKUP("Gs - BC",A1:CV300,30,FALSE)/HLOOKUP("Mins",A1:CV300,30,FALSE)* 90)</f>
      </c>
      <c r="BN30" s="18552">
        <f>IF(HLOOKUP("Mins",A1:CV300,30,FALSE)=0,0,HLOOKUP("GIB",A1:CV300,30,FALSE)/HLOOKUP("Mins",A1:CV300,30,FALSE)* 90)</f>
      </c>
      <c r="BO30" s="18553">
        <f>IF(HLOOKUP("Mins",A1:CV300,30,FALSE)=0,0,HLOOKUP("Gs - Open",A1:CV300,30,FALSE)/HLOOKUP("Mins",A1:CV300,30,FALSE)* 90)</f>
      </c>
      <c r="BP30" s="18554">
        <f>IF(HLOOKUP("Mins",A1:CV300,30,FALSE)=0,0,HLOOKUP("ICT Index",A1:CV300,30,FALSE)/HLOOKUP("Mins",A1:CV300,30,FALSE)* 90)</f>
      </c>
      <c r="BQ30" s="18555">
        <f>IF(HLOOKUP("Mins",A1:CV300,30,FALSE)=0,0,(0.036*(HLOOKUP("Shots",A1:CV300,30,FALSE)-HLOOKUP("SIB",A1:CV300,30,FALSE))+0.142*(HLOOKUP("SIB",A1:CV300,30,FALSE)-(HLOOKUP("PK Gs",A1:CV300,30,FALSE)+HLOOKUP("PK Miss",A1:CV300,30,FALSE)))+0.75*(HLOOKUP("PK Gs",A1:CV300,30,FALSE)+HLOOKUP("PK Miss",A1:CV300,30,FALSE)))/HLOOKUP("Mins",A1:CV300,30,FALSE)*90)</f>
      </c>
      <c r="BR30" s="18556">
        <f>0.0885*HLOOKUP("KP/90",A1:CV300,30,FALSE)</f>
      </c>
      <c r="BS30" s="18557">
        <f>5*HLOOKUP("xG/90",A1:CV300,30,FALSE)+3*HLOOKUP("xA/90",A1:CV300,30,FALSE)</f>
      </c>
      <c r="BT30" s="18558">
        <f>HLOOKUP("xPts/90",A1:CV300,30,FALSE)-(5*0.75*(HLOOKUP("PK Gs",A1:CV300,30,FALSE)+HLOOKUP("PK Miss",A1:CV300,30,FALSE))*90/HLOOKUP("Mins",A1:CV300,30,FALSE))</f>
      </c>
      <c r="BU30" s="18559">
        <f>IF(HLOOKUP("Mins",A1:CV300,30,FALSE)=0,0,HLOOKUP("fsXG",A1:CV300,30,FALSE)/HLOOKUP("Mins",A1:CV300,30,FALSE)* 90)</f>
      </c>
      <c r="BV30" s="18560">
        <f>IF(HLOOKUP("Mins",A1:CV300,30,FALSE)=0,0,HLOOKUP("fsXA",A1:CV300,30,FALSE)/HLOOKUP("Mins",A1:CV300,30,FALSE)* 90)</f>
      </c>
      <c r="BW30" s="18561">
        <f>5*HLOOKUP("fsXG/90",A1:CV300,30,FALSE)+3*HLOOKUP("fsXA/90",A1:CV300,30,FALSE)</f>
      </c>
      <c r="BX30" t="n" s="18562">
        <v>0.2221083790063858</v>
      </c>
      <c r="BY30" t="n" s="18563">
        <v>0.03746337816119194</v>
      </c>
      <c r="BZ30" s="18564">
        <f>5*HLOOKUP("uXG/90",A1:CV300,30,FALSE)+3*HLOOKUP("uXA/90",A1:CV300,30,FALSE)</f>
      </c>
    </row>
    <row r="31">
      <c r="A31" t="s" s="18565">
        <v>334</v>
      </c>
      <c r="B31" t="s" s="18566">
        <v>131</v>
      </c>
      <c r="C31" t="n" s="18567">
        <v>5.0</v>
      </c>
      <c r="D31" t="n" s="18568">
        <v>398.0</v>
      </c>
      <c r="E31" t="n" s="18569">
        <v>6.0</v>
      </c>
      <c r="F31" t="n" s="18570">
        <v>40.0</v>
      </c>
      <c r="G31" t="n" s="18571">
        <v>2.0</v>
      </c>
      <c r="H31" t="n" s="18572">
        <v>0.0</v>
      </c>
      <c r="I31" t="n" s="18573">
        <v>133.0</v>
      </c>
      <c r="J31" s="18574">
        <f>HLOOKUP("BPS",A1:CV300,31,FALSE)-((-6*HLOOKUP("OG",A1:CV300,31,FALSE))+(-6*HLOOKUP("PK Miss",A1:CV300,31,FALSE))+(9*HLOOKUP("FPL As",A1:CV300,31,FALSE))+(0*HLOOKUP("CS",A1:CV300,31,FALSE))+(18*HLOOKUP("Gs",A1:CV300,31,FALSE)))</f>
      </c>
      <c r="K31" t="n" s="18575">
        <v>0.0</v>
      </c>
      <c r="L31" t="n" s="18576">
        <v>1.0</v>
      </c>
      <c r="M31" t="n" s="18577">
        <v>20.0</v>
      </c>
      <c r="N31" t="n" s="18578">
        <v>7.0</v>
      </c>
      <c r="O31" t="n" s="18579">
        <v>5.0</v>
      </c>
      <c r="P31" s="18580">
        <f>IF(HLOOKUP("Shots",A1:CV300,31,FALSE)=0,0,HLOOKUP("SIB",A1:CV300,31,FALSE)/HLOOKUP("Shots",A1:CV300,31,FALSE))</f>
      </c>
      <c r="Q31" t="n" s="18581">
        <v>1.0</v>
      </c>
      <c r="R31" s="18582">
        <f>IF(HLOOKUP("Shots",A1:CV300,31,FALSE)=0,0,HLOOKUP("S6YD",A1:CV300,31,FALSE)/HLOOKUP("Shots",A1:CV300,31,FALSE))</f>
      </c>
      <c r="S31" t="n" s="18583">
        <v>1.0</v>
      </c>
      <c r="T31" s="18584">
        <f>IF(HLOOKUP("Shots",A1:CV300,31,FALSE)=0,0,HLOOKUP("Headers",A1:CV300,31,FALSE)/HLOOKUP("Shots",A1:CV300,31,FALSE))</f>
      </c>
      <c r="U31" t="n" s="18585">
        <v>3.0</v>
      </c>
      <c r="V31" s="18586">
        <f>IF(HLOOKUP("Shots",A1:CV300,31,FALSE)=0,0,HLOOKUP("SOT",A1:CV300,31,FALSE)/HLOOKUP("Shots",A1:CV300,31,FALSE))</f>
      </c>
      <c r="W31" s="18587">
        <f>IF(HLOOKUP("Shots",A1:CV300,31,FALSE)=0,0,HLOOKUP("Gs",A1:CV300,31,FALSE)/HLOOKUP("Shots",A1:CV300,31,FALSE))</f>
      </c>
      <c r="X31" t="n" s="18588">
        <v>0.0</v>
      </c>
      <c r="Y31" t="n" s="18589">
        <v>2.0</v>
      </c>
      <c r="Z31" t="n" s="18590">
        <v>6.0</v>
      </c>
      <c r="AA31" s="18591">
        <f>IF(HLOOKUP("KP",A1:CV300,31,FALSE)=0,0,HLOOKUP("As",A1:CV300,31,FALSE)/HLOOKUP("KP",A1:CV300,31,FALSE))</f>
      </c>
      <c r="AB31" s="18592"/>
      <c r="AC31" t="n" s="18593">
        <v>33.0</v>
      </c>
      <c r="AD31" t="n" s="18594">
        <v>1.0</v>
      </c>
      <c r="AE31" t="n" s="18595">
        <v>2.0</v>
      </c>
      <c r="AF31" t="n" s="18596">
        <v>1.0</v>
      </c>
      <c r="AG31" s="18597">
        <f>IF(HLOOKUP("BC",A1:CV300,31,FALSE)=0,0,HLOOKUP("Gs - BC",A1:CV300,31,FALSE)/HLOOKUP("BC",A1:CV300,31,FALSE))</f>
      </c>
      <c r="AH31" s="18598">
        <f>HLOOKUP("BC",A1:CV300,31,FALSE) - HLOOKUP("BC Miss",A1:CV300,31,FALSE)</f>
      </c>
      <c r="AI31" s="18599">
        <f>IF(HLOOKUP("Gs",A1:CV300,31,FALSE)=0,0,HLOOKUP("Gs - BC",A1:CV300,31,FALSE)/HLOOKUP("Gs",A1:CV300,31,FALSE))</f>
      </c>
      <c r="AJ31" t="n" s="18600">
        <v>0.0</v>
      </c>
      <c r="AK31" t="n" s="18601">
        <v>0.0</v>
      </c>
      <c r="AL31" s="18602">
        <f>HLOOKUP("BC",A1:CV300,31,FALSE) - (HLOOKUP("PK Gs",A1:CV300,31,FALSE) + HLOOKUP("PK Miss",A1:CV300,31,FALSE))</f>
      </c>
      <c r="AM31" s="18603">
        <f>HLOOKUP("BC Miss",A1:CV300,31,FALSE) - HLOOKUP("PK Miss",A1:CV300,31,FALSE)</f>
      </c>
      <c r="AN31" s="18604">
        <f>IF(HLOOKUP("BC - Open",A1:CV300,31,FALSE)=0,0,HLOOKUP("BC - Open Miss",A1:CV300,31,FALSE)/HLOOKUP("BC - Open",A1:CV300,31,FALSE))</f>
      </c>
      <c r="AO31" t="n" s="18605">
        <v>1.0</v>
      </c>
      <c r="AP31" s="18606">
        <f>IF(HLOOKUP("Gs",A1:CV300,31,FALSE)=0,0,HLOOKUP("GIB",A1:CV300,31,FALSE)/HLOOKUP("Gs",A1:CV300,31,FALSE))</f>
      </c>
      <c r="AQ31" t="n" s="18607">
        <v>2.0</v>
      </c>
      <c r="AR31" s="18608">
        <f>IF(HLOOKUP("Gs",A1:CV300,31,FALSE)=0,0,HLOOKUP("Gs - Open",A1:CV300,31,FALSE)/HLOOKUP("Gs",A1:CV300,31,FALSE))</f>
      </c>
      <c r="AS31" t="n" s="18609">
        <v>0.92</v>
      </c>
      <c r="AT31" t="n" s="18610">
        <v>0.59</v>
      </c>
      <c r="AU31" s="18611">
        <f>IF(HLOOKUP("Mins",A1:CV300,31,FALSE)=0,0,HLOOKUP("Pts",A1:CV300,31,FALSE)/HLOOKUP("Mins",A1:CV300,31,FALSE)* 90)</f>
      </c>
      <c r="AV31" s="18612">
        <f>IF(HLOOKUP("Apps",A1:CV300,31,FALSE)=0,0,HLOOKUP("Pts",A1:CV300,31,FALSE)/HLOOKUP("Apps",A1:CV300,31,FALSE)* 1)</f>
      </c>
      <c r="AW31" s="18613">
        <f>IF(HLOOKUP("Mins",A1:CV300,31,FALSE)=0,0,HLOOKUP("Gs",A1:CV300,31,FALSE)/HLOOKUP("Mins",A1:CV300,31,FALSE)* 90)</f>
      </c>
      <c r="AX31" s="18614">
        <f>IF(HLOOKUP("Mins",A1:CV300,31,FALSE)=0,0,HLOOKUP("Bonus",A1:CV300,31,FALSE)/HLOOKUP("Mins",A1:CV300,31,FALSE)* 90)</f>
      </c>
      <c r="AY31" s="18615">
        <f>IF(HLOOKUP("Mins",A1:CV300,31,FALSE)=0,0,HLOOKUP("BPS",A1:CV300,31,FALSE)/HLOOKUP("Mins",A1:CV300,31,FALSE)* 90)</f>
      </c>
      <c r="AZ31" s="18616">
        <f>IF(HLOOKUP("Mins",A1:CV300,31,FALSE)=0,0,HLOOKUP("Base BPS",A1:CV300,31,FALSE)/HLOOKUP("Mins",A1:CV300,31,FALSE)* 90)</f>
      </c>
      <c r="BA31" s="18617">
        <f>IF(HLOOKUP("Mins",A1:CV300,31,FALSE)=0,0,HLOOKUP("PenTchs",A1:CV300,31,FALSE)/HLOOKUP("Mins",A1:CV300,31,FALSE)* 90)</f>
      </c>
      <c r="BB31" s="18618">
        <f>IF(HLOOKUP("Mins",A1:CV300,31,FALSE)=0,0,HLOOKUP("Shots",A1:CV300,31,FALSE)/HLOOKUP("Mins",A1:CV300,31,FALSE)* 90)</f>
      </c>
      <c r="BC31" s="18619">
        <f>IF(HLOOKUP("Mins",A1:CV300,31,FALSE)=0,0,HLOOKUP("SIB",A1:CV300,31,FALSE)/HLOOKUP("Mins",A1:CV300,31,FALSE)* 90)</f>
      </c>
      <c r="BD31" s="18620">
        <f>IF(HLOOKUP("Mins",A1:CV300,31,FALSE)=0,0,HLOOKUP("S6YD",A1:CV300,31,FALSE)/HLOOKUP("Mins",A1:CV300,31,FALSE)* 90)</f>
      </c>
      <c r="BE31" s="18621">
        <f>IF(HLOOKUP("Mins",A1:CV300,31,FALSE)=0,0,HLOOKUP("Headers",A1:CV300,31,FALSE)/HLOOKUP("Mins",A1:CV300,31,FALSE)* 90)</f>
      </c>
      <c r="BF31" s="18622">
        <f>IF(HLOOKUP("Mins",A1:CV300,31,FALSE)=0,0,HLOOKUP("SOT",A1:CV300,31,FALSE)/HLOOKUP("Mins",A1:CV300,31,FALSE)* 90)</f>
      </c>
      <c r="BG31" s="18623">
        <f>IF(HLOOKUP("Mins",A1:CV300,31,FALSE)=0,0,HLOOKUP("As",A1:CV300,31,FALSE)/HLOOKUP("Mins",A1:CV300,31,FALSE)* 90)</f>
      </c>
      <c r="BH31" s="18624">
        <f>IF(HLOOKUP("Mins",A1:CV300,31,FALSE)=0,0,HLOOKUP("FPL As",A1:CV300,31,FALSE)/HLOOKUP("Mins",A1:CV300,31,FALSE)* 90)</f>
      </c>
      <c r="BI31" s="18625">
        <f>IF(HLOOKUP("Mins",A1:CV300,31,FALSE)=0,0,HLOOKUP("BC Created",A1:CV300,31,FALSE)/HLOOKUP("Mins",A1:CV300,31,FALSE)* 90)</f>
      </c>
      <c r="BJ31" s="18626">
        <f>IF(HLOOKUP("Mins",A1:CV300,31,FALSE)=0,0,HLOOKUP("KP",A1:CV300,31,FALSE)/HLOOKUP("Mins",A1:CV300,31,FALSE)* 90)</f>
      </c>
      <c r="BK31" s="18627">
        <f>IF(HLOOKUP("Mins",A1:CV300,31,FALSE)=0,0,HLOOKUP("BC",A1:CV300,31,FALSE)/HLOOKUP("Mins",A1:CV300,31,FALSE)* 90)</f>
      </c>
      <c r="BL31" s="18628">
        <f>IF(HLOOKUP("Mins",A1:CV300,31,FALSE)=0,0,HLOOKUP("BC Miss",A1:CV300,31,FALSE)/HLOOKUP("Mins",A1:CV300,31,FALSE)* 90)</f>
      </c>
      <c r="BM31" s="18629">
        <f>IF(HLOOKUP("Mins",A1:CV300,31,FALSE)=0,0,HLOOKUP("Gs - BC",A1:CV300,31,FALSE)/HLOOKUP("Mins",A1:CV300,31,FALSE)* 90)</f>
      </c>
      <c r="BN31" s="18630">
        <f>IF(HLOOKUP("Mins",A1:CV300,31,FALSE)=0,0,HLOOKUP("GIB",A1:CV300,31,FALSE)/HLOOKUP("Mins",A1:CV300,31,FALSE)* 90)</f>
      </c>
      <c r="BO31" s="18631">
        <f>IF(HLOOKUP("Mins",A1:CV300,31,FALSE)=0,0,HLOOKUP("Gs - Open",A1:CV300,31,FALSE)/HLOOKUP("Mins",A1:CV300,31,FALSE)* 90)</f>
      </c>
      <c r="BP31" s="18632">
        <f>IF(HLOOKUP("Mins",A1:CV300,31,FALSE)=0,0,HLOOKUP("ICT Index",A1:CV300,31,FALSE)/HLOOKUP("Mins",A1:CV300,31,FALSE)* 90)</f>
      </c>
      <c r="BQ31" s="18633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</c>
      <c r="BR31" s="18634">
        <f>0.0885*HLOOKUP("KP/90",A1:CV300,31,FALSE)</f>
      </c>
      <c r="BS31" s="18635">
        <f>5*HLOOKUP("xG/90",A1:CV300,31,FALSE)+3*HLOOKUP("xA/90",A1:CV300,31,FALSE)</f>
      </c>
      <c r="BT31" s="18636">
        <f>HLOOKUP("xPts/90",A1:CV300,31,FALSE)-(5*0.75*(HLOOKUP("PK Gs",A1:CV300,31,FALSE)+HLOOKUP("PK Miss",A1:CV300,31,FALSE))*90/HLOOKUP("Mins",A1:CV300,31,FALSE))</f>
      </c>
      <c r="BU31" s="18637">
        <f>IF(HLOOKUP("Mins",A1:CV300,31,FALSE)=0,0,HLOOKUP("fsXG",A1:CV300,31,FALSE)/HLOOKUP("Mins",A1:CV300,31,FALSE)* 90)</f>
      </c>
      <c r="BV31" s="18638">
        <f>IF(HLOOKUP("Mins",A1:CV300,31,FALSE)=0,0,HLOOKUP("fsXA",A1:CV300,31,FALSE)/HLOOKUP("Mins",A1:CV300,31,FALSE)* 90)</f>
      </c>
      <c r="BW31" s="18639">
        <f>5*HLOOKUP("fsXG/90",A1:CV300,31,FALSE)+3*HLOOKUP("fsXA/90",A1:CV300,31,FALSE)</f>
      </c>
      <c r="BX31" t="n" s="18640">
        <v>0.19245722889900208</v>
      </c>
      <c r="BY31" t="n" s="18641">
        <v>0.18225495517253876</v>
      </c>
      <c r="BZ31" s="18642">
        <f>5*HLOOKUP("uXG/90",A1:CV300,31,FALSE)+3*HLOOKUP("uXA/90",A1:CV300,31,FALSE)</f>
      </c>
    </row>
    <row r="32">
      <c r="A32" t="s" s="18643">
        <v>335</v>
      </c>
      <c r="B32" t="s" s="18644">
        <v>97</v>
      </c>
      <c r="C32" t="n" s="18645">
        <v>4.599999904632568</v>
      </c>
      <c r="D32" t="n" s="18646">
        <v>91.0</v>
      </c>
      <c r="E32" t="n" s="18647">
        <v>2.0</v>
      </c>
      <c r="F32" t="n" s="18648">
        <v>14.0</v>
      </c>
      <c r="G32" t="n" s="18649">
        <v>0.0</v>
      </c>
      <c r="H32" t="n" s="18650">
        <v>0.0</v>
      </c>
      <c r="I32" t="n" s="18651">
        <v>49.0</v>
      </c>
      <c r="J32" s="18652">
        <f>HLOOKUP("BPS",A1:CV300,32,FALSE)-((-6*HLOOKUP("OG",A1:CV300,32,FALSE))+(-6*HLOOKUP("PK Miss",A1:CV300,32,FALSE))+(9*HLOOKUP("FPL As",A1:CV300,32,FALSE))+(0*HLOOKUP("CS",A1:CV300,32,FALSE))+(18*HLOOKUP("Gs",A1:CV300,32,FALSE)))</f>
      </c>
      <c r="K32" t="n" s="18653">
        <v>0.0</v>
      </c>
      <c r="L32" t="n" s="18654">
        <v>0.0</v>
      </c>
      <c r="M32" t="n" s="18655">
        <v>0.0</v>
      </c>
      <c r="N32" t="n" s="18656">
        <v>0.0</v>
      </c>
      <c r="O32" t="n" s="18657">
        <v>0.0</v>
      </c>
      <c r="P32" s="18658">
        <f>IF(HLOOKUP("Shots",A1:CV300,32,FALSE)=0,0,HLOOKUP("SIB",A1:CV300,32,FALSE)/HLOOKUP("Shots",A1:CV300,32,FALSE))</f>
      </c>
      <c r="Q32" t="n" s="18659">
        <v>0.0</v>
      </c>
      <c r="R32" s="18660">
        <f>IF(HLOOKUP("Shots",A1:CV300,32,FALSE)=0,0,HLOOKUP("S6YD",A1:CV300,32,FALSE)/HLOOKUP("Shots",A1:CV300,32,FALSE))</f>
      </c>
      <c r="S32" t="n" s="18661">
        <v>0.0</v>
      </c>
      <c r="T32" s="18662">
        <f>IF(HLOOKUP("Shots",A1:CV300,32,FALSE)=0,0,HLOOKUP("Headers",A1:CV300,32,FALSE)/HLOOKUP("Shots",A1:CV300,32,FALSE))</f>
      </c>
      <c r="U32" t="n" s="18663">
        <v>0.0</v>
      </c>
      <c r="V32" s="18664">
        <f>IF(HLOOKUP("Shots",A1:CV300,32,FALSE)=0,0,HLOOKUP("SOT",A1:CV300,32,FALSE)/HLOOKUP("Shots",A1:CV300,32,FALSE))</f>
      </c>
      <c r="W32" s="18665">
        <f>IF(HLOOKUP("Shots",A1:CV300,32,FALSE)=0,0,HLOOKUP("Gs",A1:CV300,32,FALSE)/HLOOKUP("Shots",A1:CV300,32,FALSE))</f>
      </c>
      <c r="X32" t="n" s="18666">
        <v>0.0</v>
      </c>
      <c r="Y32" t="n" s="18667">
        <v>0.0</v>
      </c>
      <c r="Z32" t="n" s="18668">
        <v>0.0</v>
      </c>
      <c r="AA32" s="18669">
        <f>IF(HLOOKUP("KP",A1:CV300,32,FALSE)=0,0,HLOOKUP("As",A1:CV300,32,FALSE)/HLOOKUP("KP",A1:CV300,32,FALSE))</f>
      </c>
      <c r="AB32" s="18670"/>
      <c r="AC32" t="n" s="18671">
        <v>0.0</v>
      </c>
      <c r="AD32" t="n" s="18672">
        <v>0.0</v>
      </c>
      <c r="AE32" t="n" s="18673">
        <v>0.0</v>
      </c>
      <c r="AF32" t="n" s="18674">
        <v>0.0</v>
      </c>
      <c r="AG32" s="18675">
        <f>IF(HLOOKUP("BC",A1:CV300,32,FALSE)=0,0,HLOOKUP("Gs - BC",A1:CV300,32,FALSE)/HLOOKUP("BC",A1:CV300,32,FALSE))</f>
      </c>
      <c r="AH32" s="18676">
        <f>HLOOKUP("BC",A1:CV300,32,FALSE) - HLOOKUP("BC Miss",A1:CV300,32,FALSE)</f>
      </c>
      <c r="AI32" s="18677">
        <f>IF(HLOOKUP("Gs",A1:CV300,32,FALSE)=0,0,HLOOKUP("Gs - BC",A1:CV300,32,FALSE)/HLOOKUP("Gs",A1:CV300,32,FALSE))</f>
      </c>
      <c r="AJ32" t="n" s="18678">
        <v>0.0</v>
      </c>
      <c r="AK32" t="n" s="18679">
        <v>0.0</v>
      </c>
      <c r="AL32" s="18680">
        <f>HLOOKUP("BC",A1:CV300,32,FALSE) - (HLOOKUP("PK Gs",A1:CV300,32,FALSE) + HLOOKUP("PK Miss",A1:CV300,32,FALSE))</f>
      </c>
      <c r="AM32" s="18681">
        <f>HLOOKUP("BC Miss",A1:CV300,32,FALSE) - HLOOKUP("PK Miss",A1:CV300,32,FALSE)</f>
      </c>
      <c r="AN32" s="18682">
        <f>IF(HLOOKUP("BC - Open",A1:CV300,32,FALSE)=0,0,HLOOKUP("BC - Open Miss",A1:CV300,32,FALSE)/HLOOKUP("BC - Open",A1:CV300,32,FALSE))</f>
      </c>
      <c r="AO32" t="n" s="18683">
        <v>0.0</v>
      </c>
      <c r="AP32" s="18684">
        <f>IF(HLOOKUP("Gs",A1:CV300,32,FALSE)=0,0,HLOOKUP("GIB",A1:CV300,32,FALSE)/HLOOKUP("Gs",A1:CV300,32,FALSE))</f>
      </c>
      <c r="AQ32" t="n" s="18685">
        <v>0.0</v>
      </c>
      <c r="AR32" s="18686">
        <f>IF(HLOOKUP("Gs",A1:CV300,32,FALSE)=0,0,HLOOKUP("Gs - Open",A1:CV300,32,FALSE)/HLOOKUP("Gs",A1:CV300,32,FALSE))</f>
      </c>
      <c r="AS32" t="n" s="18687">
        <v>0.0</v>
      </c>
      <c r="AT32" t="n" s="18688">
        <v>0.06</v>
      </c>
      <c r="AU32" s="18689">
        <f>IF(HLOOKUP("Mins",A1:CV300,32,FALSE)=0,0,HLOOKUP("Pts",A1:CV300,32,FALSE)/HLOOKUP("Mins",A1:CV300,32,FALSE)* 90)</f>
      </c>
      <c r="AV32" s="18690">
        <f>IF(HLOOKUP("Apps",A1:CV300,32,FALSE)=0,0,HLOOKUP("Pts",A1:CV300,32,FALSE)/HLOOKUP("Apps",A1:CV300,32,FALSE)* 1)</f>
      </c>
      <c r="AW32" s="18691">
        <f>IF(HLOOKUP("Mins",A1:CV300,32,FALSE)=0,0,HLOOKUP("Gs",A1:CV300,32,FALSE)/HLOOKUP("Mins",A1:CV300,32,FALSE)* 90)</f>
      </c>
      <c r="AX32" s="18692">
        <f>IF(HLOOKUP("Mins",A1:CV300,32,FALSE)=0,0,HLOOKUP("Bonus",A1:CV300,32,FALSE)/HLOOKUP("Mins",A1:CV300,32,FALSE)* 90)</f>
      </c>
      <c r="AY32" s="18693">
        <f>IF(HLOOKUP("Mins",A1:CV300,32,FALSE)=0,0,HLOOKUP("BPS",A1:CV300,32,FALSE)/HLOOKUP("Mins",A1:CV300,32,FALSE)* 90)</f>
      </c>
      <c r="AZ32" s="18694">
        <f>IF(HLOOKUP("Mins",A1:CV300,32,FALSE)=0,0,HLOOKUP("Base BPS",A1:CV300,32,FALSE)/HLOOKUP("Mins",A1:CV300,32,FALSE)* 90)</f>
      </c>
      <c r="BA32" s="18695">
        <f>IF(HLOOKUP("Mins",A1:CV300,32,FALSE)=0,0,HLOOKUP("PenTchs",A1:CV300,32,FALSE)/HLOOKUP("Mins",A1:CV300,32,FALSE)* 90)</f>
      </c>
      <c r="BB32" s="18696">
        <f>IF(HLOOKUP("Mins",A1:CV300,32,FALSE)=0,0,HLOOKUP("Shots",A1:CV300,32,FALSE)/HLOOKUP("Mins",A1:CV300,32,FALSE)* 90)</f>
      </c>
      <c r="BC32" s="18697">
        <f>IF(HLOOKUP("Mins",A1:CV300,32,FALSE)=0,0,HLOOKUP("SIB",A1:CV300,32,FALSE)/HLOOKUP("Mins",A1:CV300,32,FALSE)* 90)</f>
      </c>
      <c r="BD32" s="18698">
        <f>IF(HLOOKUP("Mins",A1:CV300,32,FALSE)=0,0,HLOOKUP("S6YD",A1:CV300,32,FALSE)/HLOOKUP("Mins",A1:CV300,32,FALSE)* 90)</f>
      </c>
      <c r="BE32" s="18699">
        <f>IF(HLOOKUP("Mins",A1:CV300,32,FALSE)=0,0,HLOOKUP("Headers",A1:CV300,32,FALSE)/HLOOKUP("Mins",A1:CV300,32,FALSE)* 90)</f>
      </c>
      <c r="BF32" s="18700">
        <f>IF(HLOOKUP("Mins",A1:CV300,32,FALSE)=0,0,HLOOKUP("SOT",A1:CV300,32,FALSE)/HLOOKUP("Mins",A1:CV300,32,FALSE)* 90)</f>
      </c>
      <c r="BG32" s="18701">
        <f>IF(HLOOKUP("Mins",A1:CV300,32,FALSE)=0,0,HLOOKUP("As",A1:CV300,32,FALSE)/HLOOKUP("Mins",A1:CV300,32,FALSE)* 90)</f>
      </c>
      <c r="BH32" s="18702">
        <f>IF(HLOOKUP("Mins",A1:CV300,32,FALSE)=0,0,HLOOKUP("FPL As",A1:CV300,32,FALSE)/HLOOKUP("Mins",A1:CV300,32,FALSE)* 90)</f>
      </c>
      <c r="BI32" s="18703">
        <f>IF(HLOOKUP("Mins",A1:CV300,32,FALSE)=0,0,HLOOKUP("BC Created",A1:CV300,32,FALSE)/HLOOKUP("Mins",A1:CV300,32,FALSE)* 90)</f>
      </c>
      <c r="BJ32" s="18704">
        <f>IF(HLOOKUP("Mins",A1:CV300,32,FALSE)=0,0,HLOOKUP("KP",A1:CV300,32,FALSE)/HLOOKUP("Mins",A1:CV300,32,FALSE)* 90)</f>
      </c>
      <c r="BK32" s="18705">
        <f>IF(HLOOKUP("Mins",A1:CV300,32,FALSE)=0,0,HLOOKUP("BC",A1:CV300,32,FALSE)/HLOOKUP("Mins",A1:CV300,32,FALSE)* 90)</f>
      </c>
      <c r="BL32" s="18706">
        <f>IF(HLOOKUP("Mins",A1:CV300,32,FALSE)=0,0,HLOOKUP("BC Miss",A1:CV300,32,FALSE)/HLOOKUP("Mins",A1:CV300,32,FALSE)* 90)</f>
      </c>
      <c r="BM32" s="18707">
        <f>IF(HLOOKUP("Mins",A1:CV300,32,FALSE)=0,0,HLOOKUP("Gs - BC",A1:CV300,32,FALSE)/HLOOKUP("Mins",A1:CV300,32,FALSE)* 90)</f>
      </c>
      <c r="BN32" s="18708">
        <f>IF(HLOOKUP("Mins",A1:CV300,32,FALSE)=0,0,HLOOKUP("GIB",A1:CV300,32,FALSE)/HLOOKUP("Mins",A1:CV300,32,FALSE)* 90)</f>
      </c>
      <c r="BO32" s="18709">
        <f>IF(HLOOKUP("Mins",A1:CV300,32,FALSE)=0,0,HLOOKUP("Gs - Open",A1:CV300,32,FALSE)/HLOOKUP("Mins",A1:CV300,32,FALSE)* 90)</f>
      </c>
      <c r="BP32" s="18710">
        <f>IF(HLOOKUP("Mins",A1:CV300,32,FALSE)=0,0,HLOOKUP("ICT Index",A1:CV300,32,FALSE)/HLOOKUP("Mins",A1:CV300,32,FALSE)* 90)</f>
      </c>
      <c r="BQ32" s="18711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</c>
      <c r="BR32" s="18712">
        <f>0.0885*HLOOKUP("KP/90",A1:CV300,32,FALSE)</f>
      </c>
      <c r="BS32" s="18713">
        <f>5*HLOOKUP("xG/90",A1:CV300,32,FALSE)+3*HLOOKUP("xA/90",A1:CV300,32,FALSE)</f>
      </c>
      <c r="BT32" s="18714">
        <f>HLOOKUP("xPts/90",A1:CV300,32,FALSE)-(5*0.75*(HLOOKUP("PK Gs",A1:CV300,32,FALSE)+HLOOKUP("PK Miss",A1:CV300,32,FALSE))*90/HLOOKUP("Mins",A1:CV300,32,FALSE))</f>
      </c>
      <c r="BU32" s="18715">
        <f>IF(HLOOKUP("Mins",A1:CV300,32,FALSE)=0,0,HLOOKUP("fsXG",A1:CV300,32,FALSE)/HLOOKUP("Mins",A1:CV300,32,FALSE)* 90)</f>
      </c>
      <c r="BV32" s="18716">
        <f>IF(HLOOKUP("Mins",A1:CV300,32,FALSE)=0,0,HLOOKUP("fsXA",A1:CV300,32,FALSE)/HLOOKUP("Mins",A1:CV300,32,FALSE)* 90)</f>
      </c>
      <c r="BW32" s="18717">
        <f>5*HLOOKUP("fsXG/90",A1:CV300,32,FALSE)+3*HLOOKUP("fsXA/90",A1:CV300,32,FALSE)</f>
      </c>
      <c r="BX32" t="n" s="18718">
        <v>0.0</v>
      </c>
      <c r="BY32" t="n" s="18719">
        <v>0.0</v>
      </c>
      <c r="BZ32" s="18720">
        <f>5*HLOOKUP("uXG/90",A1:CV300,32,FALSE)+3*HLOOKUP("uXA/90",A1:CV300,32,FALSE)</f>
      </c>
    </row>
    <row r="33">
      <c r="A33" t="s" s="18721">
        <v>336</v>
      </c>
      <c r="B33" t="s" s="18722">
        <v>90</v>
      </c>
      <c r="C33" t="n" s="18723">
        <v>4.5</v>
      </c>
      <c r="D33" t="n" s="18724">
        <v>259.0</v>
      </c>
      <c r="E33" t="n" s="18725">
        <v>4.0</v>
      </c>
      <c r="F33" t="n" s="18726">
        <v>8.0</v>
      </c>
      <c r="G33" t="n" s="18727">
        <v>0.0</v>
      </c>
      <c r="H33" t="n" s="18728">
        <v>0.0</v>
      </c>
      <c r="I33" t="n" s="18729">
        <v>29.0</v>
      </c>
      <c r="J33" s="18730">
        <f>HLOOKUP("BPS",A1:CV300,33,FALSE)-((-6*HLOOKUP("OG",A1:CV300,33,FALSE))+(-6*HLOOKUP("PK Miss",A1:CV300,33,FALSE))+(9*HLOOKUP("FPL As",A1:CV300,33,FALSE))+(0*HLOOKUP("CS",A1:CV300,33,FALSE))+(18*HLOOKUP("Gs",A1:CV300,33,FALSE)))</f>
      </c>
      <c r="K33" t="n" s="18731">
        <v>0.0</v>
      </c>
      <c r="L33" t="n" s="18732">
        <v>1.0</v>
      </c>
      <c r="M33" t="n" s="18733">
        <v>10.0</v>
      </c>
      <c r="N33" t="n" s="18734">
        <v>3.0</v>
      </c>
      <c r="O33" t="n" s="18735">
        <v>3.0</v>
      </c>
      <c r="P33" s="18736">
        <f>IF(HLOOKUP("Shots",A1:CV300,33,FALSE)=0,0,HLOOKUP("SIB",A1:CV300,33,FALSE)/HLOOKUP("Shots",A1:CV300,33,FALSE))</f>
      </c>
      <c r="Q33" t="n" s="18737">
        <v>1.0</v>
      </c>
      <c r="R33" s="18738">
        <f>IF(HLOOKUP("Shots",A1:CV300,33,FALSE)=0,0,HLOOKUP("S6YD",A1:CV300,33,FALSE)/HLOOKUP("Shots",A1:CV300,33,FALSE))</f>
      </c>
      <c r="S33" t="n" s="18739">
        <v>0.0</v>
      </c>
      <c r="T33" s="18740">
        <f>IF(HLOOKUP("Shots",A1:CV300,33,FALSE)=0,0,HLOOKUP("Headers",A1:CV300,33,FALSE)/HLOOKUP("Shots",A1:CV300,33,FALSE))</f>
      </c>
      <c r="U33" t="n" s="18741">
        <v>1.0</v>
      </c>
      <c r="V33" s="18742">
        <f>IF(HLOOKUP("Shots",A1:CV300,33,FALSE)=0,0,HLOOKUP("SOT",A1:CV300,33,FALSE)/HLOOKUP("Shots",A1:CV300,33,FALSE))</f>
      </c>
      <c r="W33" s="18743">
        <f>IF(HLOOKUP("Shots",A1:CV300,33,FALSE)=0,0,HLOOKUP("Gs",A1:CV300,33,FALSE)/HLOOKUP("Shots",A1:CV300,33,FALSE))</f>
      </c>
      <c r="X33" t="n" s="18744">
        <v>0.0</v>
      </c>
      <c r="Y33" t="n" s="18745">
        <v>0.0</v>
      </c>
      <c r="Z33" t="n" s="18746">
        <v>4.0</v>
      </c>
      <c r="AA33" s="18747">
        <f>IF(HLOOKUP("KP",A1:CV300,33,FALSE)=0,0,HLOOKUP("As",A1:CV300,33,FALSE)/HLOOKUP("KP",A1:CV300,33,FALSE))</f>
      </c>
      <c r="AB33" s="18748"/>
      <c r="AC33" t="n" s="18749">
        <v>0.0</v>
      </c>
      <c r="AD33" t="n" s="18750">
        <v>0.0</v>
      </c>
      <c r="AE33" t="n" s="18751">
        <v>1.0</v>
      </c>
      <c r="AF33" t="n" s="18752">
        <v>1.0</v>
      </c>
      <c r="AG33" s="18753">
        <f>IF(HLOOKUP("BC",A1:CV300,33,FALSE)=0,0,HLOOKUP("Gs - BC",A1:CV300,33,FALSE)/HLOOKUP("BC",A1:CV300,33,FALSE))</f>
      </c>
      <c r="AH33" s="18754">
        <f>HLOOKUP("BC",A1:CV300,33,FALSE) - HLOOKUP("BC Miss",A1:CV300,33,FALSE)</f>
      </c>
      <c r="AI33" s="18755">
        <f>IF(HLOOKUP("Gs",A1:CV300,33,FALSE)=0,0,HLOOKUP("Gs - BC",A1:CV300,33,FALSE)/HLOOKUP("Gs",A1:CV300,33,FALSE))</f>
      </c>
      <c r="AJ33" t="n" s="18756">
        <v>0.0</v>
      </c>
      <c r="AK33" t="n" s="18757">
        <v>0.0</v>
      </c>
      <c r="AL33" s="18758">
        <f>HLOOKUP("BC",A1:CV300,33,FALSE) - (HLOOKUP("PK Gs",A1:CV300,33,FALSE) + HLOOKUP("PK Miss",A1:CV300,33,FALSE))</f>
      </c>
      <c r="AM33" s="18759">
        <f>HLOOKUP("BC Miss",A1:CV300,33,FALSE) - HLOOKUP("PK Miss",A1:CV300,33,FALSE)</f>
      </c>
      <c r="AN33" s="18760">
        <f>IF(HLOOKUP("BC - Open",A1:CV300,33,FALSE)=0,0,HLOOKUP("BC - Open Miss",A1:CV300,33,FALSE)/HLOOKUP("BC - Open",A1:CV300,33,FALSE))</f>
      </c>
      <c r="AO33" t="n" s="18761">
        <v>0.0</v>
      </c>
      <c r="AP33" s="18762">
        <f>IF(HLOOKUP("Gs",A1:CV300,33,FALSE)=0,0,HLOOKUP("GIB",A1:CV300,33,FALSE)/HLOOKUP("Gs",A1:CV300,33,FALSE))</f>
      </c>
      <c r="AQ33" t="n" s="18763">
        <v>0.0</v>
      </c>
      <c r="AR33" s="18764">
        <f>IF(HLOOKUP("Gs",A1:CV300,33,FALSE)=0,0,HLOOKUP("Gs - Open",A1:CV300,33,FALSE)/HLOOKUP("Gs",A1:CV300,33,FALSE))</f>
      </c>
      <c r="AS33" t="n" s="18765">
        <v>0.84</v>
      </c>
      <c r="AT33" t="n" s="18766">
        <v>0.25</v>
      </c>
      <c r="AU33" s="18767">
        <f>IF(HLOOKUP("Mins",A1:CV300,33,FALSE)=0,0,HLOOKUP("Pts",A1:CV300,33,FALSE)/HLOOKUP("Mins",A1:CV300,33,FALSE)* 90)</f>
      </c>
      <c r="AV33" s="18768">
        <f>IF(HLOOKUP("Apps",A1:CV300,33,FALSE)=0,0,HLOOKUP("Pts",A1:CV300,33,FALSE)/HLOOKUP("Apps",A1:CV300,33,FALSE)* 1)</f>
      </c>
      <c r="AW33" s="18769">
        <f>IF(HLOOKUP("Mins",A1:CV300,33,FALSE)=0,0,HLOOKUP("Gs",A1:CV300,33,FALSE)/HLOOKUP("Mins",A1:CV300,33,FALSE)* 90)</f>
      </c>
      <c r="AX33" s="18770">
        <f>IF(HLOOKUP("Mins",A1:CV300,33,FALSE)=0,0,HLOOKUP("Bonus",A1:CV300,33,FALSE)/HLOOKUP("Mins",A1:CV300,33,FALSE)* 90)</f>
      </c>
      <c r="AY33" s="18771">
        <f>IF(HLOOKUP("Mins",A1:CV300,33,FALSE)=0,0,HLOOKUP("BPS",A1:CV300,33,FALSE)/HLOOKUP("Mins",A1:CV300,33,FALSE)* 90)</f>
      </c>
      <c r="AZ33" s="18772">
        <f>IF(HLOOKUP("Mins",A1:CV300,33,FALSE)=0,0,HLOOKUP("Base BPS",A1:CV300,33,FALSE)/HLOOKUP("Mins",A1:CV300,33,FALSE)* 90)</f>
      </c>
      <c r="BA33" s="18773">
        <f>IF(HLOOKUP("Mins",A1:CV300,33,FALSE)=0,0,HLOOKUP("PenTchs",A1:CV300,33,FALSE)/HLOOKUP("Mins",A1:CV300,33,FALSE)* 90)</f>
      </c>
      <c r="BB33" s="18774">
        <f>IF(HLOOKUP("Mins",A1:CV300,33,FALSE)=0,0,HLOOKUP("Shots",A1:CV300,33,FALSE)/HLOOKUP("Mins",A1:CV300,33,FALSE)* 90)</f>
      </c>
      <c r="BC33" s="18775">
        <f>IF(HLOOKUP("Mins",A1:CV300,33,FALSE)=0,0,HLOOKUP("SIB",A1:CV300,33,FALSE)/HLOOKUP("Mins",A1:CV300,33,FALSE)* 90)</f>
      </c>
      <c r="BD33" s="18776">
        <f>IF(HLOOKUP("Mins",A1:CV300,33,FALSE)=0,0,HLOOKUP("S6YD",A1:CV300,33,FALSE)/HLOOKUP("Mins",A1:CV300,33,FALSE)* 90)</f>
      </c>
      <c r="BE33" s="18777">
        <f>IF(HLOOKUP("Mins",A1:CV300,33,FALSE)=0,0,HLOOKUP("Headers",A1:CV300,33,FALSE)/HLOOKUP("Mins",A1:CV300,33,FALSE)* 90)</f>
      </c>
      <c r="BF33" s="18778">
        <f>IF(HLOOKUP("Mins",A1:CV300,33,FALSE)=0,0,HLOOKUP("SOT",A1:CV300,33,FALSE)/HLOOKUP("Mins",A1:CV300,33,FALSE)* 90)</f>
      </c>
      <c r="BG33" s="18779">
        <f>IF(HLOOKUP("Mins",A1:CV300,33,FALSE)=0,0,HLOOKUP("As",A1:CV300,33,FALSE)/HLOOKUP("Mins",A1:CV300,33,FALSE)* 90)</f>
      </c>
      <c r="BH33" s="18780">
        <f>IF(HLOOKUP("Mins",A1:CV300,33,FALSE)=0,0,HLOOKUP("FPL As",A1:CV300,33,FALSE)/HLOOKUP("Mins",A1:CV300,33,FALSE)* 90)</f>
      </c>
      <c r="BI33" s="18781">
        <f>IF(HLOOKUP("Mins",A1:CV300,33,FALSE)=0,0,HLOOKUP("BC Created",A1:CV300,33,FALSE)/HLOOKUP("Mins",A1:CV300,33,FALSE)* 90)</f>
      </c>
      <c r="BJ33" s="18782">
        <f>IF(HLOOKUP("Mins",A1:CV300,33,FALSE)=0,0,HLOOKUP("KP",A1:CV300,33,FALSE)/HLOOKUP("Mins",A1:CV300,33,FALSE)* 90)</f>
      </c>
      <c r="BK33" s="18783">
        <f>IF(HLOOKUP("Mins",A1:CV300,33,FALSE)=0,0,HLOOKUP("BC",A1:CV300,33,FALSE)/HLOOKUP("Mins",A1:CV300,33,FALSE)* 90)</f>
      </c>
      <c r="BL33" s="18784">
        <f>IF(HLOOKUP("Mins",A1:CV300,33,FALSE)=0,0,HLOOKUP("BC Miss",A1:CV300,33,FALSE)/HLOOKUP("Mins",A1:CV300,33,FALSE)* 90)</f>
      </c>
      <c r="BM33" s="18785">
        <f>IF(HLOOKUP("Mins",A1:CV300,33,FALSE)=0,0,HLOOKUP("Gs - BC",A1:CV300,33,FALSE)/HLOOKUP("Mins",A1:CV300,33,FALSE)* 90)</f>
      </c>
      <c r="BN33" s="18786">
        <f>IF(HLOOKUP("Mins",A1:CV300,33,FALSE)=0,0,HLOOKUP("GIB",A1:CV300,33,FALSE)/HLOOKUP("Mins",A1:CV300,33,FALSE)* 90)</f>
      </c>
      <c r="BO33" s="18787">
        <f>IF(HLOOKUP("Mins",A1:CV300,33,FALSE)=0,0,HLOOKUP("Gs - Open",A1:CV300,33,FALSE)/HLOOKUP("Mins",A1:CV300,33,FALSE)* 90)</f>
      </c>
      <c r="BP33" s="18788">
        <f>IF(HLOOKUP("Mins",A1:CV300,33,FALSE)=0,0,HLOOKUP("ICT Index",A1:CV300,33,FALSE)/HLOOKUP("Mins",A1:CV300,33,FALSE)* 90)</f>
      </c>
      <c r="BQ33" s="18789">
        <f>IF(HLOOKUP("Mins",A1:CV300,33,FALSE)=0,0,(0.036*(HLOOKUP("Shots",A1:CV300,33,FALSE)-HLOOKUP("SIB",A1:CV300,33,FALSE))+0.142*(HLOOKUP("SIB",A1:CV300,33,FALSE)-(HLOOKUP("PK Gs",A1:CV300,33,FALSE)+HLOOKUP("PK Miss",A1:CV300,33,FALSE)))+0.75*(HLOOKUP("PK Gs",A1:CV300,33,FALSE)+HLOOKUP("PK Miss",A1:CV300,33,FALSE)))/HLOOKUP("Mins",A1:CV300,33,FALSE)*90)</f>
      </c>
      <c r="BR33" s="18790">
        <f>0.0885*HLOOKUP("KP/90",A1:CV300,33,FALSE)</f>
      </c>
      <c r="BS33" s="18791">
        <f>5*HLOOKUP("xG/90",A1:CV300,33,FALSE)+3*HLOOKUP("xA/90",A1:CV300,33,FALSE)</f>
      </c>
      <c r="BT33" s="18792">
        <f>HLOOKUP("xPts/90",A1:CV300,33,FALSE)-(5*0.75*(HLOOKUP("PK Gs",A1:CV300,33,FALSE)+HLOOKUP("PK Miss",A1:CV300,33,FALSE))*90/HLOOKUP("Mins",A1:CV300,33,FALSE))</f>
      </c>
      <c r="BU33" s="18793">
        <f>IF(HLOOKUP("Mins",A1:CV300,33,FALSE)=0,0,HLOOKUP("fsXG",A1:CV300,33,FALSE)/HLOOKUP("Mins",A1:CV300,33,FALSE)* 90)</f>
      </c>
      <c r="BV33" s="18794">
        <f>IF(HLOOKUP("Mins",A1:CV300,33,FALSE)=0,0,HLOOKUP("fsXA",A1:CV300,33,FALSE)/HLOOKUP("Mins",A1:CV300,33,FALSE)* 90)</f>
      </c>
      <c r="BW33" s="18795">
        <f>5*HLOOKUP("fsXG/90",A1:CV300,33,FALSE)+3*HLOOKUP("fsXA/90",A1:CV300,33,FALSE)</f>
      </c>
      <c r="BX33" t="n" s="18796">
        <v>0.2876853048801422</v>
      </c>
      <c r="BY33" t="n" s="18797">
        <v>0.10886893421411514</v>
      </c>
      <c r="BZ33" s="18798">
        <f>5*HLOOKUP("uXG/90",A1:CV300,33,FALSE)+3*HLOOKUP("uXA/90",A1:CV300,33,FALSE)</f>
      </c>
    </row>
    <row r="34">
      <c r="A34" t="s" s="18799">
        <v>337</v>
      </c>
      <c r="B34" t="s" s="18800">
        <v>95</v>
      </c>
      <c r="C34" t="n" s="18801">
        <v>5.699999809265137</v>
      </c>
      <c r="D34" t="n" s="18802">
        <v>208.0</v>
      </c>
      <c r="E34" t="n" s="18803">
        <v>5.0</v>
      </c>
      <c r="F34" t="n" s="18804">
        <v>42.0</v>
      </c>
      <c r="G34" t="n" s="18805">
        <v>0.0</v>
      </c>
      <c r="H34" t="n" s="18806">
        <v>2.0</v>
      </c>
      <c r="I34" t="n" s="18807">
        <v>156.0</v>
      </c>
      <c r="J34" s="18808">
        <f>HLOOKUP("BPS",A1:CV300,34,FALSE)-((-6*HLOOKUP("OG",A1:CV300,34,FALSE))+(-6*HLOOKUP("PK Miss",A1:CV300,34,FALSE))+(9*HLOOKUP("FPL As",A1:CV300,34,FALSE))+(0*HLOOKUP("CS",A1:CV300,34,FALSE))+(18*HLOOKUP("Gs",A1:CV300,34,FALSE)))</f>
      </c>
      <c r="K34" t="n" s="18809">
        <v>0.0</v>
      </c>
      <c r="L34" t="n" s="18810">
        <v>3.0</v>
      </c>
      <c r="M34" t="n" s="18811">
        <v>7.0</v>
      </c>
      <c r="N34" t="n" s="18812">
        <v>9.0</v>
      </c>
      <c r="O34" t="n" s="18813">
        <v>5.0</v>
      </c>
      <c r="P34" s="18814">
        <f>IF(HLOOKUP("Shots",A1:CV300,34,FALSE)=0,0,HLOOKUP("SIB",A1:CV300,34,FALSE)/HLOOKUP("Shots",A1:CV300,34,FALSE))</f>
      </c>
      <c r="Q34" t="n" s="18815">
        <v>2.0</v>
      </c>
      <c r="R34" s="18816">
        <f>IF(HLOOKUP("Shots",A1:CV300,34,FALSE)=0,0,HLOOKUP("S6YD",A1:CV300,34,FALSE)/HLOOKUP("Shots",A1:CV300,34,FALSE))</f>
      </c>
      <c r="S34" t="n" s="18817">
        <v>0.0</v>
      </c>
      <c r="T34" s="18818">
        <f>IF(HLOOKUP("Shots",A1:CV300,34,FALSE)=0,0,HLOOKUP("Headers",A1:CV300,34,FALSE)/HLOOKUP("Shots",A1:CV300,34,FALSE))</f>
      </c>
      <c r="U34" t="n" s="18819">
        <v>2.0</v>
      </c>
      <c r="V34" s="18820">
        <f>IF(HLOOKUP("Shots",A1:CV300,34,FALSE)=0,0,HLOOKUP("SOT",A1:CV300,34,FALSE)/HLOOKUP("Shots",A1:CV300,34,FALSE))</f>
      </c>
      <c r="W34" s="18821">
        <f>IF(HLOOKUP("Shots",A1:CV300,34,FALSE)=0,0,HLOOKUP("Gs",A1:CV300,34,FALSE)/HLOOKUP("Shots",A1:CV300,34,FALSE))</f>
      </c>
      <c r="X34" t="n" s="18822">
        <v>0.0</v>
      </c>
      <c r="Y34" t="n" s="18823">
        <v>2.0</v>
      </c>
      <c r="Z34" t="n" s="18824">
        <v>1.0</v>
      </c>
      <c r="AA34" s="18825">
        <f>IF(HLOOKUP("KP",A1:CV300,34,FALSE)=0,0,HLOOKUP("As",A1:CV300,34,FALSE)/HLOOKUP("KP",A1:CV300,34,FALSE))</f>
      </c>
      <c r="AB34" s="18826"/>
      <c r="AC34" t="n" s="18827">
        <v>0.0</v>
      </c>
      <c r="AD34" t="n" s="18828">
        <v>0.0</v>
      </c>
      <c r="AE34" t="n" s="18829">
        <v>0.0</v>
      </c>
      <c r="AF34" t="n" s="18830">
        <v>0.0</v>
      </c>
      <c r="AG34" s="18831">
        <f>IF(HLOOKUP("BC",A1:CV300,34,FALSE)=0,0,HLOOKUP("Gs - BC",A1:CV300,34,FALSE)/HLOOKUP("BC",A1:CV300,34,FALSE))</f>
      </c>
      <c r="AH34" s="18832">
        <f>HLOOKUP("BC",A1:CV300,34,FALSE) - HLOOKUP("BC Miss",A1:CV300,34,FALSE)</f>
      </c>
      <c r="AI34" s="18833">
        <f>IF(HLOOKUP("Gs",A1:CV300,34,FALSE)=0,0,HLOOKUP("Gs - BC",A1:CV300,34,FALSE)/HLOOKUP("Gs",A1:CV300,34,FALSE))</f>
      </c>
      <c r="AJ34" t="n" s="18834">
        <v>0.0</v>
      </c>
      <c r="AK34" t="n" s="18835">
        <v>0.0</v>
      </c>
      <c r="AL34" s="18836">
        <f>HLOOKUP("BC",A1:CV300,34,FALSE) - (HLOOKUP("PK Gs",A1:CV300,34,FALSE) + HLOOKUP("PK Miss",A1:CV300,34,FALSE))</f>
      </c>
      <c r="AM34" s="18837">
        <f>HLOOKUP("BC Miss",A1:CV300,34,FALSE) - HLOOKUP("PK Miss",A1:CV300,34,FALSE)</f>
      </c>
      <c r="AN34" s="18838">
        <f>IF(HLOOKUP("BC - Open",A1:CV300,34,FALSE)=0,0,HLOOKUP("BC - Open Miss",A1:CV300,34,FALSE)/HLOOKUP("BC - Open",A1:CV300,34,FALSE))</f>
      </c>
      <c r="AO34" t="n" s="18839">
        <v>0.0</v>
      </c>
      <c r="AP34" s="18840">
        <f>IF(HLOOKUP("Gs",A1:CV300,34,FALSE)=0,0,HLOOKUP("GIB",A1:CV300,34,FALSE)/HLOOKUP("Gs",A1:CV300,34,FALSE))</f>
      </c>
      <c r="AQ34" t="n" s="18841">
        <v>0.0</v>
      </c>
      <c r="AR34" s="18842">
        <f>IF(HLOOKUP("Gs",A1:CV300,34,FALSE)=0,0,HLOOKUP("Gs - Open",A1:CV300,34,FALSE)/HLOOKUP("Gs",A1:CV300,34,FALSE))</f>
      </c>
      <c r="AS34" t="n" s="18843">
        <v>1.07</v>
      </c>
      <c r="AT34" t="n" s="18844">
        <v>0.07</v>
      </c>
      <c r="AU34" s="18845">
        <f>IF(HLOOKUP("Mins",A1:CV300,34,FALSE)=0,0,HLOOKUP("Pts",A1:CV300,34,FALSE)/HLOOKUP("Mins",A1:CV300,34,FALSE)* 90)</f>
      </c>
      <c r="AV34" s="18846">
        <f>IF(HLOOKUP("Apps",A1:CV300,34,FALSE)=0,0,HLOOKUP("Pts",A1:CV300,34,FALSE)/HLOOKUP("Apps",A1:CV300,34,FALSE)* 1)</f>
      </c>
      <c r="AW34" s="18847">
        <f>IF(HLOOKUP("Mins",A1:CV300,34,FALSE)=0,0,HLOOKUP("Gs",A1:CV300,34,FALSE)/HLOOKUP("Mins",A1:CV300,34,FALSE)* 90)</f>
      </c>
      <c r="AX34" s="18848">
        <f>IF(HLOOKUP("Mins",A1:CV300,34,FALSE)=0,0,HLOOKUP("Bonus",A1:CV300,34,FALSE)/HLOOKUP("Mins",A1:CV300,34,FALSE)* 90)</f>
      </c>
      <c r="AY34" s="18849">
        <f>IF(HLOOKUP("Mins",A1:CV300,34,FALSE)=0,0,HLOOKUP("BPS",A1:CV300,34,FALSE)/HLOOKUP("Mins",A1:CV300,34,FALSE)* 90)</f>
      </c>
      <c r="AZ34" s="18850">
        <f>IF(HLOOKUP("Mins",A1:CV300,34,FALSE)=0,0,HLOOKUP("Base BPS",A1:CV300,34,FALSE)/HLOOKUP("Mins",A1:CV300,34,FALSE)* 90)</f>
      </c>
      <c r="BA34" s="18851">
        <f>IF(HLOOKUP("Mins",A1:CV300,34,FALSE)=0,0,HLOOKUP("PenTchs",A1:CV300,34,FALSE)/HLOOKUP("Mins",A1:CV300,34,FALSE)* 90)</f>
      </c>
      <c r="BB34" s="18852">
        <f>IF(HLOOKUP("Mins",A1:CV300,34,FALSE)=0,0,HLOOKUP("Shots",A1:CV300,34,FALSE)/HLOOKUP("Mins",A1:CV300,34,FALSE)* 90)</f>
      </c>
      <c r="BC34" s="18853">
        <f>IF(HLOOKUP("Mins",A1:CV300,34,FALSE)=0,0,HLOOKUP("SIB",A1:CV300,34,FALSE)/HLOOKUP("Mins",A1:CV300,34,FALSE)* 90)</f>
      </c>
      <c r="BD34" s="18854">
        <f>IF(HLOOKUP("Mins",A1:CV300,34,FALSE)=0,0,HLOOKUP("S6YD",A1:CV300,34,FALSE)/HLOOKUP("Mins",A1:CV300,34,FALSE)* 90)</f>
      </c>
      <c r="BE34" s="18855">
        <f>IF(HLOOKUP("Mins",A1:CV300,34,FALSE)=0,0,HLOOKUP("Headers",A1:CV300,34,FALSE)/HLOOKUP("Mins",A1:CV300,34,FALSE)* 90)</f>
      </c>
      <c r="BF34" s="18856">
        <f>IF(HLOOKUP("Mins",A1:CV300,34,FALSE)=0,0,HLOOKUP("SOT",A1:CV300,34,FALSE)/HLOOKUP("Mins",A1:CV300,34,FALSE)* 90)</f>
      </c>
      <c r="BG34" s="18857">
        <f>IF(HLOOKUP("Mins",A1:CV300,34,FALSE)=0,0,HLOOKUP("As",A1:CV300,34,FALSE)/HLOOKUP("Mins",A1:CV300,34,FALSE)* 90)</f>
      </c>
      <c r="BH34" s="18858">
        <f>IF(HLOOKUP("Mins",A1:CV300,34,FALSE)=0,0,HLOOKUP("FPL As",A1:CV300,34,FALSE)/HLOOKUP("Mins",A1:CV300,34,FALSE)* 90)</f>
      </c>
      <c r="BI34" s="18859">
        <f>IF(HLOOKUP("Mins",A1:CV300,34,FALSE)=0,0,HLOOKUP("BC Created",A1:CV300,34,FALSE)/HLOOKUP("Mins",A1:CV300,34,FALSE)* 90)</f>
      </c>
      <c r="BJ34" s="18860">
        <f>IF(HLOOKUP("Mins",A1:CV300,34,FALSE)=0,0,HLOOKUP("KP",A1:CV300,34,FALSE)/HLOOKUP("Mins",A1:CV300,34,FALSE)* 90)</f>
      </c>
      <c r="BK34" s="18861">
        <f>IF(HLOOKUP("Mins",A1:CV300,34,FALSE)=0,0,HLOOKUP("BC",A1:CV300,34,FALSE)/HLOOKUP("Mins",A1:CV300,34,FALSE)* 90)</f>
      </c>
      <c r="BL34" s="18862">
        <f>IF(HLOOKUP("Mins",A1:CV300,34,FALSE)=0,0,HLOOKUP("BC Miss",A1:CV300,34,FALSE)/HLOOKUP("Mins",A1:CV300,34,FALSE)* 90)</f>
      </c>
      <c r="BM34" s="18863">
        <f>IF(HLOOKUP("Mins",A1:CV300,34,FALSE)=0,0,HLOOKUP("Gs - BC",A1:CV300,34,FALSE)/HLOOKUP("Mins",A1:CV300,34,FALSE)* 90)</f>
      </c>
      <c r="BN34" s="18864">
        <f>IF(HLOOKUP("Mins",A1:CV300,34,FALSE)=0,0,HLOOKUP("GIB",A1:CV300,34,FALSE)/HLOOKUP("Mins",A1:CV300,34,FALSE)* 90)</f>
      </c>
      <c r="BO34" s="18865">
        <f>IF(HLOOKUP("Mins",A1:CV300,34,FALSE)=0,0,HLOOKUP("Gs - Open",A1:CV300,34,FALSE)/HLOOKUP("Mins",A1:CV300,34,FALSE)* 90)</f>
      </c>
      <c r="BP34" s="18866">
        <f>IF(HLOOKUP("Mins",A1:CV300,34,FALSE)=0,0,HLOOKUP("ICT Index",A1:CV300,34,FALSE)/HLOOKUP("Mins",A1:CV300,34,FALSE)* 90)</f>
      </c>
      <c r="BQ34" s="18867">
        <f>IF(HLOOKUP("Mins",A1:CV300,34,FALSE)=0,0,(0.036*(HLOOKUP("Shots",A1:CV300,34,FALSE)-HLOOKUP("SIB",A1:CV300,34,FALSE))+0.142*(HLOOKUP("SIB",A1:CV300,34,FALSE)-(HLOOKUP("PK Gs",A1:CV300,34,FALSE)+HLOOKUP("PK Miss",A1:CV300,34,FALSE)))+0.75*(HLOOKUP("PK Gs",A1:CV300,34,FALSE)+HLOOKUP("PK Miss",A1:CV300,34,FALSE)))/HLOOKUP("Mins",A1:CV300,34,FALSE)*90)</f>
      </c>
      <c r="BR34" s="18868">
        <f>0.0885*HLOOKUP("KP/90",A1:CV300,34,FALSE)</f>
      </c>
      <c r="BS34" s="18869">
        <f>5*HLOOKUP("xG/90",A1:CV300,34,FALSE)+3*HLOOKUP("xA/90",A1:CV300,34,FALSE)</f>
      </c>
      <c r="BT34" s="18870">
        <f>HLOOKUP("xPts/90",A1:CV300,34,FALSE)-(5*0.75*(HLOOKUP("PK Gs",A1:CV300,34,FALSE)+HLOOKUP("PK Miss",A1:CV300,34,FALSE))*90/HLOOKUP("Mins",A1:CV300,34,FALSE))</f>
      </c>
      <c r="BU34" s="18871">
        <f>IF(HLOOKUP("Mins",A1:CV300,34,FALSE)=0,0,HLOOKUP("fsXG",A1:CV300,34,FALSE)/HLOOKUP("Mins",A1:CV300,34,FALSE)* 90)</f>
      </c>
      <c r="BV34" s="18872">
        <f>IF(HLOOKUP("Mins",A1:CV300,34,FALSE)=0,0,HLOOKUP("fsXA",A1:CV300,34,FALSE)/HLOOKUP("Mins",A1:CV300,34,FALSE)* 90)</f>
      </c>
      <c r="BW34" s="18873">
        <f>5*HLOOKUP("fsXG/90",A1:CV300,34,FALSE)+3*HLOOKUP("fsXA/90",A1:CV300,34,FALSE)</f>
      </c>
      <c r="BX34" t="n" s="18874">
        <v>0.27359265089035034</v>
      </c>
      <c r="BY34" t="n" s="18875">
        <v>0.019897837191820145</v>
      </c>
      <c r="BZ34" s="18876">
        <f>5*HLOOKUP("uXG/90",A1:CV300,34,FALSE)+3*HLOOKUP("uXA/90",A1:CV300,34,FALSE)</f>
      </c>
    </row>
    <row r="35">
      <c r="A35" t="s" s="18877">
        <v>338</v>
      </c>
      <c r="B35" t="s" s="18878">
        <v>105</v>
      </c>
      <c r="C35" t="n" s="18879">
        <v>7.800000190734863</v>
      </c>
      <c r="D35" t="n" s="18880">
        <v>170.0</v>
      </c>
      <c r="E35" t="n" s="18881">
        <v>4.0</v>
      </c>
      <c r="F35" t="n" s="18882">
        <v>82.0</v>
      </c>
      <c r="G35" t="n" s="18883">
        <v>0.0</v>
      </c>
      <c r="H35" t="n" s="18884">
        <v>5.0</v>
      </c>
      <c r="I35" t="n" s="18885">
        <v>368.0</v>
      </c>
      <c r="J35" s="18886">
        <f>HLOOKUP("BPS",A1:CV300,35,FALSE)-((-6*HLOOKUP("OG",A1:CV300,35,FALSE))+(-6*HLOOKUP("PK Miss",A1:CV300,35,FALSE))+(9*HLOOKUP("FPL As",A1:CV300,35,FALSE))+(0*HLOOKUP("CS",A1:CV300,35,FALSE))+(18*HLOOKUP("Gs",A1:CV300,35,FALSE)))</f>
      </c>
      <c r="K35" t="n" s="18887">
        <v>0.0</v>
      </c>
      <c r="L35" t="n" s="18888">
        <v>5.0</v>
      </c>
      <c r="M35" t="n" s="18889">
        <v>26.0</v>
      </c>
      <c r="N35" t="n" s="18890">
        <v>6.0</v>
      </c>
      <c r="O35" t="n" s="18891">
        <v>5.0</v>
      </c>
      <c r="P35" s="18892">
        <f>IF(HLOOKUP("Shots",A1:CV300,35,FALSE)=0,0,HLOOKUP("SIB",A1:CV300,35,FALSE)/HLOOKUP("Shots",A1:CV300,35,FALSE))</f>
      </c>
      <c r="Q35" t="n" s="18893">
        <v>1.0</v>
      </c>
      <c r="R35" s="18894">
        <f>IF(HLOOKUP("Shots",A1:CV300,35,FALSE)=0,0,HLOOKUP("S6YD",A1:CV300,35,FALSE)/HLOOKUP("Shots",A1:CV300,35,FALSE))</f>
      </c>
      <c r="S35" t="n" s="18895">
        <v>0.0</v>
      </c>
      <c r="T35" s="18896">
        <f>IF(HLOOKUP("Shots",A1:CV300,35,FALSE)=0,0,HLOOKUP("Headers",A1:CV300,35,FALSE)/HLOOKUP("Shots",A1:CV300,35,FALSE))</f>
      </c>
      <c r="U35" t="n" s="18897">
        <v>2.0</v>
      </c>
      <c r="V35" s="18898">
        <f>IF(HLOOKUP("Shots",A1:CV300,35,FALSE)=0,0,HLOOKUP("SOT",A1:CV300,35,FALSE)/HLOOKUP("Shots",A1:CV300,35,FALSE))</f>
      </c>
      <c r="W35" s="18899">
        <f>IF(HLOOKUP("Shots",A1:CV300,35,FALSE)=0,0,HLOOKUP("Gs",A1:CV300,35,FALSE)/HLOOKUP("Shots",A1:CV300,35,FALSE))</f>
      </c>
      <c r="X35" t="n" s="18900">
        <v>1.0</v>
      </c>
      <c r="Y35" t="n" s="18901">
        <v>5.0</v>
      </c>
      <c r="Z35" t="n" s="18902">
        <v>5.0</v>
      </c>
      <c r="AA35" s="18903">
        <f>IF(HLOOKUP("KP",A1:CV300,35,FALSE)=0,0,HLOOKUP("As",A1:CV300,35,FALSE)/HLOOKUP("KP",A1:CV300,35,FALSE))</f>
      </c>
      <c r="AB35" s="18904"/>
      <c r="AC35" t="n" s="18905">
        <v>50.0</v>
      </c>
      <c r="AD35" t="n" s="18906">
        <v>0.0</v>
      </c>
      <c r="AE35" t="n" s="18907">
        <v>0.0</v>
      </c>
      <c r="AF35" t="n" s="18908">
        <v>0.0</v>
      </c>
      <c r="AG35" s="18909">
        <f>IF(HLOOKUP("BC",A1:CV300,35,FALSE)=0,0,HLOOKUP("Gs - BC",A1:CV300,35,FALSE)/HLOOKUP("BC",A1:CV300,35,FALSE))</f>
      </c>
      <c r="AH35" s="18910">
        <f>HLOOKUP("BC",A1:CV300,35,FALSE) - HLOOKUP("BC Miss",A1:CV300,35,FALSE)</f>
      </c>
      <c r="AI35" s="18911">
        <f>IF(HLOOKUP("Gs",A1:CV300,35,FALSE)=0,0,HLOOKUP("Gs - BC",A1:CV300,35,FALSE)/HLOOKUP("Gs",A1:CV300,35,FALSE))</f>
      </c>
      <c r="AJ35" t="n" s="18912">
        <v>0.0</v>
      </c>
      <c r="AK35" t="n" s="18913">
        <v>0.0</v>
      </c>
      <c r="AL35" s="18914">
        <f>HLOOKUP("BC",A1:CV300,35,FALSE) - (HLOOKUP("PK Gs",A1:CV300,35,FALSE) + HLOOKUP("PK Miss",A1:CV300,35,FALSE))</f>
      </c>
      <c r="AM35" s="18915">
        <f>HLOOKUP("BC Miss",A1:CV300,35,FALSE) - HLOOKUP("PK Miss",A1:CV300,35,FALSE)</f>
      </c>
      <c r="AN35" s="18916">
        <f>IF(HLOOKUP("BC - Open",A1:CV300,35,FALSE)=0,0,HLOOKUP("BC - Open Miss",A1:CV300,35,FALSE)/HLOOKUP("BC - Open",A1:CV300,35,FALSE))</f>
      </c>
      <c r="AO35" t="n" s="18917">
        <v>0.0</v>
      </c>
      <c r="AP35" s="18918">
        <f>IF(HLOOKUP("Gs",A1:CV300,35,FALSE)=0,0,HLOOKUP("GIB",A1:CV300,35,FALSE)/HLOOKUP("Gs",A1:CV300,35,FALSE))</f>
      </c>
      <c r="AQ35" t="n" s="18919">
        <v>0.0</v>
      </c>
      <c r="AR35" s="18920">
        <f>IF(HLOOKUP("Gs",A1:CV300,35,FALSE)=0,0,HLOOKUP("Gs - Open",A1:CV300,35,FALSE)/HLOOKUP("Gs",A1:CV300,35,FALSE))</f>
      </c>
      <c r="AS35" t="n" s="18921">
        <v>0.38</v>
      </c>
      <c r="AT35" t="n" s="18922">
        <v>2.09</v>
      </c>
      <c r="AU35" s="18923">
        <f>IF(HLOOKUP("Mins",A1:CV300,35,FALSE)=0,0,HLOOKUP("Pts",A1:CV300,35,FALSE)/HLOOKUP("Mins",A1:CV300,35,FALSE)* 90)</f>
      </c>
      <c r="AV35" s="18924">
        <f>IF(HLOOKUP("Apps",A1:CV300,35,FALSE)=0,0,HLOOKUP("Pts",A1:CV300,35,FALSE)/HLOOKUP("Apps",A1:CV300,35,FALSE)* 1)</f>
      </c>
      <c r="AW35" s="18925">
        <f>IF(HLOOKUP("Mins",A1:CV300,35,FALSE)=0,0,HLOOKUP("Gs",A1:CV300,35,FALSE)/HLOOKUP("Mins",A1:CV300,35,FALSE)* 90)</f>
      </c>
      <c r="AX35" s="18926">
        <f>IF(HLOOKUP("Mins",A1:CV300,35,FALSE)=0,0,HLOOKUP("Bonus",A1:CV300,35,FALSE)/HLOOKUP("Mins",A1:CV300,35,FALSE)* 90)</f>
      </c>
      <c r="AY35" s="18927">
        <f>IF(HLOOKUP("Mins",A1:CV300,35,FALSE)=0,0,HLOOKUP("BPS",A1:CV300,35,FALSE)/HLOOKUP("Mins",A1:CV300,35,FALSE)* 90)</f>
      </c>
      <c r="AZ35" s="18928">
        <f>IF(HLOOKUP("Mins",A1:CV300,35,FALSE)=0,0,HLOOKUP("Base BPS",A1:CV300,35,FALSE)/HLOOKUP("Mins",A1:CV300,35,FALSE)* 90)</f>
      </c>
      <c r="BA35" s="18929">
        <f>IF(HLOOKUP("Mins",A1:CV300,35,FALSE)=0,0,HLOOKUP("PenTchs",A1:CV300,35,FALSE)/HLOOKUP("Mins",A1:CV300,35,FALSE)* 90)</f>
      </c>
      <c r="BB35" s="18930">
        <f>IF(HLOOKUP("Mins",A1:CV300,35,FALSE)=0,0,HLOOKUP("Shots",A1:CV300,35,FALSE)/HLOOKUP("Mins",A1:CV300,35,FALSE)* 90)</f>
      </c>
      <c r="BC35" s="18931">
        <f>IF(HLOOKUP("Mins",A1:CV300,35,FALSE)=0,0,HLOOKUP("SIB",A1:CV300,35,FALSE)/HLOOKUP("Mins",A1:CV300,35,FALSE)* 90)</f>
      </c>
      <c r="BD35" s="18932">
        <f>IF(HLOOKUP("Mins",A1:CV300,35,FALSE)=0,0,HLOOKUP("S6YD",A1:CV300,35,FALSE)/HLOOKUP("Mins",A1:CV300,35,FALSE)* 90)</f>
      </c>
      <c r="BE35" s="18933">
        <f>IF(HLOOKUP("Mins",A1:CV300,35,FALSE)=0,0,HLOOKUP("Headers",A1:CV300,35,FALSE)/HLOOKUP("Mins",A1:CV300,35,FALSE)* 90)</f>
      </c>
      <c r="BF35" s="18934">
        <f>IF(HLOOKUP("Mins",A1:CV300,35,FALSE)=0,0,HLOOKUP("SOT",A1:CV300,35,FALSE)/HLOOKUP("Mins",A1:CV300,35,FALSE)* 90)</f>
      </c>
      <c r="BG35" s="18935">
        <f>IF(HLOOKUP("Mins",A1:CV300,35,FALSE)=0,0,HLOOKUP("As",A1:CV300,35,FALSE)/HLOOKUP("Mins",A1:CV300,35,FALSE)* 90)</f>
      </c>
      <c r="BH35" s="18936">
        <f>IF(HLOOKUP("Mins",A1:CV300,35,FALSE)=0,0,HLOOKUP("FPL As",A1:CV300,35,FALSE)/HLOOKUP("Mins",A1:CV300,35,FALSE)* 90)</f>
      </c>
      <c r="BI35" s="18937">
        <f>IF(HLOOKUP("Mins",A1:CV300,35,FALSE)=0,0,HLOOKUP("BC Created",A1:CV300,35,FALSE)/HLOOKUP("Mins",A1:CV300,35,FALSE)* 90)</f>
      </c>
      <c r="BJ35" s="18938">
        <f>IF(HLOOKUP("Mins",A1:CV300,35,FALSE)=0,0,HLOOKUP("KP",A1:CV300,35,FALSE)/HLOOKUP("Mins",A1:CV300,35,FALSE)* 90)</f>
      </c>
      <c r="BK35" s="18939">
        <f>IF(HLOOKUP("Mins",A1:CV300,35,FALSE)=0,0,HLOOKUP("BC",A1:CV300,35,FALSE)/HLOOKUP("Mins",A1:CV300,35,FALSE)* 90)</f>
      </c>
      <c r="BL35" s="18940">
        <f>IF(HLOOKUP("Mins",A1:CV300,35,FALSE)=0,0,HLOOKUP("BC Miss",A1:CV300,35,FALSE)/HLOOKUP("Mins",A1:CV300,35,FALSE)* 90)</f>
      </c>
      <c r="BM35" s="18941">
        <f>IF(HLOOKUP("Mins",A1:CV300,35,FALSE)=0,0,HLOOKUP("Gs - BC",A1:CV300,35,FALSE)/HLOOKUP("Mins",A1:CV300,35,FALSE)* 90)</f>
      </c>
      <c r="BN35" s="18942">
        <f>IF(HLOOKUP("Mins",A1:CV300,35,FALSE)=0,0,HLOOKUP("GIB",A1:CV300,35,FALSE)/HLOOKUP("Mins",A1:CV300,35,FALSE)* 90)</f>
      </c>
      <c r="BO35" s="18943">
        <f>IF(HLOOKUP("Mins",A1:CV300,35,FALSE)=0,0,HLOOKUP("Gs - Open",A1:CV300,35,FALSE)/HLOOKUP("Mins",A1:CV300,35,FALSE)* 90)</f>
      </c>
      <c r="BP35" s="18944">
        <f>IF(HLOOKUP("Mins",A1:CV300,35,FALSE)=0,0,HLOOKUP("ICT Index",A1:CV300,35,FALSE)/HLOOKUP("Mins",A1:CV300,35,FALSE)* 90)</f>
      </c>
      <c r="BQ35" s="18945">
        <f>IF(HLOOKUP("Mins",A1:CV300,35,FALSE)=0,0,(0.036*(HLOOKUP("Shots",A1:CV300,35,FALSE)-HLOOKUP("SIB",A1:CV300,35,FALSE))+0.142*(HLOOKUP("SIB",A1:CV300,35,FALSE)-(HLOOKUP("PK Gs",A1:CV300,35,FALSE)+HLOOKUP("PK Miss",A1:CV300,35,FALSE)))+0.75*(HLOOKUP("PK Gs",A1:CV300,35,FALSE)+HLOOKUP("PK Miss",A1:CV300,35,FALSE)))/HLOOKUP("Mins",A1:CV300,35,FALSE)*90)</f>
      </c>
      <c r="BR35" s="18946">
        <f>0.0885*HLOOKUP("KP/90",A1:CV300,35,FALSE)</f>
      </c>
      <c r="BS35" s="18947">
        <f>5*HLOOKUP("xG/90",A1:CV300,35,FALSE)+3*HLOOKUP("xA/90",A1:CV300,35,FALSE)</f>
      </c>
      <c r="BT35" s="18948">
        <f>HLOOKUP("xPts/90",A1:CV300,35,FALSE)-(5*0.75*(HLOOKUP("PK Gs",A1:CV300,35,FALSE)+HLOOKUP("PK Miss",A1:CV300,35,FALSE))*90/HLOOKUP("Mins",A1:CV300,35,FALSE))</f>
      </c>
      <c r="BU35" s="18949">
        <f>IF(HLOOKUP("Mins",A1:CV300,35,FALSE)=0,0,HLOOKUP("fsXG",A1:CV300,35,FALSE)/HLOOKUP("Mins",A1:CV300,35,FALSE)* 90)</f>
      </c>
      <c r="BV35" s="18950">
        <f>IF(HLOOKUP("Mins",A1:CV300,35,FALSE)=0,0,HLOOKUP("fsXA",A1:CV300,35,FALSE)/HLOOKUP("Mins",A1:CV300,35,FALSE)* 90)</f>
      </c>
      <c r="BW35" s="18951">
        <f>5*HLOOKUP("fsXG/90",A1:CV300,35,FALSE)+3*HLOOKUP("fsXA/90",A1:CV300,35,FALSE)</f>
      </c>
      <c r="BX35" t="n" s="18952">
        <v>0.251193642616272</v>
      </c>
      <c r="BY35" t="n" s="18953">
        <v>0.2734581530094147</v>
      </c>
      <c r="BZ35" s="18954">
        <f>5*HLOOKUP("uXG/90",A1:CV300,35,FALSE)+3*HLOOKUP("uXA/90",A1:CV300,35,FALSE)</f>
      </c>
    </row>
    <row r="36">
      <c r="A36" t="s" s="18955">
        <v>339</v>
      </c>
      <c r="B36" t="s" s="18956">
        <v>85</v>
      </c>
    </row>
    <row r="37">
      <c r="A37" t="s" s="18957">
        <v>340</v>
      </c>
      <c r="B37" t="s" s="18958">
        <v>114</v>
      </c>
      <c r="C37" t="n" s="18959">
        <v>6.199999809265137</v>
      </c>
      <c r="D37" t="n" s="18960">
        <v>354.0</v>
      </c>
      <c r="E37" t="n" s="18961">
        <v>6.0</v>
      </c>
      <c r="F37" t="n" s="18962">
        <v>45.0</v>
      </c>
      <c r="G37" t="n" s="18963">
        <v>0.0</v>
      </c>
      <c r="H37" t="n" s="18964">
        <v>3.0</v>
      </c>
      <c r="I37" t="n" s="18965">
        <v>221.0</v>
      </c>
      <c r="J37" s="18966">
        <f>HLOOKUP("BPS",A1:CV300,37,FALSE)-((-6*HLOOKUP("OG",A1:CV300,37,FALSE))+(-6*HLOOKUP("PK Miss",A1:CV300,37,FALSE))+(9*HLOOKUP("FPL As",A1:CV300,37,FALSE))+(0*HLOOKUP("CS",A1:CV300,37,FALSE))+(18*HLOOKUP("Gs",A1:CV300,37,FALSE)))</f>
      </c>
      <c r="K37" t="n" s="18967">
        <v>0.0</v>
      </c>
      <c r="L37" t="n" s="18968">
        <v>2.0</v>
      </c>
      <c r="M37" t="n" s="18969">
        <v>5.0</v>
      </c>
      <c r="N37" t="n" s="18970">
        <v>4.0</v>
      </c>
      <c r="O37" t="n" s="18971">
        <v>3.0</v>
      </c>
      <c r="P37" s="18972">
        <f>IF(HLOOKUP("Shots",A1:CV300,37,FALSE)=0,0,HLOOKUP("SIB",A1:CV300,37,FALSE)/HLOOKUP("Shots",A1:CV300,37,FALSE))</f>
      </c>
      <c r="Q37" t="n" s="18973">
        <v>1.0</v>
      </c>
      <c r="R37" s="18974">
        <f>IF(HLOOKUP("Shots",A1:CV300,37,FALSE)=0,0,HLOOKUP("S6YD",A1:CV300,37,FALSE)/HLOOKUP("Shots",A1:CV300,37,FALSE))</f>
      </c>
      <c r="S37" t="n" s="18975">
        <v>1.0</v>
      </c>
      <c r="T37" s="18976">
        <f>IF(HLOOKUP("Shots",A1:CV300,37,FALSE)=0,0,HLOOKUP("Headers",A1:CV300,37,FALSE)/HLOOKUP("Shots",A1:CV300,37,FALSE))</f>
      </c>
      <c r="U37" t="n" s="18977">
        <v>4.0</v>
      </c>
      <c r="V37" s="18978">
        <f>IF(HLOOKUP("Shots",A1:CV300,37,FALSE)=0,0,HLOOKUP("SOT",A1:CV300,37,FALSE)/HLOOKUP("Shots",A1:CV300,37,FALSE))</f>
      </c>
      <c r="W37" s="18979">
        <f>IF(HLOOKUP("Shots",A1:CV300,37,FALSE)=0,0,HLOOKUP("Gs",A1:CV300,37,FALSE)/HLOOKUP("Shots",A1:CV300,37,FALSE))</f>
      </c>
      <c r="X37" t="n" s="18980">
        <v>0.0</v>
      </c>
      <c r="Y37" t="n" s="18981">
        <v>3.0</v>
      </c>
      <c r="Z37" t="n" s="18982">
        <v>2.0</v>
      </c>
      <c r="AA37" s="18983">
        <f>IF(HLOOKUP("KP",A1:CV300,37,FALSE)=0,0,HLOOKUP("As",A1:CV300,37,FALSE)/HLOOKUP("KP",A1:CV300,37,FALSE))</f>
      </c>
      <c r="AB37" s="18984"/>
      <c r="AC37" t="n" s="18985">
        <v>0.0</v>
      </c>
      <c r="AD37" t="n" s="18986">
        <v>0.0</v>
      </c>
      <c r="AE37" t="n" s="18987">
        <v>1.0</v>
      </c>
      <c r="AF37" t="n" s="18988">
        <v>1.0</v>
      </c>
      <c r="AG37" s="18989">
        <f>IF(HLOOKUP("BC",A1:CV300,37,FALSE)=0,0,HLOOKUP("Gs - BC",A1:CV300,37,FALSE)/HLOOKUP("BC",A1:CV300,37,FALSE))</f>
      </c>
      <c r="AH37" s="18990">
        <f>HLOOKUP("BC",A1:CV300,37,FALSE) - HLOOKUP("BC Miss",A1:CV300,37,FALSE)</f>
      </c>
      <c r="AI37" s="18991">
        <f>IF(HLOOKUP("Gs",A1:CV300,37,FALSE)=0,0,HLOOKUP("Gs - BC",A1:CV300,37,FALSE)/HLOOKUP("Gs",A1:CV300,37,FALSE))</f>
      </c>
      <c r="AJ37" t="n" s="18992">
        <v>0.0</v>
      </c>
      <c r="AK37" t="n" s="18993">
        <v>0.0</v>
      </c>
      <c r="AL37" s="18994">
        <f>HLOOKUP("BC",A1:CV300,37,FALSE) - (HLOOKUP("PK Gs",A1:CV300,37,FALSE) + HLOOKUP("PK Miss",A1:CV300,37,FALSE))</f>
      </c>
      <c r="AM37" s="18995">
        <f>HLOOKUP("BC Miss",A1:CV300,37,FALSE) - HLOOKUP("PK Miss",A1:CV300,37,FALSE)</f>
      </c>
      <c r="AN37" s="18996">
        <f>IF(HLOOKUP("BC - Open",A1:CV300,37,FALSE)=0,0,HLOOKUP("BC - Open Miss",A1:CV300,37,FALSE)/HLOOKUP("BC - Open",A1:CV300,37,FALSE))</f>
      </c>
      <c r="AO37" t="n" s="18997">
        <v>0.0</v>
      </c>
      <c r="AP37" s="18998">
        <f>IF(HLOOKUP("Gs",A1:CV300,37,FALSE)=0,0,HLOOKUP("GIB",A1:CV300,37,FALSE)/HLOOKUP("Gs",A1:CV300,37,FALSE))</f>
      </c>
      <c r="AQ37" t="n" s="18999">
        <v>0.0</v>
      </c>
      <c r="AR37" s="19000">
        <f>IF(HLOOKUP("Gs",A1:CV300,37,FALSE)=0,0,HLOOKUP("Gs - Open",A1:CV300,37,FALSE)/HLOOKUP("Gs",A1:CV300,37,FALSE))</f>
      </c>
      <c r="AS37" t="n" s="19001">
        <v>0.58</v>
      </c>
      <c r="AT37" t="n" s="19002">
        <v>0.15</v>
      </c>
      <c r="AU37" s="19003">
        <f>IF(HLOOKUP("Mins",A1:CV300,37,FALSE)=0,0,HLOOKUP("Pts",A1:CV300,37,FALSE)/HLOOKUP("Mins",A1:CV300,37,FALSE)* 90)</f>
      </c>
      <c r="AV37" s="19004">
        <f>IF(HLOOKUP("Apps",A1:CV300,37,FALSE)=0,0,HLOOKUP("Pts",A1:CV300,37,FALSE)/HLOOKUP("Apps",A1:CV300,37,FALSE)* 1)</f>
      </c>
      <c r="AW37" s="19005">
        <f>IF(HLOOKUP("Mins",A1:CV300,37,FALSE)=0,0,HLOOKUP("Gs",A1:CV300,37,FALSE)/HLOOKUP("Mins",A1:CV300,37,FALSE)* 90)</f>
      </c>
      <c r="AX37" s="19006">
        <f>IF(HLOOKUP("Mins",A1:CV300,37,FALSE)=0,0,HLOOKUP("Bonus",A1:CV300,37,FALSE)/HLOOKUP("Mins",A1:CV300,37,FALSE)* 90)</f>
      </c>
      <c r="AY37" s="19007">
        <f>IF(HLOOKUP("Mins",A1:CV300,37,FALSE)=0,0,HLOOKUP("BPS",A1:CV300,37,FALSE)/HLOOKUP("Mins",A1:CV300,37,FALSE)* 90)</f>
      </c>
      <c r="AZ37" s="19008">
        <f>IF(HLOOKUP("Mins",A1:CV300,37,FALSE)=0,0,HLOOKUP("Base BPS",A1:CV300,37,FALSE)/HLOOKUP("Mins",A1:CV300,37,FALSE)* 90)</f>
      </c>
      <c r="BA37" s="19009">
        <f>IF(HLOOKUP("Mins",A1:CV300,37,FALSE)=0,0,HLOOKUP("PenTchs",A1:CV300,37,FALSE)/HLOOKUP("Mins",A1:CV300,37,FALSE)* 90)</f>
      </c>
      <c r="BB37" s="19010">
        <f>IF(HLOOKUP("Mins",A1:CV300,37,FALSE)=0,0,HLOOKUP("Shots",A1:CV300,37,FALSE)/HLOOKUP("Mins",A1:CV300,37,FALSE)* 90)</f>
      </c>
      <c r="BC37" s="19011">
        <f>IF(HLOOKUP("Mins",A1:CV300,37,FALSE)=0,0,HLOOKUP("SIB",A1:CV300,37,FALSE)/HLOOKUP("Mins",A1:CV300,37,FALSE)* 90)</f>
      </c>
      <c r="BD37" s="19012">
        <f>IF(HLOOKUP("Mins",A1:CV300,37,FALSE)=0,0,HLOOKUP("S6YD",A1:CV300,37,FALSE)/HLOOKUP("Mins",A1:CV300,37,FALSE)* 90)</f>
      </c>
      <c r="BE37" s="19013">
        <f>IF(HLOOKUP("Mins",A1:CV300,37,FALSE)=0,0,HLOOKUP("Headers",A1:CV300,37,FALSE)/HLOOKUP("Mins",A1:CV300,37,FALSE)* 90)</f>
      </c>
      <c r="BF37" s="19014">
        <f>IF(HLOOKUP("Mins",A1:CV300,37,FALSE)=0,0,HLOOKUP("SOT",A1:CV300,37,FALSE)/HLOOKUP("Mins",A1:CV300,37,FALSE)* 90)</f>
      </c>
      <c r="BG37" s="19015">
        <f>IF(HLOOKUP("Mins",A1:CV300,37,FALSE)=0,0,HLOOKUP("As",A1:CV300,37,FALSE)/HLOOKUP("Mins",A1:CV300,37,FALSE)* 90)</f>
      </c>
      <c r="BH37" s="19016">
        <f>IF(HLOOKUP("Mins",A1:CV300,37,FALSE)=0,0,HLOOKUP("FPL As",A1:CV300,37,FALSE)/HLOOKUP("Mins",A1:CV300,37,FALSE)* 90)</f>
      </c>
      <c r="BI37" s="19017">
        <f>IF(HLOOKUP("Mins",A1:CV300,37,FALSE)=0,0,HLOOKUP("BC Created",A1:CV300,37,FALSE)/HLOOKUP("Mins",A1:CV300,37,FALSE)* 90)</f>
      </c>
      <c r="BJ37" s="19018">
        <f>IF(HLOOKUP("Mins",A1:CV300,37,FALSE)=0,0,HLOOKUP("KP",A1:CV300,37,FALSE)/HLOOKUP("Mins",A1:CV300,37,FALSE)* 90)</f>
      </c>
      <c r="BK37" s="19019">
        <f>IF(HLOOKUP("Mins",A1:CV300,37,FALSE)=0,0,HLOOKUP("BC",A1:CV300,37,FALSE)/HLOOKUP("Mins",A1:CV300,37,FALSE)* 90)</f>
      </c>
      <c r="BL37" s="19020">
        <f>IF(HLOOKUP("Mins",A1:CV300,37,FALSE)=0,0,HLOOKUP("BC Miss",A1:CV300,37,FALSE)/HLOOKUP("Mins",A1:CV300,37,FALSE)* 90)</f>
      </c>
      <c r="BM37" s="19021">
        <f>IF(HLOOKUP("Mins",A1:CV300,37,FALSE)=0,0,HLOOKUP("Gs - BC",A1:CV300,37,FALSE)/HLOOKUP("Mins",A1:CV300,37,FALSE)* 90)</f>
      </c>
      <c r="BN37" s="19022">
        <f>IF(HLOOKUP("Mins",A1:CV300,37,FALSE)=0,0,HLOOKUP("GIB",A1:CV300,37,FALSE)/HLOOKUP("Mins",A1:CV300,37,FALSE)* 90)</f>
      </c>
      <c r="BO37" s="19023">
        <f>IF(HLOOKUP("Mins",A1:CV300,37,FALSE)=0,0,HLOOKUP("Gs - Open",A1:CV300,37,FALSE)/HLOOKUP("Mins",A1:CV300,37,FALSE)* 90)</f>
      </c>
      <c r="BP37" s="19024">
        <f>IF(HLOOKUP("Mins",A1:CV300,37,FALSE)=0,0,HLOOKUP("ICT Index",A1:CV300,37,FALSE)/HLOOKUP("Mins",A1:CV300,37,FALSE)* 90)</f>
      </c>
      <c r="BQ37" s="19025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</c>
      <c r="BR37" s="19026">
        <f>0.0885*HLOOKUP("KP/90",A1:CV300,37,FALSE)</f>
      </c>
      <c r="BS37" s="19027">
        <f>5*HLOOKUP("xG/90",A1:CV300,37,FALSE)+3*HLOOKUP("xA/90",A1:CV300,37,FALSE)</f>
      </c>
      <c r="BT37" s="19028">
        <f>HLOOKUP("xPts/90",A1:CV300,37,FALSE)-(5*0.75*(HLOOKUP("PK Gs",A1:CV300,37,FALSE)+HLOOKUP("PK Miss",A1:CV300,37,FALSE))*90/HLOOKUP("Mins",A1:CV300,37,FALSE))</f>
      </c>
      <c r="BU37" s="19029">
        <f>IF(HLOOKUP("Mins",A1:CV300,37,FALSE)=0,0,HLOOKUP("fsXG",A1:CV300,37,FALSE)/HLOOKUP("Mins",A1:CV300,37,FALSE)* 90)</f>
      </c>
      <c r="BV37" s="19030">
        <f>IF(HLOOKUP("Mins",A1:CV300,37,FALSE)=0,0,HLOOKUP("fsXA",A1:CV300,37,FALSE)/HLOOKUP("Mins",A1:CV300,37,FALSE)* 90)</f>
      </c>
      <c r="BW37" s="19031">
        <f>5*HLOOKUP("fsXG/90",A1:CV300,37,FALSE)+3*HLOOKUP("fsXA/90",A1:CV300,37,FALSE)</f>
      </c>
      <c r="BX37" t="n" s="19032">
        <v>0.18079593777656555</v>
      </c>
      <c r="BY37" t="n" s="19033">
        <v>0.04544723406434059</v>
      </c>
      <c r="BZ37" s="19034">
        <f>5*HLOOKUP("uXG/90",A1:CV300,37,FALSE)+3*HLOOKUP("uXA/90",A1:CV300,37,FALSE)</f>
      </c>
    </row>
    <row r="38">
      <c r="A38" t="s" s="19035">
        <v>341</v>
      </c>
      <c r="B38" t="s" s="19036">
        <v>92</v>
      </c>
      <c r="C38" t="n" s="19037">
        <v>5.900000095367432</v>
      </c>
      <c r="D38" t="n" s="19038">
        <v>51.0</v>
      </c>
      <c r="E38" t="n" s="19039">
        <v>2.0</v>
      </c>
      <c r="F38" t="n" s="19040">
        <v>4.0</v>
      </c>
      <c r="G38" t="n" s="19041">
        <v>0.0</v>
      </c>
      <c r="H38" t="n" s="19042">
        <v>0.0</v>
      </c>
      <c r="I38" t="n" s="19043">
        <v>17.0</v>
      </c>
      <c r="J38" s="19044">
        <f>HLOOKUP("BPS",A1:CV300,38,FALSE)-((-6*HLOOKUP("OG",A1:CV300,38,FALSE))+(-6*HLOOKUP("PK Miss",A1:CV300,38,FALSE))+(9*HLOOKUP("FPL As",A1:CV300,38,FALSE))+(0*HLOOKUP("CS",A1:CV300,38,FALSE))+(18*HLOOKUP("Gs",A1:CV300,38,FALSE)))</f>
      </c>
      <c r="K38" t="n" s="19045">
        <v>0.0</v>
      </c>
      <c r="L38" t="n" s="19046">
        <v>0.0</v>
      </c>
      <c r="M38" t="n" s="19047">
        <v>0.0</v>
      </c>
      <c r="N38" t="n" s="19048">
        <v>0.0</v>
      </c>
      <c r="O38" t="n" s="19049">
        <v>0.0</v>
      </c>
      <c r="P38" s="19050">
        <f>IF(HLOOKUP("Shots",A1:CV300,38,FALSE)=0,0,HLOOKUP("SIB",A1:CV300,38,FALSE)/HLOOKUP("Shots",A1:CV300,38,FALSE))</f>
      </c>
      <c r="Q38" t="n" s="19051">
        <v>0.0</v>
      </c>
      <c r="R38" s="19052">
        <f>IF(HLOOKUP("Shots",A1:CV300,38,FALSE)=0,0,HLOOKUP("S6YD",A1:CV300,38,FALSE)/HLOOKUP("Shots",A1:CV300,38,FALSE))</f>
      </c>
      <c r="S38" t="n" s="19053">
        <v>0.0</v>
      </c>
      <c r="T38" s="19054">
        <f>IF(HLOOKUP("Shots",A1:CV300,38,FALSE)=0,0,HLOOKUP("Headers",A1:CV300,38,FALSE)/HLOOKUP("Shots",A1:CV300,38,FALSE))</f>
      </c>
      <c r="U38" t="n" s="19055">
        <v>0.0</v>
      </c>
      <c r="V38" s="19056">
        <f>IF(HLOOKUP("Shots",A1:CV300,38,FALSE)=0,0,HLOOKUP("SOT",A1:CV300,38,FALSE)/HLOOKUP("Shots",A1:CV300,38,FALSE))</f>
      </c>
      <c r="W38" s="19057">
        <f>IF(HLOOKUP("Shots",A1:CV300,38,FALSE)=0,0,HLOOKUP("Gs",A1:CV300,38,FALSE)/HLOOKUP("Shots",A1:CV300,38,FALSE))</f>
      </c>
      <c r="X38" t="n" s="19058">
        <v>0.0</v>
      </c>
      <c r="Y38" t="n" s="19059">
        <v>0.0</v>
      </c>
      <c r="Z38" t="n" s="19060">
        <v>0.0</v>
      </c>
      <c r="AA38" s="19061">
        <f>IF(HLOOKUP("KP",A1:CV300,38,FALSE)=0,0,HLOOKUP("As",A1:CV300,38,FALSE)/HLOOKUP("KP",A1:CV300,38,FALSE))</f>
      </c>
      <c r="AB38" s="19062"/>
      <c r="AC38" t="n" s="19063">
        <v>0.0</v>
      </c>
      <c r="AD38" t="n" s="19064">
        <v>0.0</v>
      </c>
      <c r="AE38" t="n" s="19065">
        <v>0.0</v>
      </c>
      <c r="AF38" t="n" s="19066">
        <v>0.0</v>
      </c>
      <c r="AG38" s="19067">
        <f>IF(HLOOKUP("BC",A1:CV300,38,FALSE)=0,0,HLOOKUP("Gs - BC",A1:CV300,38,FALSE)/HLOOKUP("BC",A1:CV300,38,FALSE))</f>
      </c>
      <c r="AH38" s="19068">
        <f>HLOOKUP("BC",A1:CV300,38,FALSE) - HLOOKUP("BC Miss",A1:CV300,38,FALSE)</f>
      </c>
      <c r="AI38" s="19069">
        <f>IF(HLOOKUP("Gs",A1:CV300,38,FALSE)=0,0,HLOOKUP("Gs - BC",A1:CV300,38,FALSE)/HLOOKUP("Gs",A1:CV300,38,FALSE))</f>
      </c>
      <c r="AJ38" t="n" s="19070">
        <v>0.0</v>
      </c>
      <c r="AK38" t="n" s="19071">
        <v>0.0</v>
      </c>
      <c r="AL38" s="19072">
        <f>HLOOKUP("BC",A1:CV300,38,FALSE) - (HLOOKUP("PK Gs",A1:CV300,38,FALSE) + HLOOKUP("PK Miss",A1:CV300,38,FALSE))</f>
      </c>
      <c r="AM38" s="19073">
        <f>HLOOKUP("BC Miss",A1:CV300,38,FALSE) - HLOOKUP("PK Miss",A1:CV300,38,FALSE)</f>
      </c>
      <c r="AN38" s="19074">
        <f>IF(HLOOKUP("BC - Open",A1:CV300,38,FALSE)=0,0,HLOOKUP("BC - Open Miss",A1:CV300,38,FALSE)/HLOOKUP("BC - Open",A1:CV300,38,FALSE))</f>
      </c>
      <c r="AO38" t="n" s="19075">
        <v>0.0</v>
      </c>
      <c r="AP38" s="19076">
        <f>IF(HLOOKUP("Gs",A1:CV300,38,FALSE)=0,0,HLOOKUP("GIB",A1:CV300,38,FALSE)/HLOOKUP("Gs",A1:CV300,38,FALSE))</f>
      </c>
      <c r="AQ38" t="n" s="19077">
        <v>0.0</v>
      </c>
      <c r="AR38" s="19078">
        <f>IF(HLOOKUP("Gs",A1:CV300,38,FALSE)=0,0,HLOOKUP("Gs - Open",A1:CV300,38,FALSE)/HLOOKUP("Gs",A1:CV300,38,FALSE))</f>
      </c>
      <c r="AS38" t="n" s="19079">
        <v>0.0</v>
      </c>
      <c r="AT38" t="n" s="19080">
        <v>0.1</v>
      </c>
      <c r="AU38" s="19081">
        <f>IF(HLOOKUP("Mins",A1:CV300,38,FALSE)=0,0,HLOOKUP("Pts",A1:CV300,38,FALSE)/HLOOKUP("Mins",A1:CV300,38,FALSE)* 90)</f>
      </c>
      <c r="AV38" s="19082">
        <f>IF(HLOOKUP("Apps",A1:CV300,38,FALSE)=0,0,HLOOKUP("Pts",A1:CV300,38,FALSE)/HLOOKUP("Apps",A1:CV300,38,FALSE)* 1)</f>
      </c>
      <c r="AW38" s="19083">
        <f>IF(HLOOKUP("Mins",A1:CV300,38,FALSE)=0,0,HLOOKUP("Gs",A1:CV300,38,FALSE)/HLOOKUP("Mins",A1:CV300,38,FALSE)* 90)</f>
      </c>
      <c r="AX38" s="19084">
        <f>IF(HLOOKUP("Mins",A1:CV300,38,FALSE)=0,0,HLOOKUP("Bonus",A1:CV300,38,FALSE)/HLOOKUP("Mins",A1:CV300,38,FALSE)* 90)</f>
      </c>
      <c r="AY38" s="19085">
        <f>IF(HLOOKUP("Mins",A1:CV300,38,FALSE)=0,0,HLOOKUP("BPS",A1:CV300,38,FALSE)/HLOOKUP("Mins",A1:CV300,38,FALSE)* 90)</f>
      </c>
      <c r="AZ38" s="19086">
        <f>IF(HLOOKUP("Mins",A1:CV300,38,FALSE)=0,0,HLOOKUP("Base BPS",A1:CV300,38,FALSE)/HLOOKUP("Mins",A1:CV300,38,FALSE)* 90)</f>
      </c>
      <c r="BA38" s="19087">
        <f>IF(HLOOKUP("Mins",A1:CV300,38,FALSE)=0,0,HLOOKUP("PenTchs",A1:CV300,38,FALSE)/HLOOKUP("Mins",A1:CV300,38,FALSE)* 90)</f>
      </c>
      <c r="BB38" s="19088">
        <f>IF(HLOOKUP("Mins",A1:CV300,38,FALSE)=0,0,HLOOKUP("Shots",A1:CV300,38,FALSE)/HLOOKUP("Mins",A1:CV300,38,FALSE)* 90)</f>
      </c>
      <c r="BC38" s="19089">
        <f>IF(HLOOKUP("Mins",A1:CV300,38,FALSE)=0,0,HLOOKUP("SIB",A1:CV300,38,FALSE)/HLOOKUP("Mins",A1:CV300,38,FALSE)* 90)</f>
      </c>
      <c r="BD38" s="19090">
        <f>IF(HLOOKUP("Mins",A1:CV300,38,FALSE)=0,0,HLOOKUP("S6YD",A1:CV300,38,FALSE)/HLOOKUP("Mins",A1:CV300,38,FALSE)* 90)</f>
      </c>
      <c r="BE38" s="19091">
        <f>IF(HLOOKUP("Mins",A1:CV300,38,FALSE)=0,0,HLOOKUP("Headers",A1:CV300,38,FALSE)/HLOOKUP("Mins",A1:CV300,38,FALSE)* 90)</f>
      </c>
      <c r="BF38" s="19092">
        <f>IF(HLOOKUP("Mins",A1:CV300,38,FALSE)=0,0,HLOOKUP("SOT",A1:CV300,38,FALSE)/HLOOKUP("Mins",A1:CV300,38,FALSE)* 90)</f>
      </c>
      <c r="BG38" s="19093">
        <f>IF(HLOOKUP("Mins",A1:CV300,38,FALSE)=0,0,HLOOKUP("As",A1:CV300,38,FALSE)/HLOOKUP("Mins",A1:CV300,38,FALSE)* 90)</f>
      </c>
      <c r="BH38" s="19094">
        <f>IF(HLOOKUP("Mins",A1:CV300,38,FALSE)=0,0,HLOOKUP("FPL As",A1:CV300,38,FALSE)/HLOOKUP("Mins",A1:CV300,38,FALSE)* 90)</f>
      </c>
      <c r="BI38" s="19095">
        <f>IF(HLOOKUP("Mins",A1:CV300,38,FALSE)=0,0,HLOOKUP("BC Created",A1:CV300,38,FALSE)/HLOOKUP("Mins",A1:CV300,38,FALSE)* 90)</f>
      </c>
      <c r="BJ38" s="19096">
        <f>IF(HLOOKUP("Mins",A1:CV300,38,FALSE)=0,0,HLOOKUP("KP",A1:CV300,38,FALSE)/HLOOKUP("Mins",A1:CV300,38,FALSE)* 90)</f>
      </c>
      <c r="BK38" s="19097">
        <f>IF(HLOOKUP("Mins",A1:CV300,38,FALSE)=0,0,HLOOKUP("BC",A1:CV300,38,FALSE)/HLOOKUP("Mins",A1:CV300,38,FALSE)* 90)</f>
      </c>
      <c r="BL38" s="19098">
        <f>IF(HLOOKUP("Mins",A1:CV300,38,FALSE)=0,0,HLOOKUP("BC Miss",A1:CV300,38,FALSE)/HLOOKUP("Mins",A1:CV300,38,FALSE)* 90)</f>
      </c>
      <c r="BM38" s="19099">
        <f>IF(HLOOKUP("Mins",A1:CV300,38,FALSE)=0,0,HLOOKUP("Gs - BC",A1:CV300,38,FALSE)/HLOOKUP("Mins",A1:CV300,38,FALSE)* 90)</f>
      </c>
      <c r="BN38" s="19100">
        <f>IF(HLOOKUP("Mins",A1:CV300,38,FALSE)=0,0,HLOOKUP("GIB",A1:CV300,38,FALSE)/HLOOKUP("Mins",A1:CV300,38,FALSE)* 90)</f>
      </c>
      <c r="BO38" s="19101">
        <f>IF(HLOOKUP("Mins",A1:CV300,38,FALSE)=0,0,HLOOKUP("Gs - Open",A1:CV300,38,FALSE)/HLOOKUP("Mins",A1:CV300,38,FALSE)* 90)</f>
      </c>
      <c r="BP38" s="19102">
        <f>IF(HLOOKUP("Mins",A1:CV300,38,FALSE)=0,0,HLOOKUP("ICT Index",A1:CV300,38,FALSE)/HLOOKUP("Mins",A1:CV300,38,FALSE)* 90)</f>
      </c>
      <c r="BQ38" s="19103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</c>
      <c r="BR38" s="19104">
        <f>0.0885*HLOOKUP("KP/90",A1:CV300,38,FALSE)</f>
      </c>
      <c r="BS38" s="19105">
        <f>5*HLOOKUP("xG/90",A1:CV300,38,FALSE)+3*HLOOKUP("xA/90",A1:CV300,38,FALSE)</f>
      </c>
      <c r="BT38" s="19106">
        <f>HLOOKUP("xPts/90",A1:CV300,38,FALSE)-(5*0.75*(HLOOKUP("PK Gs",A1:CV300,38,FALSE)+HLOOKUP("PK Miss",A1:CV300,38,FALSE))*90/HLOOKUP("Mins",A1:CV300,38,FALSE))</f>
      </c>
      <c r="BU38" s="19107">
        <f>IF(HLOOKUP("Mins",A1:CV300,38,FALSE)=0,0,HLOOKUP("fsXG",A1:CV300,38,FALSE)/HLOOKUP("Mins",A1:CV300,38,FALSE)* 90)</f>
      </c>
      <c r="BV38" s="19108">
        <f>IF(HLOOKUP("Mins",A1:CV300,38,FALSE)=0,0,HLOOKUP("fsXA",A1:CV300,38,FALSE)/HLOOKUP("Mins",A1:CV300,38,FALSE)* 90)</f>
      </c>
      <c r="BW38" s="19109">
        <f>5*HLOOKUP("fsXG/90",A1:CV300,38,FALSE)+3*HLOOKUP("fsXA/90",A1:CV300,38,FALSE)</f>
      </c>
      <c r="BX38" t="n" s="19110">
        <v>0.0</v>
      </c>
      <c r="BY38" t="n" s="19111">
        <v>0.0</v>
      </c>
      <c r="BZ38" s="19112">
        <f>5*HLOOKUP("uXG/90",A1:CV300,38,FALSE)+3*HLOOKUP("uXA/90",A1:CV300,38,FALSE)</f>
      </c>
    </row>
    <row r="39">
      <c r="A39" t="s" s="19113">
        <v>342</v>
      </c>
      <c r="B39" t="s" s="19114">
        <v>149</v>
      </c>
      <c r="C39" t="n" s="19115">
        <v>6.099999904632568</v>
      </c>
      <c r="D39" t="n" s="19116">
        <v>420.0</v>
      </c>
      <c r="E39" t="n" s="19117">
        <v>6.0</v>
      </c>
      <c r="F39" t="n" s="19118">
        <v>101.0</v>
      </c>
      <c r="G39" t="n" s="19119">
        <v>0.0</v>
      </c>
      <c r="H39" t="n" s="19120">
        <v>8.0</v>
      </c>
      <c r="I39" t="n" s="19121">
        <v>371.0</v>
      </c>
      <c r="J39" s="19122">
        <f>HLOOKUP("BPS",A1:CV300,39,FALSE)-((-6*HLOOKUP("OG",A1:CV300,39,FALSE))+(-6*HLOOKUP("PK Miss",A1:CV300,39,FALSE))+(9*HLOOKUP("FPL As",A1:CV300,39,FALSE))+(0*HLOOKUP("CS",A1:CV300,39,FALSE))+(18*HLOOKUP("Gs",A1:CV300,39,FALSE)))</f>
      </c>
      <c r="K39" t="n" s="19123">
        <v>0.0</v>
      </c>
      <c r="L39" t="n" s="19124">
        <v>7.0</v>
      </c>
      <c r="M39" t="n" s="19125">
        <v>18.0</v>
      </c>
      <c r="N39" t="n" s="19126">
        <v>11.0</v>
      </c>
      <c r="O39" t="n" s="19127">
        <v>4.0</v>
      </c>
      <c r="P39" s="19128">
        <f>IF(HLOOKUP("Shots",A1:CV300,39,FALSE)=0,0,HLOOKUP("SIB",A1:CV300,39,FALSE)/HLOOKUP("Shots",A1:CV300,39,FALSE))</f>
      </c>
      <c r="Q39" t="n" s="19129">
        <v>0.0</v>
      </c>
      <c r="R39" s="19130">
        <f>IF(HLOOKUP("Shots",A1:CV300,39,FALSE)=0,0,HLOOKUP("S6YD",A1:CV300,39,FALSE)/HLOOKUP("Shots",A1:CV300,39,FALSE))</f>
      </c>
      <c r="S39" t="n" s="19131">
        <v>1.0</v>
      </c>
      <c r="T39" s="19132">
        <f>IF(HLOOKUP("Shots",A1:CV300,39,FALSE)=0,0,HLOOKUP("Headers",A1:CV300,39,FALSE)/HLOOKUP("Shots",A1:CV300,39,FALSE))</f>
      </c>
      <c r="U39" t="n" s="19133">
        <v>2.0</v>
      </c>
      <c r="V39" s="19134">
        <f>IF(HLOOKUP("Shots",A1:CV300,39,FALSE)=0,0,HLOOKUP("SOT",A1:CV300,39,FALSE)/HLOOKUP("Shots",A1:CV300,39,FALSE))</f>
      </c>
      <c r="W39" s="19135">
        <f>IF(HLOOKUP("Shots",A1:CV300,39,FALSE)=0,0,HLOOKUP("Gs",A1:CV300,39,FALSE)/HLOOKUP("Shots",A1:CV300,39,FALSE))</f>
      </c>
      <c r="X39" t="n" s="19136">
        <v>2.0</v>
      </c>
      <c r="Y39" t="n" s="19137">
        <v>5.0</v>
      </c>
      <c r="Z39" t="n" s="19138">
        <v>11.0</v>
      </c>
      <c r="AA39" s="19139">
        <f>IF(HLOOKUP("KP",A1:CV300,39,FALSE)=0,0,HLOOKUP("As",A1:CV300,39,FALSE)/HLOOKUP("KP",A1:CV300,39,FALSE))</f>
      </c>
      <c r="AB39" s="19140"/>
      <c r="AC39" t="n" s="19141">
        <v>29.0</v>
      </c>
      <c r="AD39" t="n" s="19142">
        <v>2.0</v>
      </c>
      <c r="AE39" t="n" s="19143">
        <v>1.0</v>
      </c>
      <c r="AF39" t="n" s="19144">
        <v>1.0</v>
      </c>
      <c r="AG39" s="19145">
        <f>IF(HLOOKUP("BC",A1:CV300,39,FALSE)=0,0,HLOOKUP("Gs - BC",A1:CV300,39,FALSE)/HLOOKUP("BC",A1:CV300,39,FALSE))</f>
      </c>
      <c r="AH39" s="19146">
        <f>HLOOKUP("BC",A1:CV300,39,FALSE) - HLOOKUP("BC Miss",A1:CV300,39,FALSE)</f>
      </c>
      <c r="AI39" s="19147">
        <f>IF(HLOOKUP("Gs",A1:CV300,39,FALSE)=0,0,HLOOKUP("Gs - BC",A1:CV300,39,FALSE)/HLOOKUP("Gs",A1:CV300,39,FALSE))</f>
      </c>
      <c r="AJ39" t="n" s="19148">
        <v>0.0</v>
      </c>
      <c r="AK39" t="n" s="19149">
        <v>0.0</v>
      </c>
      <c r="AL39" s="19150">
        <f>HLOOKUP("BC",A1:CV300,39,FALSE) - (HLOOKUP("PK Gs",A1:CV300,39,FALSE) + HLOOKUP("PK Miss",A1:CV300,39,FALSE))</f>
      </c>
      <c r="AM39" s="19151">
        <f>HLOOKUP("BC Miss",A1:CV300,39,FALSE) - HLOOKUP("PK Miss",A1:CV300,39,FALSE)</f>
      </c>
      <c r="AN39" s="19152">
        <f>IF(HLOOKUP("BC - Open",A1:CV300,39,FALSE)=0,0,HLOOKUP("BC - Open Miss",A1:CV300,39,FALSE)/HLOOKUP("BC - Open",A1:CV300,39,FALSE))</f>
      </c>
      <c r="AO39" t="n" s="19153">
        <v>0.0</v>
      </c>
      <c r="AP39" s="19154">
        <f>IF(HLOOKUP("Gs",A1:CV300,39,FALSE)=0,0,HLOOKUP("GIB",A1:CV300,39,FALSE)/HLOOKUP("Gs",A1:CV300,39,FALSE))</f>
      </c>
      <c r="AQ39" t="n" s="19155">
        <v>0.0</v>
      </c>
      <c r="AR39" s="19156">
        <f>IF(HLOOKUP("Gs",A1:CV300,39,FALSE)=0,0,HLOOKUP("Gs - Open",A1:CV300,39,FALSE)/HLOOKUP("Gs",A1:CV300,39,FALSE))</f>
      </c>
      <c r="AS39" t="n" s="19157">
        <v>0.82</v>
      </c>
      <c r="AT39" t="n" s="19158">
        <v>1.27</v>
      </c>
      <c r="AU39" s="19159">
        <f>IF(HLOOKUP("Mins",A1:CV300,39,FALSE)=0,0,HLOOKUP("Pts",A1:CV300,39,FALSE)/HLOOKUP("Mins",A1:CV300,39,FALSE)* 90)</f>
      </c>
      <c r="AV39" s="19160">
        <f>IF(HLOOKUP("Apps",A1:CV300,39,FALSE)=0,0,HLOOKUP("Pts",A1:CV300,39,FALSE)/HLOOKUP("Apps",A1:CV300,39,FALSE)* 1)</f>
      </c>
      <c r="AW39" s="19161">
        <f>IF(HLOOKUP("Mins",A1:CV300,39,FALSE)=0,0,HLOOKUP("Gs",A1:CV300,39,FALSE)/HLOOKUP("Mins",A1:CV300,39,FALSE)* 90)</f>
      </c>
      <c r="AX39" s="19162">
        <f>IF(HLOOKUP("Mins",A1:CV300,39,FALSE)=0,0,HLOOKUP("Bonus",A1:CV300,39,FALSE)/HLOOKUP("Mins",A1:CV300,39,FALSE)* 90)</f>
      </c>
      <c r="AY39" s="19163">
        <f>IF(HLOOKUP("Mins",A1:CV300,39,FALSE)=0,0,HLOOKUP("BPS",A1:CV300,39,FALSE)/HLOOKUP("Mins",A1:CV300,39,FALSE)* 90)</f>
      </c>
      <c r="AZ39" s="19164">
        <f>IF(HLOOKUP("Mins",A1:CV300,39,FALSE)=0,0,HLOOKUP("Base BPS",A1:CV300,39,FALSE)/HLOOKUP("Mins",A1:CV300,39,FALSE)* 90)</f>
      </c>
      <c r="BA39" s="19165">
        <f>IF(HLOOKUP("Mins",A1:CV300,39,FALSE)=0,0,HLOOKUP("PenTchs",A1:CV300,39,FALSE)/HLOOKUP("Mins",A1:CV300,39,FALSE)* 90)</f>
      </c>
      <c r="BB39" s="19166">
        <f>IF(HLOOKUP("Mins",A1:CV300,39,FALSE)=0,0,HLOOKUP("Shots",A1:CV300,39,FALSE)/HLOOKUP("Mins",A1:CV300,39,FALSE)* 90)</f>
      </c>
      <c r="BC39" s="19167">
        <f>IF(HLOOKUP("Mins",A1:CV300,39,FALSE)=0,0,HLOOKUP("SIB",A1:CV300,39,FALSE)/HLOOKUP("Mins",A1:CV300,39,FALSE)* 90)</f>
      </c>
      <c r="BD39" s="19168">
        <f>IF(HLOOKUP("Mins",A1:CV300,39,FALSE)=0,0,HLOOKUP("S6YD",A1:CV300,39,FALSE)/HLOOKUP("Mins",A1:CV300,39,FALSE)* 90)</f>
      </c>
      <c r="BE39" s="19169">
        <f>IF(HLOOKUP("Mins",A1:CV300,39,FALSE)=0,0,HLOOKUP("Headers",A1:CV300,39,FALSE)/HLOOKUP("Mins",A1:CV300,39,FALSE)* 90)</f>
      </c>
      <c r="BF39" s="19170">
        <f>IF(HLOOKUP("Mins",A1:CV300,39,FALSE)=0,0,HLOOKUP("SOT",A1:CV300,39,FALSE)/HLOOKUP("Mins",A1:CV300,39,FALSE)* 90)</f>
      </c>
      <c r="BG39" s="19171">
        <f>IF(HLOOKUP("Mins",A1:CV300,39,FALSE)=0,0,HLOOKUP("As",A1:CV300,39,FALSE)/HLOOKUP("Mins",A1:CV300,39,FALSE)* 90)</f>
      </c>
      <c r="BH39" s="19172">
        <f>IF(HLOOKUP("Mins",A1:CV300,39,FALSE)=0,0,HLOOKUP("FPL As",A1:CV300,39,FALSE)/HLOOKUP("Mins",A1:CV300,39,FALSE)* 90)</f>
      </c>
      <c r="BI39" s="19173">
        <f>IF(HLOOKUP("Mins",A1:CV300,39,FALSE)=0,0,HLOOKUP("BC Created",A1:CV300,39,FALSE)/HLOOKUP("Mins",A1:CV300,39,FALSE)* 90)</f>
      </c>
      <c r="BJ39" s="19174">
        <f>IF(HLOOKUP("Mins",A1:CV300,39,FALSE)=0,0,HLOOKUP("KP",A1:CV300,39,FALSE)/HLOOKUP("Mins",A1:CV300,39,FALSE)* 90)</f>
      </c>
      <c r="BK39" s="19175">
        <f>IF(HLOOKUP("Mins",A1:CV300,39,FALSE)=0,0,HLOOKUP("BC",A1:CV300,39,FALSE)/HLOOKUP("Mins",A1:CV300,39,FALSE)* 90)</f>
      </c>
      <c r="BL39" s="19176">
        <f>IF(HLOOKUP("Mins",A1:CV300,39,FALSE)=0,0,HLOOKUP("BC Miss",A1:CV300,39,FALSE)/HLOOKUP("Mins",A1:CV300,39,FALSE)* 90)</f>
      </c>
      <c r="BM39" s="19177">
        <f>IF(HLOOKUP("Mins",A1:CV300,39,FALSE)=0,0,HLOOKUP("Gs - BC",A1:CV300,39,FALSE)/HLOOKUP("Mins",A1:CV300,39,FALSE)* 90)</f>
      </c>
      <c r="BN39" s="19178">
        <f>IF(HLOOKUP("Mins",A1:CV300,39,FALSE)=0,0,HLOOKUP("GIB",A1:CV300,39,FALSE)/HLOOKUP("Mins",A1:CV300,39,FALSE)* 90)</f>
      </c>
      <c r="BO39" s="19179">
        <f>IF(HLOOKUP("Mins",A1:CV300,39,FALSE)=0,0,HLOOKUP("Gs - Open",A1:CV300,39,FALSE)/HLOOKUP("Mins",A1:CV300,39,FALSE)* 90)</f>
      </c>
      <c r="BP39" s="19180">
        <f>IF(HLOOKUP("Mins",A1:CV300,39,FALSE)=0,0,HLOOKUP("ICT Index",A1:CV300,39,FALSE)/HLOOKUP("Mins",A1:CV300,39,FALSE)* 90)</f>
      </c>
      <c r="BQ39" s="19181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</c>
      <c r="BR39" s="19182">
        <f>0.0885*HLOOKUP("KP/90",A1:CV300,39,FALSE)</f>
      </c>
      <c r="BS39" s="19183">
        <f>5*HLOOKUP("xG/90",A1:CV300,39,FALSE)+3*HLOOKUP("xA/90",A1:CV300,39,FALSE)</f>
      </c>
      <c r="BT39" s="19184">
        <f>HLOOKUP("xPts/90",A1:CV300,39,FALSE)-(5*0.75*(HLOOKUP("PK Gs",A1:CV300,39,FALSE)+HLOOKUP("PK Miss",A1:CV300,39,FALSE))*90/HLOOKUP("Mins",A1:CV300,39,FALSE))</f>
      </c>
      <c r="BU39" s="19185">
        <f>IF(HLOOKUP("Mins",A1:CV300,39,FALSE)=0,0,HLOOKUP("fsXG",A1:CV300,39,FALSE)/HLOOKUP("Mins",A1:CV300,39,FALSE)* 90)</f>
      </c>
      <c r="BV39" s="19186">
        <f>IF(HLOOKUP("Mins",A1:CV300,39,FALSE)=0,0,HLOOKUP("fsXA",A1:CV300,39,FALSE)/HLOOKUP("Mins",A1:CV300,39,FALSE)* 90)</f>
      </c>
      <c r="BW39" s="19187">
        <f>5*HLOOKUP("fsXG/90",A1:CV300,39,FALSE)+3*HLOOKUP("fsXA/90",A1:CV300,39,FALSE)</f>
      </c>
      <c r="BX39" t="n" s="19188">
        <v>0.1277691274881363</v>
      </c>
      <c r="BY39" t="n" s="19189">
        <v>0.28936663269996643</v>
      </c>
      <c r="BZ39" s="19190">
        <f>5*HLOOKUP("uXG/90",A1:CV300,39,FALSE)+3*HLOOKUP("uXA/90",A1:CV300,39,FALSE)</f>
      </c>
    </row>
    <row r="40">
      <c r="A40" t="s" s="19191">
        <v>343</v>
      </c>
      <c r="B40" t="s" s="19192">
        <v>82</v>
      </c>
      <c r="C40" t="n" s="19193">
        <v>7.5</v>
      </c>
      <c r="D40" t="n" s="19194">
        <v>527.0</v>
      </c>
      <c r="E40" t="n" s="19195">
        <v>6.0</v>
      </c>
      <c r="F40" t="n" s="19196">
        <v>112.0</v>
      </c>
      <c r="G40" t="n" s="19197">
        <v>1.0</v>
      </c>
      <c r="H40" t="n" s="19198">
        <v>14.0</v>
      </c>
      <c r="I40" t="n" s="19199">
        <v>456.0</v>
      </c>
      <c r="J40" s="19200">
        <f>HLOOKUP("BPS",A1:CV300,40,FALSE)-((-6*HLOOKUP("OG",A1:CV300,40,FALSE))+(-6*HLOOKUP("PK Miss",A1:CV300,40,FALSE))+(9*HLOOKUP("FPL As",A1:CV300,40,FALSE))+(0*HLOOKUP("CS",A1:CV300,40,FALSE))+(18*HLOOKUP("Gs",A1:CV300,40,FALSE)))</f>
      </c>
      <c r="K40" t="n" s="19201">
        <v>0.0</v>
      </c>
      <c r="L40" t="n" s="19202">
        <v>8.0</v>
      </c>
      <c r="M40" t="n" s="19203">
        <v>15.0</v>
      </c>
      <c r="N40" t="n" s="19204">
        <v>12.0</v>
      </c>
      <c r="O40" t="n" s="19205">
        <v>3.0</v>
      </c>
      <c r="P40" s="19206">
        <f>IF(HLOOKUP("Shots",A1:CV300,40,FALSE)=0,0,HLOOKUP("SIB",A1:CV300,40,FALSE)/HLOOKUP("Shots",A1:CV300,40,FALSE))</f>
      </c>
      <c r="Q40" t="n" s="19207">
        <v>0.0</v>
      </c>
      <c r="R40" s="19208">
        <f>IF(HLOOKUP("Shots",A1:CV300,40,FALSE)=0,0,HLOOKUP("S6YD",A1:CV300,40,FALSE)/HLOOKUP("Shots",A1:CV300,40,FALSE))</f>
      </c>
      <c r="S40" t="n" s="19209">
        <v>0.0</v>
      </c>
      <c r="T40" s="19210">
        <f>IF(HLOOKUP("Shots",A1:CV300,40,FALSE)=0,0,HLOOKUP("Headers",A1:CV300,40,FALSE)/HLOOKUP("Shots",A1:CV300,40,FALSE))</f>
      </c>
      <c r="U40" t="n" s="19211">
        <v>4.0</v>
      </c>
      <c r="V40" s="19212">
        <f>IF(HLOOKUP("Shots",A1:CV300,40,FALSE)=0,0,HLOOKUP("SOT",A1:CV300,40,FALSE)/HLOOKUP("Shots",A1:CV300,40,FALSE))</f>
      </c>
      <c r="W40" s="19213">
        <f>IF(HLOOKUP("Shots",A1:CV300,40,FALSE)=0,0,HLOOKUP("Gs",A1:CV300,40,FALSE)/HLOOKUP("Shots",A1:CV300,40,FALSE))</f>
      </c>
      <c r="X40" t="n" s="19214">
        <v>0.0</v>
      </c>
      <c r="Y40" t="n" s="19215">
        <v>5.0</v>
      </c>
      <c r="Z40" t="n" s="19216">
        <v>20.0</v>
      </c>
      <c r="AA40" s="19217">
        <f>IF(HLOOKUP("KP",A1:CV300,40,FALSE)=0,0,HLOOKUP("As",A1:CV300,40,FALSE)/HLOOKUP("KP",A1:CV300,40,FALSE))</f>
      </c>
      <c r="AB40" s="19218"/>
      <c r="AC40" t="n" s="19219">
        <v>10.0</v>
      </c>
      <c r="AD40" t="n" s="19220">
        <v>2.0</v>
      </c>
      <c r="AE40" t="n" s="19221">
        <v>2.0</v>
      </c>
      <c r="AF40" t="n" s="19222">
        <v>2.0</v>
      </c>
      <c r="AG40" s="19223">
        <f>IF(HLOOKUP("BC",A1:CV300,40,FALSE)=0,0,HLOOKUP("Gs - BC",A1:CV300,40,FALSE)/HLOOKUP("BC",A1:CV300,40,FALSE))</f>
      </c>
      <c r="AH40" s="19224">
        <f>HLOOKUP("BC",A1:CV300,40,FALSE) - HLOOKUP("BC Miss",A1:CV300,40,FALSE)</f>
      </c>
      <c r="AI40" s="19225">
        <f>IF(HLOOKUP("Gs",A1:CV300,40,FALSE)=0,0,HLOOKUP("Gs - BC",A1:CV300,40,FALSE)/HLOOKUP("Gs",A1:CV300,40,FALSE))</f>
      </c>
      <c r="AJ40" t="n" s="19226">
        <v>0.0</v>
      </c>
      <c r="AK40" t="n" s="19227">
        <v>0.0</v>
      </c>
      <c r="AL40" s="19228">
        <f>HLOOKUP("BC",A1:CV300,40,FALSE) - (HLOOKUP("PK Gs",A1:CV300,40,FALSE) + HLOOKUP("PK Miss",A1:CV300,40,FALSE))</f>
      </c>
      <c r="AM40" s="19229">
        <f>HLOOKUP("BC Miss",A1:CV300,40,FALSE) - HLOOKUP("PK Miss",A1:CV300,40,FALSE)</f>
      </c>
      <c r="AN40" s="19230">
        <f>IF(HLOOKUP("BC - Open",A1:CV300,40,FALSE)=0,0,HLOOKUP("BC - Open Miss",A1:CV300,40,FALSE)/HLOOKUP("BC - Open",A1:CV300,40,FALSE))</f>
      </c>
      <c r="AO40" t="n" s="19231">
        <v>0.0</v>
      </c>
      <c r="AP40" s="19232">
        <f>IF(HLOOKUP("Gs",A1:CV300,40,FALSE)=0,0,HLOOKUP("GIB",A1:CV300,40,FALSE)/HLOOKUP("Gs",A1:CV300,40,FALSE))</f>
      </c>
      <c r="AQ40" t="n" s="19233">
        <v>1.0</v>
      </c>
      <c r="AR40" s="19234">
        <f>IF(HLOOKUP("Gs",A1:CV300,40,FALSE)=0,0,HLOOKUP("Gs - Open",A1:CV300,40,FALSE)/HLOOKUP("Gs",A1:CV300,40,FALSE))</f>
      </c>
      <c r="AS40" t="n" s="19235">
        <v>0.64</v>
      </c>
      <c r="AT40" t="n" s="19236">
        <v>1.44</v>
      </c>
      <c r="AU40" s="19237">
        <f>IF(HLOOKUP("Mins",A1:CV300,40,FALSE)=0,0,HLOOKUP("Pts",A1:CV300,40,FALSE)/HLOOKUP("Mins",A1:CV300,40,FALSE)* 90)</f>
      </c>
      <c r="AV40" s="19238">
        <f>IF(HLOOKUP("Apps",A1:CV300,40,FALSE)=0,0,HLOOKUP("Pts",A1:CV300,40,FALSE)/HLOOKUP("Apps",A1:CV300,40,FALSE)* 1)</f>
      </c>
      <c r="AW40" s="19239">
        <f>IF(HLOOKUP("Mins",A1:CV300,40,FALSE)=0,0,HLOOKUP("Gs",A1:CV300,40,FALSE)/HLOOKUP("Mins",A1:CV300,40,FALSE)* 90)</f>
      </c>
      <c r="AX40" s="19240">
        <f>IF(HLOOKUP("Mins",A1:CV300,40,FALSE)=0,0,HLOOKUP("Bonus",A1:CV300,40,FALSE)/HLOOKUP("Mins",A1:CV300,40,FALSE)* 90)</f>
      </c>
      <c r="AY40" s="19241">
        <f>IF(HLOOKUP("Mins",A1:CV300,40,FALSE)=0,0,HLOOKUP("BPS",A1:CV300,40,FALSE)/HLOOKUP("Mins",A1:CV300,40,FALSE)* 90)</f>
      </c>
      <c r="AZ40" s="19242">
        <f>IF(HLOOKUP("Mins",A1:CV300,40,FALSE)=0,0,HLOOKUP("Base BPS",A1:CV300,40,FALSE)/HLOOKUP("Mins",A1:CV300,40,FALSE)* 90)</f>
      </c>
      <c r="BA40" s="19243">
        <f>IF(HLOOKUP("Mins",A1:CV300,40,FALSE)=0,0,HLOOKUP("PenTchs",A1:CV300,40,FALSE)/HLOOKUP("Mins",A1:CV300,40,FALSE)* 90)</f>
      </c>
      <c r="BB40" s="19244">
        <f>IF(HLOOKUP("Mins",A1:CV300,40,FALSE)=0,0,HLOOKUP("Shots",A1:CV300,40,FALSE)/HLOOKUP("Mins",A1:CV300,40,FALSE)* 90)</f>
      </c>
      <c r="BC40" s="19245">
        <f>IF(HLOOKUP("Mins",A1:CV300,40,FALSE)=0,0,HLOOKUP("SIB",A1:CV300,40,FALSE)/HLOOKUP("Mins",A1:CV300,40,FALSE)* 90)</f>
      </c>
      <c r="BD40" s="19246">
        <f>IF(HLOOKUP("Mins",A1:CV300,40,FALSE)=0,0,HLOOKUP("S6YD",A1:CV300,40,FALSE)/HLOOKUP("Mins",A1:CV300,40,FALSE)* 90)</f>
      </c>
      <c r="BE40" s="19247">
        <f>IF(HLOOKUP("Mins",A1:CV300,40,FALSE)=0,0,HLOOKUP("Headers",A1:CV300,40,FALSE)/HLOOKUP("Mins",A1:CV300,40,FALSE)* 90)</f>
      </c>
      <c r="BF40" s="19248">
        <f>IF(HLOOKUP("Mins",A1:CV300,40,FALSE)=0,0,HLOOKUP("SOT",A1:CV300,40,FALSE)/HLOOKUP("Mins",A1:CV300,40,FALSE)* 90)</f>
      </c>
      <c r="BG40" s="19249">
        <f>IF(HLOOKUP("Mins",A1:CV300,40,FALSE)=0,0,HLOOKUP("As",A1:CV300,40,FALSE)/HLOOKUP("Mins",A1:CV300,40,FALSE)* 90)</f>
      </c>
      <c r="BH40" s="19250">
        <f>IF(HLOOKUP("Mins",A1:CV300,40,FALSE)=0,0,HLOOKUP("FPL As",A1:CV300,40,FALSE)/HLOOKUP("Mins",A1:CV300,40,FALSE)* 90)</f>
      </c>
      <c r="BI40" s="19251">
        <f>IF(HLOOKUP("Mins",A1:CV300,40,FALSE)=0,0,HLOOKUP("BC Created",A1:CV300,40,FALSE)/HLOOKUP("Mins",A1:CV300,40,FALSE)* 90)</f>
      </c>
      <c r="BJ40" s="19252">
        <f>IF(HLOOKUP("Mins",A1:CV300,40,FALSE)=0,0,HLOOKUP("KP",A1:CV300,40,FALSE)/HLOOKUP("Mins",A1:CV300,40,FALSE)* 90)</f>
      </c>
      <c r="BK40" s="19253">
        <f>IF(HLOOKUP("Mins",A1:CV300,40,FALSE)=0,0,HLOOKUP("BC",A1:CV300,40,FALSE)/HLOOKUP("Mins",A1:CV300,40,FALSE)* 90)</f>
      </c>
      <c r="BL40" s="19254">
        <f>IF(HLOOKUP("Mins",A1:CV300,40,FALSE)=0,0,HLOOKUP("BC Miss",A1:CV300,40,FALSE)/HLOOKUP("Mins",A1:CV300,40,FALSE)* 90)</f>
      </c>
      <c r="BM40" s="19255">
        <f>IF(HLOOKUP("Mins",A1:CV300,40,FALSE)=0,0,HLOOKUP("Gs - BC",A1:CV300,40,FALSE)/HLOOKUP("Mins",A1:CV300,40,FALSE)* 90)</f>
      </c>
      <c r="BN40" s="19256">
        <f>IF(HLOOKUP("Mins",A1:CV300,40,FALSE)=0,0,HLOOKUP("GIB",A1:CV300,40,FALSE)/HLOOKUP("Mins",A1:CV300,40,FALSE)* 90)</f>
      </c>
      <c r="BO40" s="19257">
        <f>IF(HLOOKUP("Mins",A1:CV300,40,FALSE)=0,0,HLOOKUP("Gs - Open",A1:CV300,40,FALSE)/HLOOKUP("Mins",A1:CV300,40,FALSE)* 90)</f>
      </c>
      <c r="BP40" s="19258">
        <f>IF(HLOOKUP("Mins",A1:CV300,40,FALSE)=0,0,HLOOKUP("ICT Index",A1:CV300,40,FALSE)/HLOOKUP("Mins",A1:CV300,40,FALSE)* 90)</f>
      </c>
      <c r="BQ40" s="19259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</c>
      <c r="BR40" s="19260">
        <f>0.0885*HLOOKUP("KP/90",A1:CV300,40,FALSE)</f>
      </c>
      <c r="BS40" s="19261">
        <f>5*HLOOKUP("xG/90",A1:CV300,40,FALSE)+3*HLOOKUP("xA/90",A1:CV300,40,FALSE)</f>
      </c>
      <c r="BT40" s="19262">
        <f>HLOOKUP("xPts/90",A1:CV300,40,FALSE)-(5*0.75*(HLOOKUP("PK Gs",A1:CV300,40,FALSE)+HLOOKUP("PK Miss",A1:CV300,40,FALSE))*90/HLOOKUP("Mins",A1:CV300,40,FALSE))</f>
      </c>
      <c r="BU40" s="19263">
        <f>IF(HLOOKUP("Mins",A1:CV300,40,FALSE)=0,0,HLOOKUP("fsXG",A1:CV300,40,FALSE)/HLOOKUP("Mins",A1:CV300,40,FALSE)* 90)</f>
      </c>
      <c r="BV40" s="19264">
        <f>IF(HLOOKUP("Mins",A1:CV300,40,FALSE)=0,0,HLOOKUP("fsXA",A1:CV300,40,FALSE)/HLOOKUP("Mins",A1:CV300,40,FALSE)* 90)</f>
      </c>
      <c r="BW40" s="19265">
        <f>5*HLOOKUP("fsXG/90",A1:CV300,40,FALSE)+3*HLOOKUP("fsXA/90",A1:CV300,40,FALSE)</f>
      </c>
      <c r="BX40" t="n" s="19266">
        <v>0.1293625384569168</v>
      </c>
      <c r="BY40" t="n" s="19267">
        <v>0.22162288427352905</v>
      </c>
      <c r="BZ40" s="19268">
        <f>5*HLOOKUP("uXG/90",A1:CV300,40,FALSE)+3*HLOOKUP("uXA/90",A1:CV300,40,FALSE)</f>
      </c>
    </row>
    <row r="41">
      <c r="A41" t="s" s="19269">
        <v>344</v>
      </c>
      <c r="B41" t="s" s="19270">
        <v>92</v>
      </c>
      <c r="C41" t="n" s="19271">
        <v>6.800000190734863</v>
      </c>
      <c r="D41" t="n" s="19272">
        <v>489.0</v>
      </c>
      <c r="E41" t="n" s="19273">
        <v>6.0</v>
      </c>
      <c r="F41" t="n" s="19274">
        <v>65.0</v>
      </c>
      <c r="G41" t="n" s="19275">
        <v>0.0</v>
      </c>
      <c r="H41" t="n" s="19276">
        <v>2.0</v>
      </c>
      <c r="I41" t="n" s="19277">
        <v>274.0</v>
      </c>
      <c r="J41" s="19278">
        <f>HLOOKUP("BPS",A1:CV300,41,FALSE)-((-6*HLOOKUP("OG",A1:CV300,41,FALSE))+(-6*HLOOKUP("PK Miss",A1:CV300,41,FALSE))+(9*HLOOKUP("FPL As",A1:CV300,41,FALSE))+(0*HLOOKUP("CS",A1:CV300,41,FALSE))+(18*HLOOKUP("Gs",A1:CV300,41,FALSE)))</f>
      </c>
      <c r="K41" t="n" s="19279">
        <v>0.0</v>
      </c>
      <c r="L41" t="n" s="19280">
        <v>4.0</v>
      </c>
      <c r="M41" t="n" s="19281">
        <v>19.0</v>
      </c>
      <c r="N41" t="n" s="19282">
        <v>6.0</v>
      </c>
      <c r="O41" t="n" s="19283">
        <v>4.0</v>
      </c>
      <c r="P41" s="19284">
        <f>IF(HLOOKUP("Shots",A1:CV300,41,FALSE)=0,0,HLOOKUP("SIB",A1:CV300,41,FALSE)/HLOOKUP("Shots",A1:CV300,41,FALSE))</f>
      </c>
      <c r="Q41" t="n" s="19285">
        <v>0.0</v>
      </c>
      <c r="R41" s="19286">
        <f>IF(HLOOKUP("Shots",A1:CV300,41,FALSE)=0,0,HLOOKUP("S6YD",A1:CV300,41,FALSE)/HLOOKUP("Shots",A1:CV300,41,FALSE))</f>
      </c>
      <c r="S41" t="n" s="19287">
        <v>0.0</v>
      </c>
      <c r="T41" s="19288">
        <f>IF(HLOOKUP("Shots",A1:CV300,41,FALSE)=0,0,HLOOKUP("Headers",A1:CV300,41,FALSE)/HLOOKUP("Shots",A1:CV300,41,FALSE))</f>
      </c>
      <c r="U41" t="n" s="19289">
        <v>4.0</v>
      </c>
      <c r="V41" s="19290">
        <f>IF(HLOOKUP("Shots",A1:CV300,41,FALSE)=0,0,HLOOKUP("SOT",A1:CV300,41,FALSE)/HLOOKUP("Shots",A1:CV300,41,FALSE))</f>
      </c>
      <c r="W41" s="19291">
        <f>IF(HLOOKUP("Shots",A1:CV300,41,FALSE)=0,0,HLOOKUP("Gs",A1:CV300,41,FALSE)/HLOOKUP("Shots",A1:CV300,41,FALSE))</f>
      </c>
      <c r="X41" t="n" s="19292">
        <v>0.0</v>
      </c>
      <c r="Y41" t="n" s="19293">
        <v>4.0</v>
      </c>
      <c r="Z41" t="n" s="19294">
        <v>15.0</v>
      </c>
      <c r="AA41" s="19295">
        <f>IF(HLOOKUP("KP",A1:CV300,41,FALSE)=0,0,HLOOKUP("As",A1:CV300,41,FALSE)/HLOOKUP("KP",A1:CV300,41,FALSE))</f>
      </c>
      <c r="AB41" s="19296"/>
      <c r="AC41" t="n" s="19297">
        <v>17.0</v>
      </c>
      <c r="AD41" t="n" s="19298">
        <v>3.0</v>
      </c>
      <c r="AE41" t="n" s="19299">
        <v>1.0</v>
      </c>
      <c r="AF41" t="n" s="19300">
        <v>1.0</v>
      </c>
      <c r="AG41" s="19301">
        <f>IF(HLOOKUP("BC",A1:CV300,41,FALSE)=0,0,HLOOKUP("Gs - BC",A1:CV300,41,FALSE)/HLOOKUP("BC",A1:CV300,41,FALSE))</f>
      </c>
      <c r="AH41" s="19302">
        <f>HLOOKUP("BC",A1:CV300,41,FALSE) - HLOOKUP("BC Miss",A1:CV300,41,FALSE)</f>
      </c>
      <c r="AI41" s="19303">
        <f>IF(HLOOKUP("Gs",A1:CV300,41,FALSE)=0,0,HLOOKUP("Gs - BC",A1:CV300,41,FALSE)/HLOOKUP("Gs",A1:CV300,41,FALSE))</f>
      </c>
      <c r="AJ41" t="n" s="19304">
        <v>0.0</v>
      </c>
      <c r="AK41" t="n" s="19305">
        <v>0.0</v>
      </c>
      <c r="AL41" s="19306">
        <f>HLOOKUP("BC",A1:CV300,41,FALSE) - (HLOOKUP("PK Gs",A1:CV300,41,FALSE) + HLOOKUP("PK Miss",A1:CV300,41,FALSE))</f>
      </c>
      <c r="AM41" s="19307">
        <f>HLOOKUP("BC Miss",A1:CV300,41,FALSE) - HLOOKUP("PK Miss",A1:CV300,41,FALSE)</f>
      </c>
      <c r="AN41" s="19308">
        <f>IF(HLOOKUP("BC - Open",A1:CV300,41,FALSE)=0,0,HLOOKUP("BC - Open Miss",A1:CV300,41,FALSE)/HLOOKUP("BC - Open",A1:CV300,41,FALSE))</f>
      </c>
      <c r="AO41" t="n" s="19309">
        <v>0.0</v>
      </c>
      <c r="AP41" s="19310">
        <f>IF(HLOOKUP("Gs",A1:CV300,41,FALSE)=0,0,HLOOKUP("GIB",A1:CV300,41,FALSE)/HLOOKUP("Gs",A1:CV300,41,FALSE))</f>
      </c>
      <c r="AQ41" t="n" s="19311">
        <v>0.0</v>
      </c>
      <c r="AR41" s="19312">
        <f>IF(HLOOKUP("Gs",A1:CV300,41,FALSE)=0,0,HLOOKUP("Gs - Open",A1:CV300,41,FALSE)/HLOOKUP("Gs",A1:CV300,41,FALSE))</f>
      </c>
      <c r="AS41" t="n" s="19313">
        <v>0.94</v>
      </c>
      <c r="AT41" t="n" s="19314">
        <v>1.84</v>
      </c>
      <c r="AU41" s="19315">
        <f>IF(HLOOKUP("Mins",A1:CV300,41,FALSE)=0,0,HLOOKUP("Pts",A1:CV300,41,FALSE)/HLOOKUP("Mins",A1:CV300,41,FALSE)* 90)</f>
      </c>
      <c r="AV41" s="19316">
        <f>IF(HLOOKUP("Apps",A1:CV300,41,FALSE)=0,0,HLOOKUP("Pts",A1:CV300,41,FALSE)/HLOOKUP("Apps",A1:CV300,41,FALSE)* 1)</f>
      </c>
      <c r="AW41" s="19317">
        <f>IF(HLOOKUP("Mins",A1:CV300,41,FALSE)=0,0,HLOOKUP("Gs",A1:CV300,41,FALSE)/HLOOKUP("Mins",A1:CV300,41,FALSE)* 90)</f>
      </c>
      <c r="AX41" s="19318">
        <f>IF(HLOOKUP("Mins",A1:CV300,41,FALSE)=0,0,HLOOKUP("Bonus",A1:CV300,41,FALSE)/HLOOKUP("Mins",A1:CV300,41,FALSE)* 90)</f>
      </c>
      <c r="AY41" s="19319">
        <f>IF(HLOOKUP("Mins",A1:CV300,41,FALSE)=0,0,HLOOKUP("BPS",A1:CV300,41,FALSE)/HLOOKUP("Mins",A1:CV300,41,FALSE)* 90)</f>
      </c>
      <c r="AZ41" s="19320">
        <f>IF(HLOOKUP("Mins",A1:CV300,41,FALSE)=0,0,HLOOKUP("Base BPS",A1:CV300,41,FALSE)/HLOOKUP("Mins",A1:CV300,41,FALSE)* 90)</f>
      </c>
      <c r="BA41" s="19321">
        <f>IF(HLOOKUP("Mins",A1:CV300,41,FALSE)=0,0,HLOOKUP("PenTchs",A1:CV300,41,FALSE)/HLOOKUP("Mins",A1:CV300,41,FALSE)* 90)</f>
      </c>
      <c r="BB41" s="19322">
        <f>IF(HLOOKUP("Mins",A1:CV300,41,FALSE)=0,0,HLOOKUP("Shots",A1:CV300,41,FALSE)/HLOOKUP("Mins",A1:CV300,41,FALSE)* 90)</f>
      </c>
      <c r="BC41" s="19323">
        <f>IF(HLOOKUP("Mins",A1:CV300,41,FALSE)=0,0,HLOOKUP("SIB",A1:CV300,41,FALSE)/HLOOKUP("Mins",A1:CV300,41,FALSE)* 90)</f>
      </c>
      <c r="BD41" s="19324">
        <f>IF(HLOOKUP("Mins",A1:CV300,41,FALSE)=0,0,HLOOKUP("S6YD",A1:CV300,41,FALSE)/HLOOKUP("Mins",A1:CV300,41,FALSE)* 90)</f>
      </c>
      <c r="BE41" s="19325">
        <f>IF(HLOOKUP("Mins",A1:CV300,41,FALSE)=0,0,HLOOKUP("Headers",A1:CV300,41,FALSE)/HLOOKUP("Mins",A1:CV300,41,FALSE)* 90)</f>
      </c>
      <c r="BF41" s="19326">
        <f>IF(HLOOKUP("Mins",A1:CV300,41,FALSE)=0,0,HLOOKUP("SOT",A1:CV300,41,FALSE)/HLOOKUP("Mins",A1:CV300,41,FALSE)* 90)</f>
      </c>
      <c r="BG41" s="19327">
        <f>IF(HLOOKUP("Mins",A1:CV300,41,FALSE)=0,0,HLOOKUP("As",A1:CV300,41,FALSE)/HLOOKUP("Mins",A1:CV300,41,FALSE)* 90)</f>
      </c>
      <c r="BH41" s="19328">
        <f>IF(HLOOKUP("Mins",A1:CV300,41,FALSE)=0,0,HLOOKUP("FPL As",A1:CV300,41,FALSE)/HLOOKUP("Mins",A1:CV300,41,FALSE)* 90)</f>
      </c>
      <c r="BI41" s="19329">
        <f>IF(HLOOKUP("Mins",A1:CV300,41,FALSE)=0,0,HLOOKUP("BC Created",A1:CV300,41,FALSE)/HLOOKUP("Mins",A1:CV300,41,FALSE)* 90)</f>
      </c>
      <c r="BJ41" s="19330">
        <f>IF(HLOOKUP("Mins",A1:CV300,41,FALSE)=0,0,HLOOKUP("KP",A1:CV300,41,FALSE)/HLOOKUP("Mins",A1:CV300,41,FALSE)* 90)</f>
      </c>
      <c r="BK41" s="19331">
        <f>IF(HLOOKUP("Mins",A1:CV300,41,FALSE)=0,0,HLOOKUP("BC",A1:CV300,41,FALSE)/HLOOKUP("Mins",A1:CV300,41,FALSE)* 90)</f>
      </c>
      <c r="BL41" s="19332">
        <f>IF(HLOOKUP("Mins",A1:CV300,41,FALSE)=0,0,HLOOKUP("BC Miss",A1:CV300,41,FALSE)/HLOOKUP("Mins",A1:CV300,41,FALSE)* 90)</f>
      </c>
      <c r="BM41" s="19333">
        <f>IF(HLOOKUP("Mins",A1:CV300,41,FALSE)=0,0,HLOOKUP("Gs - BC",A1:CV300,41,FALSE)/HLOOKUP("Mins",A1:CV300,41,FALSE)* 90)</f>
      </c>
      <c r="BN41" s="19334">
        <f>IF(HLOOKUP("Mins",A1:CV300,41,FALSE)=0,0,HLOOKUP("GIB",A1:CV300,41,FALSE)/HLOOKUP("Mins",A1:CV300,41,FALSE)* 90)</f>
      </c>
      <c r="BO41" s="19335">
        <f>IF(HLOOKUP("Mins",A1:CV300,41,FALSE)=0,0,HLOOKUP("Gs - Open",A1:CV300,41,FALSE)/HLOOKUP("Mins",A1:CV300,41,FALSE)* 90)</f>
      </c>
      <c r="BP41" s="19336">
        <f>IF(HLOOKUP("Mins",A1:CV300,41,FALSE)=0,0,HLOOKUP("ICT Index",A1:CV300,41,FALSE)/HLOOKUP("Mins",A1:CV300,41,FALSE)* 90)</f>
      </c>
      <c r="BQ41" s="19337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</c>
      <c r="BR41" s="19338">
        <f>0.0885*HLOOKUP("KP/90",A1:CV300,41,FALSE)</f>
      </c>
      <c r="BS41" s="19339">
        <f>5*HLOOKUP("xG/90",A1:CV300,41,FALSE)+3*HLOOKUP("xA/90",A1:CV300,41,FALSE)</f>
      </c>
      <c r="BT41" s="19340">
        <f>HLOOKUP("xPts/90",A1:CV300,41,FALSE)-(5*0.75*(HLOOKUP("PK Gs",A1:CV300,41,FALSE)+HLOOKUP("PK Miss",A1:CV300,41,FALSE))*90/HLOOKUP("Mins",A1:CV300,41,FALSE))</f>
      </c>
      <c r="BU41" s="19341">
        <f>IF(HLOOKUP("Mins",A1:CV300,41,FALSE)=0,0,HLOOKUP("fsXG",A1:CV300,41,FALSE)/HLOOKUP("Mins",A1:CV300,41,FALSE)* 90)</f>
      </c>
      <c r="BV41" s="19342">
        <f>IF(HLOOKUP("Mins",A1:CV300,41,FALSE)=0,0,HLOOKUP("fsXA",A1:CV300,41,FALSE)/HLOOKUP("Mins",A1:CV300,41,FALSE)* 90)</f>
      </c>
      <c r="BW41" s="19343">
        <f>5*HLOOKUP("fsXG/90",A1:CV300,41,FALSE)+3*HLOOKUP("fsXA/90",A1:CV300,41,FALSE)</f>
      </c>
      <c r="BX41" t="n" s="19344">
        <v>0.17717838287353516</v>
      </c>
      <c r="BY41" t="n" s="19345">
        <v>0.33667489886283875</v>
      </c>
      <c r="BZ41" s="19346">
        <f>5*HLOOKUP("uXG/90",A1:CV300,41,FALSE)+3*HLOOKUP("uXA/90",A1:CV300,41,FALSE)</f>
      </c>
    </row>
    <row r="42">
      <c r="A42" t="s" s="19347">
        <v>345</v>
      </c>
      <c r="B42" t="s" s="19348">
        <v>92</v>
      </c>
      <c r="C42" t="n" s="19349">
        <v>4.699999809265137</v>
      </c>
      <c r="D42" t="n" s="19350">
        <v>88.0</v>
      </c>
      <c r="E42" t="n" s="19351">
        <v>1.0</v>
      </c>
      <c r="F42" t="n" s="19352">
        <v>4.0</v>
      </c>
      <c r="G42" t="n" s="19353">
        <v>0.0</v>
      </c>
      <c r="H42" t="n" s="19354">
        <v>0.0</v>
      </c>
      <c r="I42" t="n" s="19355">
        <v>14.0</v>
      </c>
      <c r="J42" s="19356">
        <f>HLOOKUP("BPS",A1:CV300,42,FALSE)-((-6*HLOOKUP("OG",A1:CV300,42,FALSE))+(-6*HLOOKUP("PK Miss",A1:CV300,42,FALSE))+(9*HLOOKUP("FPL As",A1:CV300,42,FALSE))+(0*HLOOKUP("CS",A1:CV300,42,FALSE))+(18*HLOOKUP("Gs",A1:CV300,42,FALSE)))</f>
      </c>
      <c r="K42" t="n" s="19357">
        <v>0.0</v>
      </c>
      <c r="L42" t="n" s="19358">
        <v>0.0</v>
      </c>
      <c r="M42" t="n" s="19359">
        <v>0.0</v>
      </c>
      <c r="N42" t="n" s="19360">
        <v>0.0</v>
      </c>
      <c r="O42" t="n" s="19361">
        <v>0.0</v>
      </c>
      <c r="P42" s="19362">
        <f>IF(HLOOKUP("Shots",A1:CV300,42,FALSE)=0,0,HLOOKUP("SIB",A1:CV300,42,FALSE)/HLOOKUP("Shots",A1:CV300,42,FALSE))</f>
      </c>
      <c r="Q42" t="n" s="19363">
        <v>0.0</v>
      </c>
      <c r="R42" s="19364">
        <f>IF(HLOOKUP("Shots",A1:CV300,42,FALSE)=0,0,HLOOKUP("S6YD",A1:CV300,42,FALSE)/HLOOKUP("Shots",A1:CV300,42,FALSE))</f>
      </c>
      <c r="S42" t="n" s="19365">
        <v>0.0</v>
      </c>
      <c r="T42" s="19366">
        <f>IF(HLOOKUP("Shots",A1:CV300,42,FALSE)=0,0,HLOOKUP("Headers",A1:CV300,42,FALSE)/HLOOKUP("Shots",A1:CV300,42,FALSE))</f>
      </c>
      <c r="U42" t="n" s="19367">
        <v>0.0</v>
      </c>
      <c r="V42" s="19368">
        <f>IF(HLOOKUP("Shots",A1:CV300,42,FALSE)=0,0,HLOOKUP("SOT",A1:CV300,42,FALSE)/HLOOKUP("Shots",A1:CV300,42,FALSE))</f>
      </c>
      <c r="W42" s="19369">
        <f>IF(HLOOKUP("Shots",A1:CV300,42,FALSE)=0,0,HLOOKUP("Gs",A1:CV300,42,FALSE)/HLOOKUP("Shots",A1:CV300,42,FALSE))</f>
      </c>
      <c r="X42" t="n" s="19370">
        <v>0.0</v>
      </c>
      <c r="Y42" t="n" s="19371">
        <v>0.0</v>
      </c>
      <c r="Z42" t="n" s="19372">
        <v>0.0</v>
      </c>
      <c r="AA42" s="19373">
        <f>IF(HLOOKUP("KP",A1:CV300,42,FALSE)=0,0,HLOOKUP("As",A1:CV300,42,FALSE)/HLOOKUP("KP",A1:CV300,42,FALSE))</f>
      </c>
      <c r="AB42" s="19374"/>
      <c r="AC42" t="n" s="19375">
        <v>0.0</v>
      </c>
      <c r="AD42" t="n" s="19376">
        <v>0.0</v>
      </c>
      <c r="AE42" t="n" s="19377">
        <v>0.0</v>
      </c>
      <c r="AF42" t="n" s="19378">
        <v>0.0</v>
      </c>
      <c r="AG42" s="19379">
        <f>IF(HLOOKUP("BC",A1:CV300,42,FALSE)=0,0,HLOOKUP("Gs - BC",A1:CV300,42,FALSE)/HLOOKUP("BC",A1:CV300,42,FALSE))</f>
      </c>
      <c r="AH42" s="19380">
        <f>HLOOKUP("BC",A1:CV300,42,FALSE) - HLOOKUP("BC Miss",A1:CV300,42,FALSE)</f>
      </c>
      <c r="AI42" s="19381">
        <f>IF(HLOOKUP("Gs",A1:CV300,42,FALSE)=0,0,HLOOKUP("Gs - BC",A1:CV300,42,FALSE)/HLOOKUP("Gs",A1:CV300,42,FALSE))</f>
      </c>
      <c r="AJ42" t="n" s="19382">
        <v>0.0</v>
      </c>
      <c r="AK42" t="n" s="19383">
        <v>0.0</v>
      </c>
      <c r="AL42" s="19384">
        <f>HLOOKUP("BC",A1:CV300,42,FALSE) - (HLOOKUP("PK Gs",A1:CV300,42,FALSE) + HLOOKUP("PK Miss",A1:CV300,42,FALSE))</f>
      </c>
      <c r="AM42" s="19385">
        <f>HLOOKUP("BC Miss",A1:CV300,42,FALSE) - HLOOKUP("PK Miss",A1:CV300,42,FALSE)</f>
      </c>
      <c r="AN42" s="19386">
        <f>IF(HLOOKUP("BC - Open",A1:CV300,42,FALSE)=0,0,HLOOKUP("BC - Open Miss",A1:CV300,42,FALSE)/HLOOKUP("BC - Open",A1:CV300,42,FALSE))</f>
      </c>
      <c r="AO42" t="n" s="19387">
        <v>0.0</v>
      </c>
      <c r="AP42" s="19388">
        <f>IF(HLOOKUP("Gs",A1:CV300,42,FALSE)=0,0,HLOOKUP("GIB",A1:CV300,42,FALSE)/HLOOKUP("Gs",A1:CV300,42,FALSE))</f>
      </c>
      <c r="AQ42" t="n" s="19389">
        <v>0.0</v>
      </c>
      <c r="AR42" s="19390">
        <f>IF(HLOOKUP("Gs",A1:CV300,42,FALSE)=0,0,HLOOKUP("Gs - Open",A1:CV300,42,FALSE)/HLOOKUP("Gs",A1:CV300,42,FALSE))</f>
      </c>
      <c r="AS42" t="n" s="19391">
        <v>0.0</v>
      </c>
      <c r="AT42" t="n" s="19392">
        <v>0.02</v>
      </c>
      <c r="AU42" s="19393">
        <f>IF(HLOOKUP("Mins",A1:CV300,42,FALSE)=0,0,HLOOKUP("Pts",A1:CV300,42,FALSE)/HLOOKUP("Mins",A1:CV300,42,FALSE)* 90)</f>
      </c>
      <c r="AV42" s="19394">
        <f>IF(HLOOKUP("Apps",A1:CV300,42,FALSE)=0,0,HLOOKUP("Pts",A1:CV300,42,FALSE)/HLOOKUP("Apps",A1:CV300,42,FALSE)* 1)</f>
      </c>
      <c r="AW42" s="19395">
        <f>IF(HLOOKUP("Mins",A1:CV300,42,FALSE)=0,0,HLOOKUP("Gs",A1:CV300,42,FALSE)/HLOOKUP("Mins",A1:CV300,42,FALSE)* 90)</f>
      </c>
      <c r="AX42" s="19396">
        <f>IF(HLOOKUP("Mins",A1:CV300,42,FALSE)=0,0,HLOOKUP("Bonus",A1:CV300,42,FALSE)/HLOOKUP("Mins",A1:CV300,42,FALSE)* 90)</f>
      </c>
      <c r="AY42" s="19397">
        <f>IF(HLOOKUP("Mins",A1:CV300,42,FALSE)=0,0,HLOOKUP("BPS",A1:CV300,42,FALSE)/HLOOKUP("Mins",A1:CV300,42,FALSE)* 90)</f>
      </c>
      <c r="AZ42" s="19398">
        <f>IF(HLOOKUP("Mins",A1:CV300,42,FALSE)=0,0,HLOOKUP("Base BPS",A1:CV300,42,FALSE)/HLOOKUP("Mins",A1:CV300,42,FALSE)* 90)</f>
      </c>
      <c r="BA42" s="19399">
        <f>IF(HLOOKUP("Mins",A1:CV300,42,FALSE)=0,0,HLOOKUP("PenTchs",A1:CV300,42,FALSE)/HLOOKUP("Mins",A1:CV300,42,FALSE)* 90)</f>
      </c>
      <c r="BB42" s="19400">
        <f>IF(HLOOKUP("Mins",A1:CV300,42,FALSE)=0,0,HLOOKUP("Shots",A1:CV300,42,FALSE)/HLOOKUP("Mins",A1:CV300,42,FALSE)* 90)</f>
      </c>
      <c r="BC42" s="19401">
        <f>IF(HLOOKUP("Mins",A1:CV300,42,FALSE)=0,0,HLOOKUP("SIB",A1:CV300,42,FALSE)/HLOOKUP("Mins",A1:CV300,42,FALSE)* 90)</f>
      </c>
      <c r="BD42" s="19402">
        <f>IF(HLOOKUP("Mins",A1:CV300,42,FALSE)=0,0,HLOOKUP("S6YD",A1:CV300,42,FALSE)/HLOOKUP("Mins",A1:CV300,42,FALSE)* 90)</f>
      </c>
      <c r="BE42" s="19403">
        <f>IF(HLOOKUP("Mins",A1:CV300,42,FALSE)=0,0,HLOOKUP("Headers",A1:CV300,42,FALSE)/HLOOKUP("Mins",A1:CV300,42,FALSE)* 90)</f>
      </c>
      <c r="BF42" s="19404">
        <f>IF(HLOOKUP("Mins",A1:CV300,42,FALSE)=0,0,HLOOKUP("SOT",A1:CV300,42,FALSE)/HLOOKUP("Mins",A1:CV300,42,FALSE)* 90)</f>
      </c>
      <c r="BG42" s="19405">
        <f>IF(HLOOKUP("Mins",A1:CV300,42,FALSE)=0,0,HLOOKUP("As",A1:CV300,42,FALSE)/HLOOKUP("Mins",A1:CV300,42,FALSE)* 90)</f>
      </c>
      <c r="BH42" s="19406">
        <f>IF(HLOOKUP("Mins",A1:CV300,42,FALSE)=0,0,HLOOKUP("FPL As",A1:CV300,42,FALSE)/HLOOKUP("Mins",A1:CV300,42,FALSE)* 90)</f>
      </c>
      <c r="BI42" s="19407">
        <f>IF(HLOOKUP("Mins",A1:CV300,42,FALSE)=0,0,HLOOKUP("BC Created",A1:CV300,42,FALSE)/HLOOKUP("Mins",A1:CV300,42,FALSE)* 90)</f>
      </c>
      <c r="BJ42" s="19408">
        <f>IF(HLOOKUP("Mins",A1:CV300,42,FALSE)=0,0,HLOOKUP("KP",A1:CV300,42,FALSE)/HLOOKUP("Mins",A1:CV300,42,FALSE)* 90)</f>
      </c>
      <c r="BK42" s="19409">
        <f>IF(HLOOKUP("Mins",A1:CV300,42,FALSE)=0,0,HLOOKUP("BC",A1:CV300,42,FALSE)/HLOOKUP("Mins",A1:CV300,42,FALSE)* 90)</f>
      </c>
      <c r="BL42" s="19410">
        <f>IF(HLOOKUP("Mins",A1:CV300,42,FALSE)=0,0,HLOOKUP("BC Miss",A1:CV300,42,FALSE)/HLOOKUP("Mins",A1:CV300,42,FALSE)* 90)</f>
      </c>
      <c r="BM42" s="19411">
        <f>IF(HLOOKUP("Mins",A1:CV300,42,FALSE)=0,0,HLOOKUP("Gs - BC",A1:CV300,42,FALSE)/HLOOKUP("Mins",A1:CV300,42,FALSE)* 90)</f>
      </c>
      <c r="BN42" s="19412">
        <f>IF(HLOOKUP("Mins",A1:CV300,42,FALSE)=0,0,HLOOKUP("GIB",A1:CV300,42,FALSE)/HLOOKUP("Mins",A1:CV300,42,FALSE)* 90)</f>
      </c>
      <c r="BO42" s="19413">
        <f>IF(HLOOKUP("Mins",A1:CV300,42,FALSE)=0,0,HLOOKUP("Gs - Open",A1:CV300,42,FALSE)/HLOOKUP("Mins",A1:CV300,42,FALSE)* 90)</f>
      </c>
      <c r="BP42" s="19414">
        <f>IF(HLOOKUP("Mins",A1:CV300,42,FALSE)=0,0,HLOOKUP("ICT Index",A1:CV300,42,FALSE)/HLOOKUP("Mins",A1:CV300,42,FALSE)* 90)</f>
      </c>
      <c r="BQ42" s="19415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</c>
      <c r="BR42" s="19416">
        <f>0.0885*HLOOKUP("KP/90",A1:CV300,42,FALSE)</f>
      </c>
      <c r="BS42" s="19417">
        <f>5*HLOOKUP("xG/90",A1:CV300,42,FALSE)+3*HLOOKUP("xA/90",A1:CV300,42,FALSE)</f>
      </c>
      <c r="BT42" s="19418">
        <f>HLOOKUP("xPts/90",A1:CV300,42,FALSE)-(5*0.75*(HLOOKUP("PK Gs",A1:CV300,42,FALSE)+HLOOKUP("PK Miss",A1:CV300,42,FALSE))*90/HLOOKUP("Mins",A1:CV300,42,FALSE))</f>
      </c>
      <c r="BU42" s="19419">
        <f>IF(HLOOKUP("Mins",A1:CV300,42,FALSE)=0,0,HLOOKUP("fsXG",A1:CV300,42,FALSE)/HLOOKUP("Mins",A1:CV300,42,FALSE)* 90)</f>
      </c>
      <c r="BV42" s="19420">
        <f>IF(HLOOKUP("Mins",A1:CV300,42,FALSE)=0,0,HLOOKUP("fsXA",A1:CV300,42,FALSE)/HLOOKUP("Mins",A1:CV300,42,FALSE)* 90)</f>
      </c>
      <c r="BW42" s="19421">
        <f>5*HLOOKUP("fsXG/90",A1:CV300,42,FALSE)+3*HLOOKUP("fsXA/90",A1:CV300,42,FALSE)</f>
      </c>
      <c r="BX42" t="n" s="19422">
        <v>0.0</v>
      </c>
      <c r="BY42" t="n" s="19423">
        <v>0.0</v>
      </c>
      <c r="BZ42" s="19424">
        <f>5*HLOOKUP("uXG/90",A1:CV300,42,FALSE)+3*HLOOKUP("uXA/90",A1:CV300,42,FALSE)</f>
      </c>
    </row>
    <row r="43">
      <c r="A43" t="s" s="19425">
        <v>346</v>
      </c>
      <c r="B43" t="s" s="19426">
        <v>102</v>
      </c>
      <c r="C43" t="n" s="19427">
        <v>5.400000095367432</v>
      </c>
      <c r="D43" t="n" s="19428">
        <v>259.0</v>
      </c>
      <c r="E43" t="n" s="19429">
        <v>3.0</v>
      </c>
      <c r="F43" t="n" s="19430">
        <v>42.0</v>
      </c>
      <c r="G43" t="n" s="19431">
        <v>0.0</v>
      </c>
      <c r="H43" t="n" s="19432">
        <v>0.0</v>
      </c>
      <c r="I43" t="n" s="19433">
        <v>148.0</v>
      </c>
      <c r="J43" s="19434">
        <f>HLOOKUP("BPS",A1:CV300,43,FALSE)-((-6*HLOOKUP("OG",A1:CV300,43,FALSE))+(-6*HLOOKUP("PK Miss",A1:CV300,43,FALSE))+(9*HLOOKUP("FPL As",A1:CV300,43,FALSE))+(0*HLOOKUP("CS",A1:CV300,43,FALSE))+(18*HLOOKUP("Gs",A1:CV300,43,FALSE)))</f>
      </c>
      <c r="K43" t="n" s="19435">
        <v>0.0</v>
      </c>
      <c r="L43" t="n" s="19436">
        <v>4.0</v>
      </c>
      <c r="M43" t="n" s="19437">
        <v>14.0</v>
      </c>
      <c r="N43" t="n" s="19438">
        <v>8.0</v>
      </c>
      <c r="O43" t="n" s="19439">
        <v>3.0</v>
      </c>
      <c r="P43" s="19440">
        <f>IF(HLOOKUP("Shots",A1:CV300,43,FALSE)=0,0,HLOOKUP("SIB",A1:CV300,43,FALSE)/HLOOKUP("Shots",A1:CV300,43,FALSE))</f>
      </c>
      <c r="Q43" t="n" s="19441">
        <v>0.0</v>
      </c>
      <c r="R43" s="19442">
        <f>IF(HLOOKUP("Shots",A1:CV300,43,FALSE)=0,0,HLOOKUP("S6YD",A1:CV300,43,FALSE)/HLOOKUP("Shots",A1:CV300,43,FALSE))</f>
      </c>
      <c r="S43" t="n" s="19443">
        <v>0.0</v>
      </c>
      <c r="T43" s="19444">
        <f>IF(HLOOKUP("Shots",A1:CV300,43,FALSE)=0,0,HLOOKUP("Headers",A1:CV300,43,FALSE)/HLOOKUP("Shots",A1:CV300,43,FALSE))</f>
      </c>
      <c r="U43" t="n" s="19445">
        <v>3.0</v>
      </c>
      <c r="V43" s="19446">
        <f>IF(HLOOKUP("Shots",A1:CV300,43,FALSE)=0,0,HLOOKUP("SOT",A1:CV300,43,FALSE)/HLOOKUP("Shots",A1:CV300,43,FALSE))</f>
      </c>
      <c r="W43" s="19447">
        <f>IF(HLOOKUP("Shots",A1:CV300,43,FALSE)=0,0,HLOOKUP("Gs",A1:CV300,43,FALSE)/HLOOKUP("Shots",A1:CV300,43,FALSE))</f>
      </c>
      <c r="X43" t="n" s="19448">
        <v>1.0</v>
      </c>
      <c r="Y43" t="n" s="19449">
        <v>2.0</v>
      </c>
      <c r="Z43" t="n" s="19450">
        <v>6.0</v>
      </c>
      <c r="AA43" s="19451">
        <f>IF(HLOOKUP("KP",A1:CV300,43,FALSE)=0,0,HLOOKUP("As",A1:CV300,43,FALSE)/HLOOKUP("KP",A1:CV300,43,FALSE))</f>
      </c>
      <c r="AB43" s="19452"/>
      <c r="AC43" t="n" s="19453">
        <v>100.0</v>
      </c>
      <c r="AD43" t="n" s="19454">
        <v>3.0</v>
      </c>
      <c r="AE43" t="n" s="19455">
        <v>0.0</v>
      </c>
      <c r="AF43" t="n" s="19456">
        <v>0.0</v>
      </c>
      <c r="AG43" s="19457">
        <f>IF(HLOOKUP("BC",A1:CV300,43,FALSE)=0,0,HLOOKUP("Gs - BC",A1:CV300,43,FALSE)/HLOOKUP("BC",A1:CV300,43,FALSE))</f>
      </c>
      <c r="AH43" s="19458">
        <f>HLOOKUP("BC",A1:CV300,43,FALSE) - HLOOKUP("BC Miss",A1:CV300,43,FALSE)</f>
      </c>
      <c r="AI43" s="19459">
        <f>IF(HLOOKUP("Gs",A1:CV300,43,FALSE)=0,0,HLOOKUP("Gs - BC",A1:CV300,43,FALSE)/HLOOKUP("Gs",A1:CV300,43,FALSE))</f>
      </c>
      <c r="AJ43" t="n" s="19460">
        <v>0.0</v>
      </c>
      <c r="AK43" t="n" s="19461">
        <v>0.0</v>
      </c>
      <c r="AL43" s="19462">
        <f>HLOOKUP("BC",A1:CV300,43,FALSE) - (HLOOKUP("PK Gs",A1:CV300,43,FALSE) + HLOOKUP("PK Miss",A1:CV300,43,FALSE))</f>
      </c>
      <c r="AM43" s="19463">
        <f>HLOOKUP("BC Miss",A1:CV300,43,FALSE) - HLOOKUP("PK Miss",A1:CV300,43,FALSE)</f>
      </c>
      <c r="AN43" s="19464">
        <f>IF(HLOOKUP("BC - Open",A1:CV300,43,FALSE)=0,0,HLOOKUP("BC - Open Miss",A1:CV300,43,FALSE)/HLOOKUP("BC - Open",A1:CV300,43,FALSE))</f>
      </c>
      <c r="AO43" t="n" s="19465">
        <v>0.0</v>
      </c>
      <c r="AP43" s="19466">
        <f>IF(HLOOKUP("Gs",A1:CV300,43,FALSE)=0,0,HLOOKUP("GIB",A1:CV300,43,FALSE)/HLOOKUP("Gs",A1:CV300,43,FALSE))</f>
      </c>
      <c r="AQ43" t="n" s="19467">
        <v>0.0</v>
      </c>
      <c r="AR43" s="19468">
        <f>IF(HLOOKUP("Gs",A1:CV300,43,FALSE)=0,0,HLOOKUP("Gs - Open",A1:CV300,43,FALSE)/HLOOKUP("Gs",A1:CV300,43,FALSE))</f>
      </c>
      <c r="AS43" t="n" s="19469">
        <v>0.31</v>
      </c>
      <c r="AT43" t="n" s="19470">
        <v>0.69</v>
      </c>
      <c r="AU43" s="19471">
        <f>IF(HLOOKUP("Mins",A1:CV300,43,FALSE)=0,0,HLOOKUP("Pts",A1:CV300,43,FALSE)/HLOOKUP("Mins",A1:CV300,43,FALSE)* 90)</f>
      </c>
      <c r="AV43" s="19472">
        <f>IF(HLOOKUP("Apps",A1:CV300,43,FALSE)=0,0,HLOOKUP("Pts",A1:CV300,43,FALSE)/HLOOKUP("Apps",A1:CV300,43,FALSE)* 1)</f>
      </c>
      <c r="AW43" s="19473">
        <f>IF(HLOOKUP("Mins",A1:CV300,43,FALSE)=0,0,HLOOKUP("Gs",A1:CV300,43,FALSE)/HLOOKUP("Mins",A1:CV300,43,FALSE)* 90)</f>
      </c>
      <c r="AX43" s="19474">
        <f>IF(HLOOKUP("Mins",A1:CV300,43,FALSE)=0,0,HLOOKUP("Bonus",A1:CV300,43,FALSE)/HLOOKUP("Mins",A1:CV300,43,FALSE)* 90)</f>
      </c>
      <c r="AY43" s="19475">
        <f>IF(HLOOKUP("Mins",A1:CV300,43,FALSE)=0,0,HLOOKUP("BPS",A1:CV300,43,FALSE)/HLOOKUP("Mins",A1:CV300,43,FALSE)* 90)</f>
      </c>
      <c r="AZ43" s="19476">
        <f>IF(HLOOKUP("Mins",A1:CV300,43,FALSE)=0,0,HLOOKUP("Base BPS",A1:CV300,43,FALSE)/HLOOKUP("Mins",A1:CV300,43,FALSE)* 90)</f>
      </c>
      <c r="BA43" s="19477">
        <f>IF(HLOOKUP("Mins",A1:CV300,43,FALSE)=0,0,HLOOKUP("PenTchs",A1:CV300,43,FALSE)/HLOOKUP("Mins",A1:CV300,43,FALSE)* 90)</f>
      </c>
      <c r="BB43" s="19478">
        <f>IF(HLOOKUP("Mins",A1:CV300,43,FALSE)=0,0,HLOOKUP("Shots",A1:CV300,43,FALSE)/HLOOKUP("Mins",A1:CV300,43,FALSE)* 90)</f>
      </c>
      <c r="BC43" s="19479">
        <f>IF(HLOOKUP("Mins",A1:CV300,43,FALSE)=0,0,HLOOKUP("SIB",A1:CV300,43,FALSE)/HLOOKUP("Mins",A1:CV300,43,FALSE)* 90)</f>
      </c>
      <c r="BD43" s="19480">
        <f>IF(HLOOKUP("Mins",A1:CV300,43,FALSE)=0,0,HLOOKUP("S6YD",A1:CV300,43,FALSE)/HLOOKUP("Mins",A1:CV300,43,FALSE)* 90)</f>
      </c>
      <c r="BE43" s="19481">
        <f>IF(HLOOKUP("Mins",A1:CV300,43,FALSE)=0,0,HLOOKUP("Headers",A1:CV300,43,FALSE)/HLOOKUP("Mins",A1:CV300,43,FALSE)* 90)</f>
      </c>
      <c r="BF43" s="19482">
        <f>IF(HLOOKUP("Mins",A1:CV300,43,FALSE)=0,0,HLOOKUP("SOT",A1:CV300,43,FALSE)/HLOOKUP("Mins",A1:CV300,43,FALSE)* 90)</f>
      </c>
      <c r="BG43" s="19483">
        <f>IF(HLOOKUP("Mins",A1:CV300,43,FALSE)=0,0,HLOOKUP("As",A1:CV300,43,FALSE)/HLOOKUP("Mins",A1:CV300,43,FALSE)* 90)</f>
      </c>
      <c r="BH43" s="19484">
        <f>IF(HLOOKUP("Mins",A1:CV300,43,FALSE)=0,0,HLOOKUP("FPL As",A1:CV300,43,FALSE)/HLOOKUP("Mins",A1:CV300,43,FALSE)* 90)</f>
      </c>
      <c r="BI43" s="19485">
        <f>IF(HLOOKUP("Mins",A1:CV300,43,FALSE)=0,0,HLOOKUP("BC Created",A1:CV300,43,FALSE)/HLOOKUP("Mins",A1:CV300,43,FALSE)* 90)</f>
      </c>
      <c r="BJ43" s="19486">
        <f>IF(HLOOKUP("Mins",A1:CV300,43,FALSE)=0,0,HLOOKUP("KP",A1:CV300,43,FALSE)/HLOOKUP("Mins",A1:CV300,43,FALSE)* 90)</f>
      </c>
      <c r="BK43" s="19487">
        <f>IF(HLOOKUP("Mins",A1:CV300,43,FALSE)=0,0,HLOOKUP("BC",A1:CV300,43,FALSE)/HLOOKUP("Mins",A1:CV300,43,FALSE)* 90)</f>
      </c>
      <c r="BL43" s="19488">
        <f>IF(HLOOKUP("Mins",A1:CV300,43,FALSE)=0,0,HLOOKUP("BC Miss",A1:CV300,43,FALSE)/HLOOKUP("Mins",A1:CV300,43,FALSE)* 90)</f>
      </c>
      <c r="BM43" s="19489">
        <f>IF(HLOOKUP("Mins",A1:CV300,43,FALSE)=0,0,HLOOKUP("Gs - BC",A1:CV300,43,FALSE)/HLOOKUP("Mins",A1:CV300,43,FALSE)* 90)</f>
      </c>
      <c r="BN43" s="19490">
        <f>IF(HLOOKUP("Mins",A1:CV300,43,FALSE)=0,0,HLOOKUP("GIB",A1:CV300,43,FALSE)/HLOOKUP("Mins",A1:CV300,43,FALSE)* 90)</f>
      </c>
      <c r="BO43" s="19491">
        <f>IF(HLOOKUP("Mins",A1:CV300,43,FALSE)=0,0,HLOOKUP("Gs - Open",A1:CV300,43,FALSE)/HLOOKUP("Mins",A1:CV300,43,FALSE)* 90)</f>
      </c>
      <c r="BP43" s="19492">
        <f>IF(HLOOKUP("Mins",A1:CV300,43,FALSE)=0,0,HLOOKUP("ICT Index",A1:CV300,43,FALSE)/HLOOKUP("Mins",A1:CV300,43,FALSE)* 90)</f>
      </c>
      <c r="BQ43" s="19493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</c>
      <c r="BR43" s="19494">
        <f>0.0885*HLOOKUP("KP/90",A1:CV300,43,FALSE)</f>
      </c>
      <c r="BS43" s="19495">
        <f>5*HLOOKUP("xG/90",A1:CV300,43,FALSE)+3*HLOOKUP("xA/90",A1:CV300,43,FALSE)</f>
      </c>
      <c r="BT43" s="19496">
        <f>HLOOKUP("xPts/90",A1:CV300,43,FALSE)-(5*0.75*(HLOOKUP("PK Gs",A1:CV300,43,FALSE)+HLOOKUP("PK Miss",A1:CV300,43,FALSE))*90/HLOOKUP("Mins",A1:CV300,43,FALSE))</f>
      </c>
      <c r="BU43" s="19497">
        <f>IF(HLOOKUP("Mins",A1:CV300,43,FALSE)=0,0,HLOOKUP("fsXG",A1:CV300,43,FALSE)/HLOOKUP("Mins",A1:CV300,43,FALSE)* 90)</f>
      </c>
      <c r="BV43" s="19498">
        <f>IF(HLOOKUP("Mins",A1:CV300,43,FALSE)=0,0,HLOOKUP("fsXA",A1:CV300,43,FALSE)/HLOOKUP("Mins",A1:CV300,43,FALSE)* 90)</f>
      </c>
      <c r="BW43" s="19499">
        <f>5*HLOOKUP("fsXG/90",A1:CV300,43,FALSE)+3*HLOOKUP("fsXA/90",A1:CV300,43,FALSE)</f>
      </c>
      <c r="BX43" t="n" s="19500">
        <v>0.09926190227270126</v>
      </c>
      <c r="BY43" t="n" s="19501">
        <v>0.34214770793914795</v>
      </c>
      <c r="BZ43" s="19502">
        <f>5*HLOOKUP("uXG/90",A1:CV300,43,FALSE)+3*HLOOKUP("uXA/90",A1:CV300,43,FALSE)</f>
      </c>
    </row>
    <row r="44">
      <c r="A44" t="s" s="19503">
        <v>347</v>
      </c>
      <c r="B44" t="s" s="19504">
        <v>80</v>
      </c>
      <c r="C44" t="n" s="19505">
        <v>5.199999809265137</v>
      </c>
      <c r="D44" t="n" s="19506">
        <v>82.0</v>
      </c>
      <c r="E44" t="n" s="19507">
        <v>1.0</v>
      </c>
      <c r="F44" t="n" s="19508">
        <v>30.0</v>
      </c>
      <c r="G44" t="n" s="19509">
        <v>0.0</v>
      </c>
      <c r="H44" t="n" s="19510">
        <v>3.0</v>
      </c>
      <c r="I44" t="n" s="19511">
        <v>142.0</v>
      </c>
      <c r="J44" s="19512">
        <f>HLOOKUP("BPS",A1:CV300,44,FALSE)-((-6*HLOOKUP("OG",A1:CV300,44,FALSE))+(-6*HLOOKUP("PK Miss",A1:CV300,44,FALSE))+(9*HLOOKUP("FPL As",A1:CV300,44,FALSE))+(0*HLOOKUP("CS",A1:CV300,44,FALSE))+(18*HLOOKUP("Gs",A1:CV300,44,FALSE)))</f>
      </c>
      <c r="K44" t="n" s="19513">
        <v>0.0</v>
      </c>
      <c r="L44" t="n" s="19514">
        <v>2.0</v>
      </c>
      <c r="M44" t="n" s="19515">
        <v>0.0</v>
      </c>
      <c r="N44" t="n" s="19516">
        <v>0.0</v>
      </c>
      <c r="O44" t="n" s="19517">
        <v>0.0</v>
      </c>
      <c r="P44" s="19518">
        <f>IF(HLOOKUP("Shots",A1:CV300,44,FALSE)=0,0,HLOOKUP("SIB",A1:CV300,44,FALSE)/HLOOKUP("Shots",A1:CV300,44,FALSE))</f>
      </c>
      <c r="Q44" t="n" s="19519">
        <v>0.0</v>
      </c>
      <c r="R44" s="19520">
        <f>IF(HLOOKUP("Shots",A1:CV300,44,FALSE)=0,0,HLOOKUP("S6YD",A1:CV300,44,FALSE)/HLOOKUP("Shots",A1:CV300,44,FALSE))</f>
      </c>
      <c r="S44" t="n" s="19521">
        <v>0.0</v>
      </c>
      <c r="T44" s="19522">
        <f>IF(HLOOKUP("Shots",A1:CV300,44,FALSE)=0,0,HLOOKUP("Headers",A1:CV300,44,FALSE)/HLOOKUP("Shots",A1:CV300,44,FALSE))</f>
      </c>
      <c r="U44" t="n" s="19523">
        <v>0.0</v>
      </c>
      <c r="V44" s="19524">
        <f>IF(HLOOKUP("Shots",A1:CV300,44,FALSE)=0,0,HLOOKUP("SOT",A1:CV300,44,FALSE)/HLOOKUP("Shots",A1:CV300,44,FALSE))</f>
      </c>
      <c r="W44" s="19525">
        <f>IF(HLOOKUP("Shots",A1:CV300,44,FALSE)=0,0,HLOOKUP("Gs",A1:CV300,44,FALSE)/HLOOKUP("Shots",A1:CV300,44,FALSE))</f>
      </c>
      <c r="X44" t="n" s="19526">
        <v>0.0</v>
      </c>
      <c r="Y44" t="n" s="19527">
        <v>2.0</v>
      </c>
      <c r="Z44" t="n" s="19528">
        <v>3.0</v>
      </c>
      <c r="AA44" s="19529">
        <f>IF(HLOOKUP("KP",A1:CV300,44,FALSE)=0,0,HLOOKUP("As",A1:CV300,44,FALSE)/HLOOKUP("KP",A1:CV300,44,FALSE))</f>
      </c>
      <c r="AB44" s="19530"/>
      <c r="AC44" t="n" s="19531">
        <v>0.0</v>
      </c>
      <c r="AD44" t="n" s="19532">
        <v>0.0</v>
      </c>
      <c r="AE44" t="n" s="19533">
        <v>0.0</v>
      </c>
      <c r="AF44" t="n" s="19534">
        <v>0.0</v>
      </c>
      <c r="AG44" s="19535">
        <f>IF(HLOOKUP("BC",A1:CV300,44,FALSE)=0,0,HLOOKUP("Gs - BC",A1:CV300,44,FALSE)/HLOOKUP("BC",A1:CV300,44,FALSE))</f>
      </c>
      <c r="AH44" s="19536">
        <f>HLOOKUP("BC",A1:CV300,44,FALSE) - HLOOKUP("BC Miss",A1:CV300,44,FALSE)</f>
      </c>
      <c r="AI44" s="19537">
        <f>IF(HLOOKUP("Gs",A1:CV300,44,FALSE)=0,0,HLOOKUP("Gs - BC",A1:CV300,44,FALSE)/HLOOKUP("Gs",A1:CV300,44,FALSE))</f>
      </c>
      <c r="AJ44" t="n" s="19538">
        <v>0.0</v>
      </c>
      <c r="AK44" t="n" s="19539">
        <v>0.0</v>
      </c>
      <c r="AL44" s="19540">
        <f>HLOOKUP("BC",A1:CV300,44,FALSE) - (HLOOKUP("PK Gs",A1:CV300,44,FALSE) + HLOOKUP("PK Miss",A1:CV300,44,FALSE))</f>
      </c>
      <c r="AM44" s="19541">
        <f>HLOOKUP("BC Miss",A1:CV300,44,FALSE) - HLOOKUP("PK Miss",A1:CV300,44,FALSE)</f>
      </c>
      <c r="AN44" s="19542">
        <f>IF(HLOOKUP("BC - Open",A1:CV300,44,FALSE)=0,0,HLOOKUP("BC - Open Miss",A1:CV300,44,FALSE)/HLOOKUP("BC - Open",A1:CV300,44,FALSE))</f>
      </c>
      <c r="AO44" t="n" s="19543">
        <v>0.0</v>
      </c>
      <c r="AP44" s="19544">
        <f>IF(HLOOKUP("Gs",A1:CV300,44,FALSE)=0,0,HLOOKUP("GIB",A1:CV300,44,FALSE)/HLOOKUP("Gs",A1:CV300,44,FALSE))</f>
      </c>
      <c r="AQ44" t="n" s="19545">
        <v>0.0</v>
      </c>
      <c r="AR44" s="19546">
        <f>IF(HLOOKUP("Gs",A1:CV300,44,FALSE)=0,0,HLOOKUP("Gs - Open",A1:CV300,44,FALSE)/HLOOKUP("Gs",A1:CV300,44,FALSE))</f>
      </c>
      <c r="AS44" t="n" s="19547">
        <v>0.0</v>
      </c>
      <c r="AT44" t="n" s="19548">
        <v>0.36</v>
      </c>
      <c r="AU44" s="19549">
        <f>IF(HLOOKUP("Mins",A1:CV300,44,FALSE)=0,0,HLOOKUP("Pts",A1:CV300,44,FALSE)/HLOOKUP("Mins",A1:CV300,44,FALSE)* 90)</f>
      </c>
      <c r="AV44" s="19550">
        <f>IF(HLOOKUP("Apps",A1:CV300,44,FALSE)=0,0,HLOOKUP("Pts",A1:CV300,44,FALSE)/HLOOKUP("Apps",A1:CV300,44,FALSE)* 1)</f>
      </c>
      <c r="AW44" s="19551">
        <f>IF(HLOOKUP("Mins",A1:CV300,44,FALSE)=0,0,HLOOKUP("Gs",A1:CV300,44,FALSE)/HLOOKUP("Mins",A1:CV300,44,FALSE)* 90)</f>
      </c>
      <c r="AX44" s="19552">
        <f>IF(HLOOKUP("Mins",A1:CV300,44,FALSE)=0,0,HLOOKUP("Bonus",A1:CV300,44,FALSE)/HLOOKUP("Mins",A1:CV300,44,FALSE)* 90)</f>
      </c>
      <c r="AY44" s="19553">
        <f>IF(HLOOKUP("Mins",A1:CV300,44,FALSE)=0,0,HLOOKUP("BPS",A1:CV300,44,FALSE)/HLOOKUP("Mins",A1:CV300,44,FALSE)* 90)</f>
      </c>
      <c r="AZ44" s="19554">
        <f>IF(HLOOKUP("Mins",A1:CV300,44,FALSE)=0,0,HLOOKUP("Base BPS",A1:CV300,44,FALSE)/HLOOKUP("Mins",A1:CV300,44,FALSE)* 90)</f>
      </c>
      <c r="BA44" s="19555">
        <f>IF(HLOOKUP("Mins",A1:CV300,44,FALSE)=0,0,HLOOKUP("PenTchs",A1:CV300,44,FALSE)/HLOOKUP("Mins",A1:CV300,44,FALSE)* 90)</f>
      </c>
      <c r="BB44" s="19556">
        <f>IF(HLOOKUP("Mins",A1:CV300,44,FALSE)=0,0,HLOOKUP("Shots",A1:CV300,44,FALSE)/HLOOKUP("Mins",A1:CV300,44,FALSE)* 90)</f>
      </c>
      <c r="BC44" s="19557">
        <f>IF(HLOOKUP("Mins",A1:CV300,44,FALSE)=0,0,HLOOKUP("SIB",A1:CV300,44,FALSE)/HLOOKUP("Mins",A1:CV300,44,FALSE)* 90)</f>
      </c>
      <c r="BD44" s="19558">
        <f>IF(HLOOKUP("Mins",A1:CV300,44,FALSE)=0,0,HLOOKUP("S6YD",A1:CV300,44,FALSE)/HLOOKUP("Mins",A1:CV300,44,FALSE)* 90)</f>
      </c>
      <c r="BE44" s="19559">
        <f>IF(HLOOKUP("Mins",A1:CV300,44,FALSE)=0,0,HLOOKUP("Headers",A1:CV300,44,FALSE)/HLOOKUP("Mins",A1:CV300,44,FALSE)* 90)</f>
      </c>
      <c r="BF44" s="19560">
        <f>IF(HLOOKUP("Mins",A1:CV300,44,FALSE)=0,0,HLOOKUP("SOT",A1:CV300,44,FALSE)/HLOOKUP("Mins",A1:CV300,44,FALSE)* 90)</f>
      </c>
      <c r="BG44" s="19561">
        <f>IF(HLOOKUP("Mins",A1:CV300,44,FALSE)=0,0,HLOOKUP("As",A1:CV300,44,FALSE)/HLOOKUP("Mins",A1:CV300,44,FALSE)* 90)</f>
      </c>
      <c r="BH44" s="19562">
        <f>IF(HLOOKUP("Mins",A1:CV300,44,FALSE)=0,0,HLOOKUP("FPL As",A1:CV300,44,FALSE)/HLOOKUP("Mins",A1:CV300,44,FALSE)* 90)</f>
      </c>
      <c r="BI44" s="19563">
        <f>IF(HLOOKUP("Mins",A1:CV300,44,FALSE)=0,0,HLOOKUP("BC Created",A1:CV300,44,FALSE)/HLOOKUP("Mins",A1:CV300,44,FALSE)* 90)</f>
      </c>
      <c r="BJ44" s="19564">
        <f>IF(HLOOKUP("Mins",A1:CV300,44,FALSE)=0,0,HLOOKUP("KP",A1:CV300,44,FALSE)/HLOOKUP("Mins",A1:CV300,44,FALSE)* 90)</f>
      </c>
      <c r="BK44" s="19565">
        <f>IF(HLOOKUP("Mins",A1:CV300,44,FALSE)=0,0,HLOOKUP("BC",A1:CV300,44,FALSE)/HLOOKUP("Mins",A1:CV300,44,FALSE)* 90)</f>
      </c>
      <c r="BL44" s="19566">
        <f>IF(HLOOKUP("Mins",A1:CV300,44,FALSE)=0,0,HLOOKUP("BC Miss",A1:CV300,44,FALSE)/HLOOKUP("Mins",A1:CV300,44,FALSE)* 90)</f>
      </c>
      <c r="BM44" s="19567">
        <f>IF(HLOOKUP("Mins",A1:CV300,44,FALSE)=0,0,HLOOKUP("Gs - BC",A1:CV300,44,FALSE)/HLOOKUP("Mins",A1:CV300,44,FALSE)* 90)</f>
      </c>
      <c r="BN44" s="19568">
        <f>IF(HLOOKUP("Mins",A1:CV300,44,FALSE)=0,0,HLOOKUP("GIB",A1:CV300,44,FALSE)/HLOOKUP("Mins",A1:CV300,44,FALSE)* 90)</f>
      </c>
      <c r="BO44" s="19569">
        <f>IF(HLOOKUP("Mins",A1:CV300,44,FALSE)=0,0,HLOOKUP("Gs - Open",A1:CV300,44,FALSE)/HLOOKUP("Mins",A1:CV300,44,FALSE)* 90)</f>
      </c>
      <c r="BP44" s="19570">
        <f>IF(HLOOKUP("Mins",A1:CV300,44,FALSE)=0,0,HLOOKUP("ICT Index",A1:CV300,44,FALSE)/HLOOKUP("Mins",A1:CV300,44,FALSE)* 90)</f>
      </c>
      <c r="BQ44" s="19571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</c>
      <c r="BR44" s="19572">
        <f>0.0885*HLOOKUP("KP/90",A1:CV300,44,FALSE)</f>
      </c>
      <c r="BS44" s="19573">
        <f>5*HLOOKUP("xG/90",A1:CV300,44,FALSE)+3*HLOOKUP("xA/90",A1:CV300,44,FALSE)</f>
      </c>
      <c r="BT44" s="19574">
        <f>HLOOKUP("xPts/90",A1:CV300,44,FALSE)-(5*0.75*(HLOOKUP("PK Gs",A1:CV300,44,FALSE)+HLOOKUP("PK Miss",A1:CV300,44,FALSE))*90/HLOOKUP("Mins",A1:CV300,44,FALSE))</f>
      </c>
      <c r="BU44" s="19575">
        <f>IF(HLOOKUP("Mins",A1:CV300,44,FALSE)=0,0,HLOOKUP("fsXG",A1:CV300,44,FALSE)/HLOOKUP("Mins",A1:CV300,44,FALSE)* 90)</f>
      </c>
      <c r="BV44" s="19576">
        <f>IF(HLOOKUP("Mins",A1:CV300,44,FALSE)=0,0,HLOOKUP("fsXA",A1:CV300,44,FALSE)/HLOOKUP("Mins",A1:CV300,44,FALSE)* 90)</f>
      </c>
      <c r="BW44" s="19577">
        <f>5*HLOOKUP("fsXG/90",A1:CV300,44,FALSE)+3*HLOOKUP("fsXA/90",A1:CV300,44,FALSE)</f>
      </c>
      <c r="BX44" t="n" s="19578">
        <v>0.0</v>
      </c>
      <c r="BY44" t="n" s="19579">
        <v>0.15430594980716705</v>
      </c>
      <c r="BZ44" s="19580">
        <f>5*HLOOKUP("uXG/90",A1:CV300,44,FALSE)+3*HLOOKUP("uXA/90",A1:CV300,44,FALSE)</f>
      </c>
    </row>
    <row r="45">
      <c r="A45" t="s" s="19581">
        <v>348</v>
      </c>
      <c r="B45" t="s" s="19582">
        <v>90</v>
      </c>
      <c r="C45" t="n" s="19583">
        <v>5.099999904632568</v>
      </c>
      <c r="D45" t="n" s="19584">
        <v>8.0</v>
      </c>
      <c r="E45" t="n" s="19585">
        <v>2.0</v>
      </c>
      <c r="F45" t="n" s="19586">
        <v>24.0</v>
      </c>
      <c r="G45" t="n" s="19587">
        <v>0.0</v>
      </c>
      <c r="H45" t="n" s="19588">
        <v>0.0</v>
      </c>
      <c r="I45" t="n" s="19589">
        <v>75.0</v>
      </c>
      <c r="J45" s="19590">
        <f>HLOOKUP("BPS",A1:CV300,45,FALSE)-((-6*HLOOKUP("OG",A1:CV300,45,FALSE))+(-6*HLOOKUP("PK Miss",A1:CV300,45,FALSE))+(9*HLOOKUP("FPL As",A1:CV300,45,FALSE))+(0*HLOOKUP("CS",A1:CV300,45,FALSE))+(18*HLOOKUP("Gs",A1:CV300,45,FALSE)))</f>
      </c>
      <c r="K45" t="n" s="19591">
        <v>0.0</v>
      </c>
      <c r="L45" t="n" s="19592">
        <v>1.0</v>
      </c>
      <c r="M45" t="n" s="19593">
        <v>0.0</v>
      </c>
      <c r="N45" t="n" s="19594">
        <v>0.0</v>
      </c>
      <c r="O45" t="n" s="19595">
        <v>0.0</v>
      </c>
      <c r="P45" s="19596">
        <f>IF(HLOOKUP("Shots",A1:CV300,45,FALSE)=0,0,HLOOKUP("SIB",A1:CV300,45,FALSE)/HLOOKUP("Shots",A1:CV300,45,FALSE))</f>
      </c>
      <c r="Q45" t="n" s="19597">
        <v>0.0</v>
      </c>
      <c r="R45" s="19598">
        <f>IF(HLOOKUP("Shots",A1:CV300,45,FALSE)=0,0,HLOOKUP("S6YD",A1:CV300,45,FALSE)/HLOOKUP("Shots",A1:CV300,45,FALSE))</f>
      </c>
      <c r="S45" t="n" s="19599">
        <v>0.0</v>
      </c>
      <c r="T45" s="19600">
        <f>IF(HLOOKUP("Shots",A1:CV300,45,FALSE)=0,0,HLOOKUP("Headers",A1:CV300,45,FALSE)/HLOOKUP("Shots",A1:CV300,45,FALSE))</f>
      </c>
      <c r="U45" t="n" s="19601">
        <v>0.0</v>
      </c>
      <c r="V45" s="19602">
        <f>IF(HLOOKUP("Shots",A1:CV300,45,FALSE)=0,0,HLOOKUP("SOT",A1:CV300,45,FALSE)/HLOOKUP("Shots",A1:CV300,45,FALSE))</f>
      </c>
      <c r="W45" s="19603">
        <f>IF(HLOOKUP("Shots",A1:CV300,45,FALSE)=0,0,HLOOKUP("Gs",A1:CV300,45,FALSE)/HLOOKUP("Shots",A1:CV300,45,FALSE))</f>
      </c>
      <c r="X45" t="n" s="19604">
        <v>0.0</v>
      </c>
      <c r="Y45" t="n" s="19605">
        <v>0.0</v>
      </c>
      <c r="Z45" t="n" s="19606">
        <v>0.0</v>
      </c>
      <c r="AA45" s="19607">
        <f>IF(HLOOKUP("KP",A1:CV300,45,FALSE)=0,0,HLOOKUP("As",A1:CV300,45,FALSE)/HLOOKUP("KP",A1:CV300,45,FALSE))</f>
      </c>
      <c r="AB45" s="19608"/>
      <c r="AC45" t="n" s="19609">
        <v>0.0</v>
      </c>
      <c r="AD45" t="n" s="19610">
        <v>0.0</v>
      </c>
      <c r="AE45" t="n" s="19611">
        <v>0.0</v>
      </c>
      <c r="AF45" t="n" s="19612">
        <v>0.0</v>
      </c>
      <c r="AG45" s="19613">
        <f>IF(HLOOKUP("BC",A1:CV300,45,FALSE)=0,0,HLOOKUP("Gs - BC",A1:CV300,45,FALSE)/HLOOKUP("BC",A1:CV300,45,FALSE))</f>
      </c>
      <c r="AH45" s="19614">
        <f>HLOOKUP("BC",A1:CV300,45,FALSE) - HLOOKUP("BC Miss",A1:CV300,45,FALSE)</f>
      </c>
      <c r="AI45" s="19615">
        <f>IF(HLOOKUP("Gs",A1:CV300,45,FALSE)=0,0,HLOOKUP("Gs - BC",A1:CV300,45,FALSE)/HLOOKUP("Gs",A1:CV300,45,FALSE))</f>
      </c>
      <c r="AJ45" t="n" s="19616">
        <v>0.0</v>
      </c>
      <c r="AK45" t="n" s="19617">
        <v>0.0</v>
      </c>
      <c r="AL45" s="19618">
        <f>HLOOKUP("BC",A1:CV300,45,FALSE) - (HLOOKUP("PK Gs",A1:CV300,45,FALSE) + HLOOKUP("PK Miss",A1:CV300,45,FALSE))</f>
      </c>
      <c r="AM45" s="19619">
        <f>HLOOKUP("BC Miss",A1:CV300,45,FALSE) - HLOOKUP("PK Miss",A1:CV300,45,FALSE)</f>
      </c>
      <c r="AN45" s="19620">
        <f>IF(HLOOKUP("BC - Open",A1:CV300,45,FALSE)=0,0,HLOOKUP("BC - Open Miss",A1:CV300,45,FALSE)/HLOOKUP("BC - Open",A1:CV300,45,FALSE))</f>
      </c>
      <c r="AO45" t="n" s="19621">
        <v>0.0</v>
      </c>
      <c r="AP45" s="19622">
        <f>IF(HLOOKUP("Gs",A1:CV300,45,FALSE)=0,0,HLOOKUP("GIB",A1:CV300,45,FALSE)/HLOOKUP("Gs",A1:CV300,45,FALSE))</f>
      </c>
      <c r="AQ45" t="n" s="19623">
        <v>0.0</v>
      </c>
      <c r="AR45" s="19624">
        <f>IF(HLOOKUP("Gs",A1:CV300,45,FALSE)=0,0,HLOOKUP("Gs - Open",A1:CV300,45,FALSE)/HLOOKUP("Gs",A1:CV300,45,FALSE))</f>
      </c>
      <c r="AS45" t="n" s="19625">
        <v>0.0</v>
      </c>
      <c r="AT45" t="n" s="19626">
        <v>0.0</v>
      </c>
      <c r="AU45" s="19627">
        <f>IF(HLOOKUP("Mins",A1:CV300,45,FALSE)=0,0,HLOOKUP("Pts",A1:CV300,45,FALSE)/HLOOKUP("Mins",A1:CV300,45,FALSE)* 90)</f>
      </c>
      <c r="AV45" s="19628">
        <f>IF(HLOOKUP("Apps",A1:CV300,45,FALSE)=0,0,HLOOKUP("Pts",A1:CV300,45,FALSE)/HLOOKUP("Apps",A1:CV300,45,FALSE)* 1)</f>
      </c>
      <c r="AW45" s="19629">
        <f>IF(HLOOKUP("Mins",A1:CV300,45,FALSE)=0,0,HLOOKUP("Gs",A1:CV300,45,FALSE)/HLOOKUP("Mins",A1:CV300,45,FALSE)* 90)</f>
      </c>
      <c r="AX45" s="19630">
        <f>IF(HLOOKUP("Mins",A1:CV300,45,FALSE)=0,0,HLOOKUP("Bonus",A1:CV300,45,FALSE)/HLOOKUP("Mins",A1:CV300,45,FALSE)* 90)</f>
      </c>
      <c r="AY45" s="19631">
        <f>IF(HLOOKUP("Mins",A1:CV300,45,FALSE)=0,0,HLOOKUP("BPS",A1:CV300,45,FALSE)/HLOOKUP("Mins",A1:CV300,45,FALSE)* 90)</f>
      </c>
      <c r="AZ45" s="19632">
        <f>IF(HLOOKUP("Mins",A1:CV300,45,FALSE)=0,0,HLOOKUP("Base BPS",A1:CV300,45,FALSE)/HLOOKUP("Mins",A1:CV300,45,FALSE)* 90)</f>
      </c>
      <c r="BA45" s="19633">
        <f>IF(HLOOKUP("Mins",A1:CV300,45,FALSE)=0,0,HLOOKUP("PenTchs",A1:CV300,45,FALSE)/HLOOKUP("Mins",A1:CV300,45,FALSE)* 90)</f>
      </c>
      <c r="BB45" s="19634">
        <f>IF(HLOOKUP("Mins",A1:CV300,45,FALSE)=0,0,HLOOKUP("Shots",A1:CV300,45,FALSE)/HLOOKUP("Mins",A1:CV300,45,FALSE)* 90)</f>
      </c>
      <c r="BC45" s="19635">
        <f>IF(HLOOKUP("Mins",A1:CV300,45,FALSE)=0,0,HLOOKUP("SIB",A1:CV300,45,FALSE)/HLOOKUP("Mins",A1:CV300,45,FALSE)* 90)</f>
      </c>
      <c r="BD45" s="19636">
        <f>IF(HLOOKUP("Mins",A1:CV300,45,FALSE)=0,0,HLOOKUP("S6YD",A1:CV300,45,FALSE)/HLOOKUP("Mins",A1:CV300,45,FALSE)* 90)</f>
      </c>
      <c r="BE45" s="19637">
        <f>IF(HLOOKUP("Mins",A1:CV300,45,FALSE)=0,0,HLOOKUP("Headers",A1:CV300,45,FALSE)/HLOOKUP("Mins",A1:CV300,45,FALSE)* 90)</f>
      </c>
      <c r="BF45" s="19638">
        <f>IF(HLOOKUP("Mins",A1:CV300,45,FALSE)=0,0,HLOOKUP("SOT",A1:CV300,45,FALSE)/HLOOKUP("Mins",A1:CV300,45,FALSE)* 90)</f>
      </c>
      <c r="BG45" s="19639">
        <f>IF(HLOOKUP("Mins",A1:CV300,45,FALSE)=0,0,HLOOKUP("As",A1:CV300,45,FALSE)/HLOOKUP("Mins",A1:CV300,45,FALSE)* 90)</f>
      </c>
      <c r="BH45" s="19640">
        <f>IF(HLOOKUP("Mins",A1:CV300,45,FALSE)=0,0,HLOOKUP("FPL As",A1:CV300,45,FALSE)/HLOOKUP("Mins",A1:CV300,45,FALSE)* 90)</f>
      </c>
      <c r="BI45" s="19641">
        <f>IF(HLOOKUP("Mins",A1:CV300,45,FALSE)=0,0,HLOOKUP("BC Created",A1:CV300,45,FALSE)/HLOOKUP("Mins",A1:CV300,45,FALSE)* 90)</f>
      </c>
      <c r="BJ45" s="19642">
        <f>IF(HLOOKUP("Mins",A1:CV300,45,FALSE)=0,0,HLOOKUP("KP",A1:CV300,45,FALSE)/HLOOKUP("Mins",A1:CV300,45,FALSE)* 90)</f>
      </c>
      <c r="BK45" s="19643">
        <f>IF(HLOOKUP("Mins",A1:CV300,45,FALSE)=0,0,HLOOKUP("BC",A1:CV300,45,FALSE)/HLOOKUP("Mins",A1:CV300,45,FALSE)* 90)</f>
      </c>
      <c r="BL45" s="19644">
        <f>IF(HLOOKUP("Mins",A1:CV300,45,FALSE)=0,0,HLOOKUP("BC Miss",A1:CV300,45,FALSE)/HLOOKUP("Mins",A1:CV300,45,FALSE)* 90)</f>
      </c>
      <c r="BM45" s="19645">
        <f>IF(HLOOKUP("Mins",A1:CV300,45,FALSE)=0,0,HLOOKUP("Gs - BC",A1:CV300,45,FALSE)/HLOOKUP("Mins",A1:CV300,45,FALSE)* 90)</f>
      </c>
      <c r="BN45" s="19646">
        <f>IF(HLOOKUP("Mins",A1:CV300,45,FALSE)=0,0,HLOOKUP("GIB",A1:CV300,45,FALSE)/HLOOKUP("Mins",A1:CV300,45,FALSE)* 90)</f>
      </c>
      <c r="BO45" s="19647">
        <f>IF(HLOOKUP("Mins",A1:CV300,45,FALSE)=0,0,HLOOKUP("Gs - Open",A1:CV300,45,FALSE)/HLOOKUP("Mins",A1:CV300,45,FALSE)* 90)</f>
      </c>
      <c r="BP45" s="19648">
        <f>IF(HLOOKUP("Mins",A1:CV300,45,FALSE)=0,0,HLOOKUP("ICT Index",A1:CV300,45,FALSE)/HLOOKUP("Mins",A1:CV300,45,FALSE)* 90)</f>
      </c>
      <c r="BQ45" s="19649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</c>
      <c r="BR45" s="19650">
        <f>0.0885*HLOOKUP("KP/90",A1:CV300,45,FALSE)</f>
      </c>
      <c r="BS45" s="19651">
        <f>5*HLOOKUP("xG/90",A1:CV300,45,FALSE)+3*HLOOKUP("xA/90",A1:CV300,45,FALSE)</f>
      </c>
      <c r="BT45" s="19652">
        <f>HLOOKUP("xPts/90",A1:CV300,45,FALSE)-(5*0.75*(HLOOKUP("PK Gs",A1:CV300,45,FALSE)+HLOOKUP("PK Miss",A1:CV300,45,FALSE))*90/HLOOKUP("Mins",A1:CV300,45,FALSE))</f>
      </c>
      <c r="BU45" s="19653">
        <f>IF(HLOOKUP("Mins",A1:CV300,45,FALSE)=0,0,HLOOKUP("fsXG",A1:CV300,45,FALSE)/HLOOKUP("Mins",A1:CV300,45,FALSE)* 90)</f>
      </c>
      <c r="BV45" s="19654">
        <f>IF(HLOOKUP("Mins",A1:CV300,45,FALSE)=0,0,HLOOKUP("fsXA",A1:CV300,45,FALSE)/HLOOKUP("Mins",A1:CV300,45,FALSE)* 90)</f>
      </c>
      <c r="BW45" s="19655">
        <f>5*HLOOKUP("fsXG/90",A1:CV300,45,FALSE)+3*HLOOKUP("fsXA/90",A1:CV300,45,FALSE)</f>
      </c>
      <c r="BX45" t="n" s="19656">
        <v>0.0</v>
      </c>
      <c r="BY45" t="n" s="19657">
        <v>0.0</v>
      </c>
      <c r="BZ45" s="19658">
        <f>5*HLOOKUP("uXG/90",A1:CV300,45,FALSE)+3*HLOOKUP("uXA/90",A1:CV300,45,FALSE)</f>
      </c>
    </row>
    <row r="46">
      <c r="A46" t="s" s="19659">
        <v>349</v>
      </c>
      <c r="B46" t="s" s="19660">
        <v>114</v>
      </c>
      <c r="C46" t="n" s="19661">
        <v>6.0</v>
      </c>
      <c r="D46" t="n" s="19662">
        <v>227.0</v>
      </c>
      <c r="E46" t="n" s="19663">
        <v>6.0</v>
      </c>
      <c r="F46" t="n" s="19664">
        <v>55.0</v>
      </c>
      <c r="G46" t="n" s="19665">
        <v>0.0</v>
      </c>
      <c r="H46" t="n" s="19666">
        <v>3.0</v>
      </c>
      <c r="I46" t="n" s="19667">
        <v>192.0</v>
      </c>
      <c r="J46" s="19668">
        <f>HLOOKUP("BPS",A1:CV300,46,FALSE)-((-6*HLOOKUP("OG",A1:CV300,46,FALSE))+(-6*HLOOKUP("PK Miss",A1:CV300,46,FALSE))+(9*HLOOKUP("FPL As",A1:CV300,46,FALSE))+(0*HLOOKUP("CS",A1:CV300,46,FALSE))+(18*HLOOKUP("Gs",A1:CV300,46,FALSE)))</f>
      </c>
      <c r="K46" t="n" s="19669">
        <v>0.0</v>
      </c>
      <c r="L46" t="n" s="19670">
        <v>4.0</v>
      </c>
      <c r="M46" t="n" s="19671">
        <v>8.0</v>
      </c>
      <c r="N46" t="n" s="19672">
        <v>6.0</v>
      </c>
      <c r="O46" t="n" s="19673">
        <v>5.0</v>
      </c>
      <c r="P46" s="19674">
        <f>IF(HLOOKUP("Shots",A1:CV300,46,FALSE)=0,0,HLOOKUP("SIB",A1:CV300,46,FALSE)/HLOOKUP("Shots",A1:CV300,46,FALSE))</f>
      </c>
      <c r="Q46" t="n" s="19675">
        <v>0.0</v>
      </c>
      <c r="R46" s="19676">
        <f>IF(HLOOKUP("Shots",A1:CV300,46,FALSE)=0,0,HLOOKUP("S6YD",A1:CV300,46,FALSE)/HLOOKUP("Shots",A1:CV300,46,FALSE))</f>
      </c>
      <c r="S46" t="n" s="19677">
        <v>1.0</v>
      </c>
      <c r="T46" s="19678">
        <f>IF(HLOOKUP("Shots",A1:CV300,46,FALSE)=0,0,HLOOKUP("Headers",A1:CV300,46,FALSE)/HLOOKUP("Shots",A1:CV300,46,FALSE))</f>
      </c>
      <c r="U46" t="n" s="19679">
        <v>2.0</v>
      </c>
      <c r="V46" s="19680">
        <f>IF(HLOOKUP("Shots",A1:CV300,46,FALSE)=0,0,HLOOKUP("SOT",A1:CV300,46,FALSE)/HLOOKUP("Shots",A1:CV300,46,FALSE))</f>
      </c>
      <c r="W46" s="19681">
        <f>IF(HLOOKUP("Shots",A1:CV300,46,FALSE)=0,0,HLOOKUP("Gs",A1:CV300,46,FALSE)/HLOOKUP("Shots",A1:CV300,46,FALSE))</f>
      </c>
      <c r="X46" t="n" s="19682">
        <v>0.0</v>
      </c>
      <c r="Y46" t="n" s="19683">
        <v>3.0</v>
      </c>
      <c r="Z46" t="n" s="19684">
        <v>0.0</v>
      </c>
      <c r="AA46" s="19685">
        <f>IF(HLOOKUP("KP",A1:CV300,46,FALSE)=0,0,HLOOKUP("As",A1:CV300,46,FALSE)/HLOOKUP("KP",A1:CV300,46,FALSE))</f>
      </c>
      <c r="AB46" s="19686"/>
      <c r="AC46" t="n" s="19687">
        <v>0.0</v>
      </c>
      <c r="AD46" t="n" s="19688">
        <v>0.0</v>
      </c>
      <c r="AE46" t="n" s="19689">
        <v>1.0</v>
      </c>
      <c r="AF46" t="n" s="19690">
        <v>1.0</v>
      </c>
      <c r="AG46" s="19691">
        <f>IF(HLOOKUP("BC",A1:CV300,46,FALSE)=0,0,HLOOKUP("Gs - BC",A1:CV300,46,FALSE)/HLOOKUP("BC",A1:CV300,46,FALSE))</f>
      </c>
      <c r="AH46" s="19692">
        <f>HLOOKUP("BC",A1:CV300,46,FALSE) - HLOOKUP("BC Miss",A1:CV300,46,FALSE)</f>
      </c>
      <c r="AI46" s="19693">
        <f>IF(HLOOKUP("Gs",A1:CV300,46,FALSE)=0,0,HLOOKUP("Gs - BC",A1:CV300,46,FALSE)/HLOOKUP("Gs",A1:CV300,46,FALSE))</f>
      </c>
      <c r="AJ46" t="n" s="19694">
        <v>0.0</v>
      </c>
      <c r="AK46" t="n" s="19695">
        <v>0.0</v>
      </c>
      <c r="AL46" s="19696">
        <f>HLOOKUP("BC",A1:CV300,46,FALSE) - (HLOOKUP("PK Gs",A1:CV300,46,FALSE) + HLOOKUP("PK Miss",A1:CV300,46,FALSE))</f>
      </c>
      <c r="AM46" s="19697">
        <f>HLOOKUP("BC Miss",A1:CV300,46,FALSE) - HLOOKUP("PK Miss",A1:CV300,46,FALSE)</f>
      </c>
      <c r="AN46" s="19698">
        <f>IF(HLOOKUP("BC - Open",A1:CV300,46,FALSE)=0,0,HLOOKUP("BC - Open Miss",A1:CV300,46,FALSE)/HLOOKUP("BC - Open",A1:CV300,46,FALSE))</f>
      </c>
      <c r="AO46" t="n" s="19699">
        <v>0.0</v>
      </c>
      <c r="AP46" s="19700">
        <f>IF(HLOOKUP("Gs",A1:CV300,46,FALSE)=0,0,HLOOKUP("GIB",A1:CV300,46,FALSE)/HLOOKUP("Gs",A1:CV300,46,FALSE))</f>
      </c>
      <c r="AQ46" t="n" s="19701">
        <v>0.0</v>
      </c>
      <c r="AR46" s="19702">
        <f>IF(HLOOKUP("Gs",A1:CV300,46,FALSE)=0,0,HLOOKUP("Gs - Open",A1:CV300,46,FALSE)/HLOOKUP("Gs",A1:CV300,46,FALSE))</f>
      </c>
      <c r="AS46" t="n" s="19703">
        <v>0.52</v>
      </c>
      <c r="AT46" t="n" s="19704">
        <v>0.11</v>
      </c>
      <c r="AU46" s="19705">
        <f>IF(HLOOKUP("Mins",A1:CV300,46,FALSE)=0,0,HLOOKUP("Pts",A1:CV300,46,FALSE)/HLOOKUP("Mins",A1:CV300,46,FALSE)* 90)</f>
      </c>
      <c r="AV46" s="19706">
        <f>IF(HLOOKUP("Apps",A1:CV300,46,FALSE)=0,0,HLOOKUP("Pts",A1:CV300,46,FALSE)/HLOOKUP("Apps",A1:CV300,46,FALSE)* 1)</f>
      </c>
      <c r="AW46" s="19707">
        <f>IF(HLOOKUP("Mins",A1:CV300,46,FALSE)=0,0,HLOOKUP("Gs",A1:CV300,46,FALSE)/HLOOKUP("Mins",A1:CV300,46,FALSE)* 90)</f>
      </c>
      <c r="AX46" s="19708">
        <f>IF(HLOOKUP("Mins",A1:CV300,46,FALSE)=0,0,HLOOKUP("Bonus",A1:CV300,46,FALSE)/HLOOKUP("Mins",A1:CV300,46,FALSE)* 90)</f>
      </c>
      <c r="AY46" s="19709">
        <f>IF(HLOOKUP("Mins",A1:CV300,46,FALSE)=0,0,HLOOKUP("BPS",A1:CV300,46,FALSE)/HLOOKUP("Mins",A1:CV300,46,FALSE)* 90)</f>
      </c>
      <c r="AZ46" s="19710">
        <f>IF(HLOOKUP("Mins",A1:CV300,46,FALSE)=0,0,HLOOKUP("Base BPS",A1:CV300,46,FALSE)/HLOOKUP("Mins",A1:CV300,46,FALSE)* 90)</f>
      </c>
      <c r="BA46" s="19711">
        <f>IF(HLOOKUP("Mins",A1:CV300,46,FALSE)=0,0,HLOOKUP("PenTchs",A1:CV300,46,FALSE)/HLOOKUP("Mins",A1:CV300,46,FALSE)* 90)</f>
      </c>
      <c r="BB46" s="19712">
        <f>IF(HLOOKUP("Mins",A1:CV300,46,FALSE)=0,0,HLOOKUP("Shots",A1:CV300,46,FALSE)/HLOOKUP("Mins",A1:CV300,46,FALSE)* 90)</f>
      </c>
      <c r="BC46" s="19713">
        <f>IF(HLOOKUP("Mins",A1:CV300,46,FALSE)=0,0,HLOOKUP("SIB",A1:CV300,46,FALSE)/HLOOKUP("Mins",A1:CV300,46,FALSE)* 90)</f>
      </c>
      <c r="BD46" s="19714">
        <f>IF(HLOOKUP("Mins",A1:CV300,46,FALSE)=0,0,HLOOKUP("S6YD",A1:CV300,46,FALSE)/HLOOKUP("Mins",A1:CV300,46,FALSE)* 90)</f>
      </c>
      <c r="BE46" s="19715">
        <f>IF(HLOOKUP("Mins",A1:CV300,46,FALSE)=0,0,HLOOKUP("Headers",A1:CV300,46,FALSE)/HLOOKUP("Mins",A1:CV300,46,FALSE)* 90)</f>
      </c>
      <c r="BF46" s="19716">
        <f>IF(HLOOKUP("Mins",A1:CV300,46,FALSE)=0,0,HLOOKUP("SOT",A1:CV300,46,FALSE)/HLOOKUP("Mins",A1:CV300,46,FALSE)* 90)</f>
      </c>
      <c r="BG46" s="19717">
        <f>IF(HLOOKUP("Mins",A1:CV300,46,FALSE)=0,0,HLOOKUP("As",A1:CV300,46,FALSE)/HLOOKUP("Mins",A1:CV300,46,FALSE)* 90)</f>
      </c>
      <c r="BH46" s="19718">
        <f>IF(HLOOKUP("Mins",A1:CV300,46,FALSE)=0,0,HLOOKUP("FPL As",A1:CV300,46,FALSE)/HLOOKUP("Mins",A1:CV300,46,FALSE)* 90)</f>
      </c>
      <c r="BI46" s="19719">
        <f>IF(HLOOKUP("Mins",A1:CV300,46,FALSE)=0,0,HLOOKUP("BC Created",A1:CV300,46,FALSE)/HLOOKUP("Mins",A1:CV300,46,FALSE)* 90)</f>
      </c>
      <c r="BJ46" s="19720">
        <f>IF(HLOOKUP("Mins",A1:CV300,46,FALSE)=0,0,HLOOKUP("KP",A1:CV300,46,FALSE)/HLOOKUP("Mins",A1:CV300,46,FALSE)* 90)</f>
      </c>
      <c r="BK46" s="19721">
        <f>IF(HLOOKUP("Mins",A1:CV300,46,FALSE)=0,0,HLOOKUP("BC",A1:CV300,46,FALSE)/HLOOKUP("Mins",A1:CV300,46,FALSE)* 90)</f>
      </c>
      <c r="BL46" s="19722">
        <f>IF(HLOOKUP("Mins",A1:CV300,46,FALSE)=0,0,HLOOKUP("BC Miss",A1:CV300,46,FALSE)/HLOOKUP("Mins",A1:CV300,46,FALSE)* 90)</f>
      </c>
      <c r="BM46" s="19723">
        <f>IF(HLOOKUP("Mins",A1:CV300,46,FALSE)=0,0,HLOOKUP("Gs - BC",A1:CV300,46,FALSE)/HLOOKUP("Mins",A1:CV300,46,FALSE)* 90)</f>
      </c>
      <c r="BN46" s="19724">
        <f>IF(HLOOKUP("Mins",A1:CV300,46,FALSE)=0,0,HLOOKUP("GIB",A1:CV300,46,FALSE)/HLOOKUP("Mins",A1:CV300,46,FALSE)* 90)</f>
      </c>
      <c r="BO46" s="19725">
        <f>IF(HLOOKUP("Mins",A1:CV300,46,FALSE)=0,0,HLOOKUP("Gs - Open",A1:CV300,46,FALSE)/HLOOKUP("Mins",A1:CV300,46,FALSE)* 90)</f>
      </c>
      <c r="BP46" s="19726">
        <f>IF(HLOOKUP("Mins",A1:CV300,46,FALSE)=0,0,HLOOKUP("ICT Index",A1:CV300,46,FALSE)/HLOOKUP("Mins",A1:CV300,46,FALSE)* 90)</f>
      </c>
      <c r="BQ46" s="19727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</c>
      <c r="BR46" s="19728">
        <f>0.0885*HLOOKUP("KP/90",A1:CV300,46,FALSE)</f>
      </c>
      <c r="BS46" s="19729">
        <f>5*HLOOKUP("xG/90",A1:CV300,46,FALSE)+3*HLOOKUP("xA/90",A1:CV300,46,FALSE)</f>
      </c>
      <c r="BT46" s="19730">
        <f>HLOOKUP("xPts/90",A1:CV300,46,FALSE)-(5*0.75*(HLOOKUP("PK Gs",A1:CV300,46,FALSE)+HLOOKUP("PK Miss",A1:CV300,46,FALSE))*90/HLOOKUP("Mins",A1:CV300,46,FALSE))</f>
      </c>
      <c r="BU46" s="19731">
        <f>IF(HLOOKUP("Mins",A1:CV300,46,FALSE)=0,0,HLOOKUP("fsXG",A1:CV300,46,FALSE)/HLOOKUP("Mins",A1:CV300,46,FALSE)* 90)</f>
      </c>
      <c r="BV46" s="19732">
        <f>IF(HLOOKUP("Mins",A1:CV300,46,FALSE)=0,0,HLOOKUP("fsXA",A1:CV300,46,FALSE)/HLOOKUP("Mins",A1:CV300,46,FALSE)* 90)</f>
      </c>
      <c r="BW46" s="19733">
        <f>5*HLOOKUP("fsXG/90",A1:CV300,46,FALSE)+3*HLOOKUP("fsXA/90",A1:CV300,46,FALSE)</f>
      </c>
      <c r="BX46" t="n" s="19734">
        <v>0.349296897649765</v>
      </c>
      <c r="BY46" t="n" s="19735">
        <v>0.0</v>
      </c>
      <c r="BZ46" s="19736">
        <f>5*HLOOKUP("uXG/90",A1:CV300,46,FALSE)+3*HLOOKUP("uXA/90",A1:CV300,46,FALSE)</f>
      </c>
    </row>
    <row r="47">
      <c r="A47" t="s" s="19737">
        <v>350</v>
      </c>
      <c r="B47" t="s" s="19738">
        <v>85</v>
      </c>
      <c r="C47" t="n" s="19739">
        <v>5.099999904632568</v>
      </c>
      <c r="D47" t="n" s="19740">
        <v>540.0</v>
      </c>
      <c r="E47" t="n" s="19741">
        <v>6.0</v>
      </c>
      <c r="F47" t="n" s="19742">
        <v>89.0</v>
      </c>
      <c r="G47" t="n" s="19743">
        <v>1.0</v>
      </c>
      <c r="H47" t="n" s="19744">
        <v>13.0</v>
      </c>
      <c r="I47" t="n" s="19745">
        <v>397.0</v>
      </c>
      <c r="J47" s="19746">
        <f>HLOOKUP("BPS",A1:CV300,47,FALSE)-((-6*HLOOKUP("OG",A1:CV300,47,FALSE))+(-6*HLOOKUP("PK Miss",A1:CV300,47,FALSE))+(9*HLOOKUP("FPL As",A1:CV300,47,FALSE))+(0*HLOOKUP("CS",A1:CV300,47,FALSE))+(18*HLOOKUP("Gs",A1:CV300,47,FALSE)))</f>
      </c>
      <c r="K47" t="n" s="19747">
        <v>0.0</v>
      </c>
      <c r="L47" t="n" s="19748">
        <v>7.0</v>
      </c>
      <c r="M47" t="n" s="19749">
        <v>8.0</v>
      </c>
      <c r="N47" t="n" s="19750">
        <v>7.0</v>
      </c>
      <c r="O47" t="n" s="19751">
        <v>3.0</v>
      </c>
      <c r="P47" s="19752">
        <f>IF(HLOOKUP("Shots",A1:CV300,47,FALSE)=0,0,HLOOKUP("SIB",A1:CV300,47,FALSE)/HLOOKUP("Shots",A1:CV300,47,FALSE))</f>
      </c>
      <c r="Q47" t="n" s="19753">
        <v>0.0</v>
      </c>
      <c r="R47" s="19754">
        <f>IF(HLOOKUP("Shots",A1:CV300,47,FALSE)=0,0,HLOOKUP("S6YD",A1:CV300,47,FALSE)/HLOOKUP("Shots",A1:CV300,47,FALSE))</f>
      </c>
      <c r="S47" t="n" s="19755">
        <v>0.0</v>
      </c>
      <c r="T47" s="19756">
        <f>IF(HLOOKUP("Shots",A1:CV300,47,FALSE)=0,0,HLOOKUP("Headers",A1:CV300,47,FALSE)/HLOOKUP("Shots",A1:CV300,47,FALSE))</f>
      </c>
      <c r="U47" t="n" s="19757">
        <v>1.0</v>
      </c>
      <c r="V47" s="19758">
        <f>IF(HLOOKUP("Shots",A1:CV300,47,FALSE)=0,0,HLOOKUP("SOT",A1:CV300,47,FALSE)/HLOOKUP("Shots",A1:CV300,47,FALSE))</f>
      </c>
      <c r="W47" s="19759">
        <f>IF(HLOOKUP("Shots",A1:CV300,47,FALSE)=0,0,HLOOKUP("Gs",A1:CV300,47,FALSE)/HLOOKUP("Shots",A1:CV300,47,FALSE))</f>
      </c>
      <c r="X47" t="n" s="19760">
        <v>1.0</v>
      </c>
      <c r="Y47" t="n" s="19761">
        <v>2.0</v>
      </c>
      <c r="Z47" t="n" s="19762">
        <v>8.0</v>
      </c>
      <c r="AA47" s="19763">
        <f>IF(HLOOKUP("KP",A1:CV300,47,FALSE)=0,0,HLOOKUP("As",A1:CV300,47,FALSE)/HLOOKUP("KP",A1:CV300,47,FALSE))</f>
      </c>
      <c r="AB47" s="19764"/>
      <c r="AC47" t="n" s="19765">
        <v>40.0</v>
      </c>
      <c r="AD47" t="n" s="19766">
        <v>3.0</v>
      </c>
      <c r="AE47" t="n" s="19767">
        <v>0.0</v>
      </c>
      <c r="AF47" t="n" s="19768">
        <v>0.0</v>
      </c>
      <c r="AG47" s="19769">
        <f>IF(HLOOKUP("BC",A1:CV300,47,FALSE)=0,0,HLOOKUP("Gs - BC",A1:CV300,47,FALSE)/HLOOKUP("BC",A1:CV300,47,FALSE))</f>
      </c>
      <c r="AH47" s="19770">
        <f>HLOOKUP("BC",A1:CV300,47,FALSE) - HLOOKUP("BC Miss",A1:CV300,47,FALSE)</f>
      </c>
      <c r="AI47" s="19771">
        <f>IF(HLOOKUP("Gs",A1:CV300,47,FALSE)=0,0,HLOOKUP("Gs - BC",A1:CV300,47,FALSE)/HLOOKUP("Gs",A1:CV300,47,FALSE))</f>
      </c>
      <c r="AJ47" t="n" s="19772">
        <v>0.0</v>
      </c>
      <c r="AK47" t="n" s="19773">
        <v>0.0</v>
      </c>
      <c r="AL47" s="19774">
        <f>HLOOKUP("BC",A1:CV300,47,FALSE) - (HLOOKUP("PK Gs",A1:CV300,47,FALSE) + HLOOKUP("PK Miss",A1:CV300,47,FALSE))</f>
      </c>
      <c r="AM47" s="19775">
        <f>HLOOKUP("BC Miss",A1:CV300,47,FALSE) - HLOOKUP("PK Miss",A1:CV300,47,FALSE)</f>
      </c>
      <c r="AN47" s="19776">
        <f>IF(HLOOKUP("BC - Open",A1:CV300,47,FALSE)=0,0,HLOOKUP("BC - Open Miss",A1:CV300,47,FALSE)/HLOOKUP("BC - Open",A1:CV300,47,FALSE))</f>
      </c>
      <c r="AO47" t="n" s="19777">
        <v>1.0</v>
      </c>
      <c r="AP47" s="19778">
        <f>IF(HLOOKUP("Gs",A1:CV300,47,FALSE)=0,0,HLOOKUP("GIB",A1:CV300,47,FALSE)/HLOOKUP("Gs",A1:CV300,47,FALSE))</f>
      </c>
      <c r="AQ47" t="n" s="19779">
        <v>1.0</v>
      </c>
      <c r="AR47" s="19780">
        <f>IF(HLOOKUP("Gs",A1:CV300,47,FALSE)=0,0,HLOOKUP("Gs - Open",A1:CV300,47,FALSE)/HLOOKUP("Gs",A1:CV300,47,FALSE))</f>
      </c>
      <c r="AS47" t="n" s="19781">
        <v>0.29</v>
      </c>
      <c r="AT47" t="n" s="19782">
        <v>0.78</v>
      </c>
      <c r="AU47" s="19783">
        <f>IF(HLOOKUP("Mins",A1:CV300,47,FALSE)=0,0,HLOOKUP("Pts",A1:CV300,47,FALSE)/HLOOKUP("Mins",A1:CV300,47,FALSE)* 90)</f>
      </c>
      <c r="AV47" s="19784">
        <f>IF(HLOOKUP("Apps",A1:CV300,47,FALSE)=0,0,HLOOKUP("Pts",A1:CV300,47,FALSE)/HLOOKUP("Apps",A1:CV300,47,FALSE)* 1)</f>
      </c>
      <c r="AW47" s="19785">
        <f>IF(HLOOKUP("Mins",A1:CV300,47,FALSE)=0,0,HLOOKUP("Gs",A1:CV300,47,FALSE)/HLOOKUP("Mins",A1:CV300,47,FALSE)* 90)</f>
      </c>
      <c r="AX47" s="19786">
        <f>IF(HLOOKUP("Mins",A1:CV300,47,FALSE)=0,0,HLOOKUP("Bonus",A1:CV300,47,FALSE)/HLOOKUP("Mins",A1:CV300,47,FALSE)* 90)</f>
      </c>
      <c r="AY47" s="19787">
        <f>IF(HLOOKUP("Mins",A1:CV300,47,FALSE)=0,0,HLOOKUP("BPS",A1:CV300,47,FALSE)/HLOOKUP("Mins",A1:CV300,47,FALSE)* 90)</f>
      </c>
      <c r="AZ47" s="19788">
        <f>IF(HLOOKUP("Mins",A1:CV300,47,FALSE)=0,0,HLOOKUP("Base BPS",A1:CV300,47,FALSE)/HLOOKUP("Mins",A1:CV300,47,FALSE)* 90)</f>
      </c>
      <c r="BA47" s="19789">
        <f>IF(HLOOKUP("Mins",A1:CV300,47,FALSE)=0,0,HLOOKUP("PenTchs",A1:CV300,47,FALSE)/HLOOKUP("Mins",A1:CV300,47,FALSE)* 90)</f>
      </c>
      <c r="BB47" s="19790">
        <f>IF(HLOOKUP("Mins",A1:CV300,47,FALSE)=0,0,HLOOKUP("Shots",A1:CV300,47,FALSE)/HLOOKUP("Mins",A1:CV300,47,FALSE)* 90)</f>
      </c>
      <c r="BC47" s="19791">
        <f>IF(HLOOKUP("Mins",A1:CV300,47,FALSE)=0,0,HLOOKUP("SIB",A1:CV300,47,FALSE)/HLOOKUP("Mins",A1:CV300,47,FALSE)* 90)</f>
      </c>
      <c r="BD47" s="19792">
        <f>IF(HLOOKUP("Mins",A1:CV300,47,FALSE)=0,0,HLOOKUP("S6YD",A1:CV300,47,FALSE)/HLOOKUP("Mins",A1:CV300,47,FALSE)* 90)</f>
      </c>
      <c r="BE47" s="19793">
        <f>IF(HLOOKUP("Mins",A1:CV300,47,FALSE)=0,0,HLOOKUP("Headers",A1:CV300,47,FALSE)/HLOOKUP("Mins",A1:CV300,47,FALSE)* 90)</f>
      </c>
      <c r="BF47" s="19794">
        <f>IF(HLOOKUP("Mins",A1:CV300,47,FALSE)=0,0,HLOOKUP("SOT",A1:CV300,47,FALSE)/HLOOKUP("Mins",A1:CV300,47,FALSE)* 90)</f>
      </c>
      <c r="BG47" s="19795">
        <f>IF(HLOOKUP("Mins",A1:CV300,47,FALSE)=0,0,HLOOKUP("As",A1:CV300,47,FALSE)/HLOOKUP("Mins",A1:CV300,47,FALSE)* 90)</f>
      </c>
      <c r="BH47" s="19796">
        <f>IF(HLOOKUP("Mins",A1:CV300,47,FALSE)=0,0,HLOOKUP("FPL As",A1:CV300,47,FALSE)/HLOOKUP("Mins",A1:CV300,47,FALSE)* 90)</f>
      </c>
      <c r="BI47" s="19797">
        <f>IF(HLOOKUP("Mins",A1:CV300,47,FALSE)=0,0,HLOOKUP("BC Created",A1:CV300,47,FALSE)/HLOOKUP("Mins",A1:CV300,47,FALSE)* 90)</f>
      </c>
      <c r="BJ47" s="19798">
        <f>IF(HLOOKUP("Mins",A1:CV300,47,FALSE)=0,0,HLOOKUP("KP",A1:CV300,47,FALSE)/HLOOKUP("Mins",A1:CV300,47,FALSE)* 90)</f>
      </c>
      <c r="BK47" s="19799">
        <f>IF(HLOOKUP("Mins",A1:CV300,47,FALSE)=0,0,HLOOKUP("BC",A1:CV300,47,FALSE)/HLOOKUP("Mins",A1:CV300,47,FALSE)* 90)</f>
      </c>
      <c r="BL47" s="19800">
        <f>IF(HLOOKUP("Mins",A1:CV300,47,FALSE)=0,0,HLOOKUP("BC Miss",A1:CV300,47,FALSE)/HLOOKUP("Mins",A1:CV300,47,FALSE)* 90)</f>
      </c>
      <c r="BM47" s="19801">
        <f>IF(HLOOKUP("Mins",A1:CV300,47,FALSE)=0,0,HLOOKUP("Gs - BC",A1:CV300,47,FALSE)/HLOOKUP("Mins",A1:CV300,47,FALSE)* 90)</f>
      </c>
      <c r="BN47" s="19802">
        <f>IF(HLOOKUP("Mins",A1:CV300,47,FALSE)=0,0,HLOOKUP("GIB",A1:CV300,47,FALSE)/HLOOKUP("Mins",A1:CV300,47,FALSE)* 90)</f>
      </c>
      <c r="BO47" s="19803">
        <f>IF(HLOOKUP("Mins",A1:CV300,47,FALSE)=0,0,HLOOKUP("Gs - Open",A1:CV300,47,FALSE)/HLOOKUP("Mins",A1:CV300,47,FALSE)* 90)</f>
      </c>
      <c r="BP47" s="19804">
        <f>IF(HLOOKUP("Mins",A1:CV300,47,FALSE)=0,0,HLOOKUP("ICT Index",A1:CV300,47,FALSE)/HLOOKUP("Mins",A1:CV300,47,FALSE)* 90)</f>
      </c>
      <c r="BQ47" s="19805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</c>
      <c r="BR47" s="19806">
        <f>0.0885*HLOOKUP("KP/90",A1:CV300,47,FALSE)</f>
      </c>
      <c r="BS47" s="19807">
        <f>5*HLOOKUP("xG/90",A1:CV300,47,FALSE)+3*HLOOKUP("xA/90",A1:CV300,47,FALSE)</f>
      </c>
      <c r="BT47" s="19808">
        <f>HLOOKUP("xPts/90",A1:CV300,47,FALSE)-(5*0.75*(HLOOKUP("PK Gs",A1:CV300,47,FALSE)+HLOOKUP("PK Miss",A1:CV300,47,FALSE))*90/HLOOKUP("Mins",A1:CV300,47,FALSE))</f>
      </c>
      <c r="BU47" s="19809">
        <f>IF(HLOOKUP("Mins",A1:CV300,47,FALSE)=0,0,HLOOKUP("fsXG",A1:CV300,47,FALSE)/HLOOKUP("Mins",A1:CV300,47,FALSE)* 90)</f>
      </c>
      <c r="BV47" s="19810">
        <f>IF(HLOOKUP("Mins",A1:CV300,47,FALSE)=0,0,HLOOKUP("fsXA",A1:CV300,47,FALSE)/HLOOKUP("Mins",A1:CV300,47,FALSE)* 90)</f>
      </c>
      <c r="BW47" s="19811">
        <f>5*HLOOKUP("fsXG/90",A1:CV300,47,FALSE)+3*HLOOKUP("fsXA/90",A1:CV300,47,FALSE)</f>
      </c>
      <c r="BX47" t="n" s="19812">
        <v>0.0426923893392086</v>
      </c>
      <c r="BY47" t="n" s="19813">
        <v>0.18136824667453766</v>
      </c>
      <c r="BZ47" s="19814">
        <f>5*HLOOKUP("uXG/90",A1:CV300,47,FALSE)+3*HLOOKUP("uXA/90",A1:CV300,47,FALSE)</f>
      </c>
    </row>
    <row r="48">
      <c r="A48" t="s" s="19815">
        <v>351</v>
      </c>
      <c r="B48" t="s" s="19816">
        <v>102</v>
      </c>
      <c r="C48" t="n" s="19817">
        <v>5.0</v>
      </c>
      <c r="D48" t="n" s="19818">
        <v>180.0</v>
      </c>
      <c r="E48" t="n" s="19819">
        <v>2.0</v>
      </c>
      <c r="F48" t="n" s="19820">
        <v>4.0</v>
      </c>
      <c r="G48" t="n" s="19821">
        <v>0.0</v>
      </c>
      <c r="H48" t="n" s="19822">
        <v>0.0</v>
      </c>
      <c r="I48" t="n" s="19823">
        <v>25.0</v>
      </c>
      <c r="J48" s="19824">
        <f>HLOOKUP("BPS",A1:CV300,48,FALSE)-((-6*HLOOKUP("OG",A1:CV300,48,FALSE))+(-6*HLOOKUP("PK Miss",A1:CV300,48,FALSE))+(9*HLOOKUP("FPL As",A1:CV300,48,FALSE))+(0*HLOOKUP("CS",A1:CV300,48,FALSE))+(18*HLOOKUP("Gs",A1:CV300,48,FALSE)))</f>
      </c>
      <c r="K48" t="n" s="19825">
        <v>0.0</v>
      </c>
      <c r="L48" t="n" s="19826">
        <v>1.0</v>
      </c>
      <c r="M48" t="n" s="19827">
        <v>1.0</v>
      </c>
      <c r="N48" t="n" s="19828">
        <v>0.0</v>
      </c>
      <c r="O48" t="n" s="19829">
        <v>0.0</v>
      </c>
      <c r="P48" s="19830">
        <f>IF(HLOOKUP("Shots",A1:CV300,48,FALSE)=0,0,HLOOKUP("SIB",A1:CV300,48,FALSE)/HLOOKUP("Shots",A1:CV300,48,FALSE))</f>
      </c>
      <c r="Q48" t="n" s="19831">
        <v>0.0</v>
      </c>
      <c r="R48" s="19832">
        <f>IF(HLOOKUP("Shots",A1:CV300,48,FALSE)=0,0,HLOOKUP("S6YD",A1:CV300,48,FALSE)/HLOOKUP("Shots",A1:CV300,48,FALSE))</f>
      </c>
      <c r="S48" t="n" s="19833">
        <v>0.0</v>
      </c>
      <c r="T48" s="19834">
        <f>IF(HLOOKUP("Shots",A1:CV300,48,FALSE)=0,0,HLOOKUP("Headers",A1:CV300,48,FALSE)/HLOOKUP("Shots",A1:CV300,48,FALSE))</f>
      </c>
      <c r="U48" t="n" s="19835">
        <v>0.0</v>
      </c>
      <c r="V48" s="19836">
        <f>IF(HLOOKUP("Shots",A1:CV300,48,FALSE)=0,0,HLOOKUP("SOT",A1:CV300,48,FALSE)/HLOOKUP("Shots",A1:CV300,48,FALSE))</f>
      </c>
      <c r="W48" s="19837">
        <f>IF(HLOOKUP("Shots",A1:CV300,48,FALSE)=0,0,HLOOKUP("Gs",A1:CV300,48,FALSE)/HLOOKUP("Shots",A1:CV300,48,FALSE))</f>
      </c>
      <c r="X48" t="n" s="19838">
        <v>0.0</v>
      </c>
      <c r="Y48" t="n" s="19839">
        <v>0.0</v>
      </c>
      <c r="Z48" t="n" s="19840">
        <v>5.0</v>
      </c>
      <c r="AA48" s="19841">
        <f>IF(HLOOKUP("KP",A1:CV300,48,FALSE)=0,0,HLOOKUP("As",A1:CV300,48,FALSE)/HLOOKUP("KP",A1:CV300,48,FALSE))</f>
      </c>
      <c r="AB48" s="19842"/>
      <c r="AC48" t="n" s="19843">
        <v>0.0</v>
      </c>
      <c r="AD48" t="n" s="19844">
        <v>0.0</v>
      </c>
      <c r="AE48" t="n" s="19845">
        <v>0.0</v>
      </c>
      <c r="AF48" t="n" s="19846">
        <v>0.0</v>
      </c>
      <c r="AG48" s="19847">
        <f>IF(HLOOKUP("BC",A1:CV300,48,FALSE)=0,0,HLOOKUP("Gs - BC",A1:CV300,48,FALSE)/HLOOKUP("BC",A1:CV300,48,FALSE))</f>
      </c>
      <c r="AH48" s="19848">
        <f>HLOOKUP("BC",A1:CV300,48,FALSE) - HLOOKUP("BC Miss",A1:CV300,48,FALSE)</f>
      </c>
      <c r="AI48" s="19849">
        <f>IF(HLOOKUP("Gs",A1:CV300,48,FALSE)=0,0,HLOOKUP("Gs - BC",A1:CV300,48,FALSE)/HLOOKUP("Gs",A1:CV300,48,FALSE))</f>
      </c>
      <c r="AJ48" t="n" s="19850">
        <v>0.0</v>
      </c>
      <c r="AK48" t="n" s="19851">
        <v>0.0</v>
      </c>
      <c r="AL48" s="19852">
        <f>HLOOKUP("BC",A1:CV300,48,FALSE) - (HLOOKUP("PK Gs",A1:CV300,48,FALSE) + HLOOKUP("PK Miss",A1:CV300,48,FALSE))</f>
      </c>
      <c r="AM48" s="19853">
        <f>HLOOKUP("BC Miss",A1:CV300,48,FALSE) - HLOOKUP("PK Miss",A1:CV300,48,FALSE)</f>
      </c>
      <c r="AN48" s="19854">
        <f>IF(HLOOKUP("BC - Open",A1:CV300,48,FALSE)=0,0,HLOOKUP("BC - Open Miss",A1:CV300,48,FALSE)/HLOOKUP("BC - Open",A1:CV300,48,FALSE))</f>
      </c>
      <c r="AO48" t="n" s="19855">
        <v>0.0</v>
      </c>
      <c r="AP48" s="19856">
        <f>IF(HLOOKUP("Gs",A1:CV300,48,FALSE)=0,0,HLOOKUP("GIB",A1:CV300,48,FALSE)/HLOOKUP("Gs",A1:CV300,48,FALSE))</f>
      </c>
      <c r="AQ48" t="n" s="19857">
        <v>0.0</v>
      </c>
      <c r="AR48" s="19858">
        <f>IF(HLOOKUP("Gs",A1:CV300,48,FALSE)=0,0,HLOOKUP("Gs - Open",A1:CV300,48,FALSE)/HLOOKUP("Gs",A1:CV300,48,FALSE))</f>
      </c>
      <c r="AS48" t="n" s="19859">
        <v>0.0</v>
      </c>
      <c r="AT48" t="n" s="19860">
        <v>0.11</v>
      </c>
      <c r="AU48" s="19861">
        <f>IF(HLOOKUP("Mins",A1:CV300,48,FALSE)=0,0,HLOOKUP("Pts",A1:CV300,48,FALSE)/HLOOKUP("Mins",A1:CV300,48,FALSE)* 90)</f>
      </c>
      <c r="AV48" s="19862">
        <f>IF(HLOOKUP("Apps",A1:CV300,48,FALSE)=0,0,HLOOKUP("Pts",A1:CV300,48,FALSE)/HLOOKUP("Apps",A1:CV300,48,FALSE)* 1)</f>
      </c>
      <c r="AW48" s="19863">
        <f>IF(HLOOKUP("Mins",A1:CV300,48,FALSE)=0,0,HLOOKUP("Gs",A1:CV300,48,FALSE)/HLOOKUP("Mins",A1:CV300,48,FALSE)* 90)</f>
      </c>
      <c r="AX48" s="19864">
        <f>IF(HLOOKUP("Mins",A1:CV300,48,FALSE)=0,0,HLOOKUP("Bonus",A1:CV300,48,FALSE)/HLOOKUP("Mins",A1:CV300,48,FALSE)* 90)</f>
      </c>
      <c r="AY48" s="19865">
        <f>IF(HLOOKUP("Mins",A1:CV300,48,FALSE)=0,0,HLOOKUP("BPS",A1:CV300,48,FALSE)/HLOOKUP("Mins",A1:CV300,48,FALSE)* 90)</f>
      </c>
      <c r="AZ48" s="19866">
        <f>IF(HLOOKUP("Mins",A1:CV300,48,FALSE)=0,0,HLOOKUP("Base BPS",A1:CV300,48,FALSE)/HLOOKUP("Mins",A1:CV300,48,FALSE)* 90)</f>
      </c>
      <c r="BA48" s="19867">
        <f>IF(HLOOKUP("Mins",A1:CV300,48,FALSE)=0,0,HLOOKUP("PenTchs",A1:CV300,48,FALSE)/HLOOKUP("Mins",A1:CV300,48,FALSE)* 90)</f>
      </c>
      <c r="BB48" s="19868">
        <f>IF(HLOOKUP("Mins",A1:CV300,48,FALSE)=0,0,HLOOKUP("Shots",A1:CV300,48,FALSE)/HLOOKUP("Mins",A1:CV300,48,FALSE)* 90)</f>
      </c>
      <c r="BC48" s="19869">
        <f>IF(HLOOKUP("Mins",A1:CV300,48,FALSE)=0,0,HLOOKUP("SIB",A1:CV300,48,FALSE)/HLOOKUP("Mins",A1:CV300,48,FALSE)* 90)</f>
      </c>
      <c r="BD48" s="19870">
        <f>IF(HLOOKUP("Mins",A1:CV300,48,FALSE)=0,0,HLOOKUP("S6YD",A1:CV300,48,FALSE)/HLOOKUP("Mins",A1:CV300,48,FALSE)* 90)</f>
      </c>
      <c r="BE48" s="19871">
        <f>IF(HLOOKUP("Mins",A1:CV300,48,FALSE)=0,0,HLOOKUP("Headers",A1:CV300,48,FALSE)/HLOOKUP("Mins",A1:CV300,48,FALSE)* 90)</f>
      </c>
      <c r="BF48" s="19872">
        <f>IF(HLOOKUP("Mins",A1:CV300,48,FALSE)=0,0,HLOOKUP("SOT",A1:CV300,48,FALSE)/HLOOKUP("Mins",A1:CV300,48,FALSE)* 90)</f>
      </c>
      <c r="BG48" s="19873">
        <f>IF(HLOOKUP("Mins",A1:CV300,48,FALSE)=0,0,HLOOKUP("As",A1:CV300,48,FALSE)/HLOOKUP("Mins",A1:CV300,48,FALSE)* 90)</f>
      </c>
      <c r="BH48" s="19874">
        <f>IF(HLOOKUP("Mins",A1:CV300,48,FALSE)=0,0,HLOOKUP("FPL As",A1:CV300,48,FALSE)/HLOOKUP("Mins",A1:CV300,48,FALSE)* 90)</f>
      </c>
      <c r="BI48" s="19875">
        <f>IF(HLOOKUP("Mins",A1:CV300,48,FALSE)=0,0,HLOOKUP("BC Created",A1:CV300,48,FALSE)/HLOOKUP("Mins",A1:CV300,48,FALSE)* 90)</f>
      </c>
      <c r="BJ48" s="19876">
        <f>IF(HLOOKUP("Mins",A1:CV300,48,FALSE)=0,0,HLOOKUP("KP",A1:CV300,48,FALSE)/HLOOKUP("Mins",A1:CV300,48,FALSE)* 90)</f>
      </c>
      <c r="BK48" s="19877">
        <f>IF(HLOOKUP("Mins",A1:CV300,48,FALSE)=0,0,HLOOKUP("BC",A1:CV300,48,FALSE)/HLOOKUP("Mins",A1:CV300,48,FALSE)* 90)</f>
      </c>
      <c r="BL48" s="19878">
        <f>IF(HLOOKUP("Mins",A1:CV300,48,FALSE)=0,0,HLOOKUP("BC Miss",A1:CV300,48,FALSE)/HLOOKUP("Mins",A1:CV300,48,FALSE)* 90)</f>
      </c>
      <c r="BM48" s="19879">
        <f>IF(HLOOKUP("Mins",A1:CV300,48,FALSE)=0,0,HLOOKUP("Gs - BC",A1:CV300,48,FALSE)/HLOOKUP("Mins",A1:CV300,48,FALSE)* 90)</f>
      </c>
      <c r="BN48" s="19880">
        <f>IF(HLOOKUP("Mins",A1:CV300,48,FALSE)=0,0,HLOOKUP("GIB",A1:CV300,48,FALSE)/HLOOKUP("Mins",A1:CV300,48,FALSE)* 90)</f>
      </c>
      <c r="BO48" s="19881">
        <f>IF(HLOOKUP("Mins",A1:CV300,48,FALSE)=0,0,HLOOKUP("Gs - Open",A1:CV300,48,FALSE)/HLOOKUP("Mins",A1:CV300,48,FALSE)* 90)</f>
      </c>
      <c r="BP48" s="19882">
        <f>IF(HLOOKUP("Mins",A1:CV300,48,FALSE)=0,0,HLOOKUP("ICT Index",A1:CV300,48,FALSE)/HLOOKUP("Mins",A1:CV300,48,FALSE)* 90)</f>
      </c>
      <c r="BQ48" s="19883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</c>
      <c r="BR48" s="19884">
        <f>0.0885*HLOOKUP("KP/90",A1:CV300,48,FALSE)</f>
      </c>
      <c r="BS48" s="19885">
        <f>5*HLOOKUP("xG/90",A1:CV300,48,FALSE)+3*HLOOKUP("xA/90",A1:CV300,48,FALSE)</f>
      </c>
      <c r="BT48" s="19886">
        <f>HLOOKUP("xPts/90",A1:CV300,48,FALSE)-(5*0.75*(HLOOKUP("PK Gs",A1:CV300,48,FALSE)+HLOOKUP("PK Miss",A1:CV300,48,FALSE))*90/HLOOKUP("Mins",A1:CV300,48,FALSE))</f>
      </c>
      <c r="BU48" s="19887">
        <f>IF(HLOOKUP("Mins",A1:CV300,48,FALSE)=0,0,HLOOKUP("fsXG",A1:CV300,48,FALSE)/HLOOKUP("Mins",A1:CV300,48,FALSE)* 90)</f>
      </c>
      <c r="BV48" s="19888">
        <f>IF(HLOOKUP("Mins",A1:CV300,48,FALSE)=0,0,HLOOKUP("fsXA",A1:CV300,48,FALSE)/HLOOKUP("Mins",A1:CV300,48,FALSE)* 90)</f>
      </c>
      <c r="BW48" s="19889">
        <f>5*HLOOKUP("fsXG/90",A1:CV300,48,FALSE)+3*HLOOKUP("fsXA/90",A1:CV300,48,FALSE)</f>
      </c>
      <c r="BX48" t="n" s="19890">
        <v>0.0</v>
      </c>
      <c r="BY48" t="n" s="19891">
        <v>0.05596805736422539</v>
      </c>
      <c r="BZ48" s="19892">
        <f>5*HLOOKUP("uXG/90",A1:CV300,48,FALSE)+3*HLOOKUP("uXA/90",A1:CV300,48,FALSE)</f>
      </c>
    </row>
    <row r="49">
      <c r="A49" t="s" s="19893">
        <v>352</v>
      </c>
      <c r="B49" t="s" s="19894">
        <v>114</v>
      </c>
      <c r="C49" t="n" s="19895">
        <v>5.0</v>
      </c>
      <c r="D49" t="n" s="19896">
        <v>630.0</v>
      </c>
      <c r="E49" t="n" s="19897">
        <v>7.0</v>
      </c>
      <c r="F49" t="n" s="19898">
        <v>79.0</v>
      </c>
      <c r="G49" t="n" s="19899">
        <v>3.0</v>
      </c>
      <c r="H49" t="n" s="19900">
        <v>6.0</v>
      </c>
      <c r="I49" t="n" s="19901">
        <v>358.0</v>
      </c>
      <c r="J49" s="19902">
        <f>HLOOKUP("BPS",A1:CV300,49,FALSE)-((-6*HLOOKUP("OG",A1:CV300,49,FALSE))+(-6*HLOOKUP("PK Miss",A1:CV300,49,FALSE))+(9*HLOOKUP("FPL As",A1:CV300,49,FALSE))+(0*HLOOKUP("CS",A1:CV300,49,FALSE))+(18*HLOOKUP("Gs",A1:CV300,49,FALSE)))</f>
      </c>
      <c r="K49" t="n" s="19903">
        <v>0.0</v>
      </c>
      <c r="L49" t="n" s="19904">
        <v>6.0</v>
      </c>
      <c r="M49" t="n" s="19905">
        <v>5.0</v>
      </c>
      <c r="N49" t="n" s="19906">
        <v>6.0</v>
      </c>
      <c r="O49" t="n" s="19907">
        <v>2.0</v>
      </c>
      <c r="P49" s="19908">
        <f>IF(HLOOKUP("Shots",A1:CV300,49,FALSE)=0,0,HLOOKUP("SIB",A1:CV300,49,FALSE)/HLOOKUP("Shots",A1:CV300,49,FALSE))</f>
      </c>
      <c r="Q49" t="n" s="19909">
        <v>0.0</v>
      </c>
      <c r="R49" s="19910">
        <f>IF(HLOOKUP("Shots",A1:CV300,49,FALSE)=0,0,HLOOKUP("S6YD",A1:CV300,49,FALSE)/HLOOKUP("Shots",A1:CV300,49,FALSE))</f>
      </c>
      <c r="S49" t="n" s="19911">
        <v>0.0</v>
      </c>
      <c r="T49" s="19912">
        <f>IF(HLOOKUP("Shots",A1:CV300,49,FALSE)=0,0,HLOOKUP("Headers",A1:CV300,49,FALSE)/HLOOKUP("Shots",A1:CV300,49,FALSE))</f>
      </c>
      <c r="U49" t="n" s="19913">
        <v>3.0</v>
      </c>
      <c r="V49" s="19914">
        <f>IF(HLOOKUP("Shots",A1:CV300,49,FALSE)=0,0,HLOOKUP("SOT",A1:CV300,49,FALSE)/HLOOKUP("Shots",A1:CV300,49,FALSE))</f>
      </c>
      <c r="W49" s="19915">
        <f>IF(HLOOKUP("Shots",A1:CV300,49,FALSE)=0,0,HLOOKUP("Gs",A1:CV300,49,FALSE)/HLOOKUP("Shots",A1:CV300,49,FALSE))</f>
      </c>
      <c r="X49" t="n" s="19916">
        <v>0.0</v>
      </c>
      <c r="Y49" t="n" s="19917">
        <v>2.0</v>
      </c>
      <c r="Z49" t="n" s="19918">
        <v>6.0</v>
      </c>
      <c r="AA49" s="19919">
        <f>IF(HLOOKUP("KP",A1:CV300,49,FALSE)=0,0,HLOOKUP("As",A1:CV300,49,FALSE)/HLOOKUP("KP",A1:CV300,49,FALSE))</f>
      </c>
      <c r="AB49" s="19920"/>
      <c r="AC49" t="n" s="19921">
        <v>33.0</v>
      </c>
      <c r="AD49" t="n" s="19922">
        <v>2.0</v>
      </c>
      <c r="AE49" t="n" s="19923">
        <v>2.0</v>
      </c>
      <c r="AF49" t="n" s="19924">
        <v>0.0</v>
      </c>
      <c r="AG49" s="19925">
        <f>IF(HLOOKUP("BC",A1:CV300,49,FALSE)=0,0,HLOOKUP("Gs - BC",A1:CV300,49,FALSE)/HLOOKUP("BC",A1:CV300,49,FALSE))</f>
      </c>
      <c r="AH49" s="19926">
        <f>HLOOKUP("BC",A1:CV300,49,FALSE) - HLOOKUP("BC Miss",A1:CV300,49,FALSE)</f>
      </c>
      <c r="AI49" s="19927">
        <f>IF(HLOOKUP("Gs",A1:CV300,49,FALSE)=0,0,HLOOKUP("Gs - BC",A1:CV300,49,FALSE)/HLOOKUP("Gs",A1:CV300,49,FALSE))</f>
      </c>
      <c r="AJ49" t="n" s="19928">
        <v>2.0</v>
      </c>
      <c r="AK49" t="n" s="19929">
        <v>0.0</v>
      </c>
      <c r="AL49" s="19930">
        <f>HLOOKUP("BC",A1:CV300,49,FALSE) - (HLOOKUP("PK Gs",A1:CV300,49,FALSE) + HLOOKUP("PK Miss",A1:CV300,49,FALSE))</f>
      </c>
      <c r="AM49" s="19931">
        <f>HLOOKUP("BC Miss",A1:CV300,49,FALSE) - HLOOKUP("PK Miss",A1:CV300,49,FALSE)</f>
      </c>
      <c r="AN49" s="19932">
        <f>IF(HLOOKUP("BC - Open",A1:CV300,49,FALSE)=0,0,HLOOKUP("BC - Open Miss",A1:CV300,49,FALSE)/HLOOKUP("BC - Open",A1:CV300,49,FALSE))</f>
      </c>
      <c r="AO49" t="n" s="19933">
        <v>2.0</v>
      </c>
      <c r="AP49" s="19934">
        <f>IF(HLOOKUP("Gs",A1:CV300,49,FALSE)=0,0,HLOOKUP("GIB",A1:CV300,49,FALSE)/HLOOKUP("Gs",A1:CV300,49,FALSE))</f>
      </c>
      <c r="AQ49" t="n" s="19935">
        <v>1.0</v>
      </c>
      <c r="AR49" s="19936">
        <f>IF(HLOOKUP("Gs",A1:CV300,49,FALSE)=0,0,HLOOKUP("Gs - Open",A1:CV300,49,FALSE)/HLOOKUP("Gs",A1:CV300,49,FALSE))</f>
      </c>
      <c r="AS49" t="n" s="19937">
        <v>1.74</v>
      </c>
      <c r="AT49" t="n" s="19938">
        <v>0.29</v>
      </c>
      <c r="AU49" s="19939">
        <f>IF(HLOOKUP("Mins",A1:CV300,49,FALSE)=0,0,HLOOKUP("Pts",A1:CV300,49,FALSE)/HLOOKUP("Mins",A1:CV300,49,FALSE)* 90)</f>
      </c>
      <c r="AV49" s="19940">
        <f>IF(HLOOKUP("Apps",A1:CV300,49,FALSE)=0,0,HLOOKUP("Pts",A1:CV300,49,FALSE)/HLOOKUP("Apps",A1:CV300,49,FALSE)* 1)</f>
      </c>
      <c r="AW49" s="19941">
        <f>IF(HLOOKUP("Mins",A1:CV300,49,FALSE)=0,0,HLOOKUP("Gs",A1:CV300,49,FALSE)/HLOOKUP("Mins",A1:CV300,49,FALSE)* 90)</f>
      </c>
      <c r="AX49" s="19942">
        <f>IF(HLOOKUP("Mins",A1:CV300,49,FALSE)=0,0,HLOOKUP("Bonus",A1:CV300,49,FALSE)/HLOOKUP("Mins",A1:CV300,49,FALSE)* 90)</f>
      </c>
      <c r="AY49" s="19943">
        <f>IF(HLOOKUP("Mins",A1:CV300,49,FALSE)=0,0,HLOOKUP("BPS",A1:CV300,49,FALSE)/HLOOKUP("Mins",A1:CV300,49,FALSE)* 90)</f>
      </c>
      <c r="AZ49" s="19944">
        <f>IF(HLOOKUP("Mins",A1:CV300,49,FALSE)=0,0,HLOOKUP("Base BPS",A1:CV300,49,FALSE)/HLOOKUP("Mins",A1:CV300,49,FALSE)* 90)</f>
      </c>
      <c r="BA49" s="19945">
        <f>IF(HLOOKUP("Mins",A1:CV300,49,FALSE)=0,0,HLOOKUP("PenTchs",A1:CV300,49,FALSE)/HLOOKUP("Mins",A1:CV300,49,FALSE)* 90)</f>
      </c>
      <c r="BB49" s="19946">
        <f>IF(HLOOKUP("Mins",A1:CV300,49,FALSE)=0,0,HLOOKUP("Shots",A1:CV300,49,FALSE)/HLOOKUP("Mins",A1:CV300,49,FALSE)* 90)</f>
      </c>
      <c r="BC49" s="19947">
        <f>IF(HLOOKUP("Mins",A1:CV300,49,FALSE)=0,0,HLOOKUP("SIB",A1:CV300,49,FALSE)/HLOOKUP("Mins",A1:CV300,49,FALSE)* 90)</f>
      </c>
      <c r="BD49" s="19948">
        <f>IF(HLOOKUP("Mins",A1:CV300,49,FALSE)=0,0,HLOOKUP("S6YD",A1:CV300,49,FALSE)/HLOOKUP("Mins",A1:CV300,49,FALSE)* 90)</f>
      </c>
      <c r="BE49" s="19949">
        <f>IF(HLOOKUP("Mins",A1:CV300,49,FALSE)=0,0,HLOOKUP("Headers",A1:CV300,49,FALSE)/HLOOKUP("Mins",A1:CV300,49,FALSE)* 90)</f>
      </c>
      <c r="BF49" s="19950">
        <f>IF(HLOOKUP("Mins",A1:CV300,49,FALSE)=0,0,HLOOKUP("SOT",A1:CV300,49,FALSE)/HLOOKUP("Mins",A1:CV300,49,FALSE)* 90)</f>
      </c>
      <c r="BG49" s="19951">
        <f>IF(HLOOKUP("Mins",A1:CV300,49,FALSE)=0,0,HLOOKUP("As",A1:CV300,49,FALSE)/HLOOKUP("Mins",A1:CV300,49,FALSE)* 90)</f>
      </c>
      <c r="BH49" s="19952">
        <f>IF(HLOOKUP("Mins",A1:CV300,49,FALSE)=0,0,HLOOKUP("FPL As",A1:CV300,49,FALSE)/HLOOKUP("Mins",A1:CV300,49,FALSE)* 90)</f>
      </c>
      <c r="BI49" s="19953">
        <f>IF(HLOOKUP("Mins",A1:CV300,49,FALSE)=0,0,HLOOKUP("BC Created",A1:CV300,49,FALSE)/HLOOKUP("Mins",A1:CV300,49,FALSE)* 90)</f>
      </c>
      <c r="BJ49" s="19954">
        <f>IF(HLOOKUP("Mins",A1:CV300,49,FALSE)=0,0,HLOOKUP("KP",A1:CV300,49,FALSE)/HLOOKUP("Mins",A1:CV300,49,FALSE)* 90)</f>
      </c>
      <c r="BK49" s="19955">
        <f>IF(HLOOKUP("Mins",A1:CV300,49,FALSE)=0,0,HLOOKUP("BC",A1:CV300,49,FALSE)/HLOOKUP("Mins",A1:CV300,49,FALSE)* 90)</f>
      </c>
      <c r="BL49" s="19956">
        <f>IF(HLOOKUP("Mins",A1:CV300,49,FALSE)=0,0,HLOOKUP("BC Miss",A1:CV300,49,FALSE)/HLOOKUP("Mins",A1:CV300,49,FALSE)* 90)</f>
      </c>
      <c r="BM49" s="19957">
        <f>IF(HLOOKUP("Mins",A1:CV300,49,FALSE)=0,0,HLOOKUP("Gs - BC",A1:CV300,49,FALSE)/HLOOKUP("Mins",A1:CV300,49,FALSE)* 90)</f>
      </c>
      <c r="BN49" s="19958">
        <f>IF(HLOOKUP("Mins",A1:CV300,49,FALSE)=0,0,HLOOKUP("GIB",A1:CV300,49,FALSE)/HLOOKUP("Mins",A1:CV300,49,FALSE)* 90)</f>
      </c>
      <c r="BO49" s="19959">
        <f>IF(HLOOKUP("Mins",A1:CV300,49,FALSE)=0,0,HLOOKUP("Gs - Open",A1:CV300,49,FALSE)/HLOOKUP("Mins",A1:CV300,49,FALSE)* 90)</f>
      </c>
      <c r="BP49" s="19960">
        <f>IF(HLOOKUP("Mins",A1:CV300,49,FALSE)=0,0,HLOOKUP("ICT Index",A1:CV300,49,FALSE)/HLOOKUP("Mins",A1:CV300,49,FALSE)* 90)</f>
      </c>
      <c r="BQ49" s="19961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</c>
      <c r="BR49" s="19962">
        <f>0.0885*HLOOKUP("KP/90",A1:CV300,49,FALSE)</f>
      </c>
      <c r="BS49" s="19963">
        <f>5*HLOOKUP("xG/90",A1:CV300,49,FALSE)+3*HLOOKUP("xA/90",A1:CV300,49,FALSE)</f>
      </c>
      <c r="BT49" s="19964">
        <f>HLOOKUP("xPts/90",A1:CV300,49,FALSE)-(5*0.75*(HLOOKUP("PK Gs",A1:CV300,49,FALSE)+HLOOKUP("PK Miss",A1:CV300,49,FALSE))*90/HLOOKUP("Mins",A1:CV300,49,FALSE))</f>
      </c>
      <c r="BU49" s="19965">
        <f>IF(HLOOKUP("Mins",A1:CV300,49,FALSE)=0,0,HLOOKUP("fsXG",A1:CV300,49,FALSE)/HLOOKUP("Mins",A1:CV300,49,FALSE)* 90)</f>
      </c>
      <c r="BV49" s="19966">
        <f>IF(HLOOKUP("Mins",A1:CV300,49,FALSE)=0,0,HLOOKUP("fsXA",A1:CV300,49,FALSE)/HLOOKUP("Mins",A1:CV300,49,FALSE)* 90)</f>
      </c>
      <c r="BW49" s="19967">
        <f>5*HLOOKUP("fsXG/90",A1:CV300,49,FALSE)+3*HLOOKUP("fsXA/90",A1:CV300,49,FALSE)</f>
      </c>
      <c r="BX49" t="n" s="19968">
        <v>0.22899049520492554</v>
      </c>
      <c r="BY49" t="n" s="19969">
        <v>0.09639249742031097</v>
      </c>
      <c r="BZ49" s="19970">
        <f>5*HLOOKUP("uXG/90",A1:CV300,49,FALSE)+3*HLOOKUP("uXA/90",A1:CV300,49,FALSE)</f>
      </c>
    </row>
    <row r="50">
      <c r="A50" t="s" s="19971">
        <v>353</v>
      </c>
      <c r="B50" t="s" s="19972">
        <v>87</v>
      </c>
      <c r="C50" t="n" s="19973">
        <v>6.699999809265137</v>
      </c>
      <c r="D50" t="n" s="19974">
        <v>540.0</v>
      </c>
      <c r="E50" t="n" s="19975">
        <v>6.0</v>
      </c>
      <c r="F50" t="n" s="19976">
        <v>115.0</v>
      </c>
      <c r="G50" t="n" s="19977">
        <v>2.0</v>
      </c>
      <c r="H50" t="n" s="19978">
        <v>15.0</v>
      </c>
      <c r="I50" t="n" s="19979">
        <v>470.0</v>
      </c>
      <c r="J50" s="19980">
        <f>HLOOKUP("BPS",A1:CV300,50,FALSE)-((-6*HLOOKUP("OG",A1:CV300,50,FALSE))+(-6*HLOOKUP("PK Miss",A1:CV300,50,FALSE))+(9*HLOOKUP("FPL As",A1:CV300,50,FALSE))+(0*HLOOKUP("CS",A1:CV300,50,FALSE))+(18*HLOOKUP("Gs",A1:CV300,50,FALSE)))</f>
      </c>
      <c r="K50" t="n" s="19981">
        <v>0.0</v>
      </c>
      <c r="L50" t="n" s="19982">
        <v>4.0</v>
      </c>
      <c r="M50" t="n" s="19983">
        <v>38.0</v>
      </c>
      <c r="N50" t="n" s="19984">
        <v>14.0</v>
      </c>
      <c r="O50" t="n" s="19985">
        <v>11.0</v>
      </c>
      <c r="P50" s="19986">
        <f>IF(HLOOKUP("Shots",A1:CV300,50,FALSE)=0,0,HLOOKUP("SIB",A1:CV300,50,FALSE)/HLOOKUP("Shots",A1:CV300,50,FALSE))</f>
      </c>
      <c r="Q50" t="n" s="19987">
        <v>0.0</v>
      </c>
      <c r="R50" s="19988">
        <f>IF(HLOOKUP("Shots",A1:CV300,50,FALSE)=0,0,HLOOKUP("S6YD",A1:CV300,50,FALSE)/HLOOKUP("Shots",A1:CV300,50,FALSE))</f>
      </c>
      <c r="S50" t="n" s="19989">
        <v>0.0</v>
      </c>
      <c r="T50" s="19990">
        <f>IF(HLOOKUP("Shots",A1:CV300,50,FALSE)=0,0,HLOOKUP("Headers",A1:CV300,50,FALSE)/HLOOKUP("Shots",A1:CV300,50,FALSE))</f>
      </c>
      <c r="U50" t="n" s="19991">
        <v>3.0</v>
      </c>
      <c r="V50" s="19992">
        <f>IF(HLOOKUP("Shots",A1:CV300,50,FALSE)=0,0,HLOOKUP("SOT",A1:CV300,50,FALSE)/HLOOKUP("Shots",A1:CV300,50,FALSE))</f>
      </c>
      <c r="W50" s="19993">
        <f>IF(HLOOKUP("Shots",A1:CV300,50,FALSE)=0,0,HLOOKUP("Gs",A1:CV300,50,FALSE)/HLOOKUP("Shots",A1:CV300,50,FALSE))</f>
      </c>
      <c r="X50" t="n" s="19994">
        <v>1.0</v>
      </c>
      <c r="Y50" t="n" s="19995">
        <v>7.0</v>
      </c>
      <c r="Z50" t="n" s="19996">
        <v>19.0</v>
      </c>
      <c r="AA50" s="19997">
        <f>IF(HLOOKUP("KP",A1:CV300,50,FALSE)=0,0,HLOOKUP("As",A1:CV300,50,FALSE)/HLOOKUP("KP",A1:CV300,50,FALSE))</f>
      </c>
      <c r="AB50" s="19998"/>
      <c r="AC50" t="n" s="19999">
        <v>44.0</v>
      </c>
      <c r="AD50" t="n" s="20000">
        <v>3.0</v>
      </c>
      <c r="AE50" t="n" s="20001">
        <v>0.0</v>
      </c>
      <c r="AF50" t="n" s="20002">
        <v>0.0</v>
      </c>
      <c r="AG50" s="20003">
        <f>IF(HLOOKUP("BC",A1:CV300,50,FALSE)=0,0,HLOOKUP("Gs - BC",A1:CV300,50,FALSE)/HLOOKUP("BC",A1:CV300,50,FALSE))</f>
      </c>
      <c r="AH50" s="20004">
        <f>HLOOKUP("BC",A1:CV300,50,FALSE) - HLOOKUP("BC Miss",A1:CV300,50,FALSE)</f>
      </c>
      <c r="AI50" s="20005">
        <f>IF(HLOOKUP("Gs",A1:CV300,50,FALSE)=0,0,HLOOKUP("Gs - BC",A1:CV300,50,FALSE)/HLOOKUP("Gs",A1:CV300,50,FALSE))</f>
      </c>
      <c r="AJ50" t="n" s="20006">
        <v>0.0</v>
      </c>
      <c r="AK50" t="n" s="20007">
        <v>0.0</v>
      </c>
      <c r="AL50" s="20008">
        <f>HLOOKUP("BC",A1:CV300,50,FALSE) - (HLOOKUP("PK Gs",A1:CV300,50,FALSE) + HLOOKUP("PK Miss",A1:CV300,50,FALSE))</f>
      </c>
      <c r="AM50" s="20009">
        <f>HLOOKUP("BC Miss",A1:CV300,50,FALSE) - HLOOKUP("PK Miss",A1:CV300,50,FALSE)</f>
      </c>
      <c r="AN50" s="20010">
        <f>IF(HLOOKUP("BC - Open",A1:CV300,50,FALSE)=0,0,HLOOKUP("BC - Open Miss",A1:CV300,50,FALSE)/HLOOKUP("BC - Open",A1:CV300,50,FALSE))</f>
      </c>
      <c r="AO50" t="n" s="20011">
        <v>2.0</v>
      </c>
      <c r="AP50" s="20012">
        <f>IF(HLOOKUP("Gs",A1:CV300,50,FALSE)=0,0,HLOOKUP("GIB",A1:CV300,50,FALSE)/HLOOKUP("Gs",A1:CV300,50,FALSE))</f>
      </c>
      <c r="AQ50" t="n" s="20013">
        <v>2.0</v>
      </c>
      <c r="AR50" s="20014">
        <f>IF(HLOOKUP("Gs",A1:CV300,50,FALSE)=0,0,HLOOKUP("Gs - Open",A1:CV300,50,FALSE)/HLOOKUP("Gs",A1:CV300,50,FALSE))</f>
      </c>
      <c r="AS50" t="n" s="20015">
        <v>0.81</v>
      </c>
      <c r="AT50" t="n" s="20016">
        <v>1.32</v>
      </c>
      <c r="AU50" s="20017">
        <f>IF(HLOOKUP("Mins",A1:CV300,50,FALSE)=0,0,HLOOKUP("Pts",A1:CV300,50,FALSE)/HLOOKUP("Mins",A1:CV300,50,FALSE)* 90)</f>
      </c>
      <c r="AV50" s="20018">
        <f>IF(HLOOKUP("Apps",A1:CV300,50,FALSE)=0,0,HLOOKUP("Pts",A1:CV300,50,FALSE)/HLOOKUP("Apps",A1:CV300,50,FALSE)* 1)</f>
      </c>
      <c r="AW50" s="20019">
        <f>IF(HLOOKUP("Mins",A1:CV300,50,FALSE)=0,0,HLOOKUP("Gs",A1:CV300,50,FALSE)/HLOOKUP("Mins",A1:CV300,50,FALSE)* 90)</f>
      </c>
      <c r="AX50" s="20020">
        <f>IF(HLOOKUP("Mins",A1:CV300,50,FALSE)=0,0,HLOOKUP("Bonus",A1:CV300,50,FALSE)/HLOOKUP("Mins",A1:CV300,50,FALSE)* 90)</f>
      </c>
      <c r="AY50" s="20021">
        <f>IF(HLOOKUP("Mins",A1:CV300,50,FALSE)=0,0,HLOOKUP("BPS",A1:CV300,50,FALSE)/HLOOKUP("Mins",A1:CV300,50,FALSE)* 90)</f>
      </c>
      <c r="AZ50" s="20022">
        <f>IF(HLOOKUP("Mins",A1:CV300,50,FALSE)=0,0,HLOOKUP("Base BPS",A1:CV300,50,FALSE)/HLOOKUP("Mins",A1:CV300,50,FALSE)* 90)</f>
      </c>
      <c r="BA50" s="20023">
        <f>IF(HLOOKUP("Mins",A1:CV300,50,FALSE)=0,0,HLOOKUP("PenTchs",A1:CV300,50,FALSE)/HLOOKUP("Mins",A1:CV300,50,FALSE)* 90)</f>
      </c>
      <c r="BB50" s="20024">
        <f>IF(HLOOKUP("Mins",A1:CV300,50,FALSE)=0,0,HLOOKUP("Shots",A1:CV300,50,FALSE)/HLOOKUP("Mins",A1:CV300,50,FALSE)* 90)</f>
      </c>
      <c r="BC50" s="20025">
        <f>IF(HLOOKUP("Mins",A1:CV300,50,FALSE)=0,0,HLOOKUP("SIB",A1:CV300,50,FALSE)/HLOOKUP("Mins",A1:CV300,50,FALSE)* 90)</f>
      </c>
      <c r="BD50" s="20026">
        <f>IF(HLOOKUP("Mins",A1:CV300,50,FALSE)=0,0,HLOOKUP("S6YD",A1:CV300,50,FALSE)/HLOOKUP("Mins",A1:CV300,50,FALSE)* 90)</f>
      </c>
      <c r="BE50" s="20027">
        <f>IF(HLOOKUP("Mins",A1:CV300,50,FALSE)=0,0,HLOOKUP("Headers",A1:CV300,50,FALSE)/HLOOKUP("Mins",A1:CV300,50,FALSE)* 90)</f>
      </c>
      <c r="BF50" s="20028">
        <f>IF(HLOOKUP("Mins",A1:CV300,50,FALSE)=0,0,HLOOKUP("SOT",A1:CV300,50,FALSE)/HLOOKUP("Mins",A1:CV300,50,FALSE)* 90)</f>
      </c>
      <c r="BG50" s="20029">
        <f>IF(HLOOKUP("Mins",A1:CV300,50,FALSE)=0,0,HLOOKUP("As",A1:CV300,50,FALSE)/HLOOKUP("Mins",A1:CV300,50,FALSE)* 90)</f>
      </c>
      <c r="BH50" s="20030">
        <f>IF(HLOOKUP("Mins",A1:CV300,50,FALSE)=0,0,HLOOKUP("FPL As",A1:CV300,50,FALSE)/HLOOKUP("Mins",A1:CV300,50,FALSE)* 90)</f>
      </c>
      <c r="BI50" s="20031">
        <f>IF(HLOOKUP("Mins",A1:CV300,50,FALSE)=0,0,HLOOKUP("BC Created",A1:CV300,50,FALSE)/HLOOKUP("Mins",A1:CV300,50,FALSE)* 90)</f>
      </c>
      <c r="BJ50" s="20032">
        <f>IF(HLOOKUP("Mins",A1:CV300,50,FALSE)=0,0,HLOOKUP("KP",A1:CV300,50,FALSE)/HLOOKUP("Mins",A1:CV300,50,FALSE)* 90)</f>
      </c>
      <c r="BK50" s="20033">
        <f>IF(HLOOKUP("Mins",A1:CV300,50,FALSE)=0,0,HLOOKUP("BC",A1:CV300,50,FALSE)/HLOOKUP("Mins",A1:CV300,50,FALSE)* 90)</f>
      </c>
      <c r="BL50" s="20034">
        <f>IF(HLOOKUP("Mins",A1:CV300,50,FALSE)=0,0,HLOOKUP("BC Miss",A1:CV300,50,FALSE)/HLOOKUP("Mins",A1:CV300,50,FALSE)* 90)</f>
      </c>
      <c r="BM50" s="20035">
        <f>IF(HLOOKUP("Mins",A1:CV300,50,FALSE)=0,0,HLOOKUP("Gs - BC",A1:CV300,50,FALSE)/HLOOKUP("Mins",A1:CV300,50,FALSE)* 90)</f>
      </c>
      <c r="BN50" s="20036">
        <f>IF(HLOOKUP("Mins",A1:CV300,50,FALSE)=0,0,HLOOKUP("GIB",A1:CV300,50,FALSE)/HLOOKUP("Mins",A1:CV300,50,FALSE)* 90)</f>
      </c>
      <c r="BO50" s="20037">
        <f>IF(HLOOKUP("Mins",A1:CV300,50,FALSE)=0,0,HLOOKUP("Gs - Open",A1:CV300,50,FALSE)/HLOOKUP("Mins",A1:CV300,50,FALSE)* 90)</f>
      </c>
      <c r="BP50" s="20038">
        <f>IF(HLOOKUP("Mins",A1:CV300,50,FALSE)=0,0,HLOOKUP("ICT Index",A1:CV300,50,FALSE)/HLOOKUP("Mins",A1:CV300,50,FALSE)* 90)</f>
      </c>
      <c r="BQ50" s="20039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</c>
      <c r="BR50" s="20040">
        <f>0.0885*HLOOKUP("KP/90",A1:CV300,50,FALSE)</f>
      </c>
      <c r="BS50" s="20041">
        <f>5*HLOOKUP("xG/90",A1:CV300,50,FALSE)+3*HLOOKUP("xA/90",A1:CV300,50,FALSE)</f>
      </c>
      <c r="BT50" s="20042">
        <f>HLOOKUP("xPts/90",A1:CV300,50,FALSE)-(5*0.75*(HLOOKUP("PK Gs",A1:CV300,50,FALSE)+HLOOKUP("PK Miss",A1:CV300,50,FALSE))*90/HLOOKUP("Mins",A1:CV300,50,FALSE))</f>
      </c>
      <c r="BU50" s="20043">
        <f>IF(HLOOKUP("Mins",A1:CV300,50,FALSE)=0,0,HLOOKUP("fsXG",A1:CV300,50,FALSE)/HLOOKUP("Mins",A1:CV300,50,FALSE)* 90)</f>
      </c>
      <c r="BV50" s="20044">
        <f>IF(HLOOKUP("Mins",A1:CV300,50,FALSE)=0,0,HLOOKUP("fsXA",A1:CV300,50,FALSE)/HLOOKUP("Mins",A1:CV300,50,FALSE)* 90)</f>
      </c>
      <c r="BW50" s="20045">
        <f>5*HLOOKUP("fsXG/90",A1:CV300,50,FALSE)+3*HLOOKUP("fsXA/90",A1:CV300,50,FALSE)</f>
      </c>
      <c r="BX50" t="n" s="20046">
        <v>0.16201575100421906</v>
      </c>
      <c r="BY50" t="n" s="20047">
        <v>0.34846651554107666</v>
      </c>
      <c r="BZ50" s="20048">
        <f>5*HLOOKUP("uXG/90",A1:CV300,50,FALSE)+3*HLOOKUP("uXA/90",A1:CV300,50,FALSE)</f>
      </c>
    </row>
    <row r="51">
      <c r="A51" t="s" s="20049">
        <v>354</v>
      </c>
      <c r="B51" t="s" s="20050">
        <v>122</v>
      </c>
      <c r="C51" t="n" s="20051">
        <v>4.800000190734863</v>
      </c>
      <c r="D51" t="n" s="20052">
        <v>441.0</v>
      </c>
      <c r="E51" t="n" s="20053">
        <v>5.0</v>
      </c>
      <c r="F51" t="n" s="20054">
        <v>20.0</v>
      </c>
      <c r="G51" t="n" s="20055">
        <v>0.0</v>
      </c>
      <c r="H51" t="n" s="20056">
        <v>0.0</v>
      </c>
      <c r="I51" t="n" s="20057">
        <v>104.0</v>
      </c>
      <c r="J51" s="20058">
        <f>HLOOKUP("BPS",A1:CV300,51,FALSE)-((-6*HLOOKUP("OG",A1:CV300,51,FALSE))+(-6*HLOOKUP("PK Miss",A1:CV300,51,FALSE))+(9*HLOOKUP("FPL As",A1:CV300,51,FALSE))+(0*HLOOKUP("CS",A1:CV300,51,FALSE))+(18*HLOOKUP("Gs",A1:CV300,51,FALSE)))</f>
      </c>
      <c r="K51" t="n" s="20059">
        <v>0.0</v>
      </c>
      <c r="L51" t="n" s="20060">
        <v>4.0</v>
      </c>
      <c r="M51" t="n" s="20061">
        <v>1.0</v>
      </c>
      <c r="N51" t="n" s="20062">
        <v>0.0</v>
      </c>
      <c r="O51" t="n" s="20063">
        <v>0.0</v>
      </c>
      <c r="P51" s="20064">
        <f>IF(HLOOKUP("Shots",A1:CV300,51,FALSE)=0,0,HLOOKUP("SIB",A1:CV300,51,FALSE)/HLOOKUP("Shots",A1:CV300,51,FALSE))</f>
      </c>
      <c r="Q51" t="n" s="20065">
        <v>0.0</v>
      </c>
      <c r="R51" s="20066">
        <f>IF(HLOOKUP("Shots",A1:CV300,51,FALSE)=0,0,HLOOKUP("S6YD",A1:CV300,51,FALSE)/HLOOKUP("Shots",A1:CV300,51,FALSE))</f>
      </c>
      <c r="S51" t="n" s="20067">
        <v>0.0</v>
      </c>
      <c r="T51" s="20068">
        <f>IF(HLOOKUP("Shots",A1:CV300,51,FALSE)=0,0,HLOOKUP("Headers",A1:CV300,51,FALSE)/HLOOKUP("Shots",A1:CV300,51,FALSE))</f>
      </c>
      <c r="U51" t="n" s="20069">
        <v>0.0</v>
      </c>
      <c r="V51" s="20070">
        <f>IF(HLOOKUP("Shots",A1:CV300,51,FALSE)=0,0,HLOOKUP("SOT",A1:CV300,51,FALSE)/HLOOKUP("Shots",A1:CV300,51,FALSE))</f>
      </c>
      <c r="W51" s="20071">
        <f>IF(HLOOKUP("Shots",A1:CV300,51,FALSE)=0,0,HLOOKUP("Gs",A1:CV300,51,FALSE)/HLOOKUP("Shots",A1:CV300,51,FALSE))</f>
      </c>
      <c r="X51" t="n" s="20072">
        <v>0.0</v>
      </c>
      <c r="Y51" t="n" s="20073">
        <v>0.0</v>
      </c>
      <c r="Z51" t="n" s="20074">
        <v>2.0</v>
      </c>
      <c r="AA51" s="20075">
        <f>IF(HLOOKUP("KP",A1:CV300,51,FALSE)=0,0,HLOOKUP("As",A1:CV300,51,FALSE)/HLOOKUP("KP",A1:CV300,51,FALSE))</f>
      </c>
      <c r="AB51" s="20076"/>
      <c r="AC51" t="n" s="20077">
        <v>0.0</v>
      </c>
      <c r="AD51" t="n" s="20078">
        <v>0.0</v>
      </c>
      <c r="AE51" t="n" s="20079">
        <v>0.0</v>
      </c>
      <c r="AF51" t="n" s="20080">
        <v>0.0</v>
      </c>
      <c r="AG51" s="20081">
        <f>IF(HLOOKUP("BC",A1:CV300,51,FALSE)=0,0,HLOOKUP("Gs - BC",A1:CV300,51,FALSE)/HLOOKUP("BC",A1:CV300,51,FALSE))</f>
      </c>
      <c r="AH51" s="20082">
        <f>HLOOKUP("BC",A1:CV300,51,FALSE) - HLOOKUP("BC Miss",A1:CV300,51,FALSE)</f>
      </c>
      <c r="AI51" s="20083">
        <f>IF(HLOOKUP("Gs",A1:CV300,51,FALSE)=0,0,HLOOKUP("Gs - BC",A1:CV300,51,FALSE)/HLOOKUP("Gs",A1:CV300,51,FALSE))</f>
      </c>
      <c r="AJ51" t="n" s="20084">
        <v>0.0</v>
      </c>
      <c r="AK51" t="n" s="20085">
        <v>0.0</v>
      </c>
      <c r="AL51" s="20086">
        <f>HLOOKUP("BC",A1:CV300,51,FALSE) - (HLOOKUP("PK Gs",A1:CV300,51,FALSE) + HLOOKUP("PK Miss",A1:CV300,51,FALSE))</f>
      </c>
      <c r="AM51" s="20087">
        <f>HLOOKUP("BC Miss",A1:CV300,51,FALSE) - HLOOKUP("PK Miss",A1:CV300,51,FALSE)</f>
      </c>
      <c r="AN51" s="20088">
        <f>IF(HLOOKUP("BC - Open",A1:CV300,51,FALSE)=0,0,HLOOKUP("BC - Open Miss",A1:CV300,51,FALSE)/HLOOKUP("BC - Open",A1:CV300,51,FALSE))</f>
      </c>
      <c r="AO51" t="n" s="20089">
        <v>0.0</v>
      </c>
      <c r="AP51" s="20090">
        <f>IF(HLOOKUP("Gs",A1:CV300,51,FALSE)=0,0,HLOOKUP("GIB",A1:CV300,51,FALSE)/HLOOKUP("Gs",A1:CV300,51,FALSE))</f>
      </c>
      <c r="AQ51" t="n" s="20091">
        <v>0.0</v>
      </c>
      <c r="AR51" s="20092">
        <f>IF(HLOOKUP("Gs",A1:CV300,51,FALSE)=0,0,HLOOKUP("Gs - Open",A1:CV300,51,FALSE)/HLOOKUP("Gs",A1:CV300,51,FALSE))</f>
      </c>
      <c r="AS51" t="n" s="20093">
        <v>0.0</v>
      </c>
      <c r="AT51" t="n" s="20094">
        <v>0.47</v>
      </c>
      <c r="AU51" s="20095">
        <f>IF(HLOOKUP("Mins",A1:CV300,51,FALSE)=0,0,HLOOKUP("Pts",A1:CV300,51,FALSE)/HLOOKUP("Mins",A1:CV300,51,FALSE)* 90)</f>
      </c>
      <c r="AV51" s="20096">
        <f>IF(HLOOKUP("Apps",A1:CV300,51,FALSE)=0,0,HLOOKUP("Pts",A1:CV300,51,FALSE)/HLOOKUP("Apps",A1:CV300,51,FALSE)* 1)</f>
      </c>
      <c r="AW51" s="20097">
        <f>IF(HLOOKUP("Mins",A1:CV300,51,FALSE)=0,0,HLOOKUP("Gs",A1:CV300,51,FALSE)/HLOOKUP("Mins",A1:CV300,51,FALSE)* 90)</f>
      </c>
      <c r="AX51" s="20098">
        <f>IF(HLOOKUP("Mins",A1:CV300,51,FALSE)=0,0,HLOOKUP("Bonus",A1:CV300,51,FALSE)/HLOOKUP("Mins",A1:CV300,51,FALSE)* 90)</f>
      </c>
      <c r="AY51" s="20099">
        <f>IF(HLOOKUP("Mins",A1:CV300,51,FALSE)=0,0,HLOOKUP("BPS",A1:CV300,51,FALSE)/HLOOKUP("Mins",A1:CV300,51,FALSE)* 90)</f>
      </c>
      <c r="AZ51" s="20100">
        <f>IF(HLOOKUP("Mins",A1:CV300,51,FALSE)=0,0,HLOOKUP("Base BPS",A1:CV300,51,FALSE)/HLOOKUP("Mins",A1:CV300,51,FALSE)* 90)</f>
      </c>
      <c r="BA51" s="20101">
        <f>IF(HLOOKUP("Mins",A1:CV300,51,FALSE)=0,0,HLOOKUP("PenTchs",A1:CV300,51,FALSE)/HLOOKUP("Mins",A1:CV300,51,FALSE)* 90)</f>
      </c>
      <c r="BB51" s="20102">
        <f>IF(HLOOKUP("Mins",A1:CV300,51,FALSE)=0,0,HLOOKUP("Shots",A1:CV300,51,FALSE)/HLOOKUP("Mins",A1:CV300,51,FALSE)* 90)</f>
      </c>
      <c r="BC51" s="20103">
        <f>IF(HLOOKUP("Mins",A1:CV300,51,FALSE)=0,0,HLOOKUP("SIB",A1:CV300,51,FALSE)/HLOOKUP("Mins",A1:CV300,51,FALSE)* 90)</f>
      </c>
      <c r="BD51" s="20104">
        <f>IF(HLOOKUP("Mins",A1:CV300,51,FALSE)=0,0,HLOOKUP("S6YD",A1:CV300,51,FALSE)/HLOOKUP("Mins",A1:CV300,51,FALSE)* 90)</f>
      </c>
      <c r="BE51" s="20105">
        <f>IF(HLOOKUP("Mins",A1:CV300,51,FALSE)=0,0,HLOOKUP("Headers",A1:CV300,51,FALSE)/HLOOKUP("Mins",A1:CV300,51,FALSE)* 90)</f>
      </c>
      <c r="BF51" s="20106">
        <f>IF(HLOOKUP("Mins",A1:CV300,51,FALSE)=0,0,HLOOKUP("SOT",A1:CV300,51,FALSE)/HLOOKUP("Mins",A1:CV300,51,FALSE)* 90)</f>
      </c>
      <c r="BG51" s="20107">
        <f>IF(HLOOKUP("Mins",A1:CV300,51,FALSE)=0,0,HLOOKUP("As",A1:CV300,51,FALSE)/HLOOKUP("Mins",A1:CV300,51,FALSE)* 90)</f>
      </c>
      <c r="BH51" s="20108">
        <f>IF(HLOOKUP("Mins",A1:CV300,51,FALSE)=0,0,HLOOKUP("FPL As",A1:CV300,51,FALSE)/HLOOKUP("Mins",A1:CV300,51,FALSE)* 90)</f>
      </c>
      <c r="BI51" s="20109">
        <f>IF(HLOOKUP("Mins",A1:CV300,51,FALSE)=0,0,HLOOKUP("BC Created",A1:CV300,51,FALSE)/HLOOKUP("Mins",A1:CV300,51,FALSE)* 90)</f>
      </c>
      <c r="BJ51" s="20110">
        <f>IF(HLOOKUP("Mins",A1:CV300,51,FALSE)=0,0,HLOOKUP("KP",A1:CV300,51,FALSE)/HLOOKUP("Mins",A1:CV300,51,FALSE)* 90)</f>
      </c>
      <c r="BK51" s="20111">
        <f>IF(HLOOKUP("Mins",A1:CV300,51,FALSE)=0,0,HLOOKUP("BC",A1:CV300,51,FALSE)/HLOOKUP("Mins",A1:CV300,51,FALSE)* 90)</f>
      </c>
      <c r="BL51" s="20112">
        <f>IF(HLOOKUP("Mins",A1:CV300,51,FALSE)=0,0,HLOOKUP("BC Miss",A1:CV300,51,FALSE)/HLOOKUP("Mins",A1:CV300,51,FALSE)* 90)</f>
      </c>
      <c r="BM51" s="20113">
        <f>IF(HLOOKUP("Mins",A1:CV300,51,FALSE)=0,0,HLOOKUP("Gs - BC",A1:CV300,51,FALSE)/HLOOKUP("Mins",A1:CV300,51,FALSE)* 90)</f>
      </c>
      <c r="BN51" s="20114">
        <f>IF(HLOOKUP("Mins",A1:CV300,51,FALSE)=0,0,HLOOKUP("GIB",A1:CV300,51,FALSE)/HLOOKUP("Mins",A1:CV300,51,FALSE)* 90)</f>
      </c>
      <c r="BO51" s="20115">
        <f>IF(HLOOKUP("Mins",A1:CV300,51,FALSE)=0,0,HLOOKUP("Gs - Open",A1:CV300,51,FALSE)/HLOOKUP("Mins",A1:CV300,51,FALSE)* 90)</f>
      </c>
      <c r="BP51" s="20116">
        <f>IF(HLOOKUP("Mins",A1:CV300,51,FALSE)=0,0,HLOOKUP("ICT Index",A1:CV300,51,FALSE)/HLOOKUP("Mins",A1:CV300,51,FALSE)* 90)</f>
      </c>
      <c r="BQ51" s="20117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</c>
      <c r="BR51" s="20118">
        <f>0.0885*HLOOKUP("KP/90",A1:CV300,51,FALSE)</f>
      </c>
      <c r="BS51" s="20119">
        <f>5*HLOOKUP("xG/90",A1:CV300,51,FALSE)+3*HLOOKUP("xA/90",A1:CV300,51,FALSE)</f>
      </c>
      <c r="BT51" s="20120">
        <f>HLOOKUP("xPts/90",A1:CV300,51,FALSE)-(5*0.75*(HLOOKUP("PK Gs",A1:CV300,51,FALSE)+HLOOKUP("PK Miss",A1:CV300,51,FALSE))*90/HLOOKUP("Mins",A1:CV300,51,FALSE))</f>
      </c>
      <c r="BU51" s="20121">
        <f>IF(HLOOKUP("Mins",A1:CV300,51,FALSE)=0,0,HLOOKUP("fsXG",A1:CV300,51,FALSE)/HLOOKUP("Mins",A1:CV300,51,FALSE)* 90)</f>
      </c>
      <c r="BV51" s="20122">
        <f>IF(HLOOKUP("Mins",A1:CV300,51,FALSE)=0,0,HLOOKUP("fsXA",A1:CV300,51,FALSE)/HLOOKUP("Mins",A1:CV300,51,FALSE)* 90)</f>
      </c>
      <c r="BW51" s="20123">
        <f>5*HLOOKUP("fsXG/90",A1:CV300,51,FALSE)+3*HLOOKUP("fsXA/90",A1:CV300,51,FALSE)</f>
      </c>
      <c r="BX51" t="n" s="20124">
        <v>0.0</v>
      </c>
      <c r="BY51" t="n" s="20125">
        <v>0.03011113591492176</v>
      </c>
      <c r="BZ51" s="20126">
        <f>5*HLOOKUP("uXG/90",A1:CV300,51,FALSE)+3*HLOOKUP("uXA/90",A1:CV300,51,FALSE)</f>
      </c>
    </row>
    <row r="52">
      <c r="A52" t="s" s="20127">
        <v>355</v>
      </c>
      <c r="B52" t="s" s="20128">
        <v>92</v>
      </c>
      <c r="C52" t="n" s="20129">
        <v>5.800000190734863</v>
      </c>
      <c r="D52" t="n" s="20130">
        <v>405.0</v>
      </c>
      <c r="E52" t="n" s="20131">
        <v>6.0</v>
      </c>
      <c r="F52" t="n" s="20132">
        <v>82.0</v>
      </c>
      <c r="G52" t="n" s="20133">
        <v>1.0</v>
      </c>
      <c r="H52" t="n" s="20134">
        <v>7.0</v>
      </c>
      <c r="I52" t="n" s="20135">
        <v>271.0</v>
      </c>
      <c r="J52" s="20136">
        <f>HLOOKUP("BPS",A1:CV300,52,FALSE)-((-6*HLOOKUP("OG",A1:CV300,52,FALSE))+(-6*HLOOKUP("PK Miss",A1:CV300,52,FALSE))+(9*HLOOKUP("FPL As",A1:CV300,52,FALSE))+(0*HLOOKUP("CS",A1:CV300,52,FALSE))+(18*HLOOKUP("Gs",A1:CV300,52,FALSE)))</f>
      </c>
      <c r="K52" t="n" s="20137">
        <v>0.0</v>
      </c>
      <c r="L52" t="n" s="20138">
        <v>2.0</v>
      </c>
      <c r="M52" t="n" s="20139">
        <v>12.0</v>
      </c>
      <c r="N52" t="n" s="20140">
        <v>13.0</v>
      </c>
      <c r="O52" t="n" s="20141">
        <v>6.0</v>
      </c>
      <c r="P52" s="20142">
        <f>IF(HLOOKUP("Shots",A1:CV300,52,FALSE)=0,0,HLOOKUP("SIB",A1:CV300,52,FALSE)/HLOOKUP("Shots",A1:CV300,52,FALSE))</f>
      </c>
      <c r="Q52" t="n" s="20143">
        <v>0.0</v>
      </c>
      <c r="R52" s="20144">
        <f>IF(HLOOKUP("Shots",A1:CV300,52,FALSE)=0,0,HLOOKUP("S6YD",A1:CV300,52,FALSE)/HLOOKUP("Shots",A1:CV300,52,FALSE))</f>
      </c>
      <c r="S52" t="n" s="20145">
        <v>1.0</v>
      </c>
      <c r="T52" s="20146">
        <f>IF(HLOOKUP("Shots",A1:CV300,52,FALSE)=0,0,HLOOKUP("Headers",A1:CV300,52,FALSE)/HLOOKUP("Shots",A1:CV300,52,FALSE))</f>
      </c>
      <c r="U52" t="n" s="20147">
        <v>3.0</v>
      </c>
      <c r="V52" s="20148">
        <f>IF(HLOOKUP("Shots",A1:CV300,52,FALSE)=0,0,HLOOKUP("SOT",A1:CV300,52,FALSE)/HLOOKUP("Shots",A1:CV300,52,FALSE))</f>
      </c>
      <c r="W52" s="20149">
        <f>IF(HLOOKUP("Shots",A1:CV300,52,FALSE)=0,0,HLOOKUP("Gs",A1:CV300,52,FALSE)/HLOOKUP("Shots",A1:CV300,52,FALSE))</f>
      </c>
      <c r="X52" t="n" s="20150">
        <v>0.0</v>
      </c>
      <c r="Y52" t="n" s="20151">
        <v>1.0</v>
      </c>
      <c r="Z52" t="n" s="20152">
        <v>3.0</v>
      </c>
      <c r="AA52" s="20153">
        <f>IF(HLOOKUP("KP",A1:CV300,52,FALSE)=0,0,HLOOKUP("As",A1:CV300,52,FALSE)/HLOOKUP("KP",A1:CV300,52,FALSE))</f>
      </c>
      <c r="AB52" s="20154"/>
      <c r="AC52" t="n" s="20155">
        <v>33.0</v>
      </c>
      <c r="AD52" t="n" s="20156">
        <v>1.0</v>
      </c>
      <c r="AE52" t="n" s="20157">
        <v>0.0</v>
      </c>
      <c r="AF52" t="n" s="20158">
        <v>0.0</v>
      </c>
      <c r="AG52" s="20159">
        <f>IF(HLOOKUP("BC",A1:CV300,52,FALSE)=0,0,HLOOKUP("Gs - BC",A1:CV300,52,FALSE)/HLOOKUP("BC",A1:CV300,52,FALSE))</f>
      </c>
      <c r="AH52" s="20160">
        <f>HLOOKUP("BC",A1:CV300,52,FALSE) - HLOOKUP("BC Miss",A1:CV300,52,FALSE)</f>
      </c>
      <c r="AI52" s="20161">
        <f>IF(HLOOKUP("Gs",A1:CV300,52,FALSE)=0,0,HLOOKUP("Gs - BC",A1:CV300,52,FALSE)/HLOOKUP("Gs",A1:CV300,52,FALSE))</f>
      </c>
      <c r="AJ52" t="n" s="20162">
        <v>0.0</v>
      </c>
      <c r="AK52" t="n" s="20163">
        <v>0.0</v>
      </c>
      <c r="AL52" s="20164">
        <f>HLOOKUP("BC",A1:CV300,52,FALSE) - (HLOOKUP("PK Gs",A1:CV300,52,FALSE) + HLOOKUP("PK Miss",A1:CV300,52,FALSE))</f>
      </c>
      <c r="AM52" s="20165">
        <f>HLOOKUP("BC Miss",A1:CV300,52,FALSE) - HLOOKUP("PK Miss",A1:CV300,52,FALSE)</f>
      </c>
      <c r="AN52" s="20166">
        <f>IF(HLOOKUP("BC - Open",A1:CV300,52,FALSE)=0,0,HLOOKUP("BC - Open Miss",A1:CV300,52,FALSE)/HLOOKUP("BC - Open",A1:CV300,52,FALSE))</f>
      </c>
      <c r="AO52" t="n" s="20167">
        <v>1.0</v>
      </c>
      <c r="AP52" s="20168">
        <f>IF(HLOOKUP("Gs",A1:CV300,52,FALSE)=0,0,HLOOKUP("GIB",A1:CV300,52,FALSE)/HLOOKUP("Gs",A1:CV300,52,FALSE))</f>
      </c>
      <c r="AQ52" t="n" s="20169">
        <v>1.0</v>
      </c>
      <c r="AR52" s="20170">
        <f>IF(HLOOKUP("Gs",A1:CV300,52,FALSE)=0,0,HLOOKUP("Gs - Open",A1:CV300,52,FALSE)/HLOOKUP("Gs",A1:CV300,52,FALSE))</f>
      </c>
      <c r="AS52" t="n" s="20171">
        <v>0.7</v>
      </c>
      <c r="AT52" t="n" s="20172">
        <v>0.41</v>
      </c>
      <c r="AU52" s="20173">
        <f>IF(HLOOKUP("Mins",A1:CV300,52,FALSE)=0,0,HLOOKUP("Pts",A1:CV300,52,FALSE)/HLOOKUP("Mins",A1:CV300,52,FALSE)* 90)</f>
      </c>
      <c r="AV52" s="20174">
        <f>IF(HLOOKUP("Apps",A1:CV300,52,FALSE)=0,0,HLOOKUP("Pts",A1:CV300,52,FALSE)/HLOOKUP("Apps",A1:CV300,52,FALSE)* 1)</f>
      </c>
      <c r="AW52" s="20175">
        <f>IF(HLOOKUP("Mins",A1:CV300,52,FALSE)=0,0,HLOOKUP("Gs",A1:CV300,52,FALSE)/HLOOKUP("Mins",A1:CV300,52,FALSE)* 90)</f>
      </c>
      <c r="AX52" s="20176">
        <f>IF(HLOOKUP("Mins",A1:CV300,52,FALSE)=0,0,HLOOKUP("Bonus",A1:CV300,52,FALSE)/HLOOKUP("Mins",A1:CV300,52,FALSE)* 90)</f>
      </c>
      <c r="AY52" s="20177">
        <f>IF(HLOOKUP("Mins",A1:CV300,52,FALSE)=0,0,HLOOKUP("BPS",A1:CV300,52,FALSE)/HLOOKUP("Mins",A1:CV300,52,FALSE)* 90)</f>
      </c>
      <c r="AZ52" s="20178">
        <f>IF(HLOOKUP("Mins",A1:CV300,52,FALSE)=0,0,HLOOKUP("Base BPS",A1:CV300,52,FALSE)/HLOOKUP("Mins",A1:CV300,52,FALSE)* 90)</f>
      </c>
      <c r="BA52" s="20179">
        <f>IF(HLOOKUP("Mins",A1:CV300,52,FALSE)=0,0,HLOOKUP("PenTchs",A1:CV300,52,FALSE)/HLOOKUP("Mins",A1:CV300,52,FALSE)* 90)</f>
      </c>
      <c r="BB52" s="20180">
        <f>IF(HLOOKUP("Mins",A1:CV300,52,FALSE)=0,0,HLOOKUP("Shots",A1:CV300,52,FALSE)/HLOOKUP("Mins",A1:CV300,52,FALSE)* 90)</f>
      </c>
      <c r="BC52" s="20181">
        <f>IF(HLOOKUP("Mins",A1:CV300,52,FALSE)=0,0,HLOOKUP("SIB",A1:CV300,52,FALSE)/HLOOKUP("Mins",A1:CV300,52,FALSE)* 90)</f>
      </c>
      <c r="BD52" s="20182">
        <f>IF(HLOOKUP("Mins",A1:CV300,52,FALSE)=0,0,HLOOKUP("S6YD",A1:CV300,52,FALSE)/HLOOKUP("Mins",A1:CV300,52,FALSE)* 90)</f>
      </c>
      <c r="BE52" s="20183">
        <f>IF(HLOOKUP("Mins",A1:CV300,52,FALSE)=0,0,HLOOKUP("Headers",A1:CV300,52,FALSE)/HLOOKUP("Mins",A1:CV300,52,FALSE)* 90)</f>
      </c>
      <c r="BF52" s="20184">
        <f>IF(HLOOKUP("Mins",A1:CV300,52,FALSE)=0,0,HLOOKUP("SOT",A1:CV300,52,FALSE)/HLOOKUP("Mins",A1:CV300,52,FALSE)* 90)</f>
      </c>
      <c r="BG52" s="20185">
        <f>IF(HLOOKUP("Mins",A1:CV300,52,FALSE)=0,0,HLOOKUP("As",A1:CV300,52,FALSE)/HLOOKUP("Mins",A1:CV300,52,FALSE)* 90)</f>
      </c>
      <c r="BH52" s="20186">
        <f>IF(HLOOKUP("Mins",A1:CV300,52,FALSE)=0,0,HLOOKUP("FPL As",A1:CV300,52,FALSE)/HLOOKUP("Mins",A1:CV300,52,FALSE)* 90)</f>
      </c>
      <c r="BI52" s="20187">
        <f>IF(HLOOKUP("Mins",A1:CV300,52,FALSE)=0,0,HLOOKUP("BC Created",A1:CV300,52,FALSE)/HLOOKUP("Mins",A1:CV300,52,FALSE)* 90)</f>
      </c>
      <c r="BJ52" s="20188">
        <f>IF(HLOOKUP("Mins",A1:CV300,52,FALSE)=0,0,HLOOKUP("KP",A1:CV300,52,FALSE)/HLOOKUP("Mins",A1:CV300,52,FALSE)* 90)</f>
      </c>
      <c r="BK52" s="20189">
        <f>IF(HLOOKUP("Mins",A1:CV300,52,FALSE)=0,0,HLOOKUP("BC",A1:CV300,52,FALSE)/HLOOKUP("Mins",A1:CV300,52,FALSE)* 90)</f>
      </c>
      <c r="BL52" s="20190">
        <f>IF(HLOOKUP("Mins",A1:CV300,52,FALSE)=0,0,HLOOKUP("BC Miss",A1:CV300,52,FALSE)/HLOOKUP("Mins",A1:CV300,52,FALSE)* 90)</f>
      </c>
      <c r="BM52" s="20191">
        <f>IF(HLOOKUP("Mins",A1:CV300,52,FALSE)=0,0,HLOOKUP("Gs - BC",A1:CV300,52,FALSE)/HLOOKUP("Mins",A1:CV300,52,FALSE)* 90)</f>
      </c>
      <c r="BN52" s="20192">
        <f>IF(HLOOKUP("Mins",A1:CV300,52,FALSE)=0,0,HLOOKUP("GIB",A1:CV300,52,FALSE)/HLOOKUP("Mins",A1:CV300,52,FALSE)* 90)</f>
      </c>
      <c r="BO52" s="20193">
        <f>IF(HLOOKUP("Mins",A1:CV300,52,FALSE)=0,0,HLOOKUP("Gs - Open",A1:CV300,52,FALSE)/HLOOKUP("Mins",A1:CV300,52,FALSE)* 90)</f>
      </c>
      <c r="BP52" s="20194">
        <f>IF(HLOOKUP("Mins",A1:CV300,52,FALSE)=0,0,HLOOKUP("ICT Index",A1:CV300,52,FALSE)/HLOOKUP("Mins",A1:CV300,52,FALSE)* 90)</f>
      </c>
      <c r="BQ52" s="20195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</c>
      <c r="BR52" s="20196">
        <f>0.0885*HLOOKUP("KP/90",A1:CV300,52,FALSE)</f>
      </c>
      <c r="BS52" s="20197">
        <f>5*HLOOKUP("xG/90",A1:CV300,52,FALSE)+3*HLOOKUP("xA/90",A1:CV300,52,FALSE)</f>
      </c>
      <c r="BT52" s="20198">
        <f>HLOOKUP("xPts/90",A1:CV300,52,FALSE)-(5*0.75*(HLOOKUP("PK Gs",A1:CV300,52,FALSE)+HLOOKUP("PK Miss",A1:CV300,52,FALSE))*90/HLOOKUP("Mins",A1:CV300,52,FALSE))</f>
      </c>
      <c r="BU52" s="20199">
        <f>IF(HLOOKUP("Mins",A1:CV300,52,FALSE)=0,0,HLOOKUP("fsXG",A1:CV300,52,FALSE)/HLOOKUP("Mins",A1:CV300,52,FALSE)* 90)</f>
      </c>
      <c r="BV52" s="20200">
        <f>IF(HLOOKUP("Mins",A1:CV300,52,FALSE)=0,0,HLOOKUP("fsXA",A1:CV300,52,FALSE)/HLOOKUP("Mins",A1:CV300,52,FALSE)* 90)</f>
      </c>
      <c r="BW52" s="20201">
        <f>5*HLOOKUP("fsXG/90",A1:CV300,52,FALSE)+3*HLOOKUP("fsXA/90",A1:CV300,52,FALSE)</f>
      </c>
      <c r="BX52" t="n" s="20202">
        <v>0.15363416075706482</v>
      </c>
      <c r="BY52" t="n" s="20203">
        <v>0.11784731596708298</v>
      </c>
      <c r="BZ52" s="20204">
        <f>5*HLOOKUP("uXG/90",A1:CV300,52,FALSE)+3*HLOOKUP("uXA/90",A1:CV300,52,FALSE)</f>
      </c>
    </row>
    <row r="53">
      <c r="A53" t="s" s="20205">
        <v>356</v>
      </c>
      <c r="B53" t="s" s="20206">
        <v>116</v>
      </c>
      <c r="C53" t="n" s="20207">
        <v>6.199999809265137</v>
      </c>
      <c r="D53" t="n" s="20208">
        <v>260.0</v>
      </c>
      <c r="E53" t="n" s="20209">
        <v>3.0</v>
      </c>
      <c r="F53" t="n" s="20210">
        <v>56.0</v>
      </c>
      <c r="G53" t="n" s="20211">
        <v>0.0</v>
      </c>
      <c r="H53" t="n" s="20212">
        <v>2.0</v>
      </c>
      <c r="I53" t="n" s="20213">
        <v>155.0</v>
      </c>
      <c r="J53" s="20214">
        <f>HLOOKUP("BPS",A1:CV300,53,FALSE)-((-6*HLOOKUP("OG",A1:CV300,53,FALSE))+(-6*HLOOKUP("PK Miss",A1:CV300,53,FALSE))+(9*HLOOKUP("FPL As",A1:CV300,53,FALSE))+(0*HLOOKUP("CS",A1:CV300,53,FALSE))+(18*HLOOKUP("Gs",A1:CV300,53,FALSE)))</f>
      </c>
      <c r="K53" t="n" s="20215">
        <v>0.0</v>
      </c>
      <c r="L53" t="n" s="20216">
        <v>5.0</v>
      </c>
      <c r="M53" t="n" s="20217">
        <v>19.0</v>
      </c>
      <c r="N53" t="n" s="20218">
        <v>7.0</v>
      </c>
      <c r="O53" t="n" s="20219">
        <v>6.0</v>
      </c>
      <c r="P53" s="20220">
        <f>IF(HLOOKUP("Shots",A1:CV300,53,FALSE)=0,0,HLOOKUP("SIB",A1:CV300,53,FALSE)/HLOOKUP("Shots",A1:CV300,53,FALSE))</f>
      </c>
      <c r="Q53" t="n" s="20221">
        <v>0.0</v>
      </c>
      <c r="R53" s="20222">
        <f>IF(HLOOKUP("Shots",A1:CV300,53,FALSE)=0,0,HLOOKUP("S6YD",A1:CV300,53,FALSE)/HLOOKUP("Shots",A1:CV300,53,FALSE))</f>
      </c>
      <c r="S53" t="n" s="20223">
        <v>0.0</v>
      </c>
      <c r="T53" s="20224">
        <f>IF(HLOOKUP("Shots",A1:CV300,53,FALSE)=0,0,HLOOKUP("Headers",A1:CV300,53,FALSE)/HLOOKUP("Shots",A1:CV300,53,FALSE))</f>
      </c>
      <c r="U53" t="n" s="20225">
        <v>1.0</v>
      </c>
      <c r="V53" s="20226">
        <f>IF(HLOOKUP("Shots",A1:CV300,53,FALSE)=0,0,HLOOKUP("SOT",A1:CV300,53,FALSE)/HLOOKUP("Shots",A1:CV300,53,FALSE))</f>
      </c>
      <c r="W53" s="20227">
        <f>IF(HLOOKUP("Shots",A1:CV300,53,FALSE)=0,0,HLOOKUP("Gs",A1:CV300,53,FALSE)/HLOOKUP("Shots",A1:CV300,53,FALSE))</f>
      </c>
      <c r="X53" t="n" s="20228">
        <v>2.0</v>
      </c>
      <c r="Y53" t="n" s="20229">
        <v>3.0</v>
      </c>
      <c r="Z53" t="n" s="20230">
        <v>8.0</v>
      </c>
      <c r="AA53" s="20231">
        <f>IF(HLOOKUP("KP",A1:CV300,53,FALSE)=0,0,HLOOKUP("As",A1:CV300,53,FALSE)/HLOOKUP("KP",A1:CV300,53,FALSE))</f>
      </c>
      <c r="AB53" s="20232"/>
      <c r="AC53" t="n" s="20233">
        <v>50.0</v>
      </c>
      <c r="AD53" t="n" s="20234">
        <v>3.0</v>
      </c>
      <c r="AE53" t="n" s="20235">
        <v>2.0</v>
      </c>
      <c r="AF53" t="n" s="20236">
        <v>2.0</v>
      </c>
      <c r="AG53" s="20237">
        <f>IF(HLOOKUP("BC",A1:CV300,53,FALSE)=0,0,HLOOKUP("Gs - BC",A1:CV300,53,FALSE)/HLOOKUP("BC",A1:CV300,53,FALSE))</f>
      </c>
      <c r="AH53" s="20238">
        <f>HLOOKUP("BC",A1:CV300,53,FALSE) - HLOOKUP("BC Miss",A1:CV300,53,FALSE)</f>
      </c>
      <c r="AI53" s="20239">
        <f>IF(HLOOKUP("Gs",A1:CV300,53,FALSE)=0,0,HLOOKUP("Gs - BC",A1:CV300,53,FALSE)/HLOOKUP("Gs",A1:CV300,53,FALSE))</f>
      </c>
      <c r="AJ53" t="n" s="20240">
        <v>0.0</v>
      </c>
      <c r="AK53" t="n" s="20241">
        <v>0.0</v>
      </c>
      <c r="AL53" s="20242">
        <f>HLOOKUP("BC",A1:CV300,53,FALSE) - (HLOOKUP("PK Gs",A1:CV300,53,FALSE) + HLOOKUP("PK Miss",A1:CV300,53,FALSE))</f>
      </c>
      <c r="AM53" s="20243">
        <f>HLOOKUP("BC Miss",A1:CV300,53,FALSE) - HLOOKUP("PK Miss",A1:CV300,53,FALSE)</f>
      </c>
      <c r="AN53" s="20244">
        <f>IF(HLOOKUP("BC - Open",A1:CV300,53,FALSE)=0,0,HLOOKUP("BC - Open Miss",A1:CV300,53,FALSE)/HLOOKUP("BC - Open",A1:CV300,53,FALSE))</f>
      </c>
      <c r="AO53" t="n" s="20245">
        <v>0.0</v>
      </c>
      <c r="AP53" s="20246">
        <f>IF(HLOOKUP("Gs",A1:CV300,53,FALSE)=0,0,HLOOKUP("GIB",A1:CV300,53,FALSE)/HLOOKUP("Gs",A1:CV300,53,FALSE))</f>
      </c>
      <c r="AQ53" t="n" s="20247">
        <v>0.0</v>
      </c>
      <c r="AR53" s="20248">
        <f>IF(HLOOKUP("Gs",A1:CV300,53,FALSE)=0,0,HLOOKUP("Gs - Open",A1:CV300,53,FALSE)/HLOOKUP("Gs",A1:CV300,53,FALSE))</f>
      </c>
      <c r="AS53" t="n" s="20249">
        <v>1.03</v>
      </c>
      <c r="AT53" t="n" s="20250">
        <v>0.43</v>
      </c>
      <c r="AU53" s="20251">
        <f>IF(HLOOKUP("Mins",A1:CV300,53,FALSE)=0,0,HLOOKUP("Pts",A1:CV300,53,FALSE)/HLOOKUP("Mins",A1:CV300,53,FALSE)* 90)</f>
      </c>
      <c r="AV53" s="20252">
        <f>IF(HLOOKUP("Apps",A1:CV300,53,FALSE)=0,0,HLOOKUP("Pts",A1:CV300,53,FALSE)/HLOOKUP("Apps",A1:CV300,53,FALSE)* 1)</f>
      </c>
      <c r="AW53" s="20253">
        <f>IF(HLOOKUP("Mins",A1:CV300,53,FALSE)=0,0,HLOOKUP("Gs",A1:CV300,53,FALSE)/HLOOKUP("Mins",A1:CV300,53,FALSE)* 90)</f>
      </c>
      <c r="AX53" s="20254">
        <f>IF(HLOOKUP("Mins",A1:CV300,53,FALSE)=0,0,HLOOKUP("Bonus",A1:CV300,53,FALSE)/HLOOKUP("Mins",A1:CV300,53,FALSE)* 90)</f>
      </c>
      <c r="AY53" s="20255">
        <f>IF(HLOOKUP("Mins",A1:CV300,53,FALSE)=0,0,HLOOKUP("BPS",A1:CV300,53,FALSE)/HLOOKUP("Mins",A1:CV300,53,FALSE)* 90)</f>
      </c>
      <c r="AZ53" s="20256">
        <f>IF(HLOOKUP("Mins",A1:CV300,53,FALSE)=0,0,HLOOKUP("Base BPS",A1:CV300,53,FALSE)/HLOOKUP("Mins",A1:CV300,53,FALSE)* 90)</f>
      </c>
      <c r="BA53" s="20257">
        <f>IF(HLOOKUP("Mins",A1:CV300,53,FALSE)=0,0,HLOOKUP("PenTchs",A1:CV300,53,FALSE)/HLOOKUP("Mins",A1:CV300,53,FALSE)* 90)</f>
      </c>
      <c r="BB53" s="20258">
        <f>IF(HLOOKUP("Mins",A1:CV300,53,FALSE)=0,0,HLOOKUP("Shots",A1:CV300,53,FALSE)/HLOOKUP("Mins",A1:CV300,53,FALSE)* 90)</f>
      </c>
      <c r="BC53" s="20259">
        <f>IF(HLOOKUP("Mins",A1:CV300,53,FALSE)=0,0,HLOOKUP("SIB",A1:CV300,53,FALSE)/HLOOKUP("Mins",A1:CV300,53,FALSE)* 90)</f>
      </c>
      <c r="BD53" s="20260">
        <f>IF(HLOOKUP("Mins",A1:CV300,53,FALSE)=0,0,HLOOKUP("S6YD",A1:CV300,53,FALSE)/HLOOKUP("Mins",A1:CV300,53,FALSE)* 90)</f>
      </c>
      <c r="BE53" s="20261">
        <f>IF(HLOOKUP("Mins",A1:CV300,53,FALSE)=0,0,HLOOKUP("Headers",A1:CV300,53,FALSE)/HLOOKUP("Mins",A1:CV300,53,FALSE)* 90)</f>
      </c>
      <c r="BF53" s="20262">
        <f>IF(HLOOKUP("Mins",A1:CV300,53,FALSE)=0,0,HLOOKUP("SOT",A1:CV300,53,FALSE)/HLOOKUP("Mins",A1:CV300,53,FALSE)* 90)</f>
      </c>
      <c r="BG53" s="20263">
        <f>IF(HLOOKUP("Mins",A1:CV300,53,FALSE)=0,0,HLOOKUP("As",A1:CV300,53,FALSE)/HLOOKUP("Mins",A1:CV300,53,FALSE)* 90)</f>
      </c>
      <c r="BH53" s="20264">
        <f>IF(HLOOKUP("Mins",A1:CV300,53,FALSE)=0,0,HLOOKUP("FPL As",A1:CV300,53,FALSE)/HLOOKUP("Mins",A1:CV300,53,FALSE)* 90)</f>
      </c>
      <c r="BI53" s="20265">
        <f>IF(HLOOKUP("Mins",A1:CV300,53,FALSE)=0,0,HLOOKUP("BC Created",A1:CV300,53,FALSE)/HLOOKUP("Mins",A1:CV300,53,FALSE)* 90)</f>
      </c>
      <c r="BJ53" s="20266">
        <f>IF(HLOOKUP("Mins",A1:CV300,53,FALSE)=0,0,HLOOKUP("KP",A1:CV300,53,FALSE)/HLOOKUP("Mins",A1:CV300,53,FALSE)* 90)</f>
      </c>
      <c r="BK53" s="20267">
        <f>IF(HLOOKUP("Mins",A1:CV300,53,FALSE)=0,0,HLOOKUP("BC",A1:CV300,53,FALSE)/HLOOKUP("Mins",A1:CV300,53,FALSE)* 90)</f>
      </c>
      <c r="BL53" s="20268">
        <f>IF(HLOOKUP("Mins",A1:CV300,53,FALSE)=0,0,HLOOKUP("BC Miss",A1:CV300,53,FALSE)/HLOOKUP("Mins",A1:CV300,53,FALSE)* 90)</f>
      </c>
      <c r="BM53" s="20269">
        <f>IF(HLOOKUP("Mins",A1:CV300,53,FALSE)=0,0,HLOOKUP("Gs - BC",A1:CV300,53,FALSE)/HLOOKUP("Mins",A1:CV300,53,FALSE)* 90)</f>
      </c>
      <c r="BN53" s="20270">
        <f>IF(HLOOKUP("Mins",A1:CV300,53,FALSE)=0,0,HLOOKUP("GIB",A1:CV300,53,FALSE)/HLOOKUP("Mins",A1:CV300,53,FALSE)* 90)</f>
      </c>
      <c r="BO53" s="20271">
        <f>IF(HLOOKUP("Mins",A1:CV300,53,FALSE)=0,0,HLOOKUP("Gs - Open",A1:CV300,53,FALSE)/HLOOKUP("Mins",A1:CV300,53,FALSE)* 90)</f>
      </c>
      <c r="BP53" s="20272">
        <f>IF(HLOOKUP("Mins",A1:CV300,53,FALSE)=0,0,HLOOKUP("ICT Index",A1:CV300,53,FALSE)/HLOOKUP("Mins",A1:CV300,53,FALSE)* 90)</f>
      </c>
      <c r="BQ53" s="20273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</c>
      <c r="BR53" s="20274">
        <f>0.0885*HLOOKUP("KP/90",A1:CV300,53,FALSE)</f>
      </c>
      <c r="BS53" s="20275">
        <f>5*HLOOKUP("xG/90",A1:CV300,53,FALSE)+3*HLOOKUP("xA/90",A1:CV300,53,FALSE)</f>
      </c>
      <c r="BT53" s="20276">
        <f>HLOOKUP("xPts/90",A1:CV300,53,FALSE)-(5*0.75*(HLOOKUP("PK Gs",A1:CV300,53,FALSE)+HLOOKUP("PK Miss",A1:CV300,53,FALSE))*90/HLOOKUP("Mins",A1:CV300,53,FALSE))</f>
      </c>
      <c r="BU53" s="20277">
        <f>IF(HLOOKUP("Mins",A1:CV300,53,FALSE)=0,0,HLOOKUP("fsXG",A1:CV300,53,FALSE)/HLOOKUP("Mins",A1:CV300,53,FALSE)* 90)</f>
      </c>
      <c r="BV53" s="20278">
        <f>IF(HLOOKUP("Mins",A1:CV300,53,FALSE)=0,0,HLOOKUP("fsXA",A1:CV300,53,FALSE)/HLOOKUP("Mins",A1:CV300,53,FALSE)* 90)</f>
      </c>
      <c r="BW53" s="20279">
        <f>5*HLOOKUP("fsXG/90",A1:CV300,53,FALSE)+3*HLOOKUP("fsXA/90",A1:CV300,53,FALSE)</f>
      </c>
      <c r="BX53" t="n" s="20280">
        <v>0.35178154706954956</v>
      </c>
      <c r="BY53" t="n" s="20281">
        <v>0.47167566418647766</v>
      </c>
      <c r="BZ53" s="20282">
        <f>5*HLOOKUP("uXG/90",A1:CV300,53,FALSE)+3*HLOOKUP("uXA/90",A1:CV300,53,FALSE)</f>
      </c>
    </row>
    <row r="54">
      <c r="A54" t="s" s="20283">
        <v>357</v>
      </c>
      <c r="B54" t="s" s="20284">
        <v>100</v>
      </c>
      <c r="C54" t="n" s="20285">
        <v>4.300000190734863</v>
      </c>
      <c r="D54" t="n" s="20286">
        <v>161.0</v>
      </c>
      <c r="E54" t="n" s="20287">
        <v>4.0</v>
      </c>
      <c r="F54" t="n" s="20288">
        <v>34.0</v>
      </c>
      <c r="G54" t="n" s="20289">
        <v>0.0</v>
      </c>
      <c r="H54" t="n" s="20290">
        <v>0.0</v>
      </c>
      <c r="I54" t="n" s="20291">
        <v>191.0</v>
      </c>
      <c r="J54" s="20292">
        <f>HLOOKUP("BPS",A1:CV300,54,FALSE)-((-6*HLOOKUP("OG",A1:CV300,54,FALSE))+(-6*HLOOKUP("PK Miss",A1:CV300,54,FALSE))+(9*HLOOKUP("FPL As",A1:CV300,54,FALSE))+(0*HLOOKUP("CS",A1:CV300,54,FALSE))+(18*HLOOKUP("Gs",A1:CV300,54,FALSE)))</f>
      </c>
      <c r="K54" t="n" s="20293">
        <v>0.0</v>
      </c>
      <c r="L54" t="n" s="20294">
        <v>3.0</v>
      </c>
      <c r="M54" t="n" s="20295">
        <v>0.0</v>
      </c>
      <c r="N54" t="n" s="20296">
        <v>0.0</v>
      </c>
      <c r="O54" t="n" s="20297">
        <v>0.0</v>
      </c>
      <c r="P54" s="20298">
        <f>IF(HLOOKUP("Shots",A1:CV300,54,FALSE)=0,0,HLOOKUP("SIB",A1:CV300,54,FALSE)/HLOOKUP("Shots",A1:CV300,54,FALSE))</f>
      </c>
      <c r="Q54" t="n" s="20299">
        <v>0.0</v>
      </c>
      <c r="R54" s="20300">
        <f>IF(HLOOKUP("Shots",A1:CV300,54,FALSE)=0,0,HLOOKUP("S6YD",A1:CV300,54,FALSE)/HLOOKUP("Shots",A1:CV300,54,FALSE))</f>
      </c>
      <c r="S54" t="n" s="20301">
        <v>0.0</v>
      </c>
      <c r="T54" s="20302">
        <f>IF(HLOOKUP("Shots",A1:CV300,54,FALSE)=0,0,HLOOKUP("Headers",A1:CV300,54,FALSE)/HLOOKUP("Shots",A1:CV300,54,FALSE))</f>
      </c>
      <c r="U54" t="n" s="20303">
        <v>0.0</v>
      </c>
      <c r="V54" s="20304">
        <f>IF(HLOOKUP("Shots",A1:CV300,54,FALSE)=0,0,HLOOKUP("SOT",A1:CV300,54,FALSE)/HLOOKUP("Shots",A1:CV300,54,FALSE))</f>
      </c>
      <c r="W54" s="20305">
        <f>IF(HLOOKUP("Shots",A1:CV300,54,FALSE)=0,0,HLOOKUP("Gs",A1:CV300,54,FALSE)/HLOOKUP("Shots",A1:CV300,54,FALSE))</f>
      </c>
      <c r="X54" t="n" s="20306">
        <v>0.0</v>
      </c>
      <c r="Y54" t="n" s="20307">
        <v>0.0</v>
      </c>
      <c r="Z54" t="n" s="20308">
        <v>2.0</v>
      </c>
      <c r="AA54" s="20309">
        <f>IF(HLOOKUP("KP",A1:CV300,54,FALSE)=0,0,HLOOKUP("As",A1:CV300,54,FALSE)/HLOOKUP("KP",A1:CV300,54,FALSE))</f>
      </c>
      <c r="AB54" s="20310"/>
      <c r="AC54" t="n" s="20311">
        <v>0.0</v>
      </c>
      <c r="AD54" t="n" s="20312">
        <v>0.0</v>
      </c>
      <c r="AE54" t="n" s="20313">
        <v>0.0</v>
      </c>
      <c r="AF54" t="n" s="20314">
        <v>0.0</v>
      </c>
      <c r="AG54" s="20315">
        <f>IF(HLOOKUP("BC",A1:CV300,54,FALSE)=0,0,HLOOKUP("Gs - BC",A1:CV300,54,FALSE)/HLOOKUP("BC",A1:CV300,54,FALSE))</f>
      </c>
      <c r="AH54" s="20316">
        <f>HLOOKUP("BC",A1:CV300,54,FALSE) - HLOOKUP("BC Miss",A1:CV300,54,FALSE)</f>
      </c>
      <c r="AI54" s="20317">
        <f>IF(HLOOKUP("Gs",A1:CV300,54,FALSE)=0,0,HLOOKUP("Gs - BC",A1:CV300,54,FALSE)/HLOOKUP("Gs",A1:CV300,54,FALSE))</f>
      </c>
      <c r="AJ54" t="n" s="20318">
        <v>0.0</v>
      </c>
      <c r="AK54" t="n" s="20319">
        <v>0.0</v>
      </c>
      <c r="AL54" s="20320">
        <f>HLOOKUP("BC",A1:CV300,54,FALSE) - (HLOOKUP("PK Gs",A1:CV300,54,FALSE) + HLOOKUP("PK Miss",A1:CV300,54,FALSE))</f>
      </c>
      <c r="AM54" s="20321">
        <f>HLOOKUP("BC Miss",A1:CV300,54,FALSE) - HLOOKUP("PK Miss",A1:CV300,54,FALSE)</f>
      </c>
      <c r="AN54" s="20322">
        <f>IF(HLOOKUP("BC - Open",A1:CV300,54,FALSE)=0,0,HLOOKUP("BC - Open Miss",A1:CV300,54,FALSE)/HLOOKUP("BC - Open",A1:CV300,54,FALSE))</f>
      </c>
      <c r="AO54" t="n" s="20323">
        <v>0.0</v>
      </c>
      <c r="AP54" s="20324">
        <f>IF(HLOOKUP("Gs",A1:CV300,54,FALSE)=0,0,HLOOKUP("GIB",A1:CV300,54,FALSE)/HLOOKUP("Gs",A1:CV300,54,FALSE))</f>
      </c>
      <c r="AQ54" t="n" s="20325">
        <v>0.0</v>
      </c>
      <c r="AR54" s="20326">
        <f>IF(HLOOKUP("Gs",A1:CV300,54,FALSE)=0,0,HLOOKUP("Gs - Open",A1:CV300,54,FALSE)/HLOOKUP("Gs",A1:CV300,54,FALSE))</f>
      </c>
      <c r="AS54" t="n" s="20327">
        <v>0.0</v>
      </c>
      <c r="AT54" t="n" s="20328">
        <v>0.03</v>
      </c>
      <c r="AU54" s="20329">
        <f>IF(HLOOKUP("Mins",A1:CV300,54,FALSE)=0,0,HLOOKUP("Pts",A1:CV300,54,FALSE)/HLOOKUP("Mins",A1:CV300,54,FALSE)* 90)</f>
      </c>
      <c r="AV54" s="20330">
        <f>IF(HLOOKUP("Apps",A1:CV300,54,FALSE)=0,0,HLOOKUP("Pts",A1:CV300,54,FALSE)/HLOOKUP("Apps",A1:CV300,54,FALSE)* 1)</f>
      </c>
      <c r="AW54" s="20331">
        <f>IF(HLOOKUP("Mins",A1:CV300,54,FALSE)=0,0,HLOOKUP("Gs",A1:CV300,54,FALSE)/HLOOKUP("Mins",A1:CV300,54,FALSE)* 90)</f>
      </c>
      <c r="AX54" s="20332">
        <f>IF(HLOOKUP("Mins",A1:CV300,54,FALSE)=0,0,HLOOKUP("Bonus",A1:CV300,54,FALSE)/HLOOKUP("Mins",A1:CV300,54,FALSE)* 90)</f>
      </c>
      <c r="AY54" s="20333">
        <f>IF(HLOOKUP("Mins",A1:CV300,54,FALSE)=0,0,HLOOKUP("BPS",A1:CV300,54,FALSE)/HLOOKUP("Mins",A1:CV300,54,FALSE)* 90)</f>
      </c>
      <c r="AZ54" s="20334">
        <f>IF(HLOOKUP("Mins",A1:CV300,54,FALSE)=0,0,HLOOKUP("Base BPS",A1:CV300,54,FALSE)/HLOOKUP("Mins",A1:CV300,54,FALSE)* 90)</f>
      </c>
      <c r="BA54" s="20335">
        <f>IF(HLOOKUP("Mins",A1:CV300,54,FALSE)=0,0,HLOOKUP("PenTchs",A1:CV300,54,FALSE)/HLOOKUP("Mins",A1:CV300,54,FALSE)* 90)</f>
      </c>
      <c r="BB54" s="20336">
        <f>IF(HLOOKUP("Mins",A1:CV300,54,FALSE)=0,0,HLOOKUP("Shots",A1:CV300,54,FALSE)/HLOOKUP("Mins",A1:CV300,54,FALSE)* 90)</f>
      </c>
      <c r="BC54" s="20337">
        <f>IF(HLOOKUP("Mins",A1:CV300,54,FALSE)=0,0,HLOOKUP("SIB",A1:CV300,54,FALSE)/HLOOKUP("Mins",A1:CV300,54,FALSE)* 90)</f>
      </c>
      <c r="BD54" s="20338">
        <f>IF(HLOOKUP("Mins",A1:CV300,54,FALSE)=0,0,HLOOKUP("S6YD",A1:CV300,54,FALSE)/HLOOKUP("Mins",A1:CV300,54,FALSE)* 90)</f>
      </c>
      <c r="BE54" s="20339">
        <f>IF(HLOOKUP("Mins",A1:CV300,54,FALSE)=0,0,HLOOKUP("Headers",A1:CV300,54,FALSE)/HLOOKUP("Mins",A1:CV300,54,FALSE)* 90)</f>
      </c>
      <c r="BF54" s="20340">
        <f>IF(HLOOKUP("Mins",A1:CV300,54,FALSE)=0,0,HLOOKUP("SOT",A1:CV300,54,FALSE)/HLOOKUP("Mins",A1:CV300,54,FALSE)* 90)</f>
      </c>
      <c r="BG54" s="20341">
        <f>IF(HLOOKUP("Mins",A1:CV300,54,FALSE)=0,0,HLOOKUP("As",A1:CV300,54,FALSE)/HLOOKUP("Mins",A1:CV300,54,FALSE)* 90)</f>
      </c>
      <c r="BH54" s="20342">
        <f>IF(HLOOKUP("Mins",A1:CV300,54,FALSE)=0,0,HLOOKUP("FPL As",A1:CV300,54,FALSE)/HLOOKUP("Mins",A1:CV300,54,FALSE)* 90)</f>
      </c>
      <c r="BI54" s="20343">
        <f>IF(HLOOKUP("Mins",A1:CV300,54,FALSE)=0,0,HLOOKUP("BC Created",A1:CV300,54,FALSE)/HLOOKUP("Mins",A1:CV300,54,FALSE)* 90)</f>
      </c>
      <c r="BJ54" s="20344">
        <f>IF(HLOOKUP("Mins",A1:CV300,54,FALSE)=0,0,HLOOKUP("KP",A1:CV300,54,FALSE)/HLOOKUP("Mins",A1:CV300,54,FALSE)* 90)</f>
      </c>
      <c r="BK54" s="20345">
        <f>IF(HLOOKUP("Mins",A1:CV300,54,FALSE)=0,0,HLOOKUP("BC",A1:CV300,54,FALSE)/HLOOKUP("Mins",A1:CV300,54,FALSE)* 90)</f>
      </c>
      <c r="BL54" s="20346">
        <f>IF(HLOOKUP("Mins",A1:CV300,54,FALSE)=0,0,HLOOKUP("BC Miss",A1:CV300,54,FALSE)/HLOOKUP("Mins",A1:CV300,54,FALSE)* 90)</f>
      </c>
      <c r="BM54" s="20347">
        <f>IF(HLOOKUP("Mins",A1:CV300,54,FALSE)=0,0,HLOOKUP("Gs - BC",A1:CV300,54,FALSE)/HLOOKUP("Mins",A1:CV300,54,FALSE)* 90)</f>
      </c>
      <c r="BN54" s="20348">
        <f>IF(HLOOKUP("Mins",A1:CV300,54,FALSE)=0,0,HLOOKUP("GIB",A1:CV300,54,FALSE)/HLOOKUP("Mins",A1:CV300,54,FALSE)* 90)</f>
      </c>
      <c r="BO54" s="20349">
        <f>IF(HLOOKUP("Mins",A1:CV300,54,FALSE)=0,0,HLOOKUP("Gs - Open",A1:CV300,54,FALSE)/HLOOKUP("Mins",A1:CV300,54,FALSE)* 90)</f>
      </c>
      <c r="BP54" s="20350">
        <f>IF(HLOOKUP("Mins",A1:CV300,54,FALSE)=0,0,HLOOKUP("ICT Index",A1:CV300,54,FALSE)/HLOOKUP("Mins",A1:CV300,54,FALSE)* 90)</f>
      </c>
      <c r="BQ54" s="20351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</c>
      <c r="BR54" s="20352">
        <f>0.0885*HLOOKUP("KP/90",A1:CV300,54,FALSE)</f>
      </c>
      <c r="BS54" s="20353">
        <f>5*HLOOKUP("xG/90",A1:CV300,54,FALSE)+3*HLOOKUP("xA/90",A1:CV300,54,FALSE)</f>
      </c>
      <c r="BT54" s="20354">
        <f>HLOOKUP("xPts/90",A1:CV300,54,FALSE)-(5*0.75*(HLOOKUP("PK Gs",A1:CV300,54,FALSE)+HLOOKUP("PK Miss",A1:CV300,54,FALSE))*90/HLOOKUP("Mins",A1:CV300,54,FALSE))</f>
      </c>
      <c r="BU54" s="20355">
        <f>IF(HLOOKUP("Mins",A1:CV300,54,FALSE)=0,0,HLOOKUP("fsXG",A1:CV300,54,FALSE)/HLOOKUP("Mins",A1:CV300,54,FALSE)* 90)</f>
      </c>
      <c r="BV54" s="20356">
        <f>IF(HLOOKUP("Mins",A1:CV300,54,FALSE)=0,0,HLOOKUP("fsXA",A1:CV300,54,FALSE)/HLOOKUP("Mins",A1:CV300,54,FALSE)* 90)</f>
      </c>
      <c r="BW54" s="20357">
        <f>5*HLOOKUP("fsXG/90",A1:CV300,54,FALSE)+3*HLOOKUP("fsXA/90",A1:CV300,54,FALSE)</f>
      </c>
      <c r="BX54" t="n" s="20358">
        <v>0.0</v>
      </c>
      <c r="BY54" t="n" s="20359">
        <v>0.02361484430730343</v>
      </c>
      <c r="BZ54" s="20360">
        <f>5*HLOOKUP("uXG/90",A1:CV300,54,FALSE)+3*HLOOKUP("uXA/90",A1:CV300,54,FALSE)</f>
      </c>
    </row>
    <row r="55">
      <c r="A55" t="s" s="20361">
        <v>358</v>
      </c>
      <c r="B55" t="s" s="20362">
        <v>107</v>
      </c>
      <c r="C55" t="n" s="20363">
        <v>4.5</v>
      </c>
      <c r="D55" t="n" s="20364">
        <v>7.0</v>
      </c>
      <c r="E55" t="n" s="20365">
        <v>1.0</v>
      </c>
      <c r="F55" t="n" s="20366">
        <v>1.0</v>
      </c>
      <c r="G55" t="n" s="20367">
        <v>0.0</v>
      </c>
      <c r="H55" t="n" s="20368">
        <v>0.0</v>
      </c>
      <c r="I55" t="n" s="20369">
        <v>5.0</v>
      </c>
      <c r="J55" s="20370">
        <f>HLOOKUP("BPS",A1:CV300,55,FALSE)-((-6*HLOOKUP("OG",A1:CV300,55,FALSE))+(-6*HLOOKUP("PK Miss",A1:CV300,55,FALSE))+(9*HLOOKUP("FPL As",A1:CV300,55,FALSE))+(0*HLOOKUP("CS",A1:CV300,55,FALSE))+(18*HLOOKUP("Gs",A1:CV300,55,FALSE)))</f>
      </c>
      <c r="K55" t="n" s="20371">
        <v>0.0</v>
      </c>
      <c r="L55" t="n" s="20372">
        <v>0.0</v>
      </c>
      <c r="M55" t="n" s="20373">
        <v>1.0</v>
      </c>
      <c r="N55" t="n" s="20374">
        <v>0.0</v>
      </c>
      <c r="O55" t="n" s="20375">
        <v>0.0</v>
      </c>
      <c r="P55" s="20376">
        <f>IF(HLOOKUP("Shots",A1:CV300,55,FALSE)=0,0,HLOOKUP("SIB",A1:CV300,55,FALSE)/HLOOKUP("Shots",A1:CV300,55,FALSE))</f>
      </c>
      <c r="Q55" t="n" s="20377">
        <v>0.0</v>
      </c>
      <c r="R55" s="20378">
        <f>IF(HLOOKUP("Shots",A1:CV300,55,FALSE)=0,0,HLOOKUP("S6YD",A1:CV300,55,FALSE)/HLOOKUP("Shots",A1:CV300,55,FALSE))</f>
      </c>
      <c r="S55" t="n" s="20379">
        <v>0.0</v>
      </c>
      <c r="T55" s="20380">
        <f>IF(HLOOKUP("Shots",A1:CV300,55,FALSE)=0,0,HLOOKUP("Headers",A1:CV300,55,FALSE)/HLOOKUP("Shots",A1:CV300,55,FALSE))</f>
      </c>
      <c r="U55" t="n" s="20381">
        <v>0.0</v>
      </c>
      <c r="V55" s="20382">
        <f>IF(HLOOKUP("Shots",A1:CV300,55,FALSE)=0,0,HLOOKUP("SOT",A1:CV300,55,FALSE)/HLOOKUP("Shots",A1:CV300,55,FALSE))</f>
      </c>
      <c r="W55" s="20383">
        <f>IF(HLOOKUP("Shots",A1:CV300,55,FALSE)=0,0,HLOOKUP("Gs",A1:CV300,55,FALSE)/HLOOKUP("Shots",A1:CV300,55,FALSE))</f>
      </c>
      <c r="X55" t="n" s="20384">
        <v>0.0</v>
      </c>
      <c r="Y55" t="n" s="20385">
        <v>0.0</v>
      </c>
      <c r="Z55" t="n" s="20386">
        <v>2.0</v>
      </c>
      <c r="AA55" s="20387">
        <f>IF(HLOOKUP("KP",A1:CV300,55,FALSE)=0,0,HLOOKUP("As",A1:CV300,55,FALSE)/HLOOKUP("KP",A1:CV300,55,FALSE))</f>
      </c>
      <c r="AB55" s="20388"/>
      <c r="AC55" t="n" s="20389">
        <v>0.0</v>
      </c>
      <c r="AD55" t="n" s="20390">
        <v>0.0</v>
      </c>
      <c r="AE55" t="n" s="20391">
        <v>0.0</v>
      </c>
      <c r="AF55" t="n" s="20392">
        <v>0.0</v>
      </c>
      <c r="AG55" s="20393">
        <f>IF(HLOOKUP("BC",A1:CV300,55,FALSE)=0,0,HLOOKUP("Gs - BC",A1:CV300,55,FALSE)/HLOOKUP("BC",A1:CV300,55,FALSE))</f>
      </c>
      <c r="AH55" s="20394">
        <f>HLOOKUP("BC",A1:CV300,55,FALSE) - HLOOKUP("BC Miss",A1:CV300,55,FALSE)</f>
      </c>
      <c r="AI55" s="20395">
        <f>IF(HLOOKUP("Gs",A1:CV300,55,FALSE)=0,0,HLOOKUP("Gs - BC",A1:CV300,55,FALSE)/HLOOKUP("Gs",A1:CV300,55,FALSE))</f>
      </c>
      <c r="AJ55" t="n" s="20396">
        <v>0.0</v>
      </c>
      <c r="AK55" t="n" s="20397">
        <v>0.0</v>
      </c>
      <c r="AL55" s="20398">
        <f>HLOOKUP("BC",A1:CV300,55,FALSE) - (HLOOKUP("PK Gs",A1:CV300,55,FALSE) + HLOOKUP("PK Miss",A1:CV300,55,FALSE))</f>
      </c>
      <c r="AM55" s="20399">
        <f>HLOOKUP("BC Miss",A1:CV300,55,FALSE) - HLOOKUP("PK Miss",A1:CV300,55,FALSE)</f>
      </c>
      <c r="AN55" s="20400">
        <f>IF(HLOOKUP("BC - Open",A1:CV300,55,FALSE)=0,0,HLOOKUP("BC - Open Miss",A1:CV300,55,FALSE)/HLOOKUP("BC - Open",A1:CV300,55,FALSE))</f>
      </c>
      <c r="AO55" t="n" s="20401">
        <v>0.0</v>
      </c>
      <c r="AP55" s="20402">
        <f>IF(HLOOKUP("Gs",A1:CV300,55,FALSE)=0,0,HLOOKUP("GIB",A1:CV300,55,FALSE)/HLOOKUP("Gs",A1:CV300,55,FALSE))</f>
      </c>
      <c r="AQ55" t="n" s="20403">
        <v>0.0</v>
      </c>
      <c r="AR55" s="20404">
        <f>IF(HLOOKUP("Gs",A1:CV300,55,FALSE)=0,0,HLOOKUP("Gs - Open",A1:CV300,55,FALSE)/HLOOKUP("Gs",A1:CV300,55,FALSE))</f>
      </c>
      <c r="AS55" t="n" s="20405">
        <v>0.0</v>
      </c>
      <c r="AT55" t="n" s="20406">
        <v>0.02</v>
      </c>
      <c r="AU55" s="20407">
        <f>IF(HLOOKUP("Mins",A1:CV300,55,FALSE)=0,0,HLOOKUP("Pts",A1:CV300,55,FALSE)/HLOOKUP("Mins",A1:CV300,55,FALSE)* 90)</f>
      </c>
      <c r="AV55" s="20408">
        <f>IF(HLOOKUP("Apps",A1:CV300,55,FALSE)=0,0,HLOOKUP("Pts",A1:CV300,55,FALSE)/HLOOKUP("Apps",A1:CV300,55,FALSE)* 1)</f>
      </c>
      <c r="AW55" s="20409">
        <f>IF(HLOOKUP("Mins",A1:CV300,55,FALSE)=0,0,HLOOKUP("Gs",A1:CV300,55,FALSE)/HLOOKUP("Mins",A1:CV300,55,FALSE)* 90)</f>
      </c>
      <c r="AX55" s="20410">
        <f>IF(HLOOKUP("Mins",A1:CV300,55,FALSE)=0,0,HLOOKUP("Bonus",A1:CV300,55,FALSE)/HLOOKUP("Mins",A1:CV300,55,FALSE)* 90)</f>
      </c>
      <c r="AY55" s="20411">
        <f>IF(HLOOKUP("Mins",A1:CV300,55,FALSE)=0,0,HLOOKUP("BPS",A1:CV300,55,FALSE)/HLOOKUP("Mins",A1:CV300,55,FALSE)* 90)</f>
      </c>
      <c r="AZ55" s="20412">
        <f>IF(HLOOKUP("Mins",A1:CV300,55,FALSE)=0,0,HLOOKUP("Base BPS",A1:CV300,55,FALSE)/HLOOKUP("Mins",A1:CV300,55,FALSE)* 90)</f>
      </c>
      <c r="BA55" s="20413">
        <f>IF(HLOOKUP("Mins",A1:CV300,55,FALSE)=0,0,HLOOKUP("PenTchs",A1:CV300,55,FALSE)/HLOOKUP("Mins",A1:CV300,55,FALSE)* 90)</f>
      </c>
      <c r="BB55" s="20414">
        <f>IF(HLOOKUP("Mins",A1:CV300,55,FALSE)=0,0,HLOOKUP("Shots",A1:CV300,55,FALSE)/HLOOKUP("Mins",A1:CV300,55,FALSE)* 90)</f>
      </c>
      <c r="BC55" s="20415">
        <f>IF(HLOOKUP("Mins",A1:CV300,55,FALSE)=0,0,HLOOKUP("SIB",A1:CV300,55,FALSE)/HLOOKUP("Mins",A1:CV300,55,FALSE)* 90)</f>
      </c>
      <c r="BD55" s="20416">
        <f>IF(HLOOKUP("Mins",A1:CV300,55,FALSE)=0,0,HLOOKUP("S6YD",A1:CV300,55,FALSE)/HLOOKUP("Mins",A1:CV300,55,FALSE)* 90)</f>
      </c>
      <c r="BE55" s="20417">
        <f>IF(HLOOKUP("Mins",A1:CV300,55,FALSE)=0,0,HLOOKUP("Headers",A1:CV300,55,FALSE)/HLOOKUP("Mins",A1:CV300,55,FALSE)* 90)</f>
      </c>
      <c r="BF55" s="20418">
        <f>IF(HLOOKUP("Mins",A1:CV300,55,FALSE)=0,0,HLOOKUP("SOT",A1:CV300,55,FALSE)/HLOOKUP("Mins",A1:CV300,55,FALSE)* 90)</f>
      </c>
      <c r="BG55" s="20419">
        <f>IF(HLOOKUP("Mins",A1:CV300,55,FALSE)=0,0,HLOOKUP("As",A1:CV300,55,FALSE)/HLOOKUP("Mins",A1:CV300,55,FALSE)* 90)</f>
      </c>
      <c r="BH55" s="20420">
        <f>IF(HLOOKUP("Mins",A1:CV300,55,FALSE)=0,0,HLOOKUP("FPL As",A1:CV300,55,FALSE)/HLOOKUP("Mins",A1:CV300,55,FALSE)* 90)</f>
      </c>
      <c r="BI55" s="20421">
        <f>IF(HLOOKUP("Mins",A1:CV300,55,FALSE)=0,0,HLOOKUP("BC Created",A1:CV300,55,FALSE)/HLOOKUP("Mins",A1:CV300,55,FALSE)* 90)</f>
      </c>
      <c r="BJ55" s="20422">
        <f>IF(HLOOKUP("Mins",A1:CV300,55,FALSE)=0,0,HLOOKUP("KP",A1:CV300,55,FALSE)/HLOOKUP("Mins",A1:CV300,55,FALSE)* 90)</f>
      </c>
      <c r="BK55" s="20423">
        <f>IF(HLOOKUP("Mins",A1:CV300,55,FALSE)=0,0,HLOOKUP("BC",A1:CV300,55,FALSE)/HLOOKUP("Mins",A1:CV300,55,FALSE)* 90)</f>
      </c>
      <c r="BL55" s="20424">
        <f>IF(HLOOKUP("Mins",A1:CV300,55,FALSE)=0,0,HLOOKUP("BC Miss",A1:CV300,55,FALSE)/HLOOKUP("Mins",A1:CV300,55,FALSE)* 90)</f>
      </c>
      <c r="BM55" s="20425">
        <f>IF(HLOOKUP("Mins",A1:CV300,55,FALSE)=0,0,HLOOKUP("Gs - BC",A1:CV300,55,FALSE)/HLOOKUP("Mins",A1:CV300,55,FALSE)* 90)</f>
      </c>
      <c r="BN55" s="20426">
        <f>IF(HLOOKUP("Mins",A1:CV300,55,FALSE)=0,0,HLOOKUP("GIB",A1:CV300,55,FALSE)/HLOOKUP("Mins",A1:CV300,55,FALSE)* 90)</f>
      </c>
      <c r="BO55" s="20427">
        <f>IF(HLOOKUP("Mins",A1:CV300,55,FALSE)=0,0,HLOOKUP("Gs - Open",A1:CV300,55,FALSE)/HLOOKUP("Mins",A1:CV300,55,FALSE)* 90)</f>
      </c>
      <c r="BP55" s="20428">
        <f>IF(HLOOKUP("Mins",A1:CV300,55,FALSE)=0,0,HLOOKUP("ICT Index",A1:CV300,55,FALSE)/HLOOKUP("Mins",A1:CV300,55,FALSE)* 90)</f>
      </c>
      <c r="BQ55" s="20429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</c>
      <c r="BR55" s="20430">
        <f>0.0885*HLOOKUP("KP/90",A1:CV300,55,FALSE)</f>
      </c>
      <c r="BS55" s="20431">
        <f>5*HLOOKUP("xG/90",A1:CV300,55,FALSE)+3*HLOOKUP("xA/90",A1:CV300,55,FALSE)</f>
      </c>
      <c r="BT55" s="20432">
        <f>HLOOKUP("xPts/90",A1:CV300,55,FALSE)-(5*0.75*(HLOOKUP("PK Gs",A1:CV300,55,FALSE)+HLOOKUP("PK Miss",A1:CV300,55,FALSE))*90/HLOOKUP("Mins",A1:CV300,55,FALSE))</f>
      </c>
      <c r="BU55" s="20433">
        <f>IF(HLOOKUP("Mins",A1:CV300,55,FALSE)=0,0,HLOOKUP("fsXG",A1:CV300,55,FALSE)/HLOOKUP("Mins",A1:CV300,55,FALSE)* 90)</f>
      </c>
      <c r="BV55" s="20434">
        <f>IF(HLOOKUP("Mins",A1:CV300,55,FALSE)=0,0,HLOOKUP("fsXA",A1:CV300,55,FALSE)/HLOOKUP("Mins",A1:CV300,55,FALSE)* 90)</f>
      </c>
      <c r="BW55" s="20435">
        <f>5*HLOOKUP("fsXG/90",A1:CV300,55,FALSE)+3*HLOOKUP("fsXA/90",A1:CV300,55,FALSE)</f>
      </c>
      <c r="BX55" t="n" s="20436">
        <v>0.0</v>
      </c>
      <c r="BY55" t="n" s="20437">
        <v>1.4327811002731323</v>
      </c>
      <c r="BZ55" s="20438">
        <f>5*HLOOKUP("uXG/90",A1:CV300,55,FALSE)+3*HLOOKUP("uXA/90",A1:CV300,55,FALSE)</f>
      </c>
    </row>
    <row r="56">
      <c r="A56" t="s" s="20439">
        <v>359</v>
      </c>
      <c r="B56" t="s" s="20440">
        <v>105</v>
      </c>
      <c r="C56" t="n" s="20441">
        <v>10.800000190734863</v>
      </c>
      <c r="D56" t="n" s="20442">
        <v>502.0</v>
      </c>
      <c r="E56" t="n" s="20443">
        <v>6.0</v>
      </c>
      <c r="F56" t="n" s="20444">
        <v>175.0</v>
      </c>
      <c r="G56" t="n" s="20445">
        <v>1.0</v>
      </c>
      <c r="H56" t="n" s="20446">
        <v>23.0</v>
      </c>
      <c r="I56" t="n" s="20447">
        <v>713.0</v>
      </c>
      <c r="J56" s="20448">
        <f>HLOOKUP("BPS",A1:CV300,56,FALSE)-((-6*HLOOKUP("OG",A1:CV300,56,FALSE))+(-6*HLOOKUP("PK Miss",A1:CV300,56,FALSE))+(9*HLOOKUP("FPL As",A1:CV300,56,FALSE))+(0*HLOOKUP("CS",A1:CV300,56,FALSE))+(18*HLOOKUP("Gs",A1:CV300,56,FALSE)))</f>
      </c>
      <c r="K56" t="n" s="20449">
        <v>0.0</v>
      </c>
      <c r="L56" t="n" s="20450">
        <v>11.0</v>
      </c>
      <c r="M56" t="n" s="20451">
        <v>21.0</v>
      </c>
      <c r="N56" t="n" s="20452">
        <v>15.0</v>
      </c>
      <c r="O56" t="n" s="20453">
        <v>3.0</v>
      </c>
      <c r="P56" s="20454">
        <f>IF(HLOOKUP("Shots",A1:CV300,56,FALSE)=0,0,HLOOKUP("SIB",A1:CV300,56,FALSE)/HLOOKUP("Shots",A1:CV300,56,FALSE))</f>
      </c>
      <c r="Q56" t="n" s="20455">
        <v>0.0</v>
      </c>
      <c r="R56" s="20456">
        <f>IF(HLOOKUP("Shots",A1:CV300,56,FALSE)=0,0,HLOOKUP("S6YD",A1:CV300,56,FALSE)/HLOOKUP("Shots",A1:CV300,56,FALSE))</f>
      </c>
      <c r="S56" t="n" s="20457">
        <v>0.0</v>
      </c>
      <c r="T56" s="20458">
        <f>IF(HLOOKUP("Shots",A1:CV300,56,FALSE)=0,0,HLOOKUP("Headers",A1:CV300,56,FALSE)/HLOOKUP("Shots",A1:CV300,56,FALSE))</f>
      </c>
      <c r="U56" t="n" s="20459">
        <v>4.0</v>
      </c>
      <c r="V56" s="20460">
        <f>IF(HLOOKUP("Shots",A1:CV300,56,FALSE)=0,0,HLOOKUP("SOT",A1:CV300,56,FALSE)/HLOOKUP("Shots",A1:CV300,56,FALSE))</f>
      </c>
      <c r="W56" s="20461">
        <f>IF(HLOOKUP("Shots",A1:CV300,56,FALSE)=0,0,HLOOKUP("Gs",A1:CV300,56,FALSE)/HLOOKUP("Shots",A1:CV300,56,FALSE))</f>
      </c>
      <c r="X56" t="n" s="20462">
        <v>4.0</v>
      </c>
      <c r="Y56" t="n" s="20463">
        <v>18.0</v>
      </c>
      <c r="Z56" t="n" s="20464">
        <v>23.0</v>
      </c>
      <c r="AA56" s="20465">
        <f>IF(HLOOKUP("KP",A1:CV300,56,FALSE)=0,0,HLOOKUP("As",A1:CV300,56,FALSE)/HLOOKUP("KP",A1:CV300,56,FALSE))</f>
      </c>
      <c r="AB56" s="20466"/>
      <c r="AC56" t="n" s="20467">
        <v>42.0</v>
      </c>
      <c r="AD56" t="n" s="20468">
        <v>5.0</v>
      </c>
      <c r="AE56" t="n" s="20469">
        <v>0.0</v>
      </c>
      <c r="AF56" t="n" s="20470">
        <v>0.0</v>
      </c>
      <c r="AG56" s="20471">
        <f>IF(HLOOKUP("BC",A1:CV300,56,FALSE)=0,0,HLOOKUP("Gs - BC",A1:CV300,56,FALSE)/HLOOKUP("BC",A1:CV300,56,FALSE))</f>
      </c>
      <c r="AH56" s="20472">
        <f>HLOOKUP("BC",A1:CV300,56,FALSE) - HLOOKUP("BC Miss",A1:CV300,56,FALSE)</f>
      </c>
      <c r="AI56" s="20473">
        <f>IF(HLOOKUP("Gs",A1:CV300,56,FALSE)=0,0,HLOOKUP("Gs - BC",A1:CV300,56,FALSE)/HLOOKUP("Gs",A1:CV300,56,FALSE))</f>
      </c>
      <c r="AJ56" t="n" s="20474">
        <v>0.0</v>
      </c>
      <c r="AK56" t="n" s="20475">
        <v>0.0</v>
      </c>
      <c r="AL56" s="20476">
        <f>HLOOKUP("BC",A1:CV300,56,FALSE) - (HLOOKUP("PK Gs",A1:CV300,56,FALSE) + HLOOKUP("PK Miss",A1:CV300,56,FALSE))</f>
      </c>
      <c r="AM56" s="20477">
        <f>HLOOKUP("BC Miss",A1:CV300,56,FALSE) - HLOOKUP("PK Miss",A1:CV300,56,FALSE)</f>
      </c>
      <c r="AN56" s="20478">
        <f>IF(HLOOKUP("BC - Open",A1:CV300,56,FALSE)=0,0,HLOOKUP("BC - Open Miss",A1:CV300,56,FALSE)/HLOOKUP("BC - Open",A1:CV300,56,FALSE))</f>
      </c>
      <c r="AO56" t="n" s="20479">
        <v>1.0</v>
      </c>
      <c r="AP56" s="20480">
        <f>IF(HLOOKUP("Gs",A1:CV300,56,FALSE)=0,0,HLOOKUP("GIB",A1:CV300,56,FALSE)/HLOOKUP("Gs",A1:CV300,56,FALSE))</f>
      </c>
      <c r="AQ56" t="n" s="20481">
        <v>1.0</v>
      </c>
      <c r="AR56" s="20482">
        <f>IF(HLOOKUP("Gs",A1:CV300,56,FALSE)=0,0,HLOOKUP("Gs - Open",A1:CV300,56,FALSE)/HLOOKUP("Gs",A1:CV300,56,FALSE))</f>
      </c>
      <c r="AS56" t="n" s="20483">
        <v>0.58</v>
      </c>
      <c r="AT56" t="n" s="20484">
        <v>2.82</v>
      </c>
      <c r="AU56" s="20485">
        <f>IF(HLOOKUP("Mins",A1:CV300,56,FALSE)=0,0,HLOOKUP("Pts",A1:CV300,56,FALSE)/HLOOKUP("Mins",A1:CV300,56,FALSE)* 90)</f>
      </c>
      <c r="AV56" s="20486">
        <f>IF(HLOOKUP("Apps",A1:CV300,56,FALSE)=0,0,HLOOKUP("Pts",A1:CV300,56,FALSE)/HLOOKUP("Apps",A1:CV300,56,FALSE)* 1)</f>
      </c>
      <c r="AW56" s="20487">
        <f>IF(HLOOKUP("Mins",A1:CV300,56,FALSE)=0,0,HLOOKUP("Gs",A1:CV300,56,FALSE)/HLOOKUP("Mins",A1:CV300,56,FALSE)* 90)</f>
      </c>
      <c r="AX56" s="20488">
        <f>IF(HLOOKUP("Mins",A1:CV300,56,FALSE)=0,0,HLOOKUP("Bonus",A1:CV300,56,FALSE)/HLOOKUP("Mins",A1:CV300,56,FALSE)* 90)</f>
      </c>
      <c r="AY56" s="20489">
        <f>IF(HLOOKUP("Mins",A1:CV300,56,FALSE)=0,0,HLOOKUP("BPS",A1:CV300,56,FALSE)/HLOOKUP("Mins",A1:CV300,56,FALSE)* 90)</f>
      </c>
      <c r="AZ56" s="20490">
        <f>IF(HLOOKUP("Mins",A1:CV300,56,FALSE)=0,0,HLOOKUP("Base BPS",A1:CV300,56,FALSE)/HLOOKUP("Mins",A1:CV300,56,FALSE)* 90)</f>
      </c>
      <c r="BA56" s="20491">
        <f>IF(HLOOKUP("Mins",A1:CV300,56,FALSE)=0,0,HLOOKUP("PenTchs",A1:CV300,56,FALSE)/HLOOKUP("Mins",A1:CV300,56,FALSE)* 90)</f>
      </c>
      <c r="BB56" s="20492">
        <f>IF(HLOOKUP("Mins",A1:CV300,56,FALSE)=0,0,HLOOKUP("Shots",A1:CV300,56,FALSE)/HLOOKUP("Mins",A1:CV300,56,FALSE)* 90)</f>
      </c>
      <c r="BC56" s="20493">
        <f>IF(HLOOKUP("Mins",A1:CV300,56,FALSE)=0,0,HLOOKUP("SIB",A1:CV300,56,FALSE)/HLOOKUP("Mins",A1:CV300,56,FALSE)* 90)</f>
      </c>
      <c r="BD56" s="20494">
        <f>IF(HLOOKUP("Mins",A1:CV300,56,FALSE)=0,0,HLOOKUP("S6YD",A1:CV300,56,FALSE)/HLOOKUP("Mins",A1:CV300,56,FALSE)* 90)</f>
      </c>
      <c r="BE56" s="20495">
        <f>IF(HLOOKUP("Mins",A1:CV300,56,FALSE)=0,0,HLOOKUP("Headers",A1:CV300,56,FALSE)/HLOOKUP("Mins",A1:CV300,56,FALSE)* 90)</f>
      </c>
      <c r="BF56" s="20496">
        <f>IF(HLOOKUP("Mins",A1:CV300,56,FALSE)=0,0,HLOOKUP("SOT",A1:CV300,56,FALSE)/HLOOKUP("Mins",A1:CV300,56,FALSE)* 90)</f>
      </c>
      <c r="BG56" s="20497">
        <f>IF(HLOOKUP("Mins",A1:CV300,56,FALSE)=0,0,HLOOKUP("As",A1:CV300,56,FALSE)/HLOOKUP("Mins",A1:CV300,56,FALSE)* 90)</f>
      </c>
      <c r="BH56" s="20498">
        <f>IF(HLOOKUP("Mins",A1:CV300,56,FALSE)=0,0,HLOOKUP("FPL As",A1:CV300,56,FALSE)/HLOOKUP("Mins",A1:CV300,56,FALSE)* 90)</f>
      </c>
      <c r="BI56" s="20499">
        <f>IF(HLOOKUP("Mins",A1:CV300,56,FALSE)=0,0,HLOOKUP("BC Created",A1:CV300,56,FALSE)/HLOOKUP("Mins",A1:CV300,56,FALSE)* 90)</f>
      </c>
      <c r="BJ56" s="20500">
        <f>IF(HLOOKUP("Mins",A1:CV300,56,FALSE)=0,0,HLOOKUP("KP",A1:CV300,56,FALSE)/HLOOKUP("Mins",A1:CV300,56,FALSE)* 90)</f>
      </c>
      <c r="BK56" s="20501">
        <f>IF(HLOOKUP("Mins",A1:CV300,56,FALSE)=0,0,HLOOKUP("BC",A1:CV300,56,FALSE)/HLOOKUP("Mins",A1:CV300,56,FALSE)* 90)</f>
      </c>
      <c r="BL56" s="20502">
        <f>IF(HLOOKUP("Mins",A1:CV300,56,FALSE)=0,0,HLOOKUP("BC Miss",A1:CV300,56,FALSE)/HLOOKUP("Mins",A1:CV300,56,FALSE)* 90)</f>
      </c>
      <c r="BM56" s="20503">
        <f>IF(HLOOKUP("Mins",A1:CV300,56,FALSE)=0,0,HLOOKUP("Gs - BC",A1:CV300,56,FALSE)/HLOOKUP("Mins",A1:CV300,56,FALSE)* 90)</f>
      </c>
      <c r="BN56" s="20504">
        <f>IF(HLOOKUP("Mins",A1:CV300,56,FALSE)=0,0,HLOOKUP("GIB",A1:CV300,56,FALSE)/HLOOKUP("Mins",A1:CV300,56,FALSE)* 90)</f>
      </c>
      <c r="BO56" s="20505">
        <f>IF(HLOOKUP("Mins",A1:CV300,56,FALSE)=0,0,HLOOKUP("Gs - Open",A1:CV300,56,FALSE)/HLOOKUP("Mins",A1:CV300,56,FALSE)* 90)</f>
      </c>
      <c r="BP56" s="20506">
        <f>IF(HLOOKUP("Mins",A1:CV300,56,FALSE)=0,0,HLOOKUP("ICT Index",A1:CV300,56,FALSE)/HLOOKUP("Mins",A1:CV300,56,FALSE)* 90)</f>
      </c>
      <c r="BQ56" s="20507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</c>
      <c r="BR56" s="20508">
        <f>0.0885*HLOOKUP("KP/90",A1:CV300,56,FALSE)</f>
      </c>
      <c r="BS56" s="20509">
        <f>5*HLOOKUP("xG/90",A1:CV300,56,FALSE)+3*HLOOKUP("xA/90",A1:CV300,56,FALSE)</f>
      </c>
      <c r="BT56" s="20510">
        <f>HLOOKUP("xPts/90",A1:CV300,56,FALSE)-(5*0.75*(HLOOKUP("PK Gs",A1:CV300,56,FALSE)+HLOOKUP("PK Miss",A1:CV300,56,FALSE))*90/HLOOKUP("Mins",A1:CV300,56,FALSE))</f>
      </c>
      <c r="BU56" s="20511">
        <f>IF(HLOOKUP("Mins",A1:CV300,56,FALSE)=0,0,HLOOKUP("fsXG",A1:CV300,56,FALSE)/HLOOKUP("Mins",A1:CV300,56,FALSE)* 90)</f>
      </c>
      <c r="BV56" s="20512">
        <f>IF(HLOOKUP("Mins",A1:CV300,56,FALSE)=0,0,HLOOKUP("fsXA",A1:CV300,56,FALSE)/HLOOKUP("Mins",A1:CV300,56,FALSE)* 90)</f>
      </c>
      <c r="BW56" s="20513">
        <f>5*HLOOKUP("fsXG/90",A1:CV300,56,FALSE)+3*HLOOKUP("fsXA/90",A1:CV300,56,FALSE)</f>
      </c>
      <c r="BX56" t="n" s="20514">
        <v>0.08671943843364716</v>
      </c>
      <c r="BY56" t="n" s="20515">
        <v>0.6142475008964539</v>
      </c>
      <c r="BZ56" s="20516">
        <f>5*HLOOKUP("uXG/90",A1:CV300,56,FALSE)+3*HLOOKUP("uXA/90",A1:CV300,56,FALSE)</f>
      </c>
    </row>
    <row r="57">
      <c r="A57" t="s" s="20517">
        <v>360</v>
      </c>
      <c r="B57" t="s" s="20518">
        <v>118</v>
      </c>
      <c r="C57" t="n" s="20519">
        <v>6.400000095367432</v>
      </c>
      <c r="D57" t="n" s="20520">
        <v>265.0</v>
      </c>
      <c r="E57" t="n" s="20521">
        <v>4.0</v>
      </c>
      <c r="F57" t="n" s="20522">
        <v>57.0</v>
      </c>
      <c r="G57" t="n" s="20523">
        <v>1.0</v>
      </c>
      <c r="H57" t="n" s="20524">
        <v>6.0</v>
      </c>
      <c r="I57" t="n" s="20525">
        <v>182.0</v>
      </c>
      <c r="J57" s="20526">
        <f>HLOOKUP("BPS",A1:CV300,57,FALSE)-((-6*HLOOKUP("OG",A1:CV300,57,FALSE))+(-6*HLOOKUP("PK Miss",A1:CV300,57,FALSE))+(9*HLOOKUP("FPL As",A1:CV300,57,FALSE))+(0*HLOOKUP("CS",A1:CV300,57,FALSE))+(18*HLOOKUP("Gs",A1:CV300,57,FALSE)))</f>
      </c>
      <c r="K57" t="n" s="20527">
        <v>0.0</v>
      </c>
      <c r="L57" t="n" s="20528">
        <v>7.0</v>
      </c>
      <c r="M57" t="n" s="20529">
        <v>14.0</v>
      </c>
      <c r="N57" t="n" s="20530">
        <v>5.0</v>
      </c>
      <c r="O57" t="n" s="20531">
        <v>2.0</v>
      </c>
      <c r="P57" s="20532">
        <f>IF(HLOOKUP("Shots",A1:CV300,57,FALSE)=0,0,HLOOKUP("SIB",A1:CV300,57,FALSE)/HLOOKUP("Shots",A1:CV300,57,FALSE))</f>
      </c>
      <c r="Q57" t="n" s="20533">
        <v>0.0</v>
      </c>
      <c r="R57" s="20534">
        <f>IF(HLOOKUP("Shots",A1:CV300,57,FALSE)=0,0,HLOOKUP("S6YD",A1:CV300,57,FALSE)/HLOOKUP("Shots",A1:CV300,57,FALSE))</f>
      </c>
      <c r="S57" t="n" s="20535">
        <v>0.0</v>
      </c>
      <c r="T57" s="20536">
        <f>IF(HLOOKUP("Shots",A1:CV300,57,FALSE)=0,0,HLOOKUP("Headers",A1:CV300,57,FALSE)/HLOOKUP("Shots",A1:CV300,57,FALSE))</f>
      </c>
      <c r="U57" t="n" s="20537">
        <v>3.0</v>
      </c>
      <c r="V57" s="20538">
        <f>IF(HLOOKUP("Shots",A1:CV300,57,FALSE)=0,0,HLOOKUP("SOT",A1:CV300,57,FALSE)/HLOOKUP("Shots",A1:CV300,57,FALSE))</f>
      </c>
      <c r="W57" s="20539">
        <f>IF(HLOOKUP("Shots",A1:CV300,57,FALSE)=0,0,HLOOKUP("Gs",A1:CV300,57,FALSE)/HLOOKUP("Shots",A1:CV300,57,FALSE))</f>
      </c>
      <c r="X57" t="n" s="20540">
        <v>1.0</v>
      </c>
      <c r="Y57" t="n" s="20541">
        <v>2.0</v>
      </c>
      <c r="Z57" t="n" s="20542">
        <v>6.0</v>
      </c>
      <c r="AA57" s="20543">
        <f>IF(HLOOKUP("KP",A1:CV300,57,FALSE)=0,0,HLOOKUP("As",A1:CV300,57,FALSE)/HLOOKUP("KP",A1:CV300,57,FALSE))</f>
      </c>
      <c r="AB57" s="20544"/>
      <c r="AC57" t="n" s="20545">
        <v>33.0</v>
      </c>
      <c r="AD57" t="n" s="20546">
        <v>2.0</v>
      </c>
      <c r="AE57" t="n" s="20547">
        <v>2.0</v>
      </c>
      <c r="AF57" t="n" s="20548">
        <v>1.0</v>
      </c>
      <c r="AG57" s="20549">
        <f>IF(HLOOKUP("BC",A1:CV300,57,FALSE)=0,0,HLOOKUP("Gs - BC",A1:CV300,57,FALSE)/HLOOKUP("BC",A1:CV300,57,FALSE))</f>
      </c>
      <c r="AH57" s="20550">
        <f>HLOOKUP("BC",A1:CV300,57,FALSE) - HLOOKUP("BC Miss",A1:CV300,57,FALSE)</f>
      </c>
      <c r="AI57" s="20551">
        <f>IF(HLOOKUP("Gs",A1:CV300,57,FALSE)=0,0,HLOOKUP("Gs - BC",A1:CV300,57,FALSE)/HLOOKUP("Gs",A1:CV300,57,FALSE))</f>
      </c>
      <c r="AJ57" t="n" s="20552">
        <v>0.0</v>
      </c>
      <c r="AK57" t="n" s="20553">
        <v>0.0</v>
      </c>
      <c r="AL57" s="20554">
        <f>HLOOKUP("BC",A1:CV300,57,FALSE) - (HLOOKUP("PK Gs",A1:CV300,57,FALSE) + HLOOKUP("PK Miss",A1:CV300,57,FALSE))</f>
      </c>
      <c r="AM57" s="20555">
        <f>HLOOKUP("BC Miss",A1:CV300,57,FALSE) - HLOOKUP("PK Miss",A1:CV300,57,FALSE)</f>
      </c>
      <c r="AN57" s="20556">
        <f>IF(HLOOKUP("BC - Open",A1:CV300,57,FALSE)=0,0,HLOOKUP("BC - Open Miss",A1:CV300,57,FALSE)/HLOOKUP("BC - Open",A1:CV300,57,FALSE))</f>
      </c>
      <c r="AO57" t="n" s="20557">
        <v>1.0</v>
      </c>
      <c r="AP57" s="20558">
        <f>IF(HLOOKUP("Gs",A1:CV300,57,FALSE)=0,0,HLOOKUP("GIB",A1:CV300,57,FALSE)/HLOOKUP("Gs",A1:CV300,57,FALSE))</f>
      </c>
      <c r="AQ57" t="n" s="20559">
        <v>1.0</v>
      </c>
      <c r="AR57" s="20560">
        <f>IF(HLOOKUP("Gs",A1:CV300,57,FALSE)=0,0,HLOOKUP("Gs - Open",A1:CV300,57,FALSE)/HLOOKUP("Gs",A1:CV300,57,FALSE))</f>
      </c>
      <c r="AS57" t="n" s="20561">
        <v>0.93</v>
      </c>
      <c r="AT57" t="n" s="20562">
        <v>0.8</v>
      </c>
      <c r="AU57" s="20563">
        <f>IF(HLOOKUP("Mins",A1:CV300,57,FALSE)=0,0,HLOOKUP("Pts",A1:CV300,57,FALSE)/HLOOKUP("Mins",A1:CV300,57,FALSE)* 90)</f>
      </c>
      <c r="AV57" s="20564">
        <f>IF(HLOOKUP("Apps",A1:CV300,57,FALSE)=0,0,HLOOKUP("Pts",A1:CV300,57,FALSE)/HLOOKUP("Apps",A1:CV300,57,FALSE)* 1)</f>
      </c>
      <c r="AW57" s="20565">
        <f>IF(HLOOKUP("Mins",A1:CV300,57,FALSE)=0,0,HLOOKUP("Gs",A1:CV300,57,FALSE)/HLOOKUP("Mins",A1:CV300,57,FALSE)* 90)</f>
      </c>
      <c r="AX57" s="20566">
        <f>IF(HLOOKUP("Mins",A1:CV300,57,FALSE)=0,0,HLOOKUP("Bonus",A1:CV300,57,FALSE)/HLOOKUP("Mins",A1:CV300,57,FALSE)* 90)</f>
      </c>
      <c r="AY57" s="20567">
        <f>IF(HLOOKUP("Mins",A1:CV300,57,FALSE)=0,0,HLOOKUP("BPS",A1:CV300,57,FALSE)/HLOOKUP("Mins",A1:CV300,57,FALSE)* 90)</f>
      </c>
      <c r="AZ57" s="20568">
        <f>IF(HLOOKUP("Mins",A1:CV300,57,FALSE)=0,0,HLOOKUP("Base BPS",A1:CV300,57,FALSE)/HLOOKUP("Mins",A1:CV300,57,FALSE)* 90)</f>
      </c>
      <c r="BA57" s="20569">
        <f>IF(HLOOKUP("Mins",A1:CV300,57,FALSE)=0,0,HLOOKUP("PenTchs",A1:CV300,57,FALSE)/HLOOKUP("Mins",A1:CV300,57,FALSE)* 90)</f>
      </c>
      <c r="BB57" s="20570">
        <f>IF(HLOOKUP("Mins",A1:CV300,57,FALSE)=0,0,HLOOKUP("Shots",A1:CV300,57,FALSE)/HLOOKUP("Mins",A1:CV300,57,FALSE)* 90)</f>
      </c>
      <c r="BC57" s="20571">
        <f>IF(HLOOKUP("Mins",A1:CV300,57,FALSE)=0,0,HLOOKUP("SIB",A1:CV300,57,FALSE)/HLOOKUP("Mins",A1:CV300,57,FALSE)* 90)</f>
      </c>
      <c r="BD57" s="20572">
        <f>IF(HLOOKUP("Mins",A1:CV300,57,FALSE)=0,0,HLOOKUP("S6YD",A1:CV300,57,FALSE)/HLOOKUP("Mins",A1:CV300,57,FALSE)* 90)</f>
      </c>
      <c r="BE57" s="20573">
        <f>IF(HLOOKUP("Mins",A1:CV300,57,FALSE)=0,0,HLOOKUP("Headers",A1:CV300,57,FALSE)/HLOOKUP("Mins",A1:CV300,57,FALSE)* 90)</f>
      </c>
      <c r="BF57" s="20574">
        <f>IF(HLOOKUP("Mins",A1:CV300,57,FALSE)=0,0,HLOOKUP("SOT",A1:CV300,57,FALSE)/HLOOKUP("Mins",A1:CV300,57,FALSE)* 90)</f>
      </c>
      <c r="BG57" s="20575">
        <f>IF(HLOOKUP("Mins",A1:CV300,57,FALSE)=0,0,HLOOKUP("As",A1:CV300,57,FALSE)/HLOOKUP("Mins",A1:CV300,57,FALSE)* 90)</f>
      </c>
      <c r="BH57" s="20576">
        <f>IF(HLOOKUP("Mins",A1:CV300,57,FALSE)=0,0,HLOOKUP("FPL As",A1:CV300,57,FALSE)/HLOOKUP("Mins",A1:CV300,57,FALSE)* 90)</f>
      </c>
      <c r="BI57" s="20577">
        <f>IF(HLOOKUP("Mins",A1:CV300,57,FALSE)=0,0,HLOOKUP("BC Created",A1:CV300,57,FALSE)/HLOOKUP("Mins",A1:CV300,57,FALSE)* 90)</f>
      </c>
      <c r="BJ57" s="20578">
        <f>IF(HLOOKUP("Mins",A1:CV300,57,FALSE)=0,0,HLOOKUP("KP",A1:CV300,57,FALSE)/HLOOKUP("Mins",A1:CV300,57,FALSE)* 90)</f>
      </c>
      <c r="BK57" s="20579">
        <f>IF(HLOOKUP("Mins",A1:CV300,57,FALSE)=0,0,HLOOKUP("BC",A1:CV300,57,FALSE)/HLOOKUP("Mins",A1:CV300,57,FALSE)* 90)</f>
      </c>
      <c r="BL57" s="20580">
        <f>IF(HLOOKUP("Mins",A1:CV300,57,FALSE)=0,0,HLOOKUP("BC Miss",A1:CV300,57,FALSE)/HLOOKUP("Mins",A1:CV300,57,FALSE)* 90)</f>
      </c>
      <c r="BM57" s="20581">
        <f>IF(HLOOKUP("Mins",A1:CV300,57,FALSE)=0,0,HLOOKUP("Gs - BC",A1:CV300,57,FALSE)/HLOOKUP("Mins",A1:CV300,57,FALSE)* 90)</f>
      </c>
      <c r="BN57" s="20582">
        <f>IF(HLOOKUP("Mins",A1:CV300,57,FALSE)=0,0,HLOOKUP("GIB",A1:CV300,57,FALSE)/HLOOKUP("Mins",A1:CV300,57,FALSE)* 90)</f>
      </c>
      <c r="BO57" s="20583">
        <f>IF(HLOOKUP("Mins",A1:CV300,57,FALSE)=0,0,HLOOKUP("Gs - Open",A1:CV300,57,FALSE)/HLOOKUP("Mins",A1:CV300,57,FALSE)* 90)</f>
      </c>
      <c r="BP57" s="20584">
        <f>IF(HLOOKUP("Mins",A1:CV300,57,FALSE)=0,0,HLOOKUP("ICT Index",A1:CV300,57,FALSE)/HLOOKUP("Mins",A1:CV300,57,FALSE)* 90)</f>
      </c>
      <c r="BQ57" s="20585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</c>
      <c r="BR57" s="20586">
        <f>0.0885*HLOOKUP("KP/90",A1:CV300,57,FALSE)</f>
      </c>
      <c r="BS57" s="20587">
        <f>5*HLOOKUP("xG/90",A1:CV300,57,FALSE)+3*HLOOKUP("xA/90",A1:CV300,57,FALSE)</f>
      </c>
      <c r="BT57" s="20588">
        <f>HLOOKUP("xPts/90",A1:CV300,57,FALSE)-(5*0.75*(HLOOKUP("PK Gs",A1:CV300,57,FALSE)+HLOOKUP("PK Miss",A1:CV300,57,FALSE))*90/HLOOKUP("Mins",A1:CV300,57,FALSE))</f>
      </c>
      <c r="BU57" s="20589">
        <f>IF(HLOOKUP("Mins",A1:CV300,57,FALSE)=0,0,HLOOKUP("fsXG",A1:CV300,57,FALSE)/HLOOKUP("Mins",A1:CV300,57,FALSE)* 90)</f>
      </c>
      <c r="BV57" s="20590">
        <f>IF(HLOOKUP("Mins",A1:CV300,57,FALSE)=0,0,HLOOKUP("fsXA",A1:CV300,57,FALSE)/HLOOKUP("Mins",A1:CV300,57,FALSE)* 90)</f>
      </c>
      <c r="BW57" s="20591">
        <f>5*HLOOKUP("fsXG/90",A1:CV300,57,FALSE)+3*HLOOKUP("fsXA/90",A1:CV300,57,FALSE)</f>
      </c>
      <c r="BX57" t="n" s="20592">
        <v>0.28084278106689453</v>
      </c>
      <c r="BY57" t="n" s="20593">
        <v>0.25808727741241455</v>
      </c>
      <c r="BZ57" s="20594">
        <f>5*HLOOKUP("uXG/90",A1:CV300,57,FALSE)+3*HLOOKUP("uXA/90",A1:CV300,57,FALSE)</f>
      </c>
    </row>
    <row r="58">
      <c r="A58" t="s" s="20595">
        <v>361</v>
      </c>
      <c r="B58" t="s" s="20596">
        <v>82</v>
      </c>
      <c r="C58" t="n" s="20597">
        <v>5.099999904632568</v>
      </c>
      <c r="D58" t="n" s="20598">
        <v>22.0</v>
      </c>
      <c r="E58" t="n" s="20599">
        <v>1.0</v>
      </c>
      <c r="F58" t="n" s="20600">
        <v>16.0</v>
      </c>
      <c r="G58" t="n" s="20601">
        <v>0.0</v>
      </c>
      <c r="H58" t="n" s="20602">
        <v>0.0</v>
      </c>
      <c r="I58" t="n" s="20603">
        <v>83.0</v>
      </c>
      <c r="J58" s="20604">
        <f>HLOOKUP("BPS",A1:CV300,58,FALSE)-((-6*HLOOKUP("OG",A1:CV300,58,FALSE))+(-6*HLOOKUP("PK Miss",A1:CV300,58,FALSE))+(9*HLOOKUP("FPL As",A1:CV300,58,FALSE))+(0*HLOOKUP("CS",A1:CV300,58,FALSE))+(18*HLOOKUP("Gs",A1:CV300,58,FALSE)))</f>
      </c>
      <c r="K58" t="n" s="20605">
        <v>0.0</v>
      </c>
      <c r="L58" t="n" s="20606">
        <v>0.0</v>
      </c>
      <c r="M58" t="n" s="20607">
        <v>1.0</v>
      </c>
      <c r="N58" t="n" s="20608">
        <v>1.0</v>
      </c>
      <c r="O58" t="n" s="20609">
        <v>0.0</v>
      </c>
      <c r="P58" s="20610">
        <f>IF(HLOOKUP("Shots",A1:CV300,58,FALSE)=0,0,HLOOKUP("SIB",A1:CV300,58,FALSE)/HLOOKUP("Shots",A1:CV300,58,FALSE))</f>
      </c>
      <c r="Q58" t="n" s="20611">
        <v>0.0</v>
      </c>
      <c r="R58" s="20612">
        <f>IF(HLOOKUP("Shots",A1:CV300,58,FALSE)=0,0,HLOOKUP("S6YD",A1:CV300,58,FALSE)/HLOOKUP("Shots",A1:CV300,58,FALSE))</f>
      </c>
      <c r="S58" t="n" s="20613">
        <v>0.0</v>
      </c>
      <c r="T58" s="20614">
        <f>IF(HLOOKUP("Shots",A1:CV300,58,FALSE)=0,0,HLOOKUP("Headers",A1:CV300,58,FALSE)/HLOOKUP("Shots",A1:CV300,58,FALSE))</f>
      </c>
      <c r="U58" t="n" s="20615">
        <v>0.0</v>
      </c>
      <c r="V58" s="20616">
        <f>IF(HLOOKUP("Shots",A1:CV300,58,FALSE)=0,0,HLOOKUP("SOT",A1:CV300,58,FALSE)/HLOOKUP("Shots",A1:CV300,58,FALSE))</f>
      </c>
      <c r="W58" s="20617">
        <f>IF(HLOOKUP("Shots",A1:CV300,58,FALSE)=0,0,HLOOKUP("Gs",A1:CV300,58,FALSE)/HLOOKUP("Shots",A1:CV300,58,FALSE))</f>
      </c>
      <c r="X58" t="n" s="20618">
        <v>0.0</v>
      </c>
      <c r="Y58" t="n" s="20619">
        <v>1.0</v>
      </c>
      <c r="Z58" t="n" s="20620">
        <v>0.0</v>
      </c>
      <c r="AA58" s="20621">
        <f>IF(HLOOKUP("KP",A1:CV300,58,FALSE)=0,0,HLOOKUP("As",A1:CV300,58,FALSE)/HLOOKUP("KP",A1:CV300,58,FALSE))</f>
      </c>
      <c r="AB58" s="20622"/>
      <c r="AC58" t="n" s="20623">
        <v>0.0</v>
      </c>
      <c r="AD58" t="n" s="20624">
        <v>0.0</v>
      </c>
      <c r="AE58" t="n" s="20625">
        <v>0.0</v>
      </c>
      <c r="AF58" t="n" s="20626">
        <v>0.0</v>
      </c>
      <c r="AG58" s="20627">
        <f>IF(HLOOKUP("BC",A1:CV300,58,FALSE)=0,0,HLOOKUP("Gs - BC",A1:CV300,58,FALSE)/HLOOKUP("BC",A1:CV300,58,FALSE))</f>
      </c>
      <c r="AH58" s="20628">
        <f>HLOOKUP("BC",A1:CV300,58,FALSE) - HLOOKUP("BC Miss",A1:CV300,58,FALSE)</f>
      </c>
      <c r="AI58" s="20629">
        <f>IF(HLOOKUP("Gs",A1:CV300,58,FALSE)=0,0,HLOOKUP("Gs - BC",A1:CV300,58,FALSE)/HLOOKUP("Gs",A1:CV300,58,FALSE))</f>
      </c>
      <c r="AJ58" t="n" s="20630">
        <v>0.0</v>
      </c>
      <c r="AK58" t="n" s="20631">
        <v>0.0</v>
      </c>
      <c r="AL58" s="20632">
        <f>HLOOKUP("BC",A1:CV300,58,FALSE) - (HLOOKUP("PK Gs",A1:CV300,58,FALSE) + HLOOKUP("PK Miss",A1:CV300,58,FALSE))</f>
      </c>
      <c r="AM58" s="20633">
        <f>HLOOKUP("BC Miss",A1:CV300,58,FALSE) - HLOOKUP("PK Miss",A1:CV300,58,FALSE)</f>
      </c>
      <c r="AN58" s="20634">
        <f>IF(HLOOKUP("BC - Open",A1:CV300,58,FALSE)=0,0,HLOOKUP("BC - Open Miss",A1:CV300,58,FALSE)/HLOOKUP("BC - Open",A1:CV300,58,FALSE))</f>
      </c>
      <c r="AO58" t="n" s="20635">
        <v>0.0</v>
      </c>
      <c r="AP58" s="20636">
        <f>IF(HLOOKUP("Gs",A1:CV300,58,FALSE)=0,0,HLOOKUP("GIB",A1:CV300,58,FALSE)/HLOOKUP("Gs",A1:CV300,58,FALSE))</f>
      </c>
      <c r="AQ58" t="n" s="20637">
        <v>0.0</v>
      </c>
      <c r="AR58" s="20638">
        <f>IF(HLOOKUP("Gs",A1:CV300,58,FALSE)=0,0,HLOOKUP("Gs - Open",A1:CV300,58,FALSE)/HLOOKUP("Gs",A1:CV300,58,FALSE))</f>
      </c>
      <c r="AS58" t="n" s="20639">
        <v>0.03</v>
      </c>
      <c r="AT58" t="n" s="20640">
        <v>0.0</v>
      </c>
      <c r="AU58" s="20641">
        <f>IF(HLOOKUP("Mins",A1:CV300,58,FALSE)=0,0,HLOOKUP("Pts",A1:CV300,58,FALSE)/HLOOKUP("Mins",A1:CV300,58,FALSE)* 90)</f>
      </c>
      <c r="AV58" s="20642">
        <f>IF(HLOOKUP("Apps",A1:CV300,58,FALSE)=0,0,HLOOKUP("Pts",A1:CV300,58,FALSE)/HLOOKUP("Apps",A1:CV300,58,FALSE)* 1)</f>
      </c>
      <c r="AW58" s="20643">
        <f>IF(HLOOKUP("Mins",A1:CV300,58,FALSE)=0,0,HLOOKUP("Gs",A1:CV300,58,FALSE)/HLOOKUP("Mins",A1:CV300,58,FALSE)* 90)</f>
      </c>
      <c r="AX58" s="20644">
        <f>IF(HLOOKUP("Mins",A1:CV300,58,FALSE)=0,0,HLOOKUP("Bonus",A1:CV300,58,FALSE)/HLOOKUP("Mins",A1:CV300,58,FALSE)* 90)</f>
      </c>
      <c r="AY58" s="20645">
        <f>IF(HLOOKUP("Mins",A1:CV300,58,FALSE)=0,0,HLOOKUP("BPS",A1:CV300,58,FALSE)/HLOOKUP("Mins",A1:CV300,58,FALSE)* 90)</f>
      </c>
      <c r="AZ58" s="20646">
        <f>IF(HLOOKUP("Mins",A1:CV300,58,FALSE)=0,0,HLOOKUP("Base BPS",A1:CV300,58,FALSE)/HLOOKUP("Mins",A1:CV300,58,FALSE)* 90)</f>
      </c>
      <c r="BA58" s="20647">
        <f>IF(HLOOKUP("Mins",A1:CV300,58,FALSE)=0,0,HLOOKUP("PenTchs",A1:CV300,58,FALSE)/HLOOKUP("Mins",A1:CV300,58,FALSE)* 90)</f>
      </c>
      <c r="BB58" s="20648">
        <f>IF(HLOOKUP("Mins",A1:CV300,58,FALSE)=0,0,HLOOKUP("Shots",A1:CV300,58,FALSE)/HLOOKUP("Mins",A1:CV300,58,FALSE)* 90)</f>
      </c>
      <c r="BC58" s="20649">
        <f>IF(HLOOKUP("Mins",A1:CV300,58,FALSE)=0,0,HLOOKUP("SIB",A1:CV300,58,FALSE)/HLOOKUP("Mins",A1:CV300,58,FALSE)* 90)</f>
      </c>
      <c r="BD58" s="20650">
        <f>IF(HLOOKUP("Mins",A1:CV300,58,FALSE)=0,0,HLOOKUP("S6YD",A1:CV300,58,FALSE)/HLOOKUP("Mins",A1:CV300,58,FALSE)* 90)</f>
      </c>
      <c r="BE58" s="20651">
        <f>IF(HLOOKUP("Mins",A1:CV300,58,FALSE)=0,0,HLOOKUP("Headers",A1:CV300,58,FALSE)/HLOOKUP("Mins",A1:CV300,58,FALSE)* 90)</f>
      </c>
      <c r="BF58" s="20652">
        <f>IF(HLOOKUP("Mins",A1:CV300,58,FALSE)=0,0,HLOOKUP("SOT",A1:CV300,58,FALSE)/HLOOKUP("Mins",A1:CV300,58,FALSE)* 90)</f>
      </c>
      <c r="BG58" s="20653">
        <f>IF(HLOOKUP("Mins",A1:CV300,58,FALSE)=0,0,HLOOKUP("As",A1:CV300,58,FALSE)/HLOOKUP("Mins",A1:CV300,58,FALSE)* 90)</f>
      </c>
      <c r="BH58" s="20654">
        <f>IF(HLOOKUP("Mins",A1:CV300,58,FALSE)=0,0,HLOOKUP("FPL As",A1:CV300,58,FALSE)/HLOOKUP("Mins",A1:CV300,58,FALSE)* 90)</f>
      </c>
      <c r="BI58" s="20655">
        <f>IF(HLOOKUP("Mins",A1:CV300,58,FALSE)=0,0,HLOOKUP("BC Created",A1:CV300,58,FALSE)/HLOOKUP("Mins",A1:CV300,58,FALSE)* 90)</f>
      </c>
      <c r="BJ58" s="20656">
        <f>IF(HLOOKUP("Mins",A1:CV300,58,FALSE)=0,0,HLOOKUP("KP",A1:CV300,58,FALSE)/HLOOKUP("Mins",A1:CV300,58,FALSE)* 90)</f>
      </c>
      <c r="BK58" s="20657">
        <f>IF(HLOOKUP("Mins",A1:CV300,58,FALSE)=0,0,HLOOKUP("BC",A1:CV300,58,FALSE)/HLOOKUP("Mins",A1:CV300,58,FALSE)* 90)</f>
      </c>
      <c r="BL58" s="20658">
        <f>IF(HLOOKUP("Mins",A1:CV300,58,FALSE)=0,0,HLOOKUP("BC Miss",A1:CV300,58,FALSE)/HLOOKUP("Mins",A1:CV300,58,FALSE)* 90)</f>
      </c>
      <c r="BM58" s="20659">
        <f>IF(HLOOKUP("Mins",A1:CV300,58,FALSE)=0,0,HLOOKUP("Gs - BC",A1:CV300,58,FALSE)/HLOOKUP("Mins",A1:CV300,58,FALSE)* 90)</f>
      </c>
      <c r="BN58" s="20660">
        <f>IF(HLOOKUP("Mins",A1:CV300,58,FALSE)=0,0,HLOOKUP("GIB",A1:CV300,58,FALSE)/HLOOKUP("Mins",A1:CV300,58,FALSE)* 90)</f>
      </c>
      <c r="BO58" s="20661">
        <f>IF(HLOOKUP("Mins",A1:CV300,58,FALSE)=0,0,HLOOKUP("Gs - Open",A1:CV300,58,FALSE)/HLOOKUP("Mins",A1:CV300,58,FALSE)* 90)</f>
      </c>
      <c r="BP58" s="20662">
        <f>IF(HLOOKUP("Mins",A1:CV300,58,FALSE)=0,0,HLOOKUP("ICT Index",A1:CV300,58,FALSE)/HLOOKUP("Mins",A1:CV300,58,FALSE)* 90)</f>
      </c>
      <c r="BQ58" s="20663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</c>
      <c r="BR58" s="20664">
        <f>0.0885*HLOOKUP("KP/90",A1:CV300,58,FALSE)</f>
      </c>
      <c r="BS58" s="20665">
        <f>5*HLOOKUP("xG/90",A1:CV300,58,FALSE)+3*HLOOKUP("xA/90",A1:CV300,58,FALSE)</f>
      </c>
      <c r="BT58" s="20666">
        <f>HLOOKUP("xPts/90",A1:CV300,58,FALSE)-(5*0.75*(HLOOKUP("PK Gs",A1:CV300,58,FALSE)+HLOOKUP("PK Miss",A1:CV300,58,FALSE))*90/HLOOKUP("Mins",A1:CV300,58,FALSE))</f>
      </c>
      <c r="BU58" s="20667">
        <f>IF(HLOOKUP("Mins",A1:CV300,58,FALSE)=0,0,HLOOKUP("fsXG",A1:CV300,58,FALSE)/HLOOKUP("Mins",A1:CV300,58,FALSE)* 90)</f>
      </c>
      <c r="BV58" s="20668">
        <f>IF(HLOOKUP("Mins",A1:CV300,58,FALSE)=0,0,HLOOKUP("fsXA",A1:CV300,58,FALSE)/HLOOKUP("Mins",A1:CV300,58,FALSE)* 90)</f>
      </c>
      <c r="BW58" s="20669">
        <f>5*HLOOKUP("fsXG/90",A1:CV300,58,FALSE)+3*HLOOKUP("fsXA/90",A1:CV300,58,FALSE)</f>
      </c>
      <c r="BX58" t="n" s="20670">
        <v>0.08363061398267746</v>
      </c>
      <c r="BY58" t="n" s="20671">
        <v>0.0</v>
      </c>
      <c r="BZ58" s="20672">
        <f>5*HLOOKUP("uXG/90",A1:CV300,58,FALSE)+3*HLOOKUP("uXA/90",A1:CV300,58,FALSE)</f>
      </c>
    </row>
    <row r="59">
      <c r="A59" t="s" s="20673">
        <v>362</v>
      </c>
      <c r="B59" t="s" s="20674">
        <v>109</v>
      </c>
      <c r="C59" t="n" s="20675">
        <v>4.400000095367432</v>
      </c>
      <c r="D59" t="n" s="20676">
        <v>342.0</v>
      </c>
      <c r="E59" t="n" s="20677">
        <v>4.0</v>
      </c>
      <c r="F59" t="n" s="20678">
        <v>47.0</v>
      </c>
      <c r="G59" t="n" s="20679">
        <v>0.0</v>
      </c>
      <c r="H59" t="n" s="20680">
        <v>1.0</v>
      </c>
      <c r="I59" t="n" s="20681">
        <v>319.0</v>
      </c>
      <c r="J59" s="20682">
        <f>HLOOKUP("BPS",A1:CV300,59,FALSE)-((-6*HLOOKUP("OG",A1:CV300,59,FALSE))+(-6*HLOOKUP("PK Miss",A1:CV300,59,FALSE))+(9*HLOOKUP("FPL As",A1:CV300,59,FALSE))+(0*HLOOKUP("CS",A1:CV300,59,FALSE))+(18*HLOOKUP("Gs",A1:CV300,59,FALSE)))</f>
      </c>
      <c r="K59" t="n" s="20683">
        <v>0.0</v>
      </c>
      <c r="L59" t="n" s="20684">
        <v>4.0</v>
      </c>
      <c r="M59" t="n" s="20685">
        <v>0.0</v>
      </c>
      <c r="N59" t="n" s="20686">
        <v>3.0</v>
      </c>
      <c r="O59" t="n" s="20687">
        <v>0.0</v>
      </c>
      <c r="P59" s="20688">
        <f>IF(HLOOKUP("Shots",A1:CV300,59,FALSE)=0,0,HLOOKUP("SIB",A1:CV300,59,FALSE)/HLOOKUP("Shots",A1:CV300,59,FALSE))</f>
      </c>
      <c r="Q59" t="n" s="20689">
        <v>0.0</v>
      </c>
      <c r="R59" s="20690">
        <f>IF(HLOOKUP("Shots",A1:CV300,59,FALSE)=0,0,HLOOKUP("S6YD",A1:CV300,59,FALSE)/HLOOKUP("Shots",A1:CV300,59,FALSE))</f>
      </c>
      <c r="S59" t="n" s="20691">
        <v>0.0</v>
      </c>
      <c r="T59" s="20692">
        <f>IF(HLOOKUP("Shots",A1:CV300,59,FALSE)=0,0,HLOOKUP("Headers",A1:CV300,59,FALSE)/HLOOKUP("Shots",A1:CV300,59,FALSE))</f>
      </c>
      <c r="U59" t="n" s="20693">
        <v>0.0</v>
      </c>
      <c r="V59" s="20694">
        <f>IF(HLOOKUP("Shots",A1:CV300,59,FALSE)=0,0,HLOOKUP("SOT",A1:CV300,59,FALSE)/HLOOKUP("Shots",A1:CV300,59,FALSE))</f>
      </c>
      <c r="W59" s="20695">
        <f>IF(HLOOKUP("Shots",A1:CV300,59,FALSE)=0,0,HLOOKUP("Gs",A1:CV300,59,FALSE)/HLOOKUP("Shots",A1:CV300,59,FALSE))</f>
      </c>
      <c r="X59" t="n" s="20696">
        <v>0.0</v>
      </c>
      <c r="Y59" t="n" s="20697">
        <v>1.0</v>
      </c>
      <c r="Z59" t="n" s="20698">
        <v>2.0</v>
      </c>
      <c r="AA59" s="20699">
        <f>IF(HLOOKUP("KP",A1:CV300,59,FALSE)=0,0,HLOOKUP("As",A1:CV300,59,FALSE)/HLOOKUP("KP",A1:CV300,59,FALSE))</f>
      </c>
      <c r="AB59" s="20700"/>
      <c r="AC59" t="n" s="20701">
        <v>0.0</v>
      </c>
      <c r="AD59" t="n" s="20702">
        <v>1.0</v>
      </c>
      <c r="AE59" t="n" s="20703">
        <v>0.0</v>
      </c>
      <c r="AF59" t="n" s="20704">
        <v>0.0</v>
      </c>
      <c r="AG59" s="20705">
        <f>IF(HLOOKUP("BC",A1:CV300,59,FALSE)=0,0,HLOOKUP("Gs - BC",A1:CV300,59,FALSE)/HLOOKUP("BC",A1:CV300,59,FALSE))</f>
      </c>
      <c r="AH59" s="20706">
        <f>HLOOKUP("BC",A1:CV300,59,FALSE) - HLOOKUP("BC Miss",A1:CV300,59,FALSE)</f>
      </c>
      <c r="AI59" s="20707">
        <f>IF(HLOOKUP("Gs",A1:CV300,59,FALSE)=0,0,HLOOKUP("Gs - BC",A1:CV300,59,FALSE)/HLOOKUP("Gs",A1:CV300,59,FALSE))</f>
      </c>
      <c r="AJ59" t="n" s="20708">
        <v>0.0</v>
      </c>
      <c r="AK59" t="n" s="20709">
        <v>0.0</v>
      </c>
      <c r="AL59" s="20710">
        <f>HLOOKUP("BC",A1:CV300,59,FALSE) - (HLOOKUP("PK Gs",A1:CV300,59,FALSE) + HLOOKUP("PK Miss",A1:CV300,59,FALSE))</f>
      </c>
      <c r="AM59" s="20711">
        <f>HLOOKUP("BC Miss",A1:CV300,59,FALSE) - HLOOKUP("PK Miss",A1:CV300,59,FALSE)</f>
      </c>
      <c r="AN59" s="20712">
        <f>IF(HLOOKUP("BC - Open",A1:CV300,59,FALSE)=0,0,HLOOKUP("BC - Open Miss",A1:CV300,59,FALSE)/HLOOKUP("BC - Open",A1:CV300,59,FALSE))</f>
      </c>
      <c r="AO59" t="n" s="20713">
        <v>0.0</v>
      </c>
      <c r="AP59" s="20714">
        <f>IF(HLOOKUP("Gs",A1:CV300,59,FALSE)=0,0,HLOOKUP("GIB",A1:CV300,59,FALSE)/HLOOKUP("Gs",A1:CV300,59,FALSE))</f>
      </c>
      <c r="AQ59" t="n" s="20715">
        <v>0.0</v>
      </c>
      <c r="AR59" s="20716">
        <f>IF(HLOOKUP("Gs",A1:CV300,59,FALSE)=0,0,HLOOKUP("Gs - Open",A1:CV300,59,FALSE)/HLOOKUP("Gs",A1:CV300,59,FALSE))</f>
      </c>
      <c r="AS59" t="n" s="20717">
        <v>0.13</v>
      </c>
      <c r="AT59" t="n" s="20718">
        <v>0.37</v>
      </c>
      <c r="AU59" s="20719">
        <f>IF(HLOOKUP("Mins",A1:CV300,59,FALSE)=0,0,HLOOKUP("Pts",A1:CV300,59,FALSE)/HLOOKUP("Mins",A1:CV300,59,FALSE)* 90)</f>
      </c>
      <c r="AV59" s="20720">
        <f>IF(HLOOKUP("Apps",A1:CV300,59,FALSE)=0,0,HLOOKUP("Pts",A1:CV300,59,FALSE)/HLOOKUP("Apps",A1:CV300,59,FALSE)* 1)</f>
      </c>
      <c r="AW59" s="20721">
        <f>IF(HLOOKUP("Mins",A1:CV300,59,FALSE)=0,0,HLOOKUP("Gs",A1:CV300,59,FALSE)/HLOOKUP("Mins",A1:CV300,59,FALSE)* 90)</f>
      </c>
      <c r="AX59" s="20722">
        <f>IF(HLOOKUP("Mins",A1:CV300,59,FALSE)=0,0,HLOOKUP("Bonus",A1:CV300,59,FALSE)/HLOOKUP("Mins",A1:CV300,59,FALSE)* 90)</f>
      </c>
      <c r="AY59" s="20723">
        <f>IF(HLOOKUP("Mins",A1:CV300,59,FALSE)=0,0,HLOOKUP("BPS",A1:CV300,59,FALSE)/HLOOKUP("Mins",A1:CV300,59,FALSE)* 90)</f>
      </c>
      <c r="AZ59" s="20724">
        <f>IF(HLOOKUP("Mins",A1:CV300,59,FALSE)=0,0,HLOOKUP("Base BPS",A1:CV300,59,FALSE)/HLOOKUP("Mins",A1:CV300,59,FALSE)* 90)</f>
      </c>
      <c r="BA59" s="20725">
        <f>IF(HLOOKUP("Mins",A1:CV300,59,FALSE)=0,0,HLOOKUP("PenTchs",A1:CV300,59,FALSE)/HLOOKUP("Mins",A1:CV300,59,FALSE)* 90)</f>
      </c>
      <c r="BB59" s="20726">
        <f>IF(HLOOKUP("Mins",A1:CV300,59,FALSE)=0,0,HLOOKUP("Shots",A1:CV300,59,FALSE)/HLOOKUP("Mins",A1:CV300,59,FALSE)* 90)</f>
      </c>
      <c r="BC59" s="20727">
        <f>IF(HLOOKUP("Mins",A1:CV300,59,FALSE)=0,0,HLOOKUP("SIB",A1:CV300,59,FALSE)/HLOOKUP("Mins",A1:CV300,59,FALSE)* 90)</f>
      </c>
      <c r="BD59" s="20728">
        <f>IF(HLOOKUP("Mins",A1:CV300,59,FALSE)=0,0,HLOOKUP("S6YD",A1:CV300,59,FALSE)/HLOOKUP("Mins",A1:CV300,59,FALSE)* 90)</f>
      </c>
      <c r="BE59" s="20729">
        <f>IF(HLOOKUP("Mins",A1:CV300,59,FALSE)=0,0,HLOOKUP("Headers",A1:CV300,59,FALSE)/HLOOKUP("Mins",A1:CV300,59,FALSE)* 90)</f>
      </c>
      <c r="BF59" s="20730">
        <f>IF(HLOOKUP("Mins",A1:CV300,59,FALSE)=0,0,HLOOKUP("SOT",A1:CV300,59,FALSE)/HLOOKUP("Mins",A1:CV300,59,FALSE)* 90)</f>
      </c>
      <c r="BG59" s="20731">
        <f>IF(HLOOKUP("Mins",A1:CV300,59,FALSE)=0,0,HLOOKUP("As",A1:CV300,59,FALSE)/HLOOKUP("Mins",A1:CV300,59,FALSE)* 90)</f>
      </c>
      <c r="BH59" s="20732">
        <f>IF(HLOOKUP("Mins",A1:CV300,59,FALSE)=0,0,HLOOKUP("FPL As",A1:CV300,59,FALSE)/HLOOKUP("Mins",A1:CV300,59,FALSE)* 90)</f>
      </c>
      <c r="BI59" s="20733">
        <f>IF(HLOOKUP("Mins",A1:CV300,59,FALSE)=0,0,HLOOKUP("BC Created",A1:CV300,59,FALSE)/HLOOKUP("Mins",A1:CV300,59,FALSE)* 90)</f>
      </c>
      <c r="BJ59" s="20734">
        <f>IF(HLOOKUP("Mins",A1:CV300,59,FALSE)=0,0,HLOOKUP("KP",A1:CV300,59,FALSE)/HLOOKUP("Mins",A1:CV300,59,FALSE)* 90)</f>
      </c>
      <c r="BK59" s="20735">
        <f>IF(HLOOKUP("Mins",A1:CV300,59,FALSE)=0,0,HLOOKUP("BC",A1:CV300,59,FALSE)/HLOOKUP("Mins",A1:CV300,59,FALSE)* 90)</f>
      </c>
      <c r="BL59" s="20736">
        <f>IF(HLOOKUP("Mins",A1:CV300,59,FALSE)=0,0,HLOOKUP("BC Miss",A1:CV300,59,FALSE)/HLOOKUP("Mins",A1:CV300,59,FALSE)* 90)</f>
      </c>
      <c r="BM59" s="20737">
        <f>IF(HLOOKUP("Mins",A1:CV300,59,FALSE)=0,0,HLOOKUP("Gs - BC",A1:CV300,59,FALSE)/HLOOKUP("Mins",A1:CV300,59,FALSE)* 90)</f>
      </c>
      <c r="BN59" s="20738">
        <f>IF(HLOOKUP("Mins",A1:CV300,59,FALSE)=0,0,HLOOKUP("GIB",A1:CV300,59,FALSE)/HLOOKUP("Mins",A1:CV300,59,FALSE)* 90)</f>
      </c>
      <c r="BO59" s="20739">
        <f>IF(HLOOKUP("Mins",A1:CV300,59,FALSE)=0,0,HLOOKUP("Gs - Open",A1:CV300,59,FALSE)/HLOOKUP("Mins",A1:CV300,59,FALSE)* 90)</f>
      </c>
      <c r="BP59" s="20740">
        <f>IF(HLOOKUP("Mins",A1:CV300,59,FALSE)=0,0,HLOOKUP("ICT Index",A1:CV300,59,FALSE)/HLOOKUP("Mins",A1:CV300,59,FALSE)* 90)</f>
      </c>
      <c r="BQ59" s="20741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</c>
      <c r="BR59" s="20742">
        <f>0.0885*HLOOKUP("KP/90",A1:CV300,59,FALSE)</f>
      </c>
      <c r="BS59" s="20743">
        <f>5*HLOOKUP("xG/90",A1:CV300,59,FALSE)+3*HLOOKUP("xA/90",A1:CV300,59,FALSE)</f>
      </c>
      <c r="BT59" s="20744">
        <f>HLOOKUP("xPts/90",A1:CV300,59,FALSE)-(5*0.75*(HLOOKUP("PK Gs",A1:CV300,59,FALSE)+HLOOKUP("PK Miss",A1:CV300,59,FALSE))*90/HLOOKUP("Mins",A1:CV300,59,FALSE))</f>
      </c>
      <c r="BU59" s="20745">
        <f>IF(HLOOKUP("Mins",A1:CV300,59,FALSE)=0,0,HLOOKUP("fsXG",A1:CV300,59,FALSE)/HLOOKUP("Mins",A1:CV300,59,FALSE)* 90)</f>
      </c>
      <c r="BV59" s="20746">
        <f>IF(HLOOKUP("Mins",A1:CV300,59,FALSE)=0,0,HLOOKUP("fsXA",A1:CV300,59,FALSE)/HLOOKUP("Mins",A1:CV300,59,FALSE)* 90)</f>
      </c>
      <c r="BW59" s="20747">
        <f>5*HLOOKUP("fsXG/90",A1:CV300,59,FALSE)+3*HLOOKUP("fsXA/90",A1:CV300,59,FALSE)</f>
      </c>
      <c r="BX59" t="n" s="20748">
        <v>0.027829399332404137</v>
      </c>
      <c r="BY59" t="n" s="20749">
        <v>0.032439302653074265</v>
      </c>
      <c r="BZ59" s="20750">
        <f>5*HLOOKUP("uXG/90",A1:CV300,59,FALSE)+3*HLOOKUP("uXA/90",A1:CV300,59,FALSE)</f>
      </c>
    </row>
    <row r="60">
      <c r="A60" t="s" s="20751">
        <v>363</v>
      </c>
      <c r="B60" t="s" s="20752">
        <v>100</v>
      </c>
      <c r="C60" t="n" s="20753">
        <v>6.199999809265137</v>
      </c>
      <c r="D60" t="n" s="20754">
        <v>437.0</v>
      </c>
      <c r="E60" t="n" s="20755">
        <v>5.0</v>
      </c>
      <c r="F60" t="n" s="20756">
        <v>69.0</v>
      </c>
      <c r="G60" t="n" s="20757">
        <v>1.0</v>
      </c>
      <c r="H60" t="n" s="20758">
        <v>5.0</v>
      </c>
      <c r="I60" t="n" s="20759">
        <v>269.0</v>
      </c>
      <c r="J60" s="20760">
        <f>HLOOKUP("BPS",A1:CV300,60,FALSE)-((-6*HLOOKUP("OG",A1:CV300,60,FALSE))+(-6*HLOOKUP("PK Miss",A1:CV300,60,FALSE))+(9*HLOOKUP("FPL As",A1:CV300,60,FALSE))+(0*HLOOKUP("CS",A1:CV300,60,FALSE))+(18*HLOOKUP("Gs",A1:CV300,60,FALSE)))</f>
      </c>
      <c r="K60" t="n" s="20761">
        <v>0.0</v>
      </c>
      <c r="L60" t="n" s="20762">
        <v>4.0</v>
      </c>
      <c r="M60" t="n" s="20763">
        <v>14.0</v>
      </c>
      <c r="N60" t="n" s="20764">
        <v>9.0</v>
      </c>
      <c r="O60" t="n" s="20765">
        <v>5.0</v>
      </c>
      <c r="P60" s="20766">
        <f>IF(HLOOKUP("Shots",A1:CV300,60,FALSE)=0,0,HLOOKUP("SIB",A1:CV300,60,FALSE)/HLOOKUP("Shots",A1:CV300,60,FALSE))</f>
      </c>
      <c r="Q60" t="n" s="20767">
        <v>1.0</v>
      </c>
      <c r="R60" s="20768">
        <f>IF(HLOOKUP("Shots",A1:CV300,60,FALSE)=0,0,HLOOKUP("S6YD",A1:CV300,60,FALSE)/HLOOKUP("Shots",A1:CV300,60,FALSE))</f>
      </c>
      <c r="S60" t="n" s="20769">
        <v>0.0</v>
      </c>
      <c r="T60" s="20770">
        <f>IF(HLOOKUP("Shots",A1:CV300,60,FALSE)=0,0,HLOOKUP("Headers",A1:CV300,60,FALSE)/HLOOKUP("Shots",A1:CV300,60,FALSE))</f>
      </c>
      <c r="U60" t="n" s="20771">
        <v>3.0</v>
      </c>
      <c r="V60" s="20772">
        <f>IF(HLOOKUP("Shots",A1:CV300,60,FALSE)=0,0,HLOOKUP("SOT",A1:CV300,60,FALSE)/HLOOKUP("Shots",A1:CV300,60,FALSE))</f>
      </c>
      <c r="W60" s="20773">
        <f>IF(HLOOKUP("Shots",A1:CV300,60,FALSE)=0,0,HLOOKUP("Gs",A1:CV300,60,FALSE)/HLOOKUP("Shots",A1:CV300,60,FALSE))</f>
      </c>
      <c r="X60" t="n" s="20774">
        <v>1.0</v>
      </c>
      <c r="Y60" t="n" s="20775">
        <v>1.0</v>
      </c>
      <c r="Z60" t="n" s="20776">
        <v>11.0</v>
      </c>
      <c r="AA60" s="20777">
        <f>IF(HLOOKUP("KP",A1:CV300,60,FALSE)=0,0,HLOOKUP("As",A1:CV300,60,FALSE)/HLOOKUP("KP",A1:CV300,60,FALSE))</f>
      </c>
      <c r="AB60" s="20778"/>
      <c r="AC60" t="n" s="20779">
        <v>29.0</v>
      </c>
      <c r="AD60" t="n" s="20780">
        <v>2.0</v>
      </c>
      <c r="AE60" t="n" s="20781">
        <v>0.0</v>
      </c>
      <c r="AF60" t="n" s="20782">
        <v>0.0</v>
      </c>
      <c r="AG60" s="20783">
        <f>IF(HLOOKUP("BC",A1:CV300,60,FALSE)=0,0,HLOOKUP("Gs - BC",A1:CV300,60,FALSE)/HLOOKUP("BC",A1:CV300,60,FALSE))</f>
      </c>
      <c r="AH60" s="20784">
        <f>HLOOKUP("BC",A1:CV300,60,FALSE) - HLOOKUP("BC Miss",A1:CV300,60,FALSE)</f>
      </c>
      <c r="AI60" s="20785">
        <f>IF(HLOOKUP("Gs",A1:CV300,60,FALSE)=0,0,HLOOKUP("Gs - BC",A1:CV300,60,FALSE)/HLOOKUP("Gs",A1:CV300,60,FALSE))</f>
      </c>
      <c r="AJ60" t="n" s="20786">
        <v>0.0</v>
      </c>
      <c r="AK60" t="n" s="20787">
        <v>0.0</v>
      </c>
      <c r="AL60" s="20788">
        <f>HLOOKUP("BC",A1:CV300,60,FALSE) - (HLOOKUP("PK Gs",A1:CV300,60,FALSE) + HLOOKUP("PK Miss",A1:CV300,60,FALSE))</f>
      </c>
      <c r="AM60" s="20789">
        <f>HLOOKUP("BC Miss",A1:CV300,60,FALSE) - HLOOKUP("PK Miss",A1:CV300,60,FALSE)</f>
      </c>
      <c r="AN60" s="20790">
        <f>IF(HLOOKUP("BC - Open",A1:CV300,60,FALSE)=0,0,HLOOKUP("BC - Open Miss",A1:CV300,60,FALSE)/HLOOKUP("BC - Open",A1:CV300,60,FALSE))</f>
      </c>
      <c r="AO60" t="n" s="20791">
        <v>0.0</v>
      </c>
      <c r="AP60" s="20792">
        <f>IF(HLOOKUP("Gs",A1:CV300,60,FALSE)=0,0,HLOOKUP("GIB",A1:CV300,60,FALSE)/HLOOKUP("Gs",A1:CV300,60,FALSE))</f>
      </c>
      <c r="AQ60" t="n" s="20793">
        <v>1.0</v>
      </c>
      <c r="AR60" s="20794">
        <f>IF(HLOOKUP("Gs",A1:CV300,60,FALSE)=0,0,HLOOKUP("Gs - Open",A1:CV300,60,FALSE)/HLOOKUP("Gs",A1:CV300,60,FALSE))</f>
      </c>
      <c r="AS60" t="n" s="20795">
        <v>0.51</v>
      </c>
      <c r="AT60" t="n" s="20796">
        <v>0.68</v>
      </c>
      <c r="AU60" s="20797">
        <f>IF(HLOOKUP("Mins",A1:CV300,60,FALSE)=0,0,HLOOKUP("Pts",A1:CV300,60,FALSE)/HLOOKUP("Mins",A1:CV300,60,FALSE)* 90)</f>
      </c>
      <c r="AV60" s="20798">
        <f>IF(HLOOKUP("Apps",A1:CV300,60,FALSE)=0,0,HLOOKUP("Pts",A1:CV300,60,FALSE)/HLOOKUP("Apps",A1:CV300,60,FALSE)* 1)</f>
      </c>
      <c r="AW60" s="20799">
        <f>IF(HLOOKUP("Mins",A1:CV300,60,FALSE)=0,0,HLOOKUP("Gs",A1:CV300,60,FALSE)/HLOOKUP("Mins",A1:CV300,60,FALSE)* 90)</f>
      </c>
      <c r="AX60" s="20800">
        <f>IF(HLOOKUP("Mins",A1:CV300,60,FALSE)=0,0,HLOOKUP("Bonus",A1:CV300,60,FALSE)/HLOOKUP("Mins",A1:CV300,60,FALSE)* 90)</f>
      </c>
      <c r="AY60" s="20801">
        <f>IF(HLOOKUP("Mins",A1:CV300,60,FALSE)=0,0,HLOOKUP("BPS",A1:CV300,60,FALSE)/HLOOKUP("Mins",A1:CV300,60,FALSE)* 90)</f>
      </c>
      <c r="AZ60" s="20802">
        <f>IF(HLOOKUP("Mins",A1:CV300,60,FALSE)=0,0,HLOOKUP("Base BPS",A1:CV300,60,FALSE)/HLOOKUP("Mins",A1:CV300,60,FALSE)* 90)</f>
      </c>
      <c r="BA60" s="20803">
        <f>IF(HLOOKUP("Mins",A1:CV300,60,FALSE)=0,0,HLOOKUP("PenTchs",A1:CV300,60,FALSE)/HLOOKUP("Mins",A1:CV300,60,FALSE)* 90)</f>
      </c>
      <c r="BB60" s="20804">
        <f>IF(HLOOKUP("Mins",A1:CV300,60,FALSE)=0,0,HLOOKUP("Shots",A1:CV300,60,FALSE)/HLOOKUP("Mins",A1:CV300,60,FALSE)* 90)</f>
      </c>
      <c r="BC60" s="20805">
        <f>IF(HLOOKUP("Mins",A1:CV300,60,FALSE)=0,0,HLOOKUP("SIB",A1:CV300,60,FALSE)/HLOOKUP("Mins",A1:CV300,60,FALSE)* 90)</f>
      </c>
      <c r="BD60" s="20806">
        <f>IF(HLOOKUP("Mins",A1:CV300,60,FALSE)=0,0,HLOOKUP("S6YD",A1:CV300,60,FALSE)/HLOOKUP("Mins",A1:CV300,60,FALSE)* 90)</f>
      </c>
      <c r="BE60" s="20807">
        <f>IF(HLOOKUP("Mins",A1:CV300,60,FALSE)=0,0,HLOOKUP("Headers",A1:CV300,60,FALSE)/HLOOKUP("Mins",A1:CV300,60,FALSE)* 90)</f>
      </c>
      <c r="BF60" s="20808">
        <f>IF(HLOOKUP("Mins",A1:CV300,60,FALSE)=0,0,HLOOKUP("SOT",A1:CV300,60,FALSE)/HLOOKUP("Mins",A1:CV300,60,FALSE)* 90)</f>
      </c>
      <c r="BG60" s="20809">
        <f>IF(HLOOKUP("Mins",A1:CV300,60,FALSE)=0,0,HLOOKUP("As",A1:CV300,60,FALSE)/HLOOKUP("Mins",A1:CV300,60,FALSE)* 90)</f>
      </c>
      <c r="BH60" s="20810">
        <f>IF(HLOOKUP("Mins",A1:CV300,60,FALSE)=0,0,HLOOKUP("FPL As",A1:CV300,60,FALSE)/HLOOKUP("Mins",A1:CV300,60,FALSE)* 90)</f>
      </c>
      <c r="BI60" s="20811">
        <f>IF(HLOOKUP("Mins",A1:CV300,60,FALSE)=0,0,HLOOKUP("BC Created",A1:CV300,60,FALSE)/HLOOKUP("Mins",A1:CV300,60,FALSE)* 90)</f>
      </c>
      <c r="BJ60" s="20812">
        <f>IF(HLOOKUP("Mins",A1:CV300,60,FALSE)=0,0,HLOOKUP("KP",A1:CV300,60,FALSE)/HLOOKUP("Mins",A1:CV300,60,FALSE)* 90)</f>
      </c>
      <c r="BK60" s="20813">
        <f>IF(HLOOKUP("Mins",A1:CV300,60,FALSE)=0,0,HLOOKUP("BC",A1:CV300,60,FALSE)/HLOOKUP("Mins",A1:CV300,60,FALSE)* 90)</f>
      </c>
      <c r="BL60" s="20814">
        <f>IF(HLOOKUP("Mins",A1:CV300,60,FALSE)=0,0,HLOOKUP("BC Miss",A1:CV300,60,FALSE)/HLOOKUP("Mins",A1:CV300,60,FALSE)* 90)</f>
      </c>
      <c r="BM60" s="20815">
        <f>IF(HLOOKUP("Mins",A1:CV300,60,FALSE)=0,0,HLOOKUP("Gs - BC",A1:CV300,60,FALSE)/HLOOKUP("Mins",A1:CV300,60,FALSE)* 90)</f>
      </c>
      <c r="BN60" s="20816">
        <f>IF(HLOOKUP("Mins",A1:CV300,60,FALSE)=0,0,HLOOKUP("GIB",A1:CV300,60,FALSE)/HLOOKUP("Mins",A1:CV300,60,FALSE)* 90)</f>
      </c>
      <c r="BO60" s="20817">
        <f>IF(HLOOKUP("Mins",A1:CV300,60,FALSE)=0,0,HLOOKUP("Gs - Open",A1:CV300,60,FALSE)/HLOOKUP("Mins",A1:CV300,60,FALSE)* 90)</f>
      </c>
      <c r="BP60" s="20818">
        <f>IF(HLOOKUP("Mins",A1:CV300,60,FALSE)=0,0,HLOOKUP("ICT Index",A1:CV300,60,FALSE)/HLOOKUP("Mins",A1:CV300,60,FALSE)* 90)</f>
      </c>
      <c r="BQ60" s="20819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</c>
      <c r="BR60" s="20820">
        <f>0.0885*HLOOKUP("KP/90",A1:CV300,60,FALSE)</f>
      </c>
      <c r="BS60" s="20821">
        <f>5*HLOOKUP("xG/90",A1:CV300,60,FALSE)+3*HLOOKUP("xA/90",A1:CV300,60,FALSE)</f>
      </c>
      <c r="BT60" s="20822">
        <f>HLOOKUP("xPts/90",A1:CV300,60,FALSE)-(5*0.75*(HLOOKUP("PK Gs",A1:CV300,60,FALSE)+HLOOKUP("PK Miss",A1:CV300,60,FALSE))*90/HLOOKUP("Mins",A1:CV300,60,FALSE))</f>
      </c>
      <c r="BU60" s="20823">
        <f>IF(HLOOKUP("Mins",A1:CV300,60,FALSE)=0,0,HLOOKUP("fsXG",A1:CV300,60,FALSE)/HLOOKUP("Mins",A1:CV300,60,FALSE)* 90)</f>
      </c>
      <c r="BV60" s="20824">
        <f>IF(HLOOKUP("Mins",A1:CV300,60,FALSE)=0,0,HLOOKUP("fsXA",A1:CV300,60,FALSE)/HLOOKUP("Mins",A1:CV300,60,FALSE)* 90)</f>
      </c>
      <c r="BW60" s="20825">
        <f>5*HLOOKUP("fsXG/90",A1:CV300,60,FALSE)+3*HLOOKUP("fsXA/90",A1:CV300,60,FALSE)</f>
      </c>
      <c r="BX60" t="n" s="20826">
        <v>0.11561699956655502</v>
      </c>
      <c r="BY60" t="n" s="20827">
        <v>0.18474628031253815</v>
      </c>
      <c r="BZ60" s="20828">
        <f>5*HLOOKUP("uXG/90",A1:CV300,60,FALSE)+3*HLOOKUP("uXA/90",A1:CV300,60,FALSE)</f>
      </c>
    </row>
    <row r="61">
      <c r="A61" t="s" s="20829">
        <v>364</v>
      </c>
      <c r="B61" t="s" s="20830">
        <v>100</v>
      </c>
      <c r="C61" t="n" s="20831">
        <v>5.199999809265137</v>
      </c>
      <c r="D61" t="n" s="20832">
        <v>222.0</v>
      </c>
      <c r="E61" t="n" s="20833">
        <v>5.0</v>
      </c>
      <c r="F61" t="n" s="20834">
        <v>36.0</v>
      </c>
      <c r="G61" t="n" s="20835">
        <v>0.0</v>
      </c>
      <c r="H61" t="n" s="20836">
        <v>3.0</v>
      </c>
      <c r="I61" t="n" s="20837">
        <v>135.0</v>
      </c>
      <c r="J61" s="20838">
        <f>HLOOKUP("BPS",A1:CV300,61,FALSE)-((-6*HLOOKUP("OG",A1:CV300,61,FALSE))+(-6*HLOOKUP("PK Miss",A1:CV300,61,FALSE))+(9*HLOOKUP("FPL As",A1:CV300,61,FALSE))+(0*HLOOKUP("CS",A1:CV300,61,FALSE))+(18*HLOOKUP("Gs",A1:CV300,61,FALSE)))</f>
      </c>
      <c r="K61" t="n" s="20839">
        <v>0.0</v>
      </c>
      <c r="L61" t="n" s="20840">
        <v>1.0</v>
      </c>
      <c r="M61" t="n" s="20841">
        <v>14.0</v>
      </c>
      <c r="N61" t="n" s="20842">
        <v>5.0</v>
      </c>
      <c r="O61" t="n" s="20843">
        <v>3.0</v>
      </c>
      <c r="P61" s="20844">
        <f>IF(HLOOKUP("Shots",A1:CV300,61,FALSE)=0,0,HLOOKUP("SIB",A1:CV300,61,FALSE)/HLOOKUP("Shots",A1:CV300,61,FALSE))</f>
      </c>
      <c r="Q61" t="n" s="20845">
        <v>0.0</v>
      </c>
      <c r="R61" s="20846">
        <f>IF(HLOOKUP("Shots",A1:CV300,61,FALSE)=0,0,HLOOKUP("S6YD",A1:CV300,61,FALSE)/HLOOKUP("Shots",A1:CV300,61,FALSE))</f>
      </c>
      <c r="S61" t="n" s="20847">
        <v>3.0</v>
      </c>
      <c r="T61" s="20848">
        <f>IF(HLOOKUP("Shots",A1:CV300,61,FALSE)=0,0,HLOOKUP("Headers",A1:CV300,61,FALSE)/HLOOKUP("Shots",A1:CV300,61,FALSE))</f>
      </c>
      <c r="U61" t="n" s="20849">
        <v>2.0</v>
      </c>
      <c r="V61" s="20850">
        <f>IF(HLOOKUP("Shots",A1:CV300,61,FALSE)=0,0,HLOOKUP("SOT",A1:CV300,61,FALSE)/HLOOKUP("Shots",A1:CV300,61,FALSE))</f>
      </c>
      <c r="W61" s="20851">
        <f>IF(HLOOKUP("Shots",A1:CV300,61,FALSE)=0,0,HLOOKUP("Gs",A1:CV300,61,FALSE)/HLOOKUP("Shots",A1:CV300,61,FALSE))</f>
      </c>
      <c r="X61" t="n" s="20852">
        <v>0.0</v>
      </c>
      <c r="Y61" t="n" s="20853">
        <v>1.0</v>
      </c>
      <c r="Z61" t="n" s="20854">
        <v>1.0</v>
      </c>
      <c r="AA61" s="20855">
        <f>IF(HLOOKUP("KP",A1:CV300,61,FALSE)=0,0,HLOOKUP("As",A1:CV300,61,FALSE)/HLOOKUP("KP",A1:CV300,61,FALSE))</f>
      </c>
      <c r="AB61" s="20856"/>
      <c r="AC61" t="n" s="20857">
        <v>0.0</v>
      </c>
      <c r="AD61" t="n" s="20858">
        <v>0.0</v>
      </c>
      <c r="AE61" t="n" s="20859">
        <v>0.0</v>
      </c>
      <c r="AF61" t="n" s="20860">
        <v>0.0</v>
      </c>
      <c r="AG61" s="20861">
        <f>IF(HLOOKUP("BC",A1:CV300,61,FALSE)=0,0,HLOOKUP("Gs - BC",A1:CV300,61,FALSE)/HLOOKUP("BC",A1:CV300,61,FALSE))</f>
      </c>
      <c r="AH61" s="20862">
        <f>HLOOKUP("BC",A1:CV300,61,FALSE) - HLOOKUP("BC Miss",A1:CV300,61,FALSE)</f>
      </c>
      <c r="AI61" s="20863">
        <f>IF(HLOOKUP("Gs",A1:CV300,61,FALSE)=0,0,HLOOKUP("Gs - BC",A1:CV300,61,FALSE)/HLOOKUP("Gs",A1:CV300,61,FALSE))</f>
      </c>
      <c r="AJ61" t="n" s="20864">
        <v>0.0</v>
      </c>
      <c r="AK61" t="n" s="20865">
        <v>0.0</v>
      </c>
      <c r="AL61" s="20866">
        <f>HLOOKUP("BC",A1:CV300,61,FALSE) - (HLOOKUP("PK Gs",A1:CV300,61,FALSE) + HLOOKUP("PK Miss",A1:CV300,61,FALSE))</f>
      </c>
      <c r="AM61" s="20867">
        <f>HLOOKUP("BC Miss",A1:CV300,61,FALSE) - HLOOKUP("PK Miss",A1:CV300,61,FALSE)</f>
      </c>
      <c r="AN61" s="20868">
        <f>IF(HLOOKUP("BC - Open",A1:CV300,61,FALSE)=0,0,HLOOKUP("BC - Open Miss",A1:CV300,61,FALSE)/HLOOKUP("BC - Open",A1:CV300,61,FALSE))</f>
      </c>
      <c r="AO61" t="n" s="20869">
        <v>0.0</v>
      </c>
      <c r="AP61" s="20870">
        <f>IF(HLOOKUP("Gs",A1:CV300,61,FALSE)=0,0,HLOOKUP("GIB",A1:CV300,61,FALSE)/HLOOKUP("Gs",A1:CV300,61,FALSE))</f>
      </c>
      <c r="AQ61" t="n" s="20871">
        <v>0.0</v>
      </c>
      <c r="AR61" s="20872">
        <f>IF(HLOOKUP("Gs",A1:CV300,61,FALSE)=0,0,HLOOKUP("Gs - Open",A1:CV300,61,FALSE)/HLOOKUP("Gs",A1:CV300,61,FALSE))</f>
      </c>
      <c r="AS61" t="n" s="20873">
        <v>0.2</v>
      </c>
      <c r="AT61" t="n" s="20874">
        <v>0.24</v>
      </c>
      <c r="AU61" s="20875">
        <f>IF(HLOOKUP("Mins",A1:CV300,61,FALSE)=0,0,HLOOKUP("Pts",A1:CV300,61,FALSE)/HLOOKUP("Mins",A1:CV300,61,FALSE)* 90)</f>
      </c>
      <c r="AV61" s="20876">
        <f>IF(HLOOKUP("Apps",A1:CV300,61,FALSE)=0,0,HLOOKUP("Pts",A1:CV300,61,FALSE)/HLOOKUP("Apps",A1:CV300,61,FALSE)* 1)</f>
      </c>
      <c r="AW61" s="20877">
        <f>IF(HLOOKUP("Mins",A1:CV300,61,FALSE)=0,0,HLOOKUP("Gs",A1:CV300,61,FALSE)/HLOOKUP("Mins",A1:CV300,61,FALSE)* 90)</f>
      </c>
      <c r="AX61" s="20878">
        <f>IF(HLOOKUP("Mins",A1:CV300,61,FALSE)=0,0,HLOOKUP("Bonus",A1:CV300,61,FALSE)/HLOOKUP("Mins",A1:CV300,61,FALSE)* 90)</f>
      </c>
      <c r="AY61" s="20879">
        <f>IF(HLOOKUP("Mins",A1:CV300,61,FALSE)=0,0,HLOOKUP("BPS",A1:CV300,61,FALSE)/HLOOKUP("Mins",A1:CV300,61,FALSE)* 90)</f>
      </c>
      <c r="AZ61" s="20880">
        <f>IF(HLOOKUP("Mins",A1:CV300,61,FALSE)=0,0,HLOOKUP("Base BPS",A1:CV300,61,FALSE)/HLOOKUP("Mins",A1:CV300,61,FALSE)* 90)</f>
      </c>
      <c r="BA61" s="20881">
        <f>IF(HLOOKUP("Mins",A1:CV300,61,FALSE)=0,0,HLOOKUP("PenTchs",A1:CV300,61,FALSE)/HLOOKUP("Mins",A1:CV300,61,FALSE)* 90)</f>
      </c>
      <c r="BB61" s="20882">
        <f>IF(HLOOKUP("Mins",A1:CV300,61,FALSE)=0,0,HLOOKUP("Shots",A1:CV300,61,FALSE)/HLOOKUP("Mins",A1:CV300,61,FALSE)* 90)</f>
      </c>
      <c r="BC61" s="20883">
        <f>IF(HLOOKUP("Mins",A1:CV300,61,FALSE)=0,0,HLOOKUP("SIB",A1:CV300,61,FALSE)/HLOOKUP("Mins",A1:CV300,61,FALSE)* 90)</f>
      </c>
      <c r="BD61" s="20884">
        <f>IF(HLOOKUP("Mins",A1:CV300,61,FALSE)=0,0,HLOOKUP("S6YD",A1:CV300,61,FALSE)/HLOOKUP("Mins",A1:CV300,61,FALSE)* 90)</f>
      </c>
      <c r="BE61" s="20885">
        <f>IF(HLOOKUP("Mins",A1:CV300,61,FALSE)=0,0,HLOOKUP("Headers",A1:CV300,61,FALSE)/HLOOKUP("Mins",A1:CV300,61,FALSE)* 90)</f>
      </c>
      <c r="BF61" s="20886">
        <f>IF(HLOOKUP("Mins",A1:CV300,61,FALSE)=0,0,HLOOKUP("SOT",A1:CV300,61,FALSE)/HLOOKUP("Mins",A1:CV300,61,FALSE)* 90)</f>
      </c>
      <c r="BG61" s="20887">
        <f>IF(HLOOKUP("Mins",A1:CV300,61,FALSE)=0,0,HLOOKUP("As",A1:CV300,61,FALSE)/HLOOKUP("Mins",A1:CV300,61,FALSE)* 90)</f>
      </c>
      <c r="BH61" s="20888">
        <f>IF(HLOOKUP("Mins",A1:CV300,61,FALSE)=0,0,HLOOKUP("FPL As",A1:CV300,61,FALSE)/HLOOKUP("Mins",A1:CV300,61,FALSE)* 90)</f>
      </c>
      <c r="BI61" s="20889">
        <f>IF(HLOOKUP("Mins",A1:CV300,61,FALSE)=0,0,HLOOKUP("BC Created",A1:CV300,61,FALSE)/HLOOKUP("Mins",A1:CV300,61,FALSE)* 90)</f>
      </c>
      <c r="BJ61" s="20890">
        <f>IF(HLOOKUP("Mins",A1:CV300,61,FALSE)=0,0,HLOOKUP("KP",A1:CV300,61,FALSE)/HLOOKUP("Mins",A1:CV300,61,FALSE)* 90)</f>
      </c>
      <c r="BK61" s="20891">
        <f>IF(HLOOKUP("Mins",A1:CV300,61,FALSE)=0,0,HLOOKUP("BC",A1:CV300,61,FALSE)/HLOOKUP("Mins",A1:CV300,61,FALSE)* 90)</f>
      </c>
      <c r="BL61" s="20892">
        <f>IF(HLOOKUP("Mins",A1:CV300,61,FALSE)=0,0,HLOOKUP("BC Miss",A1:CV300,61,FALSE)/HLOOKUP("Mins",A1:CV300,61,FALSE)* 90)</f>
      </c>
      <c r="BM61" s="20893">
        <f>IF(HLOOKUP("Mins",A1:CV300,61,FALSE)=0,0,HLOOKUP("Gs - BC",A1:CV300,61,FALSE)/HLOOKUP("Mins",A1:CV300,61,FALSE)* 90)</f>
      </c>
      <c r="BN61" s="20894">
        <f>IF(HLOOKUP("Mins",A1:CV300,61,FALSE)=0,0,HLOOKUP("GIB",A1:CV300,61,FALSE)/HLOOKUP("Mins",A1:CV300,61,FALSE)* 90)</f>
      </c>
      <c r="BO61" s="20895">
        <f>IF(HLOOKUP("Mins",A1:CV300,61,FALSE)=0,0,HLOOKUP("Gs - Open",A1:CV300,61,FALSE)/HLOOKUP("Mins",A1:CV300,61,FALSE)* 90)</f>
      </c>
      <c r="BP61" s="20896">
        <f>IF(HLOOKUP("Mins",A1:CV300,61,FALSE)=0,0,HLOOKUP("ICT Index",A1:CV300,61,FALSE)/HLOOKUP("Mins",A1:CV300,61,FALSE)* 90)</f>
      </c>
      <c r="BQ61" s="20897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</c>
      <c r="BR61" s="20898">
        <f>0.0885*HLOOKUP("KP/90",A1:CV300,61,FALSE)</f>
      </c>
      <c r="BS61" s="20899">
        <f>5*HLOOKUP("xG/90",A1:CV300,61,FALSE)+3*HLOOKUP("xA/90",A1:CV300,61,FALSE)</f>
      </c>
      <c r="BT61" s="20900">
        <f>HLOOKUP("xPts/90",A1:CV300,61,FALSE)-(5*0.75*(HLOOKUP("PK Gs",A1:CV300,61,FALSE)+HLOOKUP("PK Miss",A1:CV300,61,FALSE))*90/HLOOKUP("Mins",A1:CV300,61,FALSE))</f>
      </c>
      <c r="BU61" s="20901">
        <f>IF(HLOOKUP("Mins",A1:CV300,61,FALSE)=0,0,HLOOKUP("fsXG",A1:CV300,61,FALSE)/HLOOKUP("Mins",A1:CV300,61,FALSE)* 90)</f>
      </c>
      <c r="BV61" s="20902">
        <f>IF(HLOOKUP("Mins",A1:CV300,61,FALSE)=0,0,HLOOKUP("fsXA",A1:CV300,61,FALSE)/HLOOKUP("Mins",A1:CV300,61,FALSE)* 90)</f>
      </c>
      <c r="BW61" s="20903">
        <f>5*HLOOKUP("fsXG/90",A1:CV300,61,FALSE)+3*HLOOKUP("fsXA/90",A1:CV300,61,FALSE)</f>
      </c>
      <c r="BX61" t="n" s="20904">
        <v>0.07240407913923264</v>
      </c>
      <c r="BY61" t="n" s="20905">
        <v>0.03219250217080116</v>
      </c>
      <c r="BZ61" s="20906">
        <f>5*HLOOKUP("uXG/90",A1:CV300,61,FALSE)+3*HLOOKUP("uXA/90",A1:CV300,61,FALSE)</f>
      </c>
    </row>
    <row r="62">
      <c r="A62" t="s" s="20907">
        <v>365</v>
      </c>
      <c r="B62" t="s" s="20908">
        <v>100</v>
      </c>
      <c r="C62" t="n" s="20909">
        <v>4.800000190734863</v>
      </c>
      <c r="D62" t="n" s="20910">
        <v>540.0</v>
      </c>
      <c r="E62" t="n" s="20911">
        <v>6.0</v>
      </c>
      <c r="F62" t="n" s="20912">
        <v>59.0</v>
      </c>
      <c r="G62" t="n" s="20913">
        <v>0.0</v>
      </c>
      <c r="H62" t="n" s="20914">
        <v>1.0</v>
      </c>
      <c r="I62" t="n" s="20915">
        <v>319.0</v>
      </c>
      <c r="J62" s="20916">
        <f>HLOOKUP("BPS",A1:CV300,62,FALSE)-((-6*HLOOKUP("OG",A1:CV300,62,FALSE))+(-6*HLOOKUP("PK Miss",A1:CV300,62,FALSE))+(9*HLOOKUP("FPL As",A1:CV300,62,FALSE))+(0*HLOOKUP("CS",A1:CV300,62,FALSE))+(18*HLOOKUP("Gs",A1:CV300,62,FALSE)))</f>
      </c>
      <c r="K62" t="n" s="20917">
        <v>0.0</v>
      </c>
      <c r="L62" t="n" s="20918">
        <v>5.0</v>
      </c>
      <c r="M62" t="n" s="20919">
        <v>9.0</v>
      </c>
      <c r="N62" t="n" s="20920">
        <v>8.0</v>
      </c>
      <c r="O62" t="n" s="20921">
        <v>3.0</v>
      </c>
      <c r="P62" s="20922">
        <f>IF(HLOOKUP("Shots",A1:CV300,62,FALSE)=0,0,HLOOKUP("SIB",A1:CV300,62,FALSE)/HLOOKUP("Shots",A1:CV300,62,FALSE))</f>
      </c>
      <c r="Q62" t="n" s="20923">
        <v>0.0</v>
      </c>
      <c r="R62" s="20924">
        <f>IF(HLOOKUP("Shots",A1:CV300,62,FALSE)=0,0,HLOOKUP("S6YD",A1:CV300,62,FALSE)/HLOOKUP("Shots",A1:CV300,62,FALSE))</f>
      </c>
      <c r="S62" t="n" s="20925">
        <v>0.0</v>
      </c>
      <c r="T62" s="20926">
        <f>IF(HLOOKUP("Shots",A1:CV300,62,FALSE)=0,0,HLOOKUP("Headers",A1:CV300,62,FALSE)/HLOOKUP("Shots",A1:CV300,62,FALSE))</f>
      </c>
      <c r="U62" t="n" s="20927">
        <v>3.0</v>
      </c>
      <c r="V62" s="20928">
        <f>IF(HLOOKUP("Shots",A1:CV300,62,FALSE)=0,0,HLOOKUP("SOT",A1:CV300,62,FALSE)/HLOOKUP("Shots",A1:CV300,62,FALSE))</f>
      </c>
      <c r="W62" s="20929">
        <f>IF(HLOOKUP("Shots",A1:CV300,62,FALSE)=0,0,HLOOKUP("Gs",A1:CV300,62,FALSE)/HLOOKUP("Shots",A1:CV300,62,FALSE))</f>
      </c>
      <c r="X62" t="n" s="20930">
        <v>0.0</v>
      </c>
      <c r="Y62" t="n" s="20931">
        <v>3.0</v>
      </c>
      <c r="Z62" t="n" s="20932">
        <v>2.0</v>
      </c>
      <c r="AA62" s="20933">
        <f>IF(HLOOKUP("KP",A1:CV300,62,FALSE)=0,0,HLOOKUP("As",A1:CV300,62,FALSE)/HLOOKUP("KP",A1:CV300,62,FALSE))</f>
      </c>
      <c r="AB62" s="20934"/>
      <c r="AC62" t="n" s="20935">
        <v>0.0</v>
      </c>
      <c r="AD62" t="n" s="20936">
        <v>0.0</v>
      </c>
      <c r="AE62" t="n" s="20937">
        <v>1.0</v>
      </c>
      <c r="AF62" t="n" s="20938">
        <v>1.0</v>
      </c>
      <c r="AG62" s="20939">
        <f>IF(HLOOKUP("BC",A1:CV300,62,FALSE)=0,0,HLOOKUP("Gs - BC",A1:CV300,62,FALSE)/HLOOKUP("BC",A1:CV300,62,FALSE))</f>
      </c>
      <c r="AH62" s="20940">
        <f>HLOOKUP("BC",A1:CV300,62,FALSE) - HLOOKUP("BC Miss",A1:CV300,62,FALSE)</f>
      </c>
      <c r="AI62" s="20941">
        <f>IF(HLOOKUP("Gs",A1:CV300,62,FALSE)=0,0,HLOOKUP("Gs - BC",A1:CV300,62,FALSE)/HLOOKUP("Gs",A1:CV300,62,FALSE))</f>
      </c>
      <c r="AJ62" t="n" s="20942">
        <v>0.0</v>
      </c>
      <c r="AK62" t="n" s="20943">
        <v>0.0</v>
      </c>
      <c r="AL62" s="20944">
        <f>HLOOKUP("BC",A1:CV300,62,FALSE) - (HLOOKUP("PK Gs",A1:CV300,62,FALSE) + HLOOKUP("PK Miss",A1:CV300,62,FALSE))</f>
      </c>
      <c r="AM62" s="20945">
        <f>HLOOKUP("BC Miss",A1:CV300,62,FALSE) - HLOOKUP("PK Miss",A1:CV300,62,FALSE)</f>
      </c>
      <c r="AN62" s="20946">
        <f>IF(HLOOKUP("BC - Open",A1:CV300,62,FALSE)=0,0,HLOOKUP("BC - Open Miss",A1:CV300,62,FALSE)/HLOOKUP("BC - Open",A1:CV300,62,FALSE))</f>
      </c>
      <c r="AO62" t="n" s="20947">
        <v>0.0</v>
      </c>
      <c r="AP62" s="20948">
        <f>IF(HLOOKUP("Gs",A1:CV300,62,FALSE)=0,0,HLOOKUP("GIB",A1:CV300,62,FALSE)/HLOOKUP("Gs",A1:CV300,62,FALSE))</f>
      </c>
      <c r="AQ62" t="n" s="20949">
        <v>0.0</v>
      </c>
      <c r="AR62" s="20950">
        <f>IF(HLOOKUP("Gs",A1:CV300,62,FALSE)=0,0,HLOOKUP("Gs - Open",A1:CV300,62,FALSE)/HLOOKUP("Gs",A1:CV300,62,FALSE))</f>
      </c>
      <c r="AS62" t="n" s="20951">
        <v>0.41</v>
      </c>
      <c r="AT62" t="n" s="20952">
        <v>0.29</v>
      </c>
      <c r="AU62" s="20953">
        <f>IF(HLOOKUP("Mins",A1:CV300,62,FALSE)=0,0,HLOOKUP("Pts",A1:CV300,62,FALSE)/HLOOKUP("Mins",A1:CV300,62,FALSE)* 90)</f>
      </c>
      <c r="AV62" s="20954">
        <f>IF(HLOOKUP("Apps",A1:CV300,62,FALSE)=0,0,HLOOKUP("Pts",A1:CV300,62,FALSE)/HLOOKUP("Apps",A1:CV300,62,FALSE)* 1)</f>
      </c>
      <c r="AW62" s="20955">
        <f>IF(HLOOKUP("Mins",A1:CV300,62,FALSE)=0,0,HLOOKUP("Gs",A1:CV300,62,FALSE)/HLOOKUP("Mins",A1:CV300,62,FALSE)* 90)</f>
      </c>
      <c r="AX62" s="20956">
        <f>IF(HLOOKUP("Mins",A1:CV300,62,FALSE)=0,0,HLOOKUP("Bonus",A1:CV300,62,FALSE)/HLOOKUP("Mins",A1:CV300,62,FALSE)* 90)</f>
      </c>
      <c r="AY62" s="20957">
        <f>IF(HLOOKUP("Mins",A1:CV300,62,FALSE)=0,0,HLOOKUP("BPS",A1:CV300,62,FALSE)/HLOOKUP("Mins",A1:CV300,62,FALSE)* 90)</f>
      </c>
      <c r="AZ62" s="20958">
        <f>IF(HLOOKUP("Mins",A1:CV300,62,FALSE)=0,0,HLOOKUP("Base BPS",A1:CV300,62,FALSE)/HLOOKUP("Mins",A1:CV300,62,FALSE)* 90)</f>
      </c>
      <c r="BA62" s="20959">
        <f>IF(HLOOKUP("Mins",A1:CV300,62,FALSE)=0,0,HLOOKUP("PenTchs",A1:CV300,62,FALSE)/HLOOKUP("Mins",A1:CV300,62,FALSE)* 90)</f>
      </c>
      <c r="BB62" s="20960">
        <f>IF(HLOOKUP("Mins",A1:CV300,62,FALSE)=0,0,HLOOKUP("Shots",A1:CV300,62,FALSE)/HLOOKUP("Mins",A1:CV300,62,FALSE)* 90)</f>
      </c>
      <c r="BC62" s="20961">
        <f>IF(HLOOKUP("Mins",A1:CV300,62,FALSE)=0,0,HLOOKUP("SIB",A1:CV300,62,FALSE)/HLOOKUP("Mins",A1:CV300,62,FALSE)* 90)</f>
      </c>
      <c r="BD62" s="20962">
        <f>IF(HLOOKUP("Mins",A1:CV300,62,FALSE)=0,0,HLOOKUP("S6YD",A1:CV300,62,FALSE)/HLOOKUP("Mins",A1:CV300,62,FALSE)* 90)</f>
      </c>
      <c r="BE62" s="20963">
        <f>IF(HLOOKUP("Mins",A1:CV300,62,FALSE)=0,0,HLOOKUP("Headers",A1:CV300,62,FALSE)/HLOOKUP("Mins",A1:CV300,62,FALSE)* 90)</f>
      </c>
      <c r="BF62" s="20964">
        <f>IF(HLOOKUP("Mins",A1:CV300,62,FALSE)=0,0,HLOOKUP("SOT",A1:CV300,62,FALSE)/HLOOKUP("Mins",A1:CV300,62,FALSE)* 90)</f>
      </c>
      <c r="BG62" s="20965">
        <f>IF(HLOOKUP("Mins",A1:CV300,62,FALSE)=0,0,HLOOKUP("As",A1:CV300,62,FALSE)/HLOOKUP("Mins",A1:CV300,62,FALSE)* 90)</f>
      </c>
      <c r="BH62" s="20966">
        <f>IF(HLOOKUP("Mins",A1:CV300,62,FALSE)=0,0,HLOOKUP("FPL As",A1:CV300,62,FALSE)/HLOOKUP("Mins",A1:CV300,62,FALSE)* 90)</f>
      </c>
      <c r="BI62" s="20967">
        <f>IF(HLOOKUP("Mins",A1:CV300,62,FALSE)=0,0,HLOOKUP("BC Created",A1:CV300,62,FALSE)/HLOOKUP("Mins",A1:CV300,62,FALSE)* 90)</f>
      </c>
      <c r="BJ62" s="20968">
        <f>IF(HLOOKUP("Mins",A1:CV300,62,FALSE)=0,0,HLOOKUP("KP",A1:CV300,62,FALSE)/HLOOKUP("Mins",A1:CV300,62,FALSE)* 90)</f>
      </c>
      <c r="BK62" s="20969">
        <f>IF(HLOOKUP("Mins",A1:CV300,62,FALSE)=0,0,HLOOKUP("BC",A1:CV300,62,FALSE)/HLOOKUP("Mins",A1:CV300,62,FALSE)* 90)</f>
      </c>
      <c r="BL62" s="20970">
        <f>IF(HLOOKUP("Mins",A1:CV300,62,FALSE)=0,0,HLOOKUP("BC Miss",A1:CV300,62,FALSE)/HLOOKUP("Mins",A1:CV300,62,FALSE)* 90)</f>
      </c>
      <c r="BM62" s="20971">
        <f>IF(HLOOKUP("Mins",A1:CV300,62,FALSE)=0,0,HLOOKUP("Gs - BC",A1:CV300,62,FALSE)/HLOOKUP("Mins",A1:CV300,62,FALSE)* 90)</f>
      </c>
      <c r="BN62" s="20972">
        <f>IF(HLOOKUP("Mins",A1:CV300,62,FALSE)=0,0,HLOOKUP("GIB",A1:CV300,62,FALSE)/HLOOKUP("Mins",A1:CV300,62,FALSE)* 90)</f>
      </c>
      <c r="BO62" s="20973">
        <f>IF(HLOOKUP("Mins",A1:CV300,62,FALSE)=0,0,HLOOKUP("Gs - Open",A1:CV300,62,FALSE)/HLOOKUP("Mins",A1:CV300,62,FALSE)* 90)</f>
      </c>
      <c r="BP62" s="20974">
        <f>IF(HLOOKUP("Mins",A1:CV300,62,FALSE)=0,0,HLOOKUP("ICT Index",A1:CV300,62,FALSE)/HLOOKUP("Mins",A1:CV300,62,FALSE)* 90)</f>
      </c>
      <c r="BQ62" s="20975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</c>
      <c r="BR62" s="20976">
        <f>0.0885*HLOOKUP("KP/90",A1:CV300,62,FALSE)</f>
      </c>
      <c r="BS62" s="20977">
        <f>5*HLOOKUP("xG/90",A1:CV300,62,FALSE)+3*HLOOKUP("xA/90",A1:CV300,62,FALSE)</f>
      </c>
      <c r="BT62" s="20978">
        <f>HLOOKUP("xPts/90",A1:CV300,62,FALSE)-(5*0.75*(HLOOKUP("PK Gs",A1:CV300,62,FALSE)+HLOOKUP("PK Miss",A1:CV300,62,FALSE))*90/HLOOKUP("Mins",A1:CV300,62,FALSE))</f>
      </c>
      <c r="BU62" s="20979">
        <f>IF(HLOOKUP("Mins",A1:CV300,62,FALSE)=0,0,HLOOKUP("fsXG",A1:CV300,62,FALSE)/HLOOKUP("Mins",A1:CV300,62,FALSE)* 90)</f>
      </c>
      <c r="BV62" s="20980">
        <f>IF(HLOOKUP("Mins",A1:CV300,62,FALSE)=0,0,HLOOKUP("fsXA",A1:CV300,62,FALSE)/HLOOKUP("Mins",A1:CV300,62,FALSE)* 90)</f>
      </c>
      <c r="BW62" s="20981">
        <f>5*HLOOKUP("fsXG/90",A1:CV300,62,FALSE)+3*HLOOKUP("fsXA/90",A1:CV300,62,FALSE)</f>
      </c>
      <c r="BX62" t="n" s="20982">
        <v>0.045784078538417816</v>
      </c>
      <c r="BY62" t="n" s="20983">
        <v>0.020468467846512794</v>
      </c>
      <c r="BZ62" s="20984">
        <f>5*HLOOKUP("uXG/90",A1:CV300,62,FALSE)+3*HLOOKUP("uXA/90",A1:CV300,62,FALSE)</f>
      </c>
    </row>
    <row r="63">
      <c r="A63" t="s" s="20985">
        <v>366</v>
      </c>
      <c r="B63" t="s" s="20986">
        <v>149</v>
      </c>
      <c r="C63" t="n" s="20987">
        <v>5.300000190734863</v>
      </c>
      <c r="D63" t="n" s="20988">
        <v>189.0</v>
      </c>
      <c r="E63" t="n" s="20989">
        <v>4.0</v>
      </c>
      <c r="F63" t="n" s="20990">
        <v>52.0</v>
      </c>
      <c r="G63" t="n" s="20991">
        <v>0.0</v>
      </c>
      <c r="H63" t="n" s="20992">
        <v>4.0</v>
      </c>
      <c r="I63" t="n" s="20993">
        <v>350.0</v>
      </c>
      <c r="J63" s="20994">
        <f>HLOOKUP("BPS",A1:CV300,63,FALSE)-((-6*HLOOKUP("OG",A1:CV300,63,FALSE))+(-6*HLOOKUP("PK Miss",A1:CV300,63,FALSE))+(9*HLOOKUP("FPL As",A1:CV300,63,FALSE))+(0*HLOOKUP("CS",A1:CV300,63,FALSE))+(18*HLOOKUP("Gs",A1:CV300,63,FALSE)))</f>
      </c>
      <c r="K63" t="n" s="20995">
        <v>0.0</v>
      </c>
      <c r="L63" t="n" s="20996">
        <v>2.0</v>
      </c>
      <c r="M63" t="n" s="20997">
        <v>6.0</v>
      </c>
      <c r="N63" t="n" s="20998">
        <v>5.0</v>
      </c>
      <c r="O63" t="n" s="20999">
        <v>4.0</v>
      </c>
      <c r="P63" s="21000">
        <f>IF(HLOOKUP("Shots",A1:CV300,63,FALSE)=0,0,HLOOKUP("SIB",A1:CV300,63,FALSE)/HLOOKUP("Shots",A1:CV300,63,FALSE))</f>
      </c>
      <c r="Q63" t="n" s="21001">
        <v>0.0</v>
      </c>
      <c r="R63" s="21002">
        <f>IF(HLOOKUP("Shots",A1:CV300,63,FALSE)=0,0,HLOOKUP("S6YD",A1:CV300,63,FALSE)/HLOOKUP("Shots",A1:CV300,63,FALSE))</f>
      </c>
      <c r="S63" t="n" s="21003">
        <v>1.0</v>
      </c>
      <c r="T63" s="21004">
        <f>IF(HLOOKUP("Shots",A1:CV300,63,FALSE)=0,0,HLOOKUP("Headers",A1:CV300,63,FALSE)/HLOOKUP("Shots",A1:CV300,63,FALSE))</f>
      </c>
      <c r="U63" t="n" s="21005">
        <v>0.0</v>
      </c>
      <c r="V63" s="21006">
        <f>IF(HLOOKUP("Shots",A1:CV300,63,FALSE)=0,0,HLOOKUP("SOT",A1:CV300,63,FALSE)/HLOOKUP("Shots",A1:CV300,63,FALSE))</f>
      </c>
      <c r="W63" s="21007">
        <f>IF(HLOOKUP("Shots",A1:CV300,63,FALSE)=0,0,HLOOKUP("Gs",A1:CV300,63,FALSE)/HLOOKUP("Shots",A1:CV300,63,FALSE))</f>
      </c>
      <c r="X63" t="n" s="21008">
        <v>0.0</v>
      </c>
      <c r="Y63" t="n" s="21009">
        <v>3.0</v>
      </c>
      <c r="Z63" t="n" s="21010">
        <v>4.0</v>
      </c>
      <c r="AA63" s="21011">
        <f>IF(HLOOKUP("KP",A1:CV300,63,FALSE)=0,0,HLOOKUP("As",A1:CV300,63,FALSE)/HLOOKUP("KP",A1:CV300,63,FALSE))</f>
      </c>
      <c r="AB63" s="21012"/>
      <c r="AC63" t="n" s="21013">
        <v>0.0</v>
      </c>
      <c r="AD63" t="n" s="21014">
        <v>0.0</v>
      </c>
      <c r="AE63" t="n" s="21015">
        <v>0.0</v>
      </c>
      <c r="AF63" t="n" s="21016">
        <v>0.0</v>
      </c>
      <c r="AG63" s="21017">
        <f>IF(HLOOKUP("BC",A1:CV300,63,FALSE)=0,0,HLOOKUP("Gs - BC",A1:CV300,63,FALSE)/HLOOKUP("BC",A1:CV300,63,FALSE))</f>
      </c>
      <c r="AH63" s="21018">
        <f>HLOOKUP("BC",A1:CV300,63,FALSE) - HLOOKUP("BC Miss",A1:CV300,63,FALSE)</f>
      </c>
      <c r="AI63" s="21019">
        <f>IF(HLOOKUP("Gs",A1:CV300,63,FALSE)=0,0,HLOOKUP("Gs - BC",A1:CV300,63,FALSE)/HLOOKUP("Gs",A1:CV300,63,FALSE))</f>
      </c>
      <c r="AJ63" t="n" s="21020">
        <v>0.0</v>
      </c>
      <c r="AK63" t="n" s="21021">
        <v>0.0</v>
      </c>
      <c r="AL63" s="21022">
        <f>HLOOKUP("BC",A1:CV300,63,FALSE) - (HLOOKUP("PK Gs",A1:CV300,63,FALSE) + HLOOKUP("PK Miss",A1:CV300,63,FALSE))</f>
      </c>
      <c r="AM63" s="21023">
        <f>HLOOKUP("BC Miss",A1:CV300,63,FALSE) - HLOOKUP("PK Miss",A1:CV300,63,FALSE)</f>
      </c>
      <c r="AN63" s="21024">
        <f>IF(HLOOKUP("BC - Open",A1:CV300,63,FALSE)=0,0,HLOOKUP("BC - Open Miss",A1:CV300,63,FALSE)/HLOOKUP("BC - Open",A1:CV300,63,FALSE))</f>
      </c>
      <c r="AO63" t="n" s="21025">
        <v>0.0</v>
      </c>
      <c r="AP63" s="21026">
        <f>IF(HLOOKUP("Gs",A1:CV300,63,FALSE)=0,0,HLOOKUP("GIB",A1:CV300,63,FALSE)/HLOOKUP("Gs",A1:CV300,63,FALSE))</f>
      </c>
      <c r="AQ63" t="n" s="21027">
        <v>0.0</v>
      </c>
      <c r="AR63" s="21028">
        <f>IF(HLOOKUP("Gs",A1:CV300,63,FALSE)=0,0,HLOOKUP("Gs - Open",A1:CV300,63,FALSE)/HLOOKUP("Gs",A1:CV300,63,FALSE))</f>
      </c>
      <c r="AS63" t="n" s="21029">
        <v>0.31</v>
      </c>
      <c r="AT63" t="n" s="21030">
        <v>0.2</v>
      </c>
      <c r="AU63" s="21031">
        <f>IF(HLOOKUP("Mins",A1:CV300,63,FALSE)=0,0,HLOOKUP("Pts",A1:CV300,63,FALSE)/HLOOKUP("Mins",A1:CV300,63,FALSE)* 90)</f>
      </c>
      <c r="AV63" s="21032">
        <f>IF(HLOOKUP("Apps",A1:CV300,63,FALSE)=0,0,HLOOKUP("Pts",A1:CV300,63,FALSE)/HLOOKUP("Apps",A1:CV300,63,FALSE)* 1)</f>
      </c>
      <c r="AW63" s="21033">
        <f>IF(HLOOKUP("Mins",A1:CV300,63,FALSE)=0,0,HLOOKUP("Gs",A1:CV300,63,FALSE)/HLOOKUP("Mins",A1:CV300,63,FALSE)* 90)</f>
      </c>
      <c r="AX63" s="21034">
        <f>IF(HLOOKUP("Mins",A1:CV300,63,FALSE)=0,0,HLOOKUP("Bonus",A1:CV300,63,FALSE)/HLOOKUP("Mins",A1:CV300,63,FALSE)* 90)</f>
      </c>
      <c r="AY63" s="21035">
        <f>IF(HLOOKUP("Mins",A1:CV300,63,FALSE)=0,0,HLOOKUP("BPS",A1:CV300,63,FALSE)/HLOOKUP("Mins",A1:CV300,63,FALSE)* 90)</f>
      </c>
      <c r="AZ63" s="21036">
        <f>IF(HLOOKUP("Mins",A1:CV300,63,FALSE)=0,0,HLOOKUP("Base BPS",A1:CV300,63,FALSE)/HLOOKUP("Mins",A1:CV300,63,FALSE)* 90)</f>
      </c>
      <c r="BA63" s="21037">
        <f>IF(HLOOKUP("Mins",A1:CV300,63,FALSE)=0,0,HLOOKUP("PenTchs",A1:CV300,63,FALSE)/HLOOKUP("Mins",A1:CV300,63,FALSE)* 90)</f>
      </c>
      <c r="BB63" s="21038">
        <f>IF(HLOOKUP("Mins",A1:CV300,63,FALSE)=0,0,HLOOKUP("Shots",A1:CV300,63,FALSE)/HLOOKUP("Mins",A1:CV300,63,FALSE)* 90)</f>
      </c>
      <c r="BC63" s="21039">
        <f>IF(HLOOKUP("Mins",A1:CV300,63,FALSE)=0,0,HLOOKUP("SIB",A1:CV300,63,FALSE)/HLOOKUP("Mins",A1:CV300,63,FALSE)* 90)</f>
      </c>
      <c r="BD63" s="21040">
        <f>IF(HLOOKUP("Mins",A1:CV300,63,FALSE)=0,0,HLOOKUP("S6YD",A1:CV300,63,FALSE)/HLOOKUP("Mins",A1:CV300,63,FALSE)* 90)</f>
      </c>
      <c r="BE63" s="21041">
        <f>IF(HLOOKUP("Mins",A1:CV300,63,FALSE)=0,0,HLOOKUP("Headers",A1:CV300,63,FALSE)/HLOOKUP("Mins",A1:CV300,63,FALSE)* 90)</f>
      </c>
      <c r="BF63" s="21042">
        <f>IF(HLOOKUP("Mins",A1:CV300,63,FALSE)=0,0,HLOOKUP("SOT",A1:CV300,63,FALSE)/HLOOKUP("Mins",A1:CV300,63,FALSE)* 90)</f>
      </c>
      <c r="BG63" s="21043">
        <f>IF(HLOOKUP("Mins",A1:CV300,63,FALSE)=0,0,HLOOKUP("As",A1:CV300,63,FALSE)/HLOOKUP("Mins",A1:CV300,63,FALSE)* 90)</f>
      </c>
      <c r="BH63" s="21044">
        <f>IF(HLOOKUP("Mins",A1:CV300,63,FALSE)=0,0,HLOOKUP("FPL As",A1:CV300,63,FALSE)/HLOOKUP("Mins",A1:CV300,63,FALSE)* 90)</f>
      </c>
      <c r="BI63" s="21045">
        <f>IF(HLOOKUP("Mins",A1:CV300,63,FALSE)=0,0,HLOOKUP("BC Created",A1:CV300,63,FALSE)/HLOOKUP("Mins",A1:CV300,63,FALSE)* 90)</f>
      </c>
      <c r="BJ63" s="21046">
        <f>IF(HLOOKUP("Mins",A1:CV300,63,FALSE)=0,0,HLOOKUP("KP",A1:CV300,63,FALSE)/HLOOKUP("Mins",A1:CV300,63,FALSE)* 90)</f>
      </c>
      <c r="BK63" s="21047">
        <f>IF(HLOOKUP("Mins",A1:CV300,63,FALSE)=0,0,HLOOKUP("BC",A1:CV300,63,FALSE)/HLOOKUP("Mins",A1:CV300,63,FALSE)* 90)</f>
      </c>
      <c r="BL63" s="21048">
        <f>IF(HLOOKUP("Mins",A1:CV300,63,FALSE)=0,0,HLOOKUP("BC Miss",A1:CV300,63,FALSE)/HLOOKUP("Mins",A1:CV300,63,FALSE)* 90)</f>
      </c>
      <c r="BM63" s="21049">
        <f>IF(HLOOKUP("Mins",A1:CV300,63,FALSE)=0,0,HLOOKUP("Gs - BC",A1:CV300,63,FALSE)/HLOOKUP("Mins",A1:CV300,63,FALSE)* 90)</f>
      </c>
      <c r="BN63" s="21050">
        <f>IF(HLOOKUP("Mins",A1:CV300,63,FALSE)=0,0,HLOOKUP("GIB",A1:CV300,63,FALSE)/HLOOKUP("Mins",A1:CV300,63,FALSE)* 90)</f>
      </c>
      <c r="BO63" s="21051">
        <f>IF(HLOOKUP("Mins",A1:CV300,63,FALSE)=0,0,HLOOKUP("Gs - Open",A1:CV300,63,FALSE)/HLOOKUP("Mins",A1:CV300,63,FALSE)* 90)</f>
      </c>
      <c r="BP63" s="21052">
        <f>IF(HLOOKUP("Mins",A1:CV300,63,FALSE)=0,0,HLOOKUP("ICT Index",A1:CV300,63,FALSE)/HLOOKUP("Mins",A1:CV300,63,FALSE)* 90)</f>
      </c>
      <c r="BQ63" s="21053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</c>
      <c r="BR63" s="21054">
        <f>0.0885*HLOOKUP("KP/90",A1:CV300,63,FALSE)</f>
      </c>
      <c r="BS63" s="21055">
        <f>5*HLOOKUP("xG/90",A1:CV300,63,FALSE)+3*HLOOKUP("xA/90",A1:CV300,63,FALSE)</f>
      </c>
      <c r="BT63" s="21056">
        <f>HLOOKUP("xPts/90",A1:CV300,63,FALSE)-(5*0.75*(HLOOKUP("PK Gs",A1:CV300,63,FALSE)+HLOOKUP("PK Miss",A1:CV300,63,FALSE))*90/HLOOKUP("Mins",A1:CV300,63,FALSE))</f>
      </c>
      <c r="BU63" s="21057">
        <f>IF(HLOOKUP("Mins",A1:CV300,63,FALSE)=0,0,HLOOKUP("fsXG",A1:CV300,63,FALSE)/HLOOKUP("Mins",A1:CV300,63,FALSE)* 90)</f>
      </c>
      <c r="BV63" s="21058">
        <f>IF(HLOOKUP("Mins",A1:CV300,63,FALSE)=0,0,HLOOKUP("fsXA",A1:CV300,63,FALSE)/HLOOKUP("Mins",A1:CV300,63,FALSE)* 90)</f>
      </c>
      <c r="BW63" s="21059">
        <f>5*HLOOKUP("fsXG/90",A1:CV300,63,FALSE)+3*HLOOKUP("fsXA/90",A1:CV300,63,FALSE)</f>
      </c>
      <c r="BX63" t="n" s="21060">
        <v>0.16292546689510345</v>
      </c>
      <c r="BY63" t="n" s="21061">
        <v>0.08761484175920486</v>
      </c>
      <c r="BZ63" s="21062">
        <f>5*HLOOKUP("uXG/90",A1:CV300,63,FALSE)+3*HLOOKUP("uXA/90",A1:CV300,63,FALSE)</f>
      </c>
    </row>
    <row r="64">
      <c r="A64" t="s" s="21063">
        <v>367</v>
      </c>
      <c r="B64" t="s" s="21064">
        <v>95</v>
      </c>
      <c r="C64" t="n" s="21065">
        <v>8.399999618530273</v>
      </c>
      <c r="D64" t="n" s="21066">
        <v>496.0</v>
      </c>
      <c r="E64" t="n" s="21067">
        <v>6.0</v>
      </c>
      <c r="F64" t="n" s="21068">
        <v>98.0</v>
      </c>
      <c r="G64" t="n" s="21069">
        <v>1.0</v>
      </c>
      <c r="H64" t="n" s="21070">
        <v>12.0</v>
      </c>
      <c r="I64" t="n" s="21071">
        <v>300.0</v>
      </c>
      <c r="J64" s="21072">
        <f>HLOOKUP("BPS",A1:CV300,64,FALSE)-((-6*HLOOKUP("OG",A1:CV300,64,FALSE))+(-6*HLOOKUP("PK Miss",A1:CV300,64,FALSE))+(9*HLOOKUP("FPL As",A1:CV300,64,FALSE))+(0*HLOOKUP("CS",A1:CV300,64,FALSE))+(18*HLOOKUP("Gs",A1:CV300,64,FALSE)))</f>
      </c>
      <c r="K64" t="n" s="21073">
        <v>0.0</v>
      </c>
      <c r="L64" t="n" s="21074">
        <v>4.0</v>
      </c>
      <c r="M64" t="n" s="21075">
        <v>30.0</v>
      </c>
      <c r="N64" t="n" s="21076">
        <v>12.0</v>
      </c>
      <c r="O64" t="n" s="21077">
        <v>11.0</v>
      </c>
      <c r="P64" s="21078">
        <f>IF(HLOOKUP("Shots",A1:CV300,64,FALSE)=0,0,HLOOKUP("SIB",A1:CV300,64,FALSE)/HLOOKUP("Shots",A1:CV300,64,FALSE))</f>
      </c>
      <c r="Q64" t="n" s="21079">
        <v>2.0</v>
      </c>
      <c r="R64" s="21080">
        <f>IF(HLOOKUP("Shots",A1:CV300,64,FALSE)=0,0,HLOOKUP("S6YD",A1:CV300,64,FALSE)/HLOOKUP("Shots",A1:CV300,64,FALSE))</f>
      </c>
      <c r="S64" t="n" s="21081">
        <v>4.0</v>
      </c>
      <c r="T64" s="21082">
        <f>IF(HLOOKUP("Shots",A1:CV300,64,FALSE)=0,0,HLOOKUP("Headers",A1:CV300,64,FALSE)/HLOOKUP("Shots",A1:CV300,64,FALSE))</f>
      </c>
      <c r="U64" t="n" s="21083">
        <v>3.0</v>
      </c>
      <c r="V64" s="21084">
        <f>IF(HLOOKUP("Shots",A1:CV300,64,FALSE)=0,0,HLOOKUP("SOT",A1:CV300,64,FALSE)/HLOOKUP("Shots",A1:CV300,64,FALSE))</f>
      </c>
      <c r="W64" s="21085">
        <f>IF(HLOOKUP("Shots",A1:CV300,64,FALSE)=0,0,HLOOKUP("Gs",A1:CV300,64,FALSE)/HLOOKUP("Shots",A1:CV300,64,FALSE))</f>
      </c>
      <c r="X64" t="n" s="21086">
        <v>0.0</v>
      </c>
      <c r="Y64" t="n" s="21087">
        <v>4.0</v>
      </c>
      <c r="Z64" t="n" s="21088">
        <v>5.0</v>
      </c>
      <c r="AA64" s="21089">
        <f>IF(HLOOKUP("KP",A1:CV300,64,FALSE)=0,0,HLOOKUP("As",A1:CV300,64,FALSE)/HLOOKUP("KP",A1:CV300,64,FALSE))</f>
      </c>
      <c r="AB64" s="21090"/>
      <c r="AC64" t="n" s="21091">
        <v>40.0</v>
      </c>
      <c r="AD64" t="n" s="21092">
        <v>2.0</v>
      </c>
      <c r="AE64" t="n" s="21093">
        <v>6.0</v>
      </c>
      <c r="AF64" t="n" s="21094">
        <v>5.0</v>
      </c>
      <c r="AG64" s="21095">
        <f>IF(HLOOKUP("BC",A1:CV300,64,FALSE)=0,0,HLOOKUP("Gs - BC",A1:CV300,64,FALSE)/HLOOKUP("BC",A1:CV300,64,FALSE))</f>
      </c>
      <c r="AH64" s="21096">
        <f>HLOOKUP("BC",A1:CV300,64,FALSE) - HLOOKUP("BC Miss",A1:CV300,64,FALSE)</f>
      </c>
      <c r="AI64" s="21097">
        <f>IF(HLOOKUP("Gs",A1:CV300,64,FALSE)=0,0,HLOOKUP("Gs - BC",A1:CV300,64,FALSE)/HLOOKUP("Gs",A1:CV300,64,FALSE))</f>
      </c>
      <c r="AJ64" t="n" s="21098">
        <v>0.0</v>
      </c>
      <c r="AK64" t="n" s="21099">
        <v>0.0</v>
      </c>
      <c r="AL64" s="21100">
        <f>HLOOKUP("BC",A1:CV300,64,FALSE) - (HLOOKUP("PK Gs",A1:CV300,64,FALSE) + HLOOKUP("PK Miss",A1:CV300,64,FALSE))</f>
      </c>
      <c r="AM64" s="21101">
        <f>HLOOKUP("BC Miss",A1:CV300,64,FALSE) - HLOOKUP("PK Miss",A1:CV300,64,FALSE)</f>
      </c>
      <c r="AN64" s="21102">
        <f>IF(HLOOKUP("BC - Open",A1:CV300,64,FALSE)=0,0,HLOOKUP("BC - Open Miss",A1:CV300,64,FALSE)/HLOOKUP("BC - Open",A1:CV300,64,FALSE))</f>
      </c>
      <c r="AO64" t="n" s="21103">
        <v>1.0</v>
      </c>
      <c r="AP64" s="21104">
        <f>IF(HLOOKUP("Gs",A1:CV300,64,FALSE)=0,0,HLOOKUP("GIB",A1:CV300,64,FALSE)/HLOOKUP("Gs",A1:CV300,64,FALSE))</f>
      </c>
      <c r="AQ64" t="n" s="21105">
        <v>1.0</v>
      </c>
      <c r="AR64" s="21106">
        <f>IF(HLOOKUP("Gs",A1:CV300,64,FALSE)=0,0,HLOOKUP("Gs - Open",A1:CV300,64,FALSE)/HLOOKUP("Gs",A1:CV300,64,FALSE))</f>
      </c>
      <c r="AS64" t="n" s="21107">
        <v>2.64</v>
      </c>
      <c r="AT64" t="n" s="21108">
        <v>1.41</v>
      </c>
      <c r="AU64" s="21109">
        <f>IF(HLOOKUP("Mins",A1:CV300,64,FALSE)=0,0,HLOOKUP("Pts",A1:CV300,64,FALSE)/HLOOKUP("Mins",A1:CV300,64,FALSE)* 90)</f>
      </c>
      <c r="AV64" s="21110">
        <f>IF(HLOOKUP("Apps",A1:CV300,64,FALSE)=0,0,HLOOKUP("Pts",A1:CV300,64,FALSE)/HLOOKUP("Apps",A1:CV300,64,FALSE)* 1)</f>
      </c>
      <c r="AW64" s="21111">
        <f>IF(HLOOKUP("Mins",A1:CV300,64,FALSE)=0,0,HLOOKUP("Gs",A1:CV300,64,FALSE)/HLOOKUP("Mins",A1:CV300,64,FALSE)* 90)</f>
      </c>
      <c r="AX64" s="21112">
        <f>IF(HLOOKUP("Mins",A1:CV300,64,FALSE)=0,0,HLOOKUP("Bonus",A1:CV300,64,FALSE)/HLOOKUP("Mins",A1:CV300,64,FALSE)* 90)</f>
      </c>
      <c r="AY64" s="21113">
        <f>IF(HLOOKUP("Mins",A1:CV300,64,FALSE)=0,0,HLOOKUP("BPS",A1:CV300,64,FALSE)/HLOOKUP("Mins",A1:CV300,64,FALSE)* 90)</f>
      </c>
      <c r="AZ64" s="21114">
        <f>IF(HLOOKUP("Mins",A1:CV300,64,FALSE)=0,0,HLOOKUP("Base BPS",A1:CV300,64,FALSE)/HLOOKUP("Mins",A1:CV300,64,FALSE)* 90)</f>
      </c>
      <c r="BA64" s="21115">
        <f>IF(HLOOKUP("Mins",A1:CV300,64,FALSE)=0,0,HLOOKUP("PenTchs",A1:CV300,64,FALSE)/HLOOKUP("Mins",A1:CV300,64,FALSE)* 90)</f>
      </c>
      <c r="BB64" s="21116">
        <f>IF(HLOOKUP("Mins",A1:CV300,64,FALSE)=0,0,HLOOKUP("Shots",A1:CV300,64,FALSE)/HLOOKUP("Mins",A1:CV300,64,FALSE)* 90)</f>
      </c>
      <c r="BC64" s="21117">
        <f>IF(HLOOKUP("Mins",A1:CV300,64,FALSE)=0,0,HLOOKUP("SIB",A1:CV300,64,FALSE)/HLOOKUP("Mins",A1:CV300,64,FALSE)* 90)</f>
      </c>
      <c r="BD64" s="21118">
        <f>IF(HLOOKUP("Mins",A1:CV300,64,FALSE)=0,0,HLOOKUP("S6YD",A1:CV300,64,FALSE)/HLOOKUP("Mins",A1:CV300,64,FALSE)* 90)</f>
      </c>
      <c r="BE64" s="21119">
        <f>IF(HLOOKUP("Mins",A1:CV300,64,FALSE)=0,0,HLOOKUP("Headers",A1:CV300,64,FALSE)/HLOOKUP("Mins",A1:CV300,64,FALSE)* 90)</f>
      </c>
      <c r="BF64" s="21120">
        <f>IF(HLOOKUP("Mins",A1:CV300,64,FALSE)=0,0,HLOOKUP("SOT",A1:CV300,64,FALSE)/HLOOKUP("Mins",A1:CV300,64,FALSE)* 90)</f>
      </c>
      <c r="BG64" s="21121">
        <f>IF(HLOOKUP("Mins",A1:CV300,64,FALSE)=0,0,HLOOKUP("As",A1:CV300,64,FALSE)/HLOOKUP("Mins",A1:CV300,64,FALSE)* 90)</f>
      </c>
      <c r="BH64" s="21122">
        <f>IF(HLOOKUP("Mins",A1:CV300,64,FALSE)=0,0,HLOOKUP("FPL As",A1:CV300,64,FALSE)/HLOOKUP("Mins",A1:CV300,64,FALSE)* 90)</f>
      </c>
      <c r="BI64" s="21123">
        <f>IF(HLOOKUP("Mins",A1:CV300,64,FALSE)=0,0,HLOOKUP("BC Created",A1:CV300,64,FALSE)/HLOOKUP("Mins",A1:CV300,64,FALSE)* 90)</f>
      </c>
      <c r="BJ64" s="21124">
        <f>IF(HLOOKUP("Mins",A1:CV300,64,FALSE)=0,0,HLOOKUP("KP",A1:CV300,64,FALSE)/HLOOKUP("Mins",A1:CV300,64,FALSE)* 90)</f>
      </c>
      <c r="BK64" s="21125">
        <f>IF(HLOOKUP("Mins",A1:CV300,64,FALSE)=0,0,HLOOKUP("BC",A1:CV300,64,FALSE)/HLOOKUP("Mins",A1:CV300,64,FALSE)* 90)</f>
      </c>
      <c r="BL64" s="21126">
        <f>IF(HLOOKUP("Mins",A1:CV300,64,FALSE)=0,0,HLOOKUP("BC Miss",A1:CV300,64,FALSE)/HLOOKUP("Mins",A1:CV300,64,FALSE)* 90)</f>
      </c>
      <c r="BM64" s="21127">
        <f>IF(HLOOKUP("Mins",A1:CV300,64,FALSE)=0,0,HLOOKUP("Gs - BC",A1:CV300,64,FALSE)/HLOOKUP("Mins",A1:CV300,64,FALSE)* 90)</f>
      </c>
      <c r="BN64" s="21128">
        <f>IF(HLOOKUP("Mins",A1:CV300,64,FALSE)=0,0,HLOOKUP("GIB",A1:CV300,64,FALSE)/HLOOKUP("Mins",A1:CV300,64,FALSE)* 90)</f>
      </c>
      <c r="BO64" s="21129">
        <f>IF(HLOOKUP("Mins",A1:CV300,64,FALSE)=0,0,HLOOKUP("Gs - Open",A1:CV300,64,FALSE)/HLOOKUP("Mins",A1:CV300,64,FALSE)* 90)</f>
      </c>
      <c r="BP64" s="21130">
        <f>IF(HLOOKUP("Mins",A1:CV300,64,FALSE)=0,0,HLOOKUP("ICT Index",A1:CV300,64,FALSE)/HLOOKUP("Mins",A1:CV300,64,FALSE)* 90)</f>
      </c>
      <c r="BQ64" s="21131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</c>
      <c r="BR64" s="21132">
        <f>0.0885*HLOOKUP("KP/90",A1:CV300,64,FALSE)</f>
      </c>
      <c r="BS64" s="21133">
        <f>5*HLOOKUP("xG/90",A1:CV300,64,FALSE)+3*HLOOKUP("xA/90",A1:CV300,64,FALSE)</f>
      </c>
      <c r="BT64" s="21134">
        <f>HLOOKUP("xPts/90",A1:CV300,64,FALSE)-(5*0.75*(HLOOKUP("PK Gs",A1:CV300,64,FALSE)+HLOOKUP("PK Miss",A1:CV300,64,FALSE))*90/HLOOKUP("Mins",A1:CV300,64,FALSE))</f>
      </c>
      <c r="BU64" s="21135">
        <f>IF(HLOOKUP("Mins",A1:CV300,64,FALSE)=0,0,HLOOKUP("fsXG",A1:CV300,64,FALSE)/HLOOKUP("Mins",A1:CV300,64,FALSE)* 90)</f>
      </c>
      <c r="BV64" s="21136">
        <f>IF(HLOOKUP("Mins",A1:CV300,64,FALSE)=0,0,HLOOKUP("fsXA",A1:CV300,64,FALSE)/HLOOKUP("Mins",A1:CV300,64,FALSE)* 90)</f>
      </c>
      <c r="BW64" s="21137">
        <f>5*HLOOKUP("fsXG/90",A1:CV300,64,FALSE)+3*HLOOKUP("fsXA/90",A1:CV300,64,FALSE)</f>
      </c>
      <c r="BX64" t="n" s="21138">
        <v>0.5110317468643188</v>
      </c>
      <c r="BY64" t="n" s="21139">
        <v>0.21472464501857758</v>
      </c>
      <c r="BZ64" s="21140">
        <f>5*HLOOKUP("uXG/90",A1:CV300,64,FALSE)+3*HLOOKUP("uXA/90",A1:CV300,64,FALSE)</f>
      </c>
    </row>
    <row r="65">
      <c r="A65" t="s" s="21141">
        <v>368</v>
      </c>
      <c r="B65" t="s" s="21142">
        <v>134</v>
      </c>
      <c r="C65" t="n" s="21143">
        <v>12.800000190734863</v>
      </c>
      <c r="D65" t="n" s="21144">
        <v>623.0</v>
      </c>
      <c r="E65" t="n" s="21145">
        <v>7.0</v>
      </c>
      <c r="F65" t="n" s="21146">
        <v>168.0</v>
      </c>
      <c r="G65" t="n" s="21147">
        <v>5.0</v>
      </c>
      <c r="H65" t="n" s="21148">
        <v>21.0</v>
      </c>
      <c r="I65" t="n" s="21149">
        <v>474.0</v>
      </c>
      <c r="J65" s="21150">
        <f>HLOOKUP("BPS",A1:CV300,65,FALSE)-((-6*HLOOKUP("OG",A1:CV300,65,FALSE))+(-6*HLOOKUP("PK Miss",A1:CV300,65,FALSE))+(9*HLOOKUP("FPL As",A1:CV300,65,FALSE))+(0*HLOOKUP("CS",A1:CV300,65,FALSE))+(18*HLOOKUP("Gs",A1:CV300,65,FALSE)))</f>
      </c>
      <c r="K65" t="n" s="21151">
        <v>0.0</v>
      </c>
      <c r="L65" t="n" s="21152">
        <v>14.0</v>
      </c>
      <c r="M65" t="n" s="21153">
        <v>72.0</v>
      </c>
      <c r="N65" t="n" s="21154">
        <v>29.0</v>
      </c>
      <c r="O65" t="n" s="21155">
        <v>25.0</v>
      </c>
      <c r="P65" s="21156">
        <f>IF(HLOOKUP("Shots",A1:CV300,65,FALSE)=0,0,HLOOKUP("SIB",A1:CV300,65,FALSE)/HLOOKUP("Shots",A1:CV300,65,FALSE))</f>
      </c>
      <c r="Q65" t="n" s="21157">
        <v>1.0</v>
      </c>
      <c r="R65" s="21158">
        <f>IF(HLOOKUP("Shots",A1:CV300,65,FALSE)=0,0,HLOOKUP("S6YD",A1:CV300,65,FALSE)/HLOOKUP("Shots",A1:CV300,65,FALSE))</f>
      </c>
      <c r="S65" t="n" s="21159">
        <v>1.0</v>
      </c>
      <c r="T65" s="21160">
        <f>IF(HLOOKUP("Shots",A1:CV300,65,FALSE)=0,0,HLOOKUP("Headers",A1:CV300,65,FALSE)/HLOOKUP("Shots",A1:CV300,65,FALSE))</f>
      </c>
      <c r="U65" t="n" s="21161">
        <v>11.0</v>
      </c>
      <c r="V65" s="21162">
        <f>IF(HLOOKUP("Shots",A1:CV300,65,FALSE)=0,0,HLOOKUP("SOT",A1:CV300,65,FALSE)/HLOOKUP("Shots",A1:CV300,65,FALSE))</f>
      </c>
      <c r="W65" s="21163">
        <f>IF(HLOOKUP("Shots",A1:CV300,65,FALSE)=0,0,HLOOKUP("Gs",A1:CV300,65,FALSE)/HLOOKUP("Shots",A1:CV300,65,FALSE))</f>
      </c>
      <c r="X65" t="n" s="21164">
        <v>2.0</v>
      </c>
      <c r="Y65" t="n" s="21165">
        <v>6.0</v>
      </c>
      <c r="Z65" t="n" s="21166">
        <v>17.0</v>
      </c>
      <c r="AA65" s="21167">
        <f>IF(HLOOKUP("KP",A1:CV300,65,FALSE)=0,0,HLOOKUP("As",A1:CV300,65,FALSE)/HLOOKUP("KP",A1:CV300,65,FALSE))</f>
      </c>
      <c r="AB65" s="21168"/>
      <c r="AC65" t="n" s="21169">
        <v>50.0</v>
      </c>
      <c r="AD65" t="n" s="21170">
        <v>7.0</v>
      </c>
      <c r="AE65" t="n" s="21171">
        <v>6.0</v>
      </c>
      <c r="AF65" t="n" s="21172">
        <v>1.0</v>
      </c>
      <c r="AG65" s="21173">
        <f>IF(HLOOKUP("BC",A1:CV300,65,FALSE)=0,0,HLOOKUP("Gs - BC",A1:CV300,65,FALSE)/HLOOKUP("BC",A1:CV300,65,FALSE))</f>
      </c>
      <c r="AH65" s="21174">
        <f>HLOOKUP("BC",A1:CV300,65,FALSE) - HLOOKUP("BC Miss",A1:CV300,65,FALSE)</f>
      </c>
      <c r="AI65" s="21175">
        <f>IF(HLOOKUP("Gs",A1:CV300,65,FALSE)=0,0,HLOOKUP("Gs - BC",A1:CV300,65,FALSE)/HLOOKUP("Gs",A1:CV300,65,FALSE))</f>
      </c>
      <c r="AJ65" t="n" s="21176">
        <v>1.0</v>
      </c>
      <c r="AK65" t="n" s="21177">
        <v>0.0</v>
      </c>
      <c r="AL65" s="21178">
        <f>HLOOKUP("BC",A1:CV300,65,FALSE) - (HLOOKUP("PK Gs",A1:CV300,65,FALSE) + HLOOKUP("PK Miss",A1:CV300,65,FALSE))</f>
      </c>
      <c r="AM65" s="21179">
        <f>HLOOKUP("BC Miss",A1:CV300,65,FALSE) - HLOOKUP("PK Miss",A1:CV300,65,FALSE)</f>
      </c>
      <c r="AN65" s="21180">
        <f>IF(HLOOKUP("BC - Open",A1:CV300,65,FALSE)=0,0,HLOOKUP("BC - Open Miss",A1:CV300,65,FALSE)/HLOOKUP("BC - Open",A1:CV300,65,FALSE))</f>
      </c>
      <c r="AO65" t="n" s="21181">
        <v>5.0</v>
      </c>
      <c r="AP65" s="21182">
        <f>IF(HLOOKUP("Gs",A1:CV300,65,FALSE)=0,0,HLOOKUP("GIB",A1:CV300,65,FALSE)/HLOOKUP("Gs",A1:CV300,65,FALSE))</f>
      </c>
      <c r="AQ65" t="n" s="21183">
        <v>2.0</v>
      </c>
      <c r="AR65" s="21184">
        <f>IF(HLOOKUP("Gs",A1:CV300,65,FALSE)=0,0,HLOOKUP("Gs - Open",A1:CV300,65,FALSE)/HLOOKUP("Gs",A1:CV300,65,FALSE))</f>
      </c>
      <c r="AS65" t="n" s="21185">
        <v>4.5</v>
      </c>
      <c r="AT65" t="n" s="21186">
        <v>2.25</v>
      </c>
      <c r="AU65" s="21187">
        <f>IF(HLOOKUP("Mins",A1:CV300,65,FALSE)=0,0,HLOOKUP("Pts",A1:CV300,65,FALSE)/HLOOKUP("Mins",A1:CV300,65,FALSE)* 90)</f>
      </c>
      <c r="AV65" s="21188">
        <f>IF(HLOOKUP("Apps",A1:CV300,65,FALSE)=0,0,HLOOKUP("Pts",A1:CV300,65,FALSE)/HLOOKUP("Apps",A1:CV300,65,FALSE)* 1)</f>
      </c>
      <c r="AW65" s="21189">
        <f>IF(HLOOKUP("Mins",A1:CV300,65,FALSE)=0,0,HLOOKUP("Gs",A1:CV300,65,FALSE)/HLOOKUP("Mins",A1:CV300,65,FALSE)* 90)</f>
      </c>
      <c r="AX65" s="21190">
        <f>IF(HLOOKUP("Mins",A1:CV300,65,FALSE)=0,0,HLOOKUP("Bonus",A1:CV300,65,FALSE)/HLOOKUP("Mins",A1:CV300,65,FALSE)* 90)</f>
      </c>
      <c r="AY65" s="21191">
        <f>IF(HLOOKUP("Mins",A1:CV300,65,FALSE)=0,0,HLOOKUP("BPS",A1:CV300,65,FALSE)/HLOOKUP("Mins",A1:CV300,65,FALSE)* 90)</f>
      </c>
      <c r="AZ65" s="21192">
        <f>IF(HLOOKUP("Mins",A1:CV300,65,FALSE)=0,0,HLOOKUP("Base BPS",A1:CV300,65,FALSE)/HLOOKUP("Mins",A1:CV300,65,FALSE)* 90)</f>
      </c>
      <c r="BA65" s="21193">
        <f>IF(HLOOKUP("Mins",A1:CV300,65,FALSE)=0,0,HLOOKUP("PenTchs",A1:CV300,65,FALSE)/HLOOKUP("Mins",A1:CV300,65,FALSE)* 90)</f>
      </c>
      <c r="BB65" s="21194">
        <f>IF(HLOOKUP("Mins",A1:CV300,65,FALSE)=0,0,HLOOKUP("Shots",A1:CV300,65,FALSE)/HLOOKUP("Mins",A1:CV300,65,FALSE)* 90)</f>
      </c>
      <c r="BC65" s="21195">
        <f>IF(HLOOKUP("Mins",A1:CV300,65,FALSE)=0,0,HLOOKUP("SIB",A1:CV300,65,FALSE)/HLOOKUP("Mins",A1:CV300,65,FALSE)* 90)</f>
      </c>
      <c r="BD65" s="21196">
        <f>IF(HLOOKUP("Mins",A1:CV300,65,FALSE)=0,0,HLOOKUP("S6YD",A1:CV300,65,FALSE)/HLOOKUP("Mins",A1:CV300,65,FALSE)* 90)</f>
      </c>
      <c r="BE65" s="21197">
        <f>IF(HLOOKUP("Mins",A1:CV300,65,FALSE)=0,0,HLOOKUP("Headers",A1:CV300,65,FALSE)/HLOOKUP("Mins",A1:CV300,65,FALSE)* 90)</f>
      </c>
      <c r="BF65" s="21198">
        <f>IF(HLOOKUP("Mins",A1:CV300,65,FALSE)=0,0,HLOOKUP("SOT",A1:CV300,65,FALSE)/HLOOKUP("Mins",A1:CV300,65,FALSE)* 90)</f>
      </c>
      <c r="BG65" s="21199">
        <f>IF(HLOOKUP("Mins",A1:CV300,65,FALSE)=0,0,HLOOKUP("As",A1:CV300,65,FALSE)/HLOOKUP("Mins",A1:CV300,65,FALSE)* 90)</f>
      </c>
      <c r="BH65" s="21200">
        <f>IF(HLOOKUP("Mins",A1:CV300,65,FALSE)=0,0,HLOOKUP("FPL As",A1:CV300,65,FALSE)/HLOOKUP("Mins",A1:CV300,65,FALSE)* 90)</f>
      </c>
      <c r="BI65" s="21201">
        <f>IF(HLOOKUP("Mins",A1:CV300,65,FALSE)=0,0,HLOOKUP("BC Created",A1:CV300,65,FALSE)/HLOOKUP("Mins",A1:CV300,65,FALSE)* 90)</f>
      </c>
      <c r="BJ65" s="21202">
        <f>IF(HLOOKUP("Mins",A1:CV300,65,FALSE)=0,0,HLOOKUP("KP",A1:CV300,65,FALSE)/HLOOKUP("Mins",A1:CV300,65,FALSE)* 90)</f>
      </c>
      <c r="BK65" s="21203">
        <f>IF(HLOOKUP("Mins",A1:CV300,65,FALSE)=0,0,HLOOKUP("BC",A1:CV300,65,FALSE)/HLOOKUP("Mins",A1:CV300,65,FALSE)* 90)</f>
      </c>
      <c r="BL65" s="21204">
        <f>IF(HLOOKUP("Mins",A1:CV300,65,FALSE)=0,0,HLOOKUP("BC Miss",A1:CV300,65,FALSE)/HLOOKUP("Mins",A1:CV300,65,FALSE)* 90)</f>
      </c>
      <c r="BM65" s="21205">
        <f>IF(HLOOKUP("Mins",A1:CV300,65,FALSE)=0,0,HLOOKUP("Gs - BC",A1:CV300,65,FALSE)/HLOOKUP("Mins",A1:CV300,65,FALSE)* 90)</f>
      </c>
      <c r="BN65" s="21206">
        <f>IF(HLOOKUP("Mins",A1:CV300,65,FALSE)=0,0,HLOOKUP("GIB",A1:CV300,65,FALSE)/HLOOKUP("Mins",A1:CV300,65,FALSE)* 90)</f>
      </c>
      <c r="BO65" s="21207">
        <f>IF(HLOOKUP("Mins",A1:CV300,65,FALSE)=0,0,HLOOKUP("Gs - Open",A1:CV300,65,FALSE)/HLOOKUP("Mins",A1:CV300,65,FALSE)* 90)</f>
      </c>
      <c r="BP65" s="21208">
        <f>IF(HLOOKUP("Mins",A1:CV300,65,FALSE)=0,0,HLOOKUP("ICT Index",A1:CV300,65,FALSE)/HLOOKUP("Mins",A1:CV300,65,FALSE)* 90)</f>
      </c>
      <c r="BQ65" s="21209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</c>
      <c r="BR65" s="21210">
        <f>0.0885*HLOOKUP("KP/90",A1:CV300,65,FALSE)</f>
      </c>
      <c r="BS65" s="21211">
        <f>5*HLOOKUP("xG/90",A1:CV300,65,FALSE)+3*HLOOKUP("xA/90",A1:CV300,65,FALSE)</f>
      </c>
      <c r="BT65" s="21212">
        <f>HLOOKUP("xPts/90",A1:CV300,65,FALSE)-(5*0.75*(HLOOKUP("PK Gs",A1:CV300,65,FALSE)+HLOOKUP("PK Miss",A1:CV300,65,FALSE))*90/HLOOKUP("Mins",A1:CV300,65,FALSE))</f>
      </c>
      <c r="BU65" s="21213">
        <f>IF(HLOOKUP("Mins",A1:CV300,65,FALSE)=0,0,HLOOKUP("fsXG",A1:CV300,65,FALSE)/HLOOKUP("Mins",A1:CV300,65,FALSE)* 90)</f>
      </c>
      <c r="BV65" s="21214">
        <f>IF(HLOOKUP("Mins",A1:CV300,65,FALSE)=0,0,HLOOKUP("fsXA",A1:CV300,65,FALSE)/HLOOKUP("Mins",A1:CV300,65,FALSE)* 90)</f>
      </c>
      <c r="BW65" s="21215">
        <f>5*HLOOKUP("fsXG/90",A1:CV300,65,FALSE)+3*HLOOKUP("fsXA/90",A1:CV300,65,FALSE)</f>
      </c>
      <c r="BX65" t="n" s="21216">
        <v>0.7137929797172546</v>
      </c>
      <c r="BY65" t="n" s="21217">
        <v>0.5189123153686523</v>
      </c>
      <c r="BZ65" s="21218">
        <f>5*HLOOKUP("uXG/90",A1:CV300,65,FALSE)+3*HLOOKUP("uXA/90",A1:CV300,65,FALSE)</f>
      </c>
    </row>
    <row r="66">
      <c r="A66" t="s" s="21219">
        <v>369</v>
      </c>
      <c r="B66" t="s" s="21220">
        <v>87</v>
      </c>
      <c r="C66" t="n" s="21221">
        <v>4.300000190734863</v>
      </c>
      <c r="D66" t="n" s="21222">
        <v>32.0</v>
      </c>
      <c r="E66" t="n" s="21223">
        <v>1.0</v>
      </c>
      <c r="F66" t="n" s="21224">
        <v>10.0</v>
      </c>
      <c r="G66" t="n" s="21225">
        <v>0.0</v>
      </c>
      <c r="H66" t="n" s="21226">
        <v>0.0</v>
      </c>
      <c r="I66" t="n" s="21227">
        <v>29.0</v>
      </c>
      <c r="J66" s="21228">
        <f>HLOOKUP("BPS",A1:CV300,66,FALSE)-((-6*HLOOKUP("OG",A1:CV300,66,FALSE))+(-6*HLOOKUP("PK Miss",A1:CV300,66,FALSE))+(9*HLOOKUP("FPL As",A1:CV300,66,FALSE))+(0*HLOOKUP("CS",A1:CV300,66,FALSE))+(18*HLOOKUP("Gs",A1:CV300,66,FALSE)))</f>
      </c>
      <c r="K66" t="n" s="21229">
        <v>0.0</v>
      </c>
      <c r="L66" t="n" s="21230">
        <v>0.0</v>
      </c>
      <c r="M66" t="n" s="21231">
        <v>4.0</v>
      </c>
      <c r="N66" t="n" s="21232">
        <v>3.0</v>
      </c>
      <c r="O66" t="n" s="21233">
        <v>3.0</v>
      </c>
      <c r="P66" s="21234">
        <f>IF(HLOOKUP("Shots",A1:CV300,66,FALSE)=0,0,HLOOKUP("SIB",A1:CV300,66,FALSE)/HLOOKUP("Shots",A1:CV300,66,FALSE))</f>
      </c>
      <c r="Q66" t="n" s="21235">
        <v>0.0</v>
      </c>
      <c r="R66" s="21236">
        <f>IF(HLOOKUP("Shots",A1:CV300,66,FALSE)=0,0,HLOOKUP("S6YD",A1:CV300,66,FALSE)/HLOOKUP("Shots",A1:CV300,66,FALSE))</f>
      </c>
      <c r="S66" t="n" s="21237">
        <v>1.0</v>
      </c>
      <c r="T66" s="21238">
        <f>IF(HLOOKUP("Shots",A1:CV300,66,FALSE)=0,0,HLOOKUP("Headers",A1:CV300,66,FALSE)/HLOOKUP("Shots",A1:CV300,66,FALSE))</f>
      </c>
      <c r="U66" t="n" s="21239">
        <v>1.0</v>
      </c>
      <c r="V66" s="21240">
        <f>IF(HLOOKUP("Shots",A1:CV300,66,FALSE)=0,0,HLOOKUP("SOT",A1:CV300,66,FALSE)/HLOOKUP("Shots",A1:CV300,66,FALSE))</f>
      </c>
      <c r="W66" s="21241">
        <f>IF(HLOOKUP("Shots",A1:CV300,66,FALSE)=0,0,HLOOKUP("Gs",A1:CV300,66,FALSE)/HLOOKUP("Shots",A1:CV300,66,FALSE))</f>
      </c>
      <c r="X66" t="n" s="21242">
        <v>0.0</v>
      </c>
      <c r="Y66" t="n" s="21243">
        <v>1.0</v>
      </c>
      <c r="Z66" t="n" s="21244">
        <v>0.0</v>
      </c>
      <c r="AA66" s="21245">
        <f>IF(HLOOKUP("KP",A1:CV300,66,FALSE)=0,0,HLOOKUP("As",A1:CV300,66,FALSE)/HLOOKUP("KP",A1:CV300,66,FALSE))</f>
      </c>
      <c r="AB66" s="21246"/>
      <c r="AC66" t="n" s="21247">
        <v>100.0</v>
      </c>
      <c r="AD66" t="n" s="21248">
        <v>0.0</v>
      </c>
      <c r="AE66" t="n" s="21249">
        <v>0.0</v>
      </c>
      <c r="AF66" t="n" s="21250">
        <v>0.0</v>
      </c>
      <c r="AG66" s="21251">
        <f>IF(HLOOKUP("BC",A1:CV300,66,FALSE)=0,0,HLOOKUP("Gs - BC",A1:CV300,66,FALSE)/HLOOKUP("BC",A1:CV300,66,FALSE))</f>
      </c>
      <c r="AH66" s="21252">
        <f>HLOOKUP("BC",A1:CV300,66,FALSE) - HLOOKUP("BC Miss",A1:CV300,66,FALSE)</f>
      </c>
      <c r="AI66" s="21253">
        <f>IF(HLOOKUP("Gs",A1:CV300,66,FALSE)=0,0,HLOOKUP("Gs - BC",A1:CV300,66,FALSE)/HLOOKUP("Gs",A1:CV300,66,FALSE))</f>
      </c>
      <c r="AJ66" t="n" s="21254">
        <v>0.0</v>
      </c>
      <c r="AK66" t="n" s="21255">
        <v>0.0</v>
      </c>
      <c r="AL66" s="21256">
        <f>HLOOKUP("BC",A1:CV300,66,FALSE) - (HLOOKUP("PK Gs",A1:CV300,66,FALSE) + HLOOKUP("PK Miss",A1:CV300,66,FALSE))</f>
      </c>
      <c r="AM66" s="21257">
        <f>HLOOKUP("BC Miss",A1:CV300,66,FALSE) - HLOOKUP("PK Miss",A1:CV300,66,FALSE)</f>
      </c>
      <c r="AN66" s="21258">
        <f>IF(HLOOKUP("BC - Open",A1:CV300,66,FALSE)=0,0,HLOOKUP("BC - Open Miss",A1:CV300,66,FALSE)/HLOOKUP("BC - Open",A1:CV300,66,FALSE))</f>
      </c>
      <c r="AO66" t="n" s="21259">
        <v>0.0</v>
      </c>
      <c r="AP66" s="21260">
        <f>IF(HLOOKUP("Gs",A1:CV300,66,FALSE)=0,0,HLOOKUP("GIB",A1:CV300,66,FALSE)/HLOOKUP("Gs",A1:CV300,66,FALSE))</f>
      </c>
      <c r="AQ66" t="n" s="21261">
        <v>0.0</v>
      </c>
      <c r="AR66" s="21262">
        <f>IF(HLOOKUP("Gs",A1:CV300,66,FALSE)=0,0,HLOOKUP("Gs - Open",A1:CV300,66,FALSE)/HLOOKUP("Gs",A1:CV300,66,FALSE))</f>
      </c>
      <c r="AS66" t="n" s="21263">
        <v>0.19</v>
      </c>
      <c r="AT66" t="n" s="21264">
        <v>0.03</v>
      </c>
      <c r="AU66" s="21265">
        <f>IF(HLOOKUP("Mins",A1:CV300,66,FALSE)=0,0,HLOOKUP("Pts",A1:CV300,66,FALSE)/HLOOKUP("Mins",A1:CV300,66,FALSE)* 90)</f>
      </c>
      <c r="AV66" s="21266">
        <f>IF(HLOOKUP("Apps",A1:CV300,66,FALSE)=0,0,HLOOKUP("Pts",A1:CV300,66,FALSE)/HLOOKUP("Apps",A1:CV300,66,FALSE)* 1)</f>
      </c>
      <c r="AW66" s="21267">
        <f>IF(HLOOKUP("Mins",A1:CV300,66,FALSE)=0,0,HLOOKUP("Gs",A1:CV300,66,FALSE)/HLOOKUP("Mins",A1:CV300,66,FALSE)* 90)</f>
      </c>
      <c r="AX66" s="21268">
        <f>IF(HLOOKUP("Mins",A1:CV300,66,FALSE)=0,0,HLOOKUP("Bonus",A1:CV300,66,FALSE)/HLOOKUP("Mins",A1:CV300,66,FALSE)* 90)</f>
      </c>
      <c r="AY66" s="21269">
        <f>IF(HLOOKUP("Mins",A1:CV300,66,FALSE)=0,0,HLOOKUP("BPS",A1:CV300,66,FALSE)/HLOOKUP("Mins",A1:CV300,66,FALSE)* 90)</f>
      </c>
      <c r="AZ66" s="21270">
        <f>IF(HLOOKUP("Mins",A1:CV300,66,FALSE)=0,0,HLOOKUP("Base BPS",A1:CV300,66,FALSE)/HLOOKUP("Mins",A1:CV300,66,FALSE)* 90)</f>
      </c>
      <c r="BA66" s="21271">
        <f>IF(HLOOKUP("Mins",A1:CV300,66,FALSE)=0,0,HLOOKUP("PenTchs",A1:CV300,66,FALSE)/HLOOKUP("Mins",A1:CV300,66,FALSE)* 90)</f>
      </c>
      <c r="BB66" s="21272">
        <f>IF(HLOOKUP("Mins",A1:CV300,66,FALSE)=0,0,HLOOKUP("Shots",A1:CV300,66,FALSE)/HLOOKUP("Mins",A1:CV300,66,FALSE)* 90)</f>
      </c>
      <c r="BC66" s="21273">
        <f>IF(HLOOKUP("Mins",A1:CV300,66,FALSE)=0,0,HLOOKUP("SIB",A1:CV300,66,FALSE)/HLOOKUP("Mins",A1:CV300,66,FALSE)* 90)</f>
      </c>
      <c r="BD66" s="21274">
        <f>IF(HLOOKUP("Mins",A1:CV300,66,FALSE)=0,0,HLOOKUP("S6YD",A1:CV300,66,FALSE)/HLOOKUP("Mins",A1:CV300,66,FALSE)* 90)</f>
      </c>
      <c r="BE66" s="21275">
        <f>IF(HLOOKUP("Mins",A1:CV300,66,FALSE)=0,0,HLOOKUP("Headers",A1:CV300,66,FALSE)/HLOOKUP("Mins",A1:CV300,66,FALSE)* 90)</f>
      </c>
      <c r="BF66" s="21276">
        <f>IF(HLOOKUP("Mins",A1:CV300,66,FALSE)=0,0,HLOOKUP("SOT",A1:CV300,66,FALSE)/HLOOKUP("Mins",A1:CV300,66,FALSE)* 90)</f>
      </c>
      <c r="BG66" s="21277">
        <f>IF(HLOOKUP("Mins",A1:CV300,66,FALSE)=0,0,HLOOKUP("As",A1:CV300,66,FALSE)/HLOOKUP("Mins",A1:CV300,66,FALSE)* 90)</f>
      </c>
      <c r="BH66" s="21278">
        <f>IF(HLOOKUP("Mins",A1:CV300,66,FALSE)=0,0,HLOOKUP("FPL As",A1:CV300,66,FALSE)/HLOOKUP("Mins",A1:CV300,66,FALSE)* 90)</f>
      </c>
      <c r="BI66" s="21279">
        <f>IF(HLOOKUP("Mins",A1:CV300,66,FALSE)=0,0,HLOOKUP("BC Created",A1:CV300,66,FALSE)/HLOOKUP("Mins",A1:CV300,66,FALSE)* 90)</f>
      </c>
      <c r="BJ66" s="21280">
        <f>IF(HLOOKUP("Mins",A1:CV300,66,FALSE)=0,0,HLOOKUP("KP",A1:CV300,66,FALSE)/HLOOKUP("Mins",A1:CV300,66,FALSE)* 90)</f>
      </c>
      <c r="BK66" s="21281">
        <f>IF(HLOOKUP("Mins",A1:CV300,66,FALSE)=0,0,HLOOKUP("BC",A1:CV300,66,FALSE)/HLOOKUP("Mins",A1:CV300,66,FALSE)* 90)</f>
      </c>
      <c r="BL66" s="21282">
        <f>IF(HLOOKUP("Mins",A1:CV300,66,FALSE)=0,0,HLOOKUP("BC Miss",A1:CV300,66,FALSE)/HLOOKUP("Mins",A1:CV300,66,FALSE)* 90)</f>
      </c>
      <c r="BM66" s="21283">
        <f>IF(HLOOKUP("Mins",A1:CV300,66,FALSE)=0,0,HLOOKUP("Gs - BC",A1:CV300,66,FALSE)/HLOOKUP("Mins",A1:CV300,66,FALSE)* 90)</f>
      </c>
      <c r="BN66" s="21284">
        <f>IF(HLOOKUP("Mins",A1:CV300,66,FALSE)=0,0,HLOOKUP("GIB",A1:CV300,66,FALSE)/HLOOKUP("Mins",A1:CV300,66,FALSE)* 90)</f>
      </c>
      <c r="BO66" s="21285">
        <f>IF(HLOOKUP("Mins",A1:CV300,66,FALSE)=0,0,HLOOKUP("Gs - Open",A1:CV300,66,FALSE)/HLOOKUP("Mins",A1:CV300,66,FALSE)* 90)</f>
      </c>
      <c r="BP66" s="21286">
        <f>IF(HLOOKUP("Mins",A1:CV300,66,FALSE)=0,0,HLOOKUP("ICT Index",A1:CV300,66,FALSE)/HLOOKUP("Mins",A1:CV300,66,FALSE)* 90)</f>
      </c>
      <c r="BQ66" s="21287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</c>
      <c r="BR66" s="21288">
        <f>0.0885*HLOOKUP("KP/90",A1:CV300,66,FALSE)</f>
      </c>
      <c r="BS66" s="21289">
        <f>5*HLOOKUP("xG/90",A1:CV300,66,FALSE)+3*HLOOKUP("xA/90",A1:CV300,66,FALSE)</f>
      </c>
      <c r="BT66" s="21290">
        <f>HLOOKUP("xPts/90",A1:CV300,66,FALSE)-(5*0.75*(HLOOKUP("PK Gs",A1:CV300,66,FALSE)+HLOOKUP("PK Miss",A1:CV300,66,FALSE))*90/HLOOKUP("Mins",A1:CV300,66,FALSE))</f>
      </c>
      <c r="BU66" s="21291">
        <f>IF(HLOOKUP("Mins",A1:CV300,66,FALSE)=0,0,HLOOKUP("fsXG",A1:CV300,66,FALSE)/HLOOKUP("Mins",A1:CV300,66,FALSE)* 90)</f>
      </c>
      <c r="BV66" s="21292">
        <f>IF(HLOOKUP("Mins",A1:CV300,66,FALSE)=0,0,HLOOKUP("fsXA",A1:CV300,66,FALSE)/HLOOKUP("Mins",A1:CV300,66,FALSE)* 90)</f>
      </c>
      <c r="BW66" s="21293">
        <f>5*HLOOKUP("fsXG/90",A1:CV300,66,FALSE)+3*HLOOKUP("fsXA/90",A1:CV300,66,FALSE)</f>
      </c>
      <c r="BX66" t="n" s="21294">
        <v>0.5987744331359863</v>
      </c>
      <c r="BY66" t="n" s="21295">
        <v>0.0</v>
      </c>
      <c r="BZ66" s="21296">
        <f>5*HLOOKUP("uXG/90",A1:CV300,66,FALSE)+3*HLOOKUP("uXA/90",A1:CV300,66,FALSE)</f>
      </c>
    </row>
    <row r="67">
      <c r="A67" t="s" s="21297">
        <v>370</v>
      </c>
      <c r="B67" t="s" s="21298">
        <v>95</v>
      </c>
      <c r="C67" t="n" s="21299">
        <v>7.099999904632568</v>
      </c>
      <c r="D67" t="n" s="21300">
        <v>534.0</v>
      </c>
      <c r="E67" t="n" s="21301">
        <v>6.0</v>
      </c>
      <c r="F67" t="n" s="21302">
        <v>71.0</v>
      </c>
      <c r="G67" t="n" s="21303">
        <v>0.0</v>
      </c>
      <c r="H67" t="n" s="21304">
        <v>1.0</v>
      </c>
      <c r="I67" t="n" s="21305">
        <v>225.0</v>
      </c>
      <c r="J67" s="21306">
        <f>HLOOKUP("BPS",A1:CV300,67,FALSE)-((-6*HLOOKUP("OG",A1:CV300,67,FALSE))+(-6*HLOOKUP("PK Miss",A1:CV300,67,FALSE))+(9*HLOOKUP("FPL As",A1:CV300,67,FALSE))+(0*HLOOKUP("CS",A1:CV300,67,FALSE))+(18*HLOOKUP("Gs",A1:CV300,67,FALSE)))</f>
      </c>
      <c r="K67" t="n" s="21307">
        <v>0.0</v>
      </c>
      <c r="L67" t="n" s="21308">
        <v>3.0</v>
      </c>
      <c r="M67" t="n" s="21309">
        <v>21.0</v>
      </c>
      <c r="N67" t="n" s="21310">
        <v>13.0</v>
      </c>
      <c r="O67" t="n" s="21311">
        <v>10.0</v>
      </c>
      <c r="P67" s="21312">
        <f>IF(HLOOKUP("Shots",A1:CV300,67,FALSE)=0,0,HLOOKUP("SIB",A1:CV300,67,FALSE)/HLOOKUP("Shots",A1:CV300,67,FALSE))</f>
      </c>
      <c r="Q67" t="n" s="21313">
        <v>1.0</v>
      </c>
      <c r="R67" s="21314">
        <f>IF(HLOOKUP("Shots",A1:CV300,67,FALSE)=0,0,HLOOKUP("S6YD",A1:CV300,67,FALSE)/HLOOKUP("Shots",A1:CV300,67,FALSE))</f>
      </c>
      <c r="S67" t="n" s="21315">
        <v>3.0</v>
      </c>
      <c r="T67" s="21316">
        <f>IF(HLOOKUP("Shots",A1:CV300,67,FALSE)=0,0,HLOOKUP("Headers",A1:CV300,67,FALSE)/HLOOKUP("Shots",A1:CV300,67,FALSE))</f>
      </c>
      <c r="U67" t="n" s="21317">
        <v>1.0</v>
      </c>
      <c r="V67" s="21318">
        <f>IF(HLOOKUP("Shots",A1:CV300,67,FALSE)=0,0,HLOOKUP("SOT",A1:CV300,67,FALSE)/HLOOKUP("Shots",A1:CV300,67,FALSE))</f>
      </c>
      <c r="W67" s="21319">
        <f>IF(HLOOKUP("Shots",A1:CV300,67,FALSE)=0,0,HLOOKUP("Gs",A1:CV300,67,FALSE)/HLOOKUP("Shots",A1:CV300,67,FALSE))</f>
      </c>
      <c r="X67" t="n" s="21320">
        <v>1.0</v>
      </c>
      <c r="Y67" t="n" s="21321">
        <v>3.0</v>
      </c>
      <c r="Z67" t="n" s="21322">
        <v>11.0</v>
      </c>
      <c r="AA67" s="21323">
        <f>IF(HLOOKUP("KP",A1:CV300,67,FALSE)=0,0,HLOOKUP("As",A1:CV300,67,FALSE)/HLOOKUP("KP",A1:CV300,67,FALSE))</f>
      </c>
      <c r="AB67" s="21324"/>
      <c r="AC67" t="n" s="21325">
        <v>14.0</v>
      </c>
      <c r="AD67" t="n" s="21326">
        <v>2.0</v>
      </c>
      <c r="AE67" t="n" s="21327">
        <v>2.0</v>
      </c>
      <c r="AF67" t="n" s="21328">
        <v>2.0</v>
      </c>
      <c r="AG67" s="21329">
        <f>IF(HLOOKUP("BC",A1:CV300,67,FALSE)=0,0,HLOOKUP("Gs - BC",A1:CV300,67,FALSE)/HLOOKUP("BC",A1:CV300,67,FALSE))</f>
      </c>
      <c r="AH67" s="21330">
        <f>HLOOKUP("BC",A1:CV300,67,FALSE) - HLOOKUP("BC Miss",A1:CV300,67,FALSE)</f>
      </c>
      <c r="AI67" s="21331">
        <f>IF(HLOOKUP("Gs",A1:CV300,67,FALSE)=0,0,HLOOKUP("Gs - BC",A1:CV300,67,FALSE)/HLOOKUP("Gs",A1:CV300,67,FALSE))</f>
      </c>
      <c r="AJ67" t="n" s="21332">
        <v>0.0</v>
      </c>
      <c r="AK67" t="n" s="21333">
        <v>0.0</v>
      </c>
      <c r="AL67" s="21334">
        <f>HLOOKUP("BC",A1:CV300,67,FALSE) - (HLOOKUP("PK Gs",A1:CV300,67,FALSE) + HLOOKUP("PK Miss",A1:CV300,67,FALSE))</f>
      </c>
      <c r="AM67" s="21335">
        <f>HLOOKUP("BC Miss",A1:CV300,67,FALSE) - HLOOKUP("PK Miss",A1:CV300,67,FALSE)</f>
      </c>
      <c r="AN67" s="21336">
        <f>IF(HLOOKUP("BC - Open",A1:CV300,67,FALSE)=0,0,HLOOKUP("BC - Open Miss",A1:CV300,67,FALSE)/HLOOKUP("BC - Open",A1:CV300,67,FALSE))</f>
      </c>
      <c r="AO67" t="n" s="21337">
        <v>0.0</v>
      </c>
      <c r="AP67" s="21338">
        <f>IF(HLOOKUP("Gs",A1:CV300,67,FALSE)=0,0,HLOOKUP("GIB",A1:CV300,67,FALSE)/HLOOKUP("Gs",A1:CV300,67,FALSE))</f>
      </c>
      <c r="AQ67" t="n" s="21339">
        <v>0.0</v>
      </c>
      <c r="AR67" s="21340">
        <f>IF(HLOOKUP("Gs",A1:CV300,67,FALSE)=0,0,HLOOKUP("Gs - Open",A1:CV300,67,FALSE)/HLOOKUP("Gs",A1:CV300,67,FALSE))</f>
      </c>
      <c r="AS67" t="n" s="21341">
        <v>1.12</v>
      </c>
      <c r="AT67" t="n" s="21342">
        <v>0.6</v>
      </c>
      <c r="AU67" s="21343">
        <f>IF(HLOOKUP("Mins",A1:CV300,67,FALSE)=0,0,HLOOKUP("Pts",A1:CV300,67,FALSE)/HLOOKUP("Mins",A1:CV300,67,FALSE)* 90)</f>
      </c>
      <c r="AV67" s="21344">
        <f>IF(HLOOKUP("Apps",A1:CV300,67,FALSE)=0,0,HLOOKUP("Pts",A1:CV300,67,FALSE)/HLOOKUP("Apps",A1:CV300,67,FALSE)* 1)</f>
      </c>
      <c r="AW67" s="21345">
        <f>IF(HLOOKUP("Mins",A1:CV300,67,FALSE)=0,0,HLOOKUP("Gs",A1:CV300,67,FALSE)/HLOOKUP("Mins",A1:CV300,67,FALSE)* 90)</f>
      </c>
      <c r="AX67" s="21346">
        <f>IF(HLOOKUP("Mins",A1:CV300,67,FALSE)=0,0,HLOOKUP("Bonus",A1:CV300,67,FALSE)/HLOOKUP("Mins",A1:CV300,67,FALSE)* 90)</f>
      </c>
      <c r="AY67" s="21347">
        <f>IF(HLOOKUP("Mins",A1:CV300,67,FALSE)=0,0,HLOOKUP("BPS",A1:CV300,67,FALSE)/HLOOKUP("Mins",A1:CV300,67,FALSE)* 90)</f>
      </c>
      <c r="AZ67" s="21348">
        <f>IF(HLOOKUP("Mins",A1:CV300,67,FALSE)=0,0,HLOOKUP("Base BPS",A1:CV300,67,FALSE)/HLOOKUP("Mins",A1:CV300,67,FALSE)* 90)</f>
      </c>
      <c r="BA67" s="21349">
        <f>IF(HLOOKUP("Mins",A1:CV300,67,FALSE)=0,0,HLOOKUP("PenTchs",A1:CV300,67,FALSE)/HLOOKUP("Mins",A1:CV300,67,FALSE)* 90)</f>
      </c>
      <c r="BB67" s="21350">
        <f>IF(HLOOKUP("Mins",A1:CV300,67,FALSE)=0,0,HLOOKUP("Shots",A1:CV300,67,FALSE)/HLOOKUP("Mins",A1:CV300,67,FALSE)* 90)</f>
      </c>
      <c r="BC67" s="21351">
        <f>IF(HLOOKUP("Mins",A1:CV300,67,FALSE)=0,0,HLOOKUP("SIB",A1:CV300,67,FALSE)/HLOOKUP("Mins",A1:CV300,67,FALSE)* 90)</f>
      </c>
      <c r="BD67" s="21352">
        <f>IF(HLOOKUP("Mins",A1:CV300,67,FALSE)=0,0,HLOOKUP("S6YD",A1:CV300,67,FALSE)/HLOOKUP("Mins",A1:CV300,67,FALSE)* 90)</f>
      </c>
      <c r="BE67" s="21353">
        <f>IF(HLOOKUP("Mins",A1:CV300,67,FALSE)=0,0,HLOOKUP("Headers",A1:CV300,67,FALSE)/HLOOKUP("Mins",A1:CV300,67,FALSE)* 90)</f>
      </c>
      <c r="BF67" s="21354">
        <f>IF(HLOOKUP("Mins",A1:CV300,67,FALSE)=0,0,HLOOKUP("SOT",A1:CV300,67,FALSE)/HLOOKUP("Mins",A1:CV300,67,FALSE)* 90)</f>
      </c>
      <c r="BG67" s="21355">
        <f>IF(HLOOKUP("Mins",A1:CV300,67,FALSE)=0,0,HLOOKUP("As",A1:CV300,67,FALSE)/HLOOKUP("Mins",A1:CV300,67,FALSE)* 90)</f>
      </c>
      <c r="BH67" s="21356">
        <f>IF(HLOOKUP("Mins",A1:CV300,67,FALSE)=0,0,HLOOKUP("FPL As",A1:CV300,67,FALSE)/HLOOKUP("Mins",A1:CV300,67,FALSE)* 90)</f>
      </c>
      <c r="BI67" s="21357">
        <f>IF(HLOOKUP("Mins",A1:CV300,67,FALSE)=0,0,HLOOKUP("BC Created",A1:CV300,67,FALSE)/HLOOKUP("Mins",A1:CV300,67,FALSE)* 90)</f>
      </c>
      <c r="BJ67" s="21358">
        <f>IF(HLOOKUP("Mins",A1:CV300,67,FALSE)=0,0,HLOOKUP("KP",A1:CV300,67,FALSE)/HLOOKUP("Mins",A1:CV300,67,FALSE)* 90)</f>
      </c>
      <c r="BK67" s="21359">
        <f>IF(HLOOKUP("Mins",A1:CV300,67,FALSE)=0,0,HLOOKUP("BC",A1:CV300,67,FALSE)/HLOOKUP("Mins",A1:CV300,67,FALSE)* 90)</f>
      </c>
      <c r="BL67" s="21360">
        <f>IF(HLOOKUP("Mins",A1:CV300,67,FALSE)=0,0,HLOOKUP("BC Miss",A1:CV300,67,FALSE)/HLOOKUP("Mins",A1:CV300,67,FALSE)* 90)</f>
      </c>
      <c r="BM67" s="21361">
        <f>IF(HLOOKUP("Mins",A1:CV300,67,FALSE)=0,0,HLOOKUP("Gs - BC",A1:CV300,67,FALSE)/HLOOKUP("Mins",A1:CV300,67,FALSE)* 90)</f>
      </c>
      <c r="BN67" s="21362">
        <f>IF(HLOOKUP("Mins",A1:CV300,67,FALSE)=0,0,HLOOKUP("GIB",A1:CV300,67,FALSE)/HLOOKUP("Mins",A1:CV300,67,FALSE)* 90)</f>
      </c>
      <c r="BO67" s="21363">
        <f>IF(HLOOKUP("Mins",A1:CV300,67,FALSE)=0,0,HLOOKUP("Gs - Open",A1:CV300,67,FALSE)/HLOOKUP("Mins",A1:CV300,67,FALSE)* 90)</f>
      </c>
      <c r="BP67" s="21364">
        <f>IF(HLOOKUP("Mins",A1:CV300,67,FALSE)=0,0,HLOOKUP("ICT Index",A1:CV300,67,FALSE)/HLOOKUP("Mins",A1:CV300,67,FALSE)* 90)</f>
      </c>
      <c r="BQ67" s="21365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</c>
      <c r="BR67" s="21366">
        <f>0.0885*HLOOKUP("KP/90",A1:CV300,67,FALSE)</f>
      </c>
      <c r="BS67" s="21367">
        <f>5*HLOOKUP("xG/90",A1:CV300,67,FALSE)+3*HLOOKUP("xA/90",A1:CV300,67,FALSE)</f>
      </c>
      <c r="BT67" s="21368">
        <f>HLOOKUP("xPts/90",A1:CV300,67,FALSE)-(5*0.75*(HLOOKUP("PK Gs",A1:CV300,67,FALSE)+HLOOKUP("PK Miss",A1:CV300,67,FALSE))*90/HLOOKUP("Mins",A1:CV300,67,FALSE))</f>
      </c>
      <c r="BU67" s="21369">
        <f>IF(HLOOKUP("Mins",A1:CV300,67,FALSE)=0,0,HLOOKUP("fsXG",A1:CV300,67,FALSE)/HLOOKUP("Mins",A1:CV300,67,FALSE)* 90)</f>
      </c>
      <c r="BV67" s="21370">
        <f>IF(HLOOKUP("Mins",A1:CV300,67,FALSE)=0,0,HLOOKUP("fsXA",A1:CV300,67,FALSE)/HLOOKUP("Mins",A1:CV300,67,FALSE)* 90)</f>
      </c>
      <c r="BW67" s="21371">
        <f>5*HLOOKUP("fsXG/90",A1:CV300,67,FALSE)+3*HLOOKUP("fsXA/90",A1:CV300,67,FALSE)</f>
      </c>
      <c r="BX67" t="n" s="21372">
        <v>0.1870870739221573</v>
      </c>
      <c r="BY67" t="n" s="21373">
        <v>0.19331566989421844</v>
      </c>
      <c r="BZ67" s="21374">
        <f>5*HLOOKUP("uXG/90",A1:CV300,67,FALSE)+3*HLOOKUP("uXA/90",A1:CV300,67,FALSE)</f>
      </c>
    </row>
    <row r="68">
      <c r="A68" t="s" s="21375">
        <v>371</v>
      </c>
      <c r="B68" t="s" s="21376">
        <v>105</v>
      </c>
      <c r="C68" t="n" s="21377">
        <v>5.199999809265137</v>
      </c>
      <c r="D68" t="n" s="21378">
        <v>423.0</v>
      </c>
      <c r="E68" t="n" s="21379">
        <v>5.0</v>
      </c>
      <c r="F68" t="n" s="21380">
        <v>40.0</v>
      </c>
      <c r="G68" t="n" s="21381">
        <v>0.0</v>
      </c>
      <c r="H68" t="n" s="21382">
        <v>1.0</v>
      </c>
      <c r="I68" t="n" s="21383">
        <v>300.0</v>
      </c>
      <c r="J68" s="21384">
        <f>HLOOKUP("BPS",A1:CV300,68,FALSE)-((-6*HLOOKUP("OG",A1:CV300,68,FALSE))+(-6*HLOOKUP("PK Miss",A1:CV300,68,FALSE))+(9*HLOOKUP("FPL As",A1:CV300,68,FALSE))+(0*HLOOKUP("CS",A1:CV300,68,FALSE))+(18*HLOOKUP("Gs",A1:CV300,68,FALSE)))</f>
      </c>
      <c r="K68" t="n" s="21385">
        <v>1.0</v>
      </c>
      <c r="L68" t="n" s="21386">
        <v>8.0</v>
      </c>
      <c r="M68" t="n" s="21387">
        <v>4.0</v>
      </c>
      <c r="N68" t="n" s="21388">
        <v>3.0</v>
      </c>
      <c r="O68" t="n" s="21389">
        <v>2.0</v>
      </c>
      <c r="P68" s="21390">
        <f>IF(HLOOKUP("Shots",A1:CV300,68,FALSE)=0,0,HLOOKUP("SIB",A1:CV300,68,FALSE)/HLOOKUP("Shots",A1:CV300,68,FALSE))</f>
      </c>
      <c r="Q68" t="n" s="21391">
        <v>0.0</v>
      </c>
      <c r="R68" s="21392">
        <f>IF(HLOOKUP("Shots",A1:CV300,68,FALSE)=0,0,HLOOKUP("S6YD",A1:CV300,68,FALSE)/HLOOKUP("Shots",A1:CV300,68,FALSE))</f>
      </c>
      <c r="S68" t="n" s="21393">
        <v>1.0</v>
      </c>
      <c r="T68" s="21394">
        <f>IF(HLOOKUP("Shots",A1:CV300,68,FALSE)=0,0,HLOOKUP("Headers",A1:CV300,68,FALSE)/HLOOKUP("Shots",A1:CV300,68,FALSE))</f>
      </c>
      <c r="U68" t="n" s="21395">
        <v>0.0</v>
      </c>
      <c r="V68" s="21396">
        <f>IF(HLOOKUP("Shots",A1:CV300,68,FALSE)=0,0,HLOOKUP("SOT",A1:CV300,68,FALSE)/HLOOKUP("Shots",A1:CV300,68,FALSE))</f>
      </c>
      <c r="W68" s="21397">
        <f>IF(HLOOKUP("Shots",A1:CV300,68,FALSE)=0,0,HLOOKUP("Gs",A1:CV300,68,FALSE)/HLOOKUP("Shots",A1:CV300,68,FALSE))</f>
      </c>
      <c r="X68" t="n" s="21398">
        <v>0.0</v>
      </c>
      <c r="Y68" t="n" s="21399">
        <v>0.0</v>
      </c>
      <c r="Z68" t="n" s="21400">
        <v>3.0</v>
      </c>
      <c r="AA68" s="21401">
        <f>IF(HLOOKUP("KP",A1:CV300,68,FALSE)=0,0,HLOOKUP("As",A1:CV300,68,FALSE)/HLOOKUP("KP",A1:CV300,68,FALSE))</f>
      </c>
      <c r="AB68" s="21402"/>
      <c r="AC68" t="n" s="21403">
        <v>0.0</v>
      </c>
      <c r="AD68" t="n" s="21404">
        <v>0.0</v>
      </c>
      <c r="AE68" t="n" s="21405">
        <v>0.0</v>
      </c>
      <c r="AF68" t="n" s="21406">
        <v>0.0</v>
      </c>
      <c r="AG68" s="21407">
        <f>IF(HLOOKUP("BC",A1:CV300,68,FALSE)=0,0,HLOOKUP("Gs - BC",A1:CV300,68,FALSE)/HLOOKUP("BC",A1:CV300,68,FALSE))</f>
      </c>
      <c r="AH68" s="21408">
        <f>HLOOKUP("BC",A1:CV300,68,FALSE) - HLOOKUP("BC Miss",A1:CV300,68,FALSE)</f>
      </c>
      <c r="AI68" s="21409">
        <f>IF(HLOOKUP("Gs",A1:CV300,68,FALSE)=0,0,HLOOKUP("Gs - BC",A1:CV300,68,FALSE)/HLOOKUP("Gs",A1:CV300,68,FALSE))</f>
      </c>
      <c r="AJ68" t="n" s="21410">
        <v>0.0</v>
      </c>
      <c r="AK68" t="n" s="21411">
        <v>0.0</v>
      </c>
      <c r="AL68" s="21412">
        <f>HLOOKUP("BC",A1:CV300,68,FALSE) - (HLOOKUP("PK Gs",A1:CV300,68,FALSE) + HLOOKUP("PK Miss",A1:CV300,68,FALSE))</f>
      </c>
      <c r="AM68" s="21413">
        <f>HLOOKUP("BC Miss",A1:CV300,68,FALSE) - HLOOKUP("PK Miss",A1:CV300,68,FALSE)</f>
      </c>
      <c r="AN68" s="21414">
        <f>IF(HLOOKUP("BC - Open",A1:CV300,68,FALSE)=0,0,HLOOKUP("BC - Open Miss",A1:CV300,68,FALSE)/HLOOKUP("BC - Open",A1:CV300,68,FALSE))</f>
      </c>
      <c r="AO68" t="n" s="21415">
        <v>0.0</v>
      </c>
      <c r="AP68" s="21416">
        <f>IF(HLOOKUP("Gs",A1:CV300,68,FALSE)=0,0,HLOOKUP("GIB",A1:CV300,68,FALSE)/HLOOKUP("Gs",A1:CV300,68,FALSE))</f>
      </c>
      <c r="AQ68" t="n" s="21417">
        <v>0.0</v>
      </c>
      <c r="AR68" s="21418">
        <f>IF(HLOOKUP("Gs",A1:CV300,68,FALSE)=0,0,HLOOKUP("Gs - Open",A1:CV300,68,FALSE)/HLOOKUP("Gs",A1:CV300,68,FALSE))</f>
      </c>
      <c r="AS68" t="n" s="21419">
        <v>0.17</v>
      </c>
      <c r="AT68" t="n" s="21420">
        <v>0.35</v>
      </c>
      <c r="AU68" s="21421">
        <f>IF(HLOOKUP("Mins",A1:CV300,68,FALSE)=0,0,HLOOKUP("Pts",A1:CV300,68,FALSE)/HLOOKUP("Mins",A1:CV300,68,FALSE)* 90)</f>
      </c>
      <c r="AV68" s="21422">
        <f>IF(HLOOKUP("Apps",A1:CV300,68,FALSE)=0,0,HLOOKUP("Pts",A1:CV300,68,FALSE)/HLOOKUP("Apps",A1:CV300,68,FALSE)* 1)</f>
      </c>
      <c r="AW68" s="21423">
        <f>IF(HLOOKUP("Mins",A1:CV300,68,FALSE)=0,0,HLOOKUP("Gs",A1:CV300,68,FALSE)/HLOOKUP("Mins",A1:CV300,68,FALSE)* 90)</f>
      </c>
      <c r="AX68" s="21424">
        <f>IF(HLOOKUP("Mins",A1:CV300,68,FALSE)=0,0,HLOOKUP("Bonus",A1:CV300,68,FALSE)/HLOOKUP("Mins",A1:CV300,68,FALSE)* 90)</f>
      </c>
      <c r="AY68" s="21425">
        <f>IF(HLOOKUP("Mins",A1:CV300,68,FALSE)=0,0,HLOOKUP("BPS",A1:CV300,68,FALSE)/HLOOKUP("Mins",A1:CV300,68,FALSE)* 90)</f>
      </c>
      <c r="AZ68" s="21426">
        <f>IF(HLOOKUP("Mins",A1:CV300,68,FALSE)=0,0,HLOOKUP("Base BPS",A1:CV300,68,FALSE)/HLOOKUP("Mins",A1:CV300,68,FALSE)* 90)</f>
      </c>
      <c r="BA68" s="21427">
        <f>IF(HLOOKUP("Mins",A1:CV300,68,FALSE)=0,0,HLOOKUP("PenTchs",A1:CV300,68,FALSE)/HLOOKUP("Mins",A1:CV300,68,FALSE)* 90)</f>
      </c>
      <c r="BB68" s="21428">
        <f>IF(HLOOKUP("Mins",A1:CV300,68,FALSE)=0,0,HLOOKUP("Shots",A1:CV300,68,FALSE)/HLOOKUP("Mins",A1:CV300,68,FALSE)* 90)</f>
      </c>
      <c r="BC68" s="21429">
        <f>IF(HLOOKUP("Mins",A1:CV300,68,FALSE)=0,0,HLOOKUP("SIB",A1:CV300,68,FALSE)/HLOOKUP("Mins",A1:CV300,68,FALSE)* 90)</f>
      </c>
      <c r="BD68" s="21430">
        <f>IF(HLOOKUP("Mins",A1:CV300,68,FALSE)=0,0,HLOOKUP("S6YD",A1:CV300,68,FALSE)/HLOOKUP("Mins",A1:CV300,68,FALSE)* 90)</f>
      </c>
      <c r="BE68" s="21431">
        <f>IF(HLOOKUP("Mins",A1:CV300,68,FALSE)=0,0,HLOOKUP("Headers",A1:CV300,68,FALSE)/HLOOKUP("Mins",A1:CV300,68,FALSE)* 90)</f>
      </c>
      <c r="BF68" s="21432">
        <f>IF(HLOOKUP("Mins",A1:CV300,68,FALSE)=0,0,HLOOKUP("SOT",A1:CV300,68,FALSE)/HLOOKUP("Mins",A1:CV300,68,FALSE)* 90)</f>
      </c>
      <c r="BG68" s="21433">
        <f>IF(HLOOKUP("Mins",A1:CV300,68,FALSE)=0,0,HLOOKUP("As",A1:CV300,68,FALSE)/HLOOKUP("Mins",A1:CV300,68,FALSE)* 90)</f>
      </c>
      <c r="BH68" s="21434">
        <f>IF(HLOOKUP("Mins",A1:CV300,68,FALSE)=0,0,HLOOKUP("FPL As",A1:CV300,68,FALSE)/HLOOKUP("Mins",A1:CV300,68,FALSE)* 90)</f>
      </c>
      <c r="BI68" s="21435">
        <f>IF(HLOOKUP("Mins",A1:CV300,68,FALSE)=0,0,HLOOKUP("BC Created",A1:CV300,68,FALSE)/HLOOKUP("Mins",A1:CV300,68,FALSE)* 90)</f>
      </c>
      <c r="BJ68" s="21436">
        <f>IF(HLOOKUP("Mins",A1:CV300,68,FALSE)=0,0,HLOOKUP("KP",A1:CV300,68,FALSE)/HLOOKUP("Mins",A1:CV300,68,FALSE)* 90)</f>
      </c>
      <c r="BK68" s="21437">
        <f>IF(HLOOKUP("Mins",A1:CV300,68,FALSE)=0,0,HLOOKUP("BC",A1:CV300,68,FALSE)/HLOOKUP("Mins",A1:CV300,68,FALSE)* 90)</f>
      </c>
      <c r="BL68" s="21438">
        <f>IF(HLOOKUP("Mins",A1:CV300,68,FALSE)=0,0,HLOOKUP("BC Miss",A1:CV300,68,FALSE)/HLOOKUP("Mins",A1:CV300,68,FALSE)* 90)</f>
      </c>
      <c r="BM68" s="21439">
        <f>IF(HLOOKUP("Mins",A1:CV300,68,FALSE)=0,0,HLOOKUP("Gs - BC",A1:CV300,68,FALSE)/HLOOKUP("Mins",A1:CV300,68,FALSE)* 90)</f>
      </c>
      <c r="BN68" s="21440">
        <f>IF(HLOOKUP("Mins",A1:CV300,68,FALSE)=0,0,HLOOKUP("GIB",A1:CV300,68,FALSE)/HLOOKUP("Mins",A1:CV300,68,FALSE)* 90)</f>
      </c>
      <c r="BO68" s="21441">
        <f>IF(HLOOKUP("Mins",A1:CV300,68,FALSE)=0,0,HLOOKUP("Gs - Open",A1:CV300,68,FALSE)/HLOOKUP("Mins",A1:CV300,68,FALSE)* 90)</f>
      </c>
      <c r="BP68" s="21442">
        <f>IF(HLOOKUP("Mins",A1:CV300,68,FALSE)=0,0,HLOOKUP("ICT Index",A1:CV300,68,FALSE)/HLOOKUP("Mins",A1:CV300,68,FALSE)* 90)</f>
      </c>
      <c r="BQ68" s="21443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</c>
      <c r="BR68" s="21444">
        <f>0.0885*HLOOKUP("KP/90",A1:CV300,68,FALSE)</f>
      </c>
      <c r="BS68" s="21445">
        <f>5*HLOOKUP("xG/90",A1:CV300,68,FALSE)+3*HLOOKUP("xA/90",A1:CV300,68,FALSE)</f>
      </c>
      <c r="BT68" s="21446">
        <f>HLOOKUP("xPts/90",A1:CV300,68,FALSE)-(5*0.75*(HLOOKUP("PK Gs",A1:CV300,68,FALSE)+HLOOKUP("PK Miss",A1:CV300,68,FALSE))*90/HLOOKUP("Mins",A1:CV300,68,FALSE))</f>
      </c>
      <c r="BU68" s="21447">
        <f>IF(HLOOKUP("Mins",A1:CV300,68,FALSE)=0,0,HLOOKUP("fsXG",A1:CV300,68,FALSE)/HLOOKUP("Mins",A1:CV300,68,FALSE)* 90)</f>
      </c>
      <c r="BV68" s="21448">
        <f>IF(HLOOKUP("Mins",A1:CV300,68,FALSE)=0,0,HLOOKUP("fsXA",A1:CV300,68,FALSE)/HLOOKUP("Mins",A1:CV300,68,FALSE)* 90)</f>
      </c>
      <c r="BW68" s="21449">
        <f>5*HLOOKUP("fsXG/90",A1:CV300,68,FALSE)+3*HLOOKUP("fsXA/90",A1:CV300,68,FALSE)</f>
      </c>
      <c r="BX68" t="n" s="21450">
        <v>0.021304355934262276</v>
      </c>
      <c r="BY68" t="n" s="21451">
        <v>0.03079226054251194</v>
      </c>
      <c r="BZ68" s="21452">
        <f>5*HLOOKUP("uXG/90",A1:CV300,68,FALSE)+3*HLOOKUP("uXA/90",A1:CV300,68,FALSE)</f>
      </c>
    </row>
    <row r="69">
      <c r="A69" t="s" s="21453">
        <v>372</v>
      </c>
      <c r="B69" t="s" s="21454">
        <v>80</v>
      </c>
      <c r="C69" t="n" s="21455">
        <v>7.199999809265137</v>
      </c>
      <c r="D69" t="n" s="21456">
        <v>457.0</v>
      </c>
      <c r="E69" t="n" s="21457">
        <v>6.0</v>
      </c>
      <c r="F69" t="n" s="21458">
        <v>45.0</v>
      </c>
      <c r="G69" t="n" s="21459">
        <v>1.0</v>
      </c>
      <c r="H69" t="n" s="21460">
        <v>1.0</v>
      </c>
      <c r="I69" t="n" s="21461">
        <v>220.0</v>
      </c>
      <c r="J69" s="21462">
        <f>HLOOKUP("BPS",A1:CV300,69,FALSE)-((-6*HLOOKUP("OG",A1:CV300,69,FALSE))+(-6*HLOOKUP("PK Miss",A1:CV300,69,FALSE))+(9*HLOOKUP("FPL As",A1:CV300,69,FALSE))+(0*HLOOKUP("CS",A1:CV300,69,FALSE))+(18*HLOOKUP("Gs",A1:CV300,69,FALSE)))</f>
      </c>
      <c r="K69" t="n" s="21463">
        <v>0.0</v>
      </c>
      <c r="L69" t="n" s="21464">
        <v>4.0</v>
      </c>
      <c r="M69" t="n" s="21465">
        <v>6.0</v>
      </c>
      <c r="N69" t="n" s="21466">
        <v>2.0</v>
      </c>
      <c r="O69" t="n" s="21467">
        <v>1.0</v>
      </c>
      <c r="P69" s="21468">
        <f>IF(HLOOKUP("Shots",A1:CV300,69,FALSE)=0,0,HLOOKUP("SIB",A1:CV300,69,FALSE)/HLOOKUP("Shots",A1:CV300,69,FALSE))</f>
      </c>
      <c r="Q69" t="n" s="21469">
        <v>0.0</v>
      </c>
      <c r="R69" s="21470">
        <f>IF(HLOOKUP("Shots",A1:CV300,69,FALSE)=0,0,HLOOKUP("S6YD",A1:CV300,69,FALSE)/HLOOKUP("Shots",A1:CV300,69,FALSE))</f>
      </c>
      <c r="S69" t="n" s="21471">
        <v>0.0</v>
      </c>
      <c r="T69" s="21472">
        <f>IF(HLOOKUP("Shots",A1:CV300,69,FALSE)=0,0,HLOOKUP("Headers",A1:CV300,69,FALSE)/HLOOKUP("Shots",A1:CV300,69,FALSE))</f>
      </c>
      <c r="U69" t="n" s="21473">
        <v>1.0</v>
      </c>
      <c r="V69" s="21474">
        <f>IF(HLOOKUP("Shots",A1:CV300,69,FALSE)=0,0,HLOOKUP("SOT",A1:CV300,69,FALSE)/HLOOKUP("Shots",A1:CV300,69,FALSE))</f>
      </c>
      <c r="W69" s="21475">
        <f>IF(HLOOKUP("Shots",A1:CV300,69,FALSE)=0,0,HLOOKUP("Gs",A1:CV300,69,FALSE)/HLOOKUP("Shots",A1:CV300,69,FALSE))</f>
      </c>
      <c r="X69" t="n" s="21476">
        <v>0.0</v>
      </c>
      <c r="Y69" t="n" s="21477">
        <v>2.0</v>
      </c>
      <c r="Z69" t="n" s="21478">
        <v>11.0</v>
      </c>
      <c r="AA69" s="21479">
        <f>IF(HLOOKUP("KP",A1:CV300,69,FALSE)=0,0,HLOOKUP("As",A1:CV300,69,FALSE)/HLOOKUP("KP",A1:CV300,69,FALSE))</f>
      </c>
      <c r="AB69" s="21480"/>
      <c r="AC69" t="n" s="21481">
        <v>14.0</v>
      </c>
      <c r="AD69" t="n" s="21482">
        <v>0.0</v>
      </c>
      <c r="AE69" t="n" s="21483">
        <v>1.0</v>
      </c>
      <c r="AF69" t="n" s="21484">
        <v>0.0</v>
      </c>
      <c r="AG69" s="21485">
        <f>IF(HLOOKUP("BC",A1:CV300,69,FALSE)=0,0,HLOOKUP("Gs - BC",A1:CV300,69,FALSE)/HLOOKUP("BC",A1:CV300,69,FALSE))</f>
      </c>
      <c r="AH69" s="21486">
        <f>HLOOKUP("BC",A1:CV300,69,FALSE) - HLOOKUP("BC Miss",A1:CV300,69,FALSE)</f>
      </c>
      <c r="AI69" s="21487">
        <f>IF(HLOOKUP("Gs",A1:CV300,69,FALSE)=0,0,HLOOKUP("Gs - BC",A1:CV300,69,FALSE)/HLOOKUP("Gs",A1:CV300,69,FALSE))</f>
      </c>
      <c r="AJ69" t="n" s="21488">
        <v>0.0</v>
      </c>
      <c r="AK69" t="n" s="21489">
        <v>0.0</v>
      </c>
      <c r="AL69" s="21490">
        <f>HLOOKUP("BC",A1:CV300,69,FALSE) - (HLOOKUP("PK Gs",A1:CV300,69,FALSE) + HLOOKUP("PK Miss",A1:CV300,69,FALSE))</f>
      </c>
      <c r="AM69" s="21491">
        <f>HLOOKUP("BC Miss",A1:CV300,69,FALSE) - HLOOKUP("PK Miss",A1:CV300,69,FALSE)</f>
      </c>
      <c r="AN69" s="21492">
        <f>IF(HLOOKUP("BC - Open",A1:CV300,69,FALSE)=0,0,HLOOKUP("BC - Open Miss",A1:CV300,69,FALSE)/HLOOKUP("BC - Open",A1:CV300,69,FALSE))</f>
      </c>
      <c r="AO69" t="n" s="21493">
        <v>1.0</v>
      </c>
      <c r="AP69" s="21494">
        <f>IF(HLOOKUP("Gs",A1:CV300,69,FALSE)=0,0,HLOOKUP("GIB",A1:CV300,69,FALSE)/HLOOKUP("Gs",A1:CV300,69,FALSE))</f>
      </c>
      <c r="AQ69" t="n" s="21495">
        <v>1.0</v>
      </c>
      <c r="AR69" s="21496">
        <f>IF(HLOOKUP("Gs",A1:CV300,69,FALSE)=0,0,HLOOKUP("Gs - Open",A1:CV300,69,FALSE)/HLOOKUP("Gs",A1:CV300,69,FALSE))</f>
      </c>
      <c r="AS69" t="n" s="21497">
        <v>0.54</v>
      </c>
      <c r="AT69" t="n" s="21498">
        <v>0.41</v>
      </c>
      <c r="AU69" s="21499">
        <f>IF(HLOOKUP("Mins",A1:CV300,69,FALSE)=0,0,HLOOKUP("Pts",A1:CV300,69,FALSE)/HLOOKUP("Mins",A1:CV300,69,FALSE)* 90)</f>
      </c>
      <c r="AV69" s="21500">
        <f>IF(HLOOKUP("Apps",A1:CV300,69,FALSE)=0,0,HLOOKUP("Pts",A1:CV300,69,FALSE)/HLOOKUP("Apps",A1:CV300,69,FALSE)* 1)</f>
      </c>
      <c r="AW69" s="21501">
        <f>IF(HLOOKUP("Mins",A1:CV300,69,FALSE)=0,0,HLOOKUP("Gs",A1:CV300,69,FALSE)/HLOOKUP("Mins",A1:CV300,69,FALSE)* 90)</f>
      </c>
      <c r="AX69" s="21502">
        <f>IF(HLOOKUP("Mins",A1:CV300,69,FALSE)=0,0,HLOOKUP("Bonus",A1:CV300,69,FALSE)/HLOOKUP("Mins",A1:CV300,69,FALSE)* 90)</f>
      </c>
      <c r="AY69" s="21503">
        <f>IF(HLOOKUP("Mins",A1:CV300,69,FALSE)=0,0,HLOOKUP("BPS",A1:CV300,69,FALSE)/HLOOKUP("Mins",A1:CV300,69,FALSE)* 90)</f>
      </c>
      <c r="AZ69" s="21504">
        <f>IF(HLOOKUP("Mins",A1:CV300,69,FALSE)=0,0,HLOOKUP("Base BPS",A1:CV300,69,FALSE)/HLOOKUP("Mins",A1:CV300,69,FALSE)* 90)</f>
      </c>
      <c r="BA69" s="21505">
        <f>IF(HLOOKUP("Mins",A1:CV300,69,FALSE)=0,0,HLOOKUP("PenTchs",A1:CV300,69,FALSE)/HLOOKUP("Mins",A1:CV300,69,FALSE)* 90)</f>
      </c>
      <c r="BB69" s="21506">
        <f>IF(HLOOKUP("Mins",A1:CV300,69,FALSE)=0,0,HLOOKUP("Shots",A1:CV300,69,FALSE)/HLOOKUP("Mins",A1:CV300,69,FALSE)* 90)</f>
      </c>
      <c r="BC69" s="21507">
        <f>IF(HLOOKUP("Mins",A1:CV300,69,FALSE)=0,0,HLOOKUP("SIB",A1:CV300,69,FALSE)/HLOOKUP("Mins",A1:CV300,69,FALSE)* 90)</f>
      </c>
      <c r="BD69" s="21508">
        <f>IF(HLOOKUP("Mins",A1:CV300,69,FALSE)=0,0,HLOOKUP("S6YD",A1:CV300,69,FALSE)/HLOOKUP("Mins",A1:CV300,69,FALSE)* 90)</f>
      </c>
      <c r="BE69" s="21509">
        <f>IF(HLOOKUP("Mins",A1:CV300,69,FALSE)=0,0,HLOOKUP("Headers",A1:CV300,69,FALSE)/HLOOKUP("Mins",A1:CV300,69,FALSE)* 90)</f>
      </c>
      <c r="BF69" s="21510">
        <f>IF(HLOOKUP("Mins",A1:CV300,69,FALSE)=0,0,HLOOKUP("SOT",A1:CV300,69,FALSE)/HLOOKUP("Mins",A1:CV300,69,FALSE)* 90)</f>
      </c>
      <c r="BG69" s="21511">
        <f>IF(HLOOKUP("Mins",A1:CV300,69,FALSE)=0,0,HLOOKUP("As",A1:CV300,69,FALSE)/HLOOKUP("Mins",A1:CV300,69,FALSE)* 90)</f>
      </c>
      <c r="BH69" s="21512">
        <f>IF(HLOOKUP("Mins",A1:CV300,69,FALSE)=0,0,HLOOKUP("FPL As",A1:CV300,69,FALSE)/HLOOKUP("Mins",A1:CV300,69,FALSE)* 90)</f>
      </c>
      <c r="BI69" s="21513">
        <f>IF(HLOOKUP("Mins",A1:CV300,69,FALSE)=0,0,HLOOKUP("BC Created",A1:CV300,69,FALSE)/HLOOKUP("Mins",A1:CV300,69,FALSE)* 90)</f>
      </c>
      <c r="BJ69" s="21514">
        <f>IF(HLOOKUP("Mins",A1:CV300,69,FALSE)=0,0,HLOOKUP("KP",A1:CV300,69,FALSE)/HLOOKUP("Mins",A1:CV300,69,FALSE)* 90)</f>
      </c>
      <c r="BK69" s="21515">
        <f>IF(HLOOKUP("Mins",A1:CV300,69,FALSE)=0,0,HLOOKUP("BC",A1:CV300,69,FALSE)/HLOOKUP("Mins",A1:CV300,69,FALSE)* 90)</f>
      </c>
      <c r="BL69" s="21516">
        <f>IF(HLOOKUP("Mins",A1:CV300,69,FALSE)=0,0,HLOOKUP("BC Miss",A1:CV300,69,FALSE)/HLOOKUP("Mins",A1:CV300,69,FALSE)* 90)</f>
      </c>
      <c r="BM69" s="21517">
        <f>IF(HLOOKUP("Mins",A1:CV300,69,FALSE)=0,0,HLOOKUP("Gs - BC",A1:CV300,69,FALSE)/HLOOKUP("Mins",A1:CV300,69,FALSE)* 90)</f>
      </c>
      <c r="BN69" s="21518">
        <f>IF(HLOOKUP("Mins",A1:CV300,69,FALSE)=0,0,HLOOKUP("GIB",A1:CV300,69,FALSE)/HLOOKUP("Mins",A1:CV300,69,FALSE)* 90)</f>
      </c>
      <c r="BO69" s="21519">
        <f>IF(HLOOKUP("Mins",A1:CV300,69,FALSE)=0,0,HLOOKUP("Gs - Open",A1:CV300,69,FALSE)/HLOOKUP("Mins",A1:CV300,69,FALSE)* 90)</f>
      </c>
      <c r="BP69" s="21520">
        <f>IF(HLOOKUP("Mins",A1:CV300,69,FALSE)=0,0,HLOOKUP("ICT Index",A1:CV300,69,FALSE)/HLOOKUP("Mins",A1:CV300,69,FALSE)* 90)</f>
      </c>
      <c r="BQ69" s="21521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</c>
      <c r="BR69" s="21522">
        <f>0.0885*HLOOKUP("KP/90",A1:CV300,69,FALSE)</f>
      </c>
      <c r="BS69" s="21523">
        <f>5*HLOOKUP("xG/90",A1:CV300,69,FALSE)+3*HLOOKUP("xA/90",A1:CV300,69,FALSE)</f>
      </c>
      <c r="BT69" s="21524">
        <f>HLOOKUP("xPts/90",A1:CV300,69,FALSE)-(5*0.75*(HLOOKUP("PK Gs",A1:CV300,69,FALSE)+HLOOKUP("PK Miss",A1:CV300,69,FALSE))*90/HLOOKUP("Mins",A1:CV300,69,FALSE))</f>
      </c>
      <c r="BU69" s="21525">
        <f>IF(HLOOKUP("Mins",A1:CV300,69,FALSE)=0,0,HLOOKUP("fsXG",A1:CV300,69,FALSE)/HLOOKUP("Mins",A1:CV300,69,FALSE)* 90)</f>
      </c>
      <c r="BV69" s="21526">
        <f>IF(HLOOKUP("Mins",A1:CV300,69,FALSE)=0,0,HLOOKUP("fsXA",A1:CV300,69,FALSE)/HLOOKUP("Mins",A1:CV300,69,FALSE)* 90)</f>
      </c>
      <c r="BW69" s="21527">
        <f>5*HLOOKUP("fsXG/90",A1:CV300,69,FALSE)+3*HLOOKUP("fsXA/90",A1:CV300,69,FALSE)</f>
      </c>
      <c r="BX69" t="n" s="21528">
        <v>0.1219034269452095</v>
      </c>
      <c r="BY69" t="n" s="21529">
        <v>0.106840580701828</v>
      </c>
      <c r="BZ69" s="21530">
        <f>5*HLOOKUP("uXG/90",A1:CV300,69,FALSE)+3*HLOOKUP("uXA/90",A1:CV300,69,FALSE)</f>
      </c>
    </row>
    <row r="70">
      <c r="A70" t="s" s="21531">
        <v>373</v>
      </c>
      <c r="B70" t="s" s="21532">
        <v>90</v>
      </c>
      <c r="C70" t="n" s="21533">
        <v>6.0</v>
      </c>
      <c r="D70" t="n" s="21534">
        <v>299.0</v>
      </c>
      <c r="E70" t="n" s="21535">
        <v>5.0</v>
      </c>
      <c r="F70" t="n" s="21536">
        <v>75.0</v>
      </c>
      <c r="G70" t="n" s="21537">
        <v>0.0</v>
      </c>
      <c r="H70" t="n" s="21538">
        <v>10.0</v>
      </c>
      <c r="I70" t="n" s="21539">
        <v>366.0</v>
      </c>
      <c r="J70" s="21540">
        <f>HLOOKUP("BPS",A1:CV300,70,FALSE)-((-6*HLOOKUP("OG",A1:CV300,70,FALSE))+(-6*HLOOKUP("PK Miss",A1:CV300,70,FALSE))+(9*HLOOKUP("FPL As",A1:CV300,70,FALSE))+(0*HLOOKUP("CS",A1:CV300,70,FALSE))+(18*HLOOKUP("Gs",A1:CV300,70,FALSE)))</f>
      </c>
      <c r="K70" t="n" s="21541">
        <v>0.0</v>
      </c>
      <c r="L70" t="n" s="21542">
        <v>2.0</v>
      </c>
      <c r="M70" t="n" s="21543">
        <v>12.0</v>
      </c>
      <c r="N70" t="n" s="21544">
        <v>9.0</v>
      </c>
      <c r="O70" t="n" s="21545">
        <v>4.0</v>
      </c>
      <c r="P70" s="21546">
        <f>IF(HLOOKUP("Shots",A1:CV300,70,FALSE)=0,0,HLOOKUP("SIB",A1:CV300,70,FALSE)/HLOOKUP("Shots",A1:CV300,70,FALSE))</f>
      </c>
      <c r="Q70" t="n" s="21547">
        <v>0.0</v>
      </c>
      <c r="R70" s="21548">
        <f>IF(HLOOKUP("Shots",A1:CV300,70,FALSE)=0,0,HLOOKUP("S6YD",A1:CV300,70,FALSE)/HLOOKUP("Shots",A1:CV300,70,FALSE))</f>
      </c>
      <c r="S70" t="n" s="21549">
        <v>1.0</v>
      </c>
      <c r="T70" s="21550">
        <f>IF(HLOOKUP("Shots",A1:CV300,70,FALSE)=0,0,HLOOKUP("Headers",A1:CV300,70,FALSE)/HLOOKUP("Shots",A1:CV300,70,FALSE))</f>
      </c>
      <c r="U70" t="n" s="21551">
        <v>3.0</v>
      </c>
      <c r="V70" s="21552">
        <f>IF(HLOOKUP("Shots",A1:CV300,70,FALSE)=0,0,HLOOKUP("SOT",A1:CV300,70,FALSE)/HLOOKUP("Shots",A1:CV300,70,FALSE))</f>
      </c>
      <c r="W70" s="21553">
        <f>IF(HLOOKUP("Shots",A1:CV300,70,FALSE)=0,0,HLOOKUP("Gs",A1:CV300,70,FALSE)/HLOOKUP("Shots",A1:CV300,70,FALSE))</f>
      </c>
      <c r="X70" t="n" s="21554">
        <v>1.0</v>
      </c>
      <c r="Y70" t="n" s="21555">
        <v>7.0</v>
      </c>
      <c r="Z70" t="n" s="21556">
        <v>12.0</v>
      </c>
      <c r="AA70" s="21557">
        <f>IF(HLOOKUP("KP",A1:CV300,70,FALSE)=0,0,HLOOKUP("As",A1:CV300,70,FALSE)/HLOOKUP("KP",A1:CV300,70,FALSE))</f>
      </c>
      <c r="AB70" s="21558"/>
      <c r="AC70" t="n" s="21559">
        <v>50.0</v>
      </c>
      <c r="AD70" t="n" s="21560">
        <v>2.0</v>
      </c>
      <c r="AE70" t="n" s="21561">
        <v>0.0</v>
      </c>
      <c r="AF70" t="n" s="21562">
        <v>0.0</v>
      </c>
      <c r="AG70" s="21563">
        <f>IF(HLOOKUP("BC",A1:CV300,70,FALSE)=0,0,HLOOKUP("Gs - BC",A1:CV300,70,FALSE)/HLOOKUP("BC",A1:CV300,70,FALSE))</f>
      </c>
      <c r="AH70" s="21564">
        <f>HLOOKUP("BC",A1:CV300,70,FALSE) - HLOOKUP("BC Miss",A1:CV300,70,FALSE)</f>
      </c>
      <c r="AI70" s="21565">
        <f>IF(HLOOKUP("Gs",A1:CV300,70,FALSE)=0,0,HLOOKUP("Gs - BC",A1:CV300,70,FALSE)/HLOOKUP("Gs",A1:CV300,70,FALSE))</f>
      </c>
      <c r="AJ70" t="n" s="21566">
        <v>0.0</v>
      </c>
      <c r="AK70" t="n" s="21567">
        <v>0.0</v>
      </c>
      <c r="AL70" s="21568">
        <f>HLOOKUP("BC",A1:CV300,70,FALSE) - (HLOOKUP("PK Gs",A1:CV300,70,FALSE) + HLOOKUP("PK Miss",A1:CV300,70,FALSE))</f>
      </c>
      <c r="AM70" s="21569">
        <f>HLOOKUP("BC Miss",A1:CV300,70,FALSE) - HLOOKUP("PK Miss",A1:CV300,70,FALSE)</f>
      </c>
      <c r="AN70" s="21570">
        <f>IF(HLOOKUP("BC - Open",A1:CV300,70,FALSE)=0,0,HLOOKUP("BC - Open Miss",A1:CV300,70,FALSE)/HLOOKUP("BC - Open",A1:CV300,70,FALSE))</f>
      </c>
      <c r="AO70" t="n" s="21571">
        <v>0.0</v>
      </c>
      <c r="AP70" s="21572">
        <f>IF(HLOOKUP("Gs",A1:CV300,70,FALSE)=0,0,HLOOKUP("GIB",A1:CV300,70,FALSE)/HLOOKUP("Gs",A1:CV300,70,FALSE))</f>
      </c>
      <c r="AQ70" t="n" s="21573">
        <v>0.0</v>
      </c>
      <c r="AR70" s="21574">
        <f>IF(HLOOKUP("Gs",A1:CV300,70,FALSE)=0,0,HLOOKUP("Gs - Open",A1:CV300,70,FALSE)/HLOOKUP("Gs",A1:CV300,70,FALSE))</f>
      </c>
      <c r="AS70" t="n" s="21575">
        <v>0.57</v>
      </c>
      <c r="AT70" t="n" s="21576">
        <v>0.82</v>
      </c>
      <c r="AU70" s="21577">
        <f>IF(HLOOKUP("Mins",A1:CV300,70,FALSE)=0,0,HLOOKUP("Pts",A1:CV300,70,FALSE)/HLOOKUP("Mins",A1:CV300,70,FALSE)* 90)</f>
      </c>
      <c r="AV70" s="21578">
        <f>IF(HLOOKUP("Apps",A1:CV300,70,FALSE)=0,0,HLOOKUP("Pts",A1:CV300,70,FALSE)/HLOOKUP("Apps",A1:CV300,70,FALSE)* 1)</f>
      </c>
      <c r="AW70" s="21579">
        <f>IF(HLOOKUP("Mins",A1:CV300,70,FALSE)=0,0,HLOOKUP("Gs",A1:CV300,70,FALSE)/HLOOKUP("Mins",A1:CV300,70,FALSE)* 90)</f>
      </c>
      <c r="AX70" s="21580">
        <f>IF(HLOOKUP("Mins",A1:CV300,70,FALSE)=0,0,HLOOKUP("Bonus",A1:CV300,70,FALSE)/HLOOKUP("Mins",A1:CV300,70,FALSE)* 90)</f>
      </c>
      <c r="AY70" s="21581">
        <f>IF(HLOOKUP("Mins",A1:CV300,70,FALSE)=0,0,HLOOKUP("BPS",A1:CV300,70,FALSE)/HLOOKUP("Mins",A1:CV300,70,FALSE)* 90)</f>
      </c>
      <c r="AZ70" s="21582">
        <f>IF(HLOOKUP("Mins",A1:CV300,70,FALSE)=0,0,HLOOKUP("Base BPS",A1:CV300,70,FALSE)/HLOOKUP("Mins",A1:CV300,70,FALSE)* 90)</f>
      </c>
      <c r="BA70" s="21583">
        <f>IF(HLOOKUP("Mins",A1:CV300,70,FALSE)=0,0,HLOOKUP("PenTchs",A1:CV300,70,FALSE)/HLOOKUP("Mins",A1:CV300,70,FALSE)* 90)</f>
      </c>
      <c r="BB70" s="21584">
        <f>IF(HLOOKUP("Mins",A1:CV300,70,FALSE)=0,0,HLOOKUP("Shots",A1:CV300,70,FALSE)/HLOOKUP("Mins",A1:CV300,70,FALSE)* 90)</f>
      </c>
      <c r="BC70" s="21585">
        <f>IF(HLOOKUP("Mins",A1:CV300,70,FALSE)=0,0,HLOOKUP("SIB",A1:CV300,70,FALSE)/HLOOKUP("Mins",A1:CV300,70,FALSE)* 90)</f>
      </c>
      <c r="BD70" s="21586">
        <f>IF(HLOOKUP("Mins",A1:CV300,70,FALSE)=0,0,HLOOKUP("S6YD",A1:CV300,70,FALSE)/HLOOKUP("Mins",A1:CV300,70,FALSE)* 90)</f>
      </c>
      <c r="BE70" s="21587">
        <f>IF(HLOOKUP("Mins",A1:CV300,70,FALSE)=0,0,HLOOKUP("Headers",A1:CV300,70,FALSE)/HLOOKUP("Mins",A1:CV300,70,FALSE)* 90)</f>
      </c>
      <c r="BF70" s="21588">
        <f>IF(HLOOKUP("Mins",A1:CV300,70,FALSE)=0,0,HLOOKUP("SOT",A1:CV300,70,FALSE)/HLOOKUP("Mins",A1:CV300,70,FALSE)* 90)</f>
      </c>
      <c r="BG70" s="21589">
        <f>IF(HLOOKUP("Mins",A1:CV300,70,FALSE)=0,0,HLOOKUP("As",A1:CV300,70,FALSE)/HLOOKUP("Mins",A1:CV300,70,FALSE)* 90)</f>
      </c>
      <c r="BH70" s="21590">
        <f>IF(HLOOKUP("Mins",A1:CV300,70,FALSE)=0,0,HLOOKUP("FPL As",A1:CV300,70,FALSE)/HLOOKUP("Mins",A1:CV300,70,FALSE)* 90)</f>
      </c>
      <c r="BI70" s="21591">
        <f>IF(HLOOKUP("Mins",A1:CV300,70,FALSE)=0,0,HLOOKUP("BC Created",A1:CV300,70,FALSE)/HLOOKUP("Mins",A1:CV300,70,FALSE)* 90)</f>
      </c>
      <c r="BJ70" s="21592">
        <f>IF(HLOOKUP("Mins",A1:CV300,70,FALSE)=0,0,HLOOKUP("KP",A1:CV300,70,FALSE)/HLOOKUP("Mins",A1:CV300,70,FALSE)* 90)</f>
      </c>
      <c r="BK70" s="21593">
        <f>IF(HLOOKUP("Mins",A1:CV300,70,FALSE)=0,0,HLOOKUP("BC",A1:CV300,70,FALSE)/HLOOKUP("Mins",A1:CV300,70,FALSE)* 90)</f>
      </c>
      <c r="BL70" s="21594">
        <f>IF(HLOOKUP("Mins",A1:CV300,70,FALSE)=0,0,HLOOKUP("BC Miss",A1:CV300,70,FALSE)/HLOOKUP("Mins",A1:CV300,70,FALSE)* 90)</f>
      </c>
      <c r="BM70" s="21595">
        <f>IF(HLOOKUP("Mins",A1:CV300,70,FALSE)=0,0,HLOOKUP("Gs - BC",A1:CV300,70,FALSE)/HLOOKUP("Mins",A1:CV300,70,FALSE)* 90)</f>
      </c>
      <c r="BN70" s="21596">
        <f>IF(HLOOKUP("Mins",A1:CV300,70,FALSE)=0,0,HLOOKUP("GIB",A1:CV300,70,FALSE)/HLOOKUP("Mins",A1:CV300,70,FALSE)* 90)</f>
      </c>
      <c r="BO70" s="21597">
        <f>IF(HLOOKUP("Mins",A1:CV300,70,FALSE)=0,0,HLOOKUP("Gs - Open",A1:CV300,70,FALSE)/HLOOKUP("Mins",A1:CV300,70,FALSE)* 90)</f>
      </c>
      <c r="BP70" s="21598">
        <f>IF(HLOOKUP("Mins",A1:CV300,70,FALSE)=0,0,HLOOKUP("ICT Index",A1:CV300,70,FALSE)/HLOOKUP("Mins",A1:CV300,70,FALSE)* 90)</f>
      </c>
      <c r="BQ70" s="21599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</c>
      <c r="BR70" s="21600">
        <f>0.0885*HLOOKUP("KP/90",A1:CV300,70,FALSE)</f>
      </c>
      <c r="BS70" s="21601">
        <f>5*HLOOKUP("xG/90",A1:CV300,70,FALSE)+3*HLOOKUP("xA/90",A1:CV300,70,FALSE)</f>
      </c>
      <c r="BT70" s="21602">
        <f>HLOOKUP("xPts/90",A1:CV300,70,FALSE)-(5*0.75*(HLOOKUP("PK Gs",A1:CV300,70,FALSE)+HLOOKUP("PK Miss",A1:CV300,70,FALSE))*90/HLOOKUP("Mins",A1:CV300,70,FALSE))</f>
      </c>
      <c r="BU70" s="21603">
        <f>IF(HLOOKUP("Mins",A1:CV300,70,FALSE)=0,0,HLOOKUP("fsXG",A1:CV300,70,FALSE)/HLOOKUP("Mins",A1:CV300,70,FALSE)* 90)</f>
      </c>
      <c r="BV70" s="21604">
        <f>IF(HLOOKUP("Mins",A1:CV300,70,FALSE)=0,0,HLOOKUP("fsXA",A1:CV300,70,FALSE)/HLOOKUP("Mins",A1:CV300,70,FALSE)* 90)</f>
      </c>
      <c r="BW70" s="21605">
        <f>5*HLOOKUP("fsXG/90",A1:CV300,70,FALSE)+3*HLOOKUP("fsXA/90",A1:CV300,70,FALSE)</f>
      </c>
      <c r="BX70" t="n" s="21606">
        <v>0.16047850251197815</v>
      </c>
      <c r="BY70" t="n" s="21607">
        <v>0.4362691044807434</v>
      </c>
      <c r="BZ70" s="21608">
        <f>5*HLOOKUP("uXG/90",A1:CV300,70,FALSE)+3*HLOOKUP("uXA/90",A1:CV300,70,FALSE)</f>
      </c>
    </row>
    <row r="71">
      <c r="A71" t="s" s="21609">
        <v>374</v>
      </c>
      <c r="B71" t="s" s="21610">
        <v>114</v>
      </c>
      <c r="C71" t="n" s="21611">
        <v>5.0</v>
      </c>
      <c r="D71" t="n" s="21612">
        <v>175.0</v>
      </c>
      <c r="E71" t="n" s="21613">
        <v>2.0</v>
      </c>
      <c r="F71" t="n" s="21614">
        <v>4.0</v>
      </c>
      <c r="G71" t="n" s="21615">
        <v>0.0</v>
      </c>
      <c r="H71" t="n" s="21616">
        <v>0.0</v>
      </c>
      <c r="I71" t="n" s="21617">
        <v>18.0</v>
      </c>
      <c r="J71" s="21618">
        <f>HLOOKUP("BPS",A1:CV300,71,FALSE)-((-6*HLOOKUP("OG",A1:CV300,71,FALSE))+(-6*HLOOKUP("PK Miss",A1:CV300,71,FALSE))+(9*HLOOKUP("FPL As",A1:CV300,71,FALSE))+(0*HLOOKUP("CS",A1:CV300,71,FALSE))+(18*HLOOKUP("Gs",A1:CV300,71,FALSE)))</f>
      </c>
      <c r="K71" t="n" s="21619">
        <v>0.0</v>
      </c>
      <c r="L71" t="n" s="21620">
        <v>0.0</v>
      </c>
      <c r="M71" t="n" s="21621">
        <v>5.0</v>
      </c>
      <c r="N71" t="n" s="21622">
        <v>2.0</v>
      </c>
      <c r="O71" t="n" s="21623">
        <v>2.0</v>
      </c>
      <c r="P71" s="21624">
        <f>IF(HLOOKUP("Shots",A1:CV300,71,FALSE)=0,0,HLOOKUP("SIB",A1:CV300,71,FALSE)/HLOOKUP("Shots",A1:CV300,71,FALSE))</f>
      </c>
      <c r="Q71" t="n" s="21625">
        <v>0.0</v>
      </c>
      <c r="R71" s="21626">
        <f>IF(HLOOKUP("Shots",A1:CV300,71,FALSE)=0,0,HLOOKUP("S6YD",A1:CV300,71,FALSE)/HLOOKUP("Shots",A1:CV300,71,FALSE))</f>
      </c>
      <c r="S71" t="n" s="21627">
        <v>1.0</v>
      </c>
      <c r="T71" s="21628">
        <f>IF(HLOOKUP("Shots",A1:CV300,71,FALSE)=0,0,HLOOKUP("Headers",A1:CV300,71,FALSE)/HLOOKUP("Shots",A1:CV300,71,FALSE))</f>
      </c>
      <c r="U71" t="n" s="21629">
        <v>1.0</v>
      </c>
      <c r="V71" s="21630">
        <f>IF(HLOOKUP("Shots",A1:CV300,71,FALSE)=0,0,HLOOKUP("SOT",A1:CV300,71,FALSE)/HLOOKUP("Shots",A1:CV300,71,FALSE))</f>
      </c>
      <c r="W71" s="21631">
        <f>IF(HLOOKUP("Shots",A1:CV300,71,FALSE)=0,0,HLOOKUP("Gs",A1:CV300,71,FALSE)/HLOOKUP("Shots",A1:CV300,71,FALSE))</f>
      </c>
      <c r="X71" t="n" s="21632">
        <v>0.0</v>
      </c>
      <c r="Y71" t="n" s="21633">
        <v>0.0</v>
      </c>
      <c r="Z71" t="n" s="21634">
        <v>1.0</v>
      </c>
      <c r="AA71" s="21635">
        <f>IF(HLOOKUP("KP",A1:CV300,71,FALSE)=0,0,HLOOKUP("As",A1:CV300,71,FALSE)/HLOOKUP("KP",A1:CV300,71,FALSE))</f>
      </c>
      <c r="AB71" s="21636"/>
      <c r="AC71" t="n" s="21637">
        <v>0.0</v>
      </c>
      <c r="AD71" t="n" s="21638">
        <v>0.0</v>
      </c>
      <c r="AE71" t="n" s="21639">
        <v>1.0</v>
      </c>
      <c r="AF71" t="n" s="21640">
        <v>1.0</v>
      </c>
      <c r="AG71" s="21641">
        <f>IF(HLOOKUP("BC",A1:CV300,71,FALSE)=0,0,HLOOKUP("Gs - BC",A1:CV300,71,FALSE)/HLOOKUP("BC",A1:CV300,71,FALSE))</f>
      </c>
      <c r="AH71" s="21642">
        <f>HLOOKUP("BC",A1:CV300,71,FALSE) - HLOOKUP("BC Miss",A1:CV300,71,FALSE)</f>
      </c>
      <c r="AI71" s="21643">
        <f>IF(HLOOKUP("Gs",A1:CV300,71,FALSE)=0,0,HLOOKUP("Gs - BC",A1:CV300,71,FALSE)/HLOOKUP("Gs",A1:CV300,71,FALSE))</f>
      </c>
      <c r="AJ71" t="n" s="21644">
        <v>0.0</v>
      </c>
      <c r="AK71" t="n" s="21645">
        <v>0.0</v>
      </c>
      <c r="AL71" s="21646">
        <f>HLOOKUP("BC",A1:CV300,71,FALSE) - (HLOOKUP("PK Gs",A1:CV300,71,FALSE) + HLOOKUP("PK Miss",A1:CV300,71,FALSE))</f>
      </c>
      <c r="AM71" s="21647">
        <f>HLOOKUP("BC Miss",A1:CV300,71,FALSE) - HLOOKUP("PK Miss",A1:CV300,71,FALSE)</f>
      </c>
      <c r="AN71" s="21648">
        <f>IF(HLOOKUP("BC - Open",A1:CV300,71,FALSE)=0,0,HLOOKUP("BC - Open Miss",A1:CV300,71,FALSE)/HLOOKUP("BC - Open",A1:CV300,71,FALSE))</f>
      </c>
      <c r="AO71" t="n" s="21649">
        <v>0.0</v>
      </c>
      <c r="AP71" s="21650">
        <f>IF(HLOOKUP("Gs",A1:CV300,71,FALSE)=0,0,HLOOKUP("GIB",A1:CV300,71,FALSE)/HLOOKUP("Gs",A1:CV300,71,FALSE))</f>
      </c>
      <c r="AQ71" t="n" s="21651">
        <v>0.0</v>
      </c>
      <c r="AR71" s="21652">
        <f>IF(HLOOKUP("Gs",A1:CV300,71,FALSE)=0,0,HLOOKUP("Gs - Open",A1:CV300,71,FALSE)/HLOOKUP("Gs",A1:CV300,71,FALSE))</f>
      </c>
      <c r="AS71" t="n" s="21653">
        <v>0.15</v>
      </c>
      <c r="AT71" t="n" s="21654">
        <v>0.03</v>
      </c>
      <c r="AU71" s="21655">
        <f>IF(HLOOKUP("Mins",A1:CV300,71,FALSE)=0,0,HLOOKUP("Pts",A1:CV300,71,FALSE)/HLOOKUP("Mins",A1:CV300,71,FALSE)* 90)</f>
      </c>
      <c r="AV71" s="21656">
        <f>IF(HLOOKUP("Apps",A1:CV300,71,FALSE)=0,0,HLOOKUP("Pts",A1:CV300,71,FALSE)/HLOOKUP("Apps",A1:CV300,71,FALSE)* 1)</f>
      </c>
      <c r="AW71" s="21657">
        <f>IF(HLOOKUP("Mins",A1:CV300,71,FALSE)=0,0,HLOOKUP("Gs",A1:CV300,71,FALSE)/HLOOKUP("Mins",A1:CV300,71,FALSE)* 90)</f>
      </c>
      <c r="AX71" s="21658">
        <f>IF(HLOOKUP("Mins",A1:CV300,71,FALSE)=0,0,HLOOKUP("Bonus",A1:CV300,71,FALSE)/HLOOKUP("Mins",A1:CV300,71,FALSE)* 90)</f>
      </c>
      <c r="AY71" s="21659">
        <f>IF(HLOOKUP("Mins",A1:CV300,71,FALSE)=0,0,HLOOKUP("BPS",A1:CV300,71,FALSE)/HLOOKUP("Mins",A1:CV300,71,FALSE)* 90)</f>
      </c>
      <c r="AZ71" s="21660">
        <f>IF(HLOOKUP("Mins",A1:CV300,71,FALSE)=0,0,HLOOKUP("Base BPS",A1:CV300,71,FALSE)/HLOOKUP("Mins",A1:CV300,71,FALSE)* 90)</f>
      </c>
      <c r="BA71" s="21661">
        <f>IF(HLOOKUP("Mins",A1:CV300,71,FALSE)=0,0,HLOOKUP("PenTchs",A1:CV300,71,FALSE)/HLOOKUP("Mins",A1:CV300,71,FALSE)* 90)</f>
      </c>
      <c r="BB71" s="21662">
        <f>IF(HLOOKUP("Mins",A1:CV300,71,FALSE)=0,0,HLOOKUP("Shots",A1:CV300,71,FALSE)/HLOOKUP("Mins",A1:CV300,71,FALSE)* 90)</f>
      </c>
      <c r="BC71" s="21663">
        <f>IF(HLOOKUP("Mins",A1:CV300,71,FALSE)=0,0,HLOOKUP("SIB",A1:CV300,71,FALSE)/HLOOKUP("Mins",A1:CV300,71,FALSE)* 90)</f>
      </c>
      <c r="BD71" s="21664">
        <f>IF(HLOOKUP("Mins",A1:CV300,71,FALSE)=0,0,HLOOKUP("S6YD",A1:CV300,71,FALSE)/HLOOKUP("Mins",A1:CV300,71,FALSE)* 90)</f>
      </c>
      <c r="BE71" s="21665">
        <f>IF(HLOOKUP("Mins",A1:CV300,71,FALSE)=0,0,HLOOKUP("Headers",A1:CV300,71,FALSE)/HLOOKUP("Mins",A1:CV300,71,FALSE)* 90)</f>
      </c>
      <c r="BF71" s="21666">
        <f>IF(HLOOKUP("Mins",A1:CV300,71,FALSE)=0,0,HLOOKUP("SOT",A1:CV300,71,FALSE)/HLOOKUP("Mins",A1:CV300,71,FALSE)* 90)</f>
      </c>
      <c r="BG71" s="21667">
        <f>IF(HLOOKUP("Mins",A1:CV300,71,FALSE)=0,0,HLOOKUP("As",A1:CV300,71,FALSE)/HLOOKUP("Mins",A1:CV300,71,FALSE)* 90)</f>
      </c>
      <c r="BH71" s="21668">
        <f>IF(HLOOKUP("Mins",A1:CV300,71,FALSE)=0,0,HLOOKUP("FPL As",A1:CV300,71,FALSE)/HLOOKUP("Mins",A1:CV300,71,FALSE)* 90)</f>
      </c>
      <c r="BI71" s="21669">
        <f>IF(HLOOKUP("Mins",A1:CV300,71,FALSE)=0,0,HLOOKUP("BC Created",A1:CV300,71,FALSE)/HLOOKUP("Mins",A1:CV300,71,FALSE)* 90)</f>
      </c>
      <c r="BJ71" s="21670">
        <f>IF(HLOOKUP("Mins",A1:CV300,71,FALSE)=0,0,HLOOKUP("KP",A1:CV300,71,FALSE)/HLOOKUP("Mins",A1:CV300,71,FALSE)* 90)</f>
      </c>
      <c r="BK71" s="21671">
        <f>IF(HLOOKUP("Mins",A1:CV300,71,FALSE)=0,0,HLOOKUP("BC",A1:CV300,71,FALSE)/HLOOKUP("Mins",A1:CV300,71,FALSE)* 90)</f>
      </c>
      <c r="BL71" s="21672">
        <f>IF(HLOOKUP("Mins",A1:CV300,71,FALSE)=0,0,HLOOKUP("BC Miss",A1:CV300,71,FALSE)/HLOOKUP("Mins",A1:CV300,71,FALSE)* 90)</f>
      </c>
      <c r="BM71" s="21673">
        <f>IF(HLOOKUP("Mins",A1:CV300,71,FALSE)=0,0,HLOOKUP("Gs - BC",A1:CV300,71,FALSE)/HLOOKUP("Mins",A1:CV300,71,FALSE)* 90)</f>
      </c>
      <c r="BN71" s="21674">
        <f>IF(HLOOKUP("Mins",A1:CV300,71,FALSE)=0,0,HLOOKUP("GIB",A1:CV300,71,FALSE)/HLOOKUP("Mins",A1:CV300,71,FALSE)* 90)</f>
      </c>
      <c r="BO71" s="21675">
        <f>IF(HLOOKUP("Mins",A1:CV300,71,FALSE)=0,0,HLOOKUP("Gs - Open",A1:CV300,71,FALSE)/HLOOKUP("Mins",A1:CV300,71,FALSE)* 90)</f>
      </c>
      <c r="BP71" s="21676">
        <f>IF(HLOOKUP("Mins",A1:CV300,71,FALSE)=0,0,HLOOKUP("ICT Index",A1:CV300,71,FALSE)/HLOOKUP("Mins",A1:CV300,71,FALSE)* 90)</f>
      </c>
      <c r="BQ71" s="21677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</c>
      <c r="BR71" s="21678">
        <f>0.0885*HLOOKUP("KP/90",A1:CV300,71,FALSE)</f>
      </c>
      <c r="BS71" s="21679">
        <f>5*HLOOKUP("xG/90",A1:CV300,71,FALSE)+3*HLOOKUP("xA/90",A1:CV300,71,FALSE)</f>
      </c>
      <c r="BT71" s="21680">
        <f>HLOOKUP("xPts/90",A1:CV300,71,FALSE)-(5*0.75*(HLOOKUP("PK Gs",A1:CV300,71,FALSE)+HLOOKUP("PK Miss",A1:CV300,71,FALSE))*90/HLOOKUP("Mins",A1:CV300,71,FALSE))</f>
      </c>
      <c r="BU71" s="21681">
        <f>IF(HLOOKUP("Mins",A1:CV300,71,FALSE)=0,0,HLOOKUP("fsXG",A1:CV300,71,FALSE)/HLOOKUP("Mins",A1:CV300,71,FALSE)* 90)</f>
      </c>
      <c r="BV71" s="21682">
        <f>IF(HLOOKUP("Mins",A1:CV300,71,FALSE)=0,0,HLOOKUP("fsXA",A1:CV300,71,FALSE)/HLOOKUP("Mins",A1:CV300,71,FALSE)* 90)</f>
      </c>
      <c r="BW71" s="21683">
        <f>5*HLOOKUP("fsXG/90",A1:CV300,71,FALSE)+3*HLOOKUP("fsXA/90",A1:CV300,71,FALSE)</f>
      </c>
      <c r="BX71" t="n" s="21684">
        <v>0.18319305777549744</v>
      </c>
      <c r="BY71" t="n" s="21685">
        <v>0.05076971277594566</v>
      </c>
      <c r="BZ71" s="21686">
        <f>5*HLOOKUP("uXG/90",A1:CV300,71,FALSE)+3*HLOOKUP("uXA/90",A1:CV300,71,FALSE)</f>
      </c>
    </row>
    <row r="72">
      <c r="A72" t="s" s="21687">
        <v>375</v>
      </c>
      <c r="B72" t="s" s="21688">
        <v>118</v>
      </c>
      <c r="C72" t="n" s="21689">
        <v>5.300000190734863</v>
      </c>
      <c r="D72" t="n" s="21690">
        <v>302.0</v>
      </c>
      <c r="E72" t="n" s="21691">
        <v>5.0</v>
      </c>
      <c r="F72" t="n" s="21692">
        <v>40.0</v>
      </c>
      <c r="G72" t="n" s="21693">
        <v>0.0</v>
      </c>
      <c r="H72" t="n" s="21694">
        <v>3.0</v>
      </c>
      <c r="I72" t="n" s="21695">
        <v>145.0</v>
      </c>
      <c r="J72" s="21696">
        <f>HLOOKUP("BPS",A1:CV300,72,FALSE)-((-6*HLOOKUP("OG",A1:CV300,72,FALSE))+(-6*HLOOKUP("PK Miss",A1:CV300,72,FALSE))+(9*HLOOKUP("FPL As",A1:CV300,72,FALSE))+(0*HLOOKUP("CS",A1:CV300,72,FALSE))+(18*HLOOKUP("Gs",A1:CV300,72,FALSE)))</f>
      </c>
      <c r="K72" t="n" s="21697">
        <v>0.0</v>
      </c>
      <c r="L72" t="n" s="21698">
        <v>3.0</v>
      </c>
      <c r="M72" t="n" s="21699">
        <v>4.0</v>
      </c>
      <c r="N72" t="n" s="21700">
        <v>3.0</v>
      </c>
      <c r="O72" t="n" s="21701">
        <v>2.0</v>
      </c>
      <c r="P72" s="21702">
        <f>IF(HLOOKUP("Shots",A1:CV300,72,FALSE)=0,0,HLOOKUP("SIB",A1:CV300,72,FALSE)/HLOOKUP("Shots",A1:CV300,72,FALSE))</f>
      </c>
      <c r="Q72" t="n" s="21703">
        <v>0.0</v>
      </c>
      <c r="R72" s="21704">
        <f>IF(HLOOKUP("Shots",A1:CV300,72,FALSE)=0,0,HLOOKUP("S6YD",A1:CV300,72,FALSE)/HLOOKUP("Shots",A1:CV300,72,FALSE))</f>
      </c>
      <c r="S72" t="n" s="21705">
        <v>2.0</v>
      </c>
      <c r="T72" s="21706">
        <f>IF(HLOOKUP("Shots",A1:CV300,72,FALSE)=0,0,HLOOKUP("Headers",A1:CV300,72,FALSE)/HLOOKUP("Shots",A1:CV300,72,FALSE))</f>
      </c>
      <c r="U72" t="n" s="21707">
        <v>0.0</v>
      </c>
      <c r="V72" s="21708">
        <f>IF(HLOOKUP("Shots",A1:CV300,72,FALSE)=0,0,HLOOKUP("SOT",A1:CV300,72,FALSE)/HLOOKUP("Shots",A1:CV300,72,FALSE))</f>
      </c>
      <c r="W72" s="21709">
        <f>IF(HLOOKUP("Shots",A1:CV300,72,FALSE)=0,0,HLOOKUP("Gs",A1:CV300,72,FALSE)/HLOOKUP("Shots",A1:CV300,72,FALSE))</f>
      </c>
      <c r="X72" t="n" s="21710">
        <v>0.0</v>
      </c>
      <c r="Y72" t="n" s="21711">
        <v>1.0</v>
      </c>
      <c r="Z72" t="n" s="21712">
        <v>2.0</v>
      </c>
      <c r="AA72" s="21713">
        <f>IF(HLOOKUP("KP",A1:CV300,72,FALSE)=0,0,HLOOKUP("As",A1:CV300,72,FALSE)/HLOOKUP("KP",A1:CV300,72,FALSE))</f>
      </c>
      <c r="AB72" s="21714"/>
      <c r="AC72" t="n" s="21715">
        <v>0.0</v>
      </c>
      <c r="AD72" t="n" s="21716">
        <v>0.0</v>
      </c>
      <c r="AE72" t="n" s="21717">
        <v>0.0</v>
      </c>
      <c r="AF72" t="n" s="21718">
        <v>0.0</v>
      </c>
      <c r="AG72" s="21719">
        <f>IF(HLOOKUP("BC",A1:CV300,72,FALSE)=0,0,HLOOKUP("Gs - BC",A1:CV300,72,FALSE)/HLOOKUP("BC",A1:CV300,72,FALSE))</f>
      </c>
      <c r="AH72" s="21720">
        <f>HLOOKUP("BC",A1:CV300,72,FALSE) - HLOOKUP("BC Miss",A1:CV300,72,FALSE)</f>
      </c>
      <c r="AI72" s="21721">
        <f>IF(HLOOKUP("Gs",A1:CV300,72,FALSE)=0,0,HLOOKUP("Gs - BC",A1:CV300,72,FALSE)/HLOOKUP("Gs",A1:CV300,72,FALSE))</f>
      </c>
      <c r="AJ72" t="n" s="21722">
        <v>0.0</v>
      </c>
      <c r="AK72" t="n" s="21723">
        <v>0.0</v>
      </c>
      <c r="AL72" s="21724">
        <f>HLOOKUP("BC",A1:CV300,72,FALSE) - (HLOOKUP("PK Gs",A1:CV300,72,FALSE) + HLOOKUP("PK Miss",A1:CV300,72,FALSE))</f>
      </c>
      <c r="AM72" s="21725">
        <f>HLOOKUP("BC Miss",A1:CV300,72,FALSE) - HLOOKUP("PK Miss",A1:CV300,72,FALSE)</f>
      </c>
      <c r="AN72" s="21726">
        <f>IF(HLOOKUP("BC - Open",A1:CV300,72,FALSE)=0,0,HLOOKUP("BC - Open Miss",A1:CV300,72,FALSE)/HLOOKUP("BC - Open",A1:CV300,72,FALSE))</f>
      </c>
      <c r="AO72" t="n" s="21727">
        <v>0.0</v>
      </c>
      <c r="AP72" s="21728">
        <f>IF(HLOOKUP("Gs",A1:CV300,72,FALSE)=0,0,HLOOKUP("GIB",A1:CV300,72,FALSE)/HLOOKUP("Gs",A1:CV300,72,FALSE))</f>
      </c>
      <c r="AQ72" t="n" s="21729">
        <v>0.0</v>
      </c>
      <c r="AR72" s="21730">
        <f>IF(HLOOKUP("Gs",A1:CV300,72,FALSE)=0,0,HLOOKUP("Gs - Open",A1:CV300,72,FALSE)/HLOOKUP("Gs",A1:CV300,72,FALSE))</f>
      </c>
      <c r="AS72" t="n" s="21731">
        <v>0.17</v>
      </c>
      <c r="AT72" t="n" s="21732">
        <v>0.14</v>
      </c>
      <c r="AU72" s="21733">
        <f>IF(HLOOKUP("Mins",A1:CV300,72,FALSE)=0,0,HLOOKUP("Pts",A1:CV300,72,FALSE)/HLOOKUP("Mins",A1:CV300,72,FALSE)* 90)</f>
      </c>
      <c r="AV72" s="21734">
        <f>IF(HLOOKUP("Apps",A1:CV300,72,FALSE)=0,0,HLOOKUP("Pts",A1:CV300,72,FALSE)/HLOOKUP("Apps",A1:CV300,72,FALSE)* 1)</f>
      </c>
      <c r="AW72" s="21735">
        <f>IF(HLOOKUP("Mins",A1:CV300,72,FALSE)=0,0,HLOOKUP("Gs",A1:CV300,72,FALSE)/HLOOKUP("Mins",A1:CV300,72,FALSE)* 90)</f>
      </c>
      <c r="AX72" s="21736">
        <f>IF(HLOOKUP("Mins",A1:CV300,72,FALSE)=0,0,HLOOKUP("Bonus",A1:CV300,72,FALSE)/HLOOKUP("Mins",A1:CV300,72,FALSE)* 90)</f>
      </c>
      <c r="AY72" s="21737">
        <f>IF(HLOOKUP("Mins",A1:CV300,72,FALSE)=0,0,HLOOKUP("BPS",A1:CV300,72,FALSE)/HLOOKUP("Mins",A1:CV300,72,FALSE)* 90)</f>
      </c>
      <c r="AZ72" s="21738">
        <f>IF(HLOOKUP("Mins",A1:CV300,72,FALSE)=0,0,HLOOKUP("Base BPS",A1:CV300,72,FALSE)/HLOOKUP("Mins",A1:CV300,72,FALSE)* 90)</f>
      </c>
      <c r="BA72" s="21739">
        <f>IF(HLOOKUP("Mins",A1:CV300,72,FALSE)=0,0,HLOOKUP("PenTchs",A1:CV300,72,FALSE)/HLOOKUP("Mins",A1:CV300,72,FALSE)* 90)</f>
      </c>
      <c r="BB72" s="21740">
        <f>IF(HLOOKUP("Mins",A1:CV300,72,FALSE)=0,0,HLOOKUP("Shots",A1:CV300,72,FALSE)/HLOOKUP("Mins",A1:CV300,72,FALSE)* 90)</f>
      </c>
      <c r="BC72" s="21741">
        <f>IF(HLOOKUP("Mins",A1:CV300,72,FALSE)=0,0,HLOOKUP("SIB",A1:CV300,72,FALSE)/HLOOKUP("Mins",A1:CV300,72,FALSE)* 90)</f>
      </c>
      <c r="BD72" s="21742">
        <f>IF(HLOOKUP("Mins",A1:CV300,72,FALSE)=0,0,HLOOKUP("S6YD",A1:CV300,72,FALSE)/HLOOKUP("Mins",A1:CV300,72,FALSE)* 90)</f>
      </c>
      <c r="BE72" s="21743">
        <f>IF(HLOOKUP("Mins",A1:CV300,72,FALSE)=0,0,HLOOKUP("Headers",A1:CV300,72,FALSE)/HLOOKUP("Mins",A1:CV300,72,FALSE)* 90)</f>
      </c>
      <c r="BF72" s="21744">
        <f>IF(HLOOKUP("Mins",A1:CV300,72,FALSE)=0,0,HLOOKUP("SOT",A1:CV300,72,FALSE)/HLOOKUP("Mins",A1:CV300,72,FALSE)* 90)</f>
      </c>
      <c r="BG72" s="21745">
        <f>IF(HLOOKUP("Mins",A1:CV300,72,FALSE)=0,0,HLOOKUP("As",A1:CV300,72,FALSE)/HLOOKUP("Mins",A1:CV300,72,FALSE)* 90)</f>
      </c>
      <c r="BH72" s="21746">
        <f>IF(HLOOKUP("Mins",A1:CV300,72,FALSE)=0,0,HLOOKUP("FPL As",A1:CV300,72,FALSE)/HLOOKUP("Mins",A1:CV300,72,FALSE)* 90)</f>
      </c>
      <c r="BI72" s="21747">
        <f>IF(HLOOKUP("Mins",A1:CV300,72,FALSE)=0,0,HLOOKUP("BC Created",A1:CV300,72,FALSE)/HLOOKUP("Mins",A1:CV300,72,FALSE)* 90)</f>
      </c>
      <c r="BJ72" s="21748">
        <f>IF(HLOOKUP("Mins",A1:CV300,72,FALSE)=0,0,HLOOKUP("KP",A1:CV300,72,FALSE)/HLOOKUP("Mins",A1:CV300,72,FALSE)* 90)</f>
      </c>
      <c r="BK72" s="21749">
        <f>IF(HLOOKUP("Mins",A1:CV300,72,FALSE)=0,0,HLOOKUP("BC",A1:CV300,72,FALSE)/HLOOKUP("Mins",A1:CV300,72,FALSE)* 90)</f>
      </c>
      <c r="BL72" s="21750">
        <f>IF(HLOOKUP("Mins",A1:CV300,72,FALSE)=0,0,HLOOKUP("BC Miss",A1:CV300,72,FALSE)/HLOOKUP("Mins",A1:CV300,72,FALSE)* 90)</f>
      </c>
      <c r="BM72" s="21751">
        <f>IF(HLOOKUP("Mins",A1:CV300,72,FALSE)=0,0,HLOOKUP("Gs - BC",A1:CV300,72,FALSE)/HLOOKUP("Mins",A1:CV300,72,FALSE)* 90)</f>
      </c>
      <c r="BN72" s="21752">
        <f>IF(HLOOKUP("Mins",A1:CV300,72,FALSE)=0,0,HLOOKUP("GIB",A1:CV300,72,FALSE)/HLOOKUP("Mins",A1:CV300,72,FALSE)* 90)</f>
      </c>
      <c r="BO72" s="21753">
        <f>IF(HLOOKUP("Mins",A1:CV300,72,FALSE)=0,0,HLOOKUP("Gs - Open",A1:CV300,72,FALSE)/HLOOKUP("Mins",A1:CV300,72,FALSE)* 90)</f>
      </c>
      <c r="BP72" s="21754">
        <f>IF(HLOOKUP("Mins",A1:CV300,72,FALSE)=0,0,HLOOKUP("ICT Index",A1:CV300,72,FALSE)/HLOOKUP("Mins",A1:CV300,72,FALSE)* 90)</f>
      </c>
      <c r="BQ72" s="21755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</c>
      <c r="BR72" s="21756">
        <f>0.0885*HLOOKUP("KP/90",A1:CV300,72,FALSE)</f>
      </c>
      <c r="BS72" s="21757">
        <f>5*HLOOKUP("xG/90",A1:CV300,72,FALSE)+3*HLOOKUP("xA/90",A1:CV300,72,FALSE)</f>
      </c>
      <c r="BT72" s="21758">
        <f>HLOOKUP("xPts/90",A1:CV300,72,FALSE)-(5*0.75*(HLOOKUP("PK Gs",A1:CV300,72,FALSE)+HLOOKUP("PK Miss",A1:CV300,72,FALSE))*90/HLOOKUP("Mins",A1:CV300,72,FALSE))</f>
      </c>
      <c r="BU72" s="21759">
        <f>IF(HLOOKUP("Mins",A1:CV300,72,FALSE)=0,0,HLOOKUP("fsXG",A1:CV300,72,FALSE)/HLOOKUP("Mins",A1:CV300,72,FALSE)* 90)</f>
      </c>
      <c r="BV72" s="21760">
        <f>IF(HLOOKUP("Mins",A1:CV300,72,FALSE)=0,0,HLOOKUP("fsXA",A1:CV300,72,FALSE)/HLOOKUP("Mins",A1:CV300,72,FALSE)* 90)</f>
      </c>
      <c r="BW72" s="21761">
        <f>5*HLOOKUP("fsXG/90",A1:CV300,72,FALSE)+3*HLOOKUP("fsXA/90",A1:CV300,72,FALSE)</f>
      </c>
      <c r="BX72" t="n" s="21762">
        <v>0.05055512487888336</v>
      </c>
      <c r="BY72" t="n" s="21763">
        <v>0.044325098395347595</v>
      </c>
      <c r="BZ72" s="21764">
        <f>5*HLOOKUP("uXG/90",A1:CV300,72,FALSE)+3*HLOOKUP("uXA/90",A1:CV300,72,FALSE)</f>
      </c>
    </row>
    <row r="73">
      <c r="A73" t="s" s="21765">
        <v>376</v>
      </c>
      <c r="B73" t="s" s="21766">
        <v>85</v>
      </c>
      <c r="C73" t="n" s="21767">
        <v>4.699999809265137</v>
      </c>
      <c r="D73" t="n" s="21768">
        <v>1.0</v>
      </c>
      <c r="E73" t="n" s="21769">
        <v>1.0</v>
      </c>
      <c r="F73" t="n" s="21770">
        <v>5.0</v>
      </c>
      <c r="G73" t="n" s="21771">
        <v>0.0</v>
      </c>
      <c r="H73" t="n" s="21772">
        <v>0.0</v>
      </c>
      <c r="I73" t="n" s="21773">
        <v>20.0</v>
      </c>
      <c r="J73" s="21774">
        <f>HLOOKUP("BPS",A1:CV300,73,FALSE)-((-6*HLOOKUP("OG",A1:CV300,73,FALSE))+(-6*HLOOKUP("PK Miss",A1:CV300,73,FALSE))+(9*HLOOKUP("FPL As",A1:CV300,73,FALSE))+(0*HLOOKUP("CS",A1:CV300,73,FALSE))+(18*HLOOKUP("Gs",A1:CV300,73,FALSE)))</f>
      </c>
      <c r="K73" t="n" s="21775">
        <v>0.0</v>
      </c>
      <c r="L73" t="n" s="21776">
        <v>0.0</v>
      </c>
      <c r="M73" t="n" s="21777">
        <v>0.0</v>
      </c>
      <c r="N73" t="n" s="21778">
        <v>0.0</v>
      </c>
      <c r="O73" t="n" s="21779">
        <v>0.0</v>
      </c>
      <c r="P73" s="21780">
        <f>IF(HLOOKUP("Shots",A1:CV300,73,FALSE)=0,0,HLOOKUP("SIB",A1:CV300,73,FALSE)/HLOOKUP("Shots",A1:CV300,73,FALSE))</f>
      </c>
      <c r="Q73" t="n" s="21781">
        <v>0.0</v>
      </c>
      <c r="R73" s="21782">
        <f>IF(HLOOKUP("Shots",A1:CV300,73,FALSE)=0,0,HLOOKUP("S6YD",A1:CV300,73,FALSE)/HLOOKUP("Shots",A1:CV300,73,FALSE))</f>
      </c>
      <c r="S73" t="n" s="21783">
        <v>0.0</v>
      </c>
      <c r="T73" s="21784">
        <f>IF(HLOOKUP("Shots",A1:CV300,73,FALSE)=0,0,HLOOKUP("Headers",A1:CV300,73,FALSE)/HLOOKUP("Shots",A1:CV300,73,FALSE))</f>
      </c>
      <c r="U73" t="n" s="21785">
        <v>0.0</v>
      </c>
      <c r="V73" s="21786">
        <f>IF(HLOOKUP("Shots",A1:CV300,73,FALSE)=0,0,HLOOKUP("SOT",A1:CV300,73,FALSE)/HLOOKUP("Shots",A1:CV300,73,FALSE))</f>
      </c>
      <c r="W73" s="21787">
        <f>IF(HLOOKUP("Shots",A1:CV300,73,FALSE)=0,0,HLOOKUP("Gs",A1:CV300,73,FALSE)/HLOOKUP("Shots",A1:CV300,73,FALSE))</f>
      </c>
      <c r="X73" t="n" s="21788">
        <v>0.0</v>
      </c>
      <c r="Y73" t="n" s="21789">
        <v>0.0</v>
      </c>
      <c r="Z73" t="n" s="21790">
        <v>0.0</v>
      </c>
      <c r="AA73" s="21791">
        <f>IF(HLOOKUP("KP",A1:CV300,73,FALSE)=0,0,HLOOKUP("As",A1:CV300,73,FALSE)/HLOOKUP("KP",A1:CV300,73,FALSE))</f>
      </c>
      <c r="AB73" s="21792"/>
      <c r="AC73" t="n" s="21793">
        <v>0.0</v>
      </c>
      <c r="AD73" t="n" s="21794">
        <v>0.0</v>
      </c>
      <c r="AE73" t="n" s="21795">
        <v>0.0</v>
      </c>
      <c r="AF73" t="n" s="21796">
        <v>0.0</v>
      </c>
      <c r="AG73" s="21797">
        <f>IF(HLOOKUP("BC",A1:CV300,73,FALSE)=0,0,HLOOKUP("Gs - BC",A1:CV300,73,FALSE)/HLOOKUP("BC",A1:CV300,73,FALSE))</f>
      </c>
      <c r="AH73" s="21798">
        <f>HLOOKUP("BC",A1:CV300,73,FALSE) - HLOOKUP("BC Miss",A1:CV300,73,FALSE)</f>
      </c>
      <c r="AI73" s="21799">
        <f>IF(HLOOKUP("Gs",A1:CV300,73,FALSE)=0,0,HLOOKUP("Gs - BC",A1:CV300,73,FALSE)/HLOOKUP("Gs",A1:CV300,73,FALSE))</f>
      </c>
      <c r="AJ73" t="n" s="21800">
        <v>0.0</v>
      </c>
      <c r="AK73" t="n" s="21801">
        <v>0.0</v>
      </c>
      <c r="AL73" s="21802">
        <f>HLOOKUP("BC",A1:CV300,73,FALSE) - (HLOOKUP("PK Gs",A1:CV300,73,FALSE) + HLOOKUP("PK Miss",A1:CV300,73,FALSE))</f>
      </c>
      <c r="AM73" s="21803">
        <f>HLOOKUP("BC Miss",A1:CV300,73,FALSE) - HLOOKUP("PK Miss",A1:CV300,73,FALSE)</f>
      </c>
      <c r="AN73" s="21804">
        <f>IF(HLOOKUP("BC - Open",A1:CV300,73,FALSE)=0,0,HLOOKUP("BC - Open Miss",A1:CV300,73,FALSE)/HLOOKUP("BC - Open",A1:CV300,73,FALSE))</f>
      </c>
      <c r="AO73" t="n" s="21805">
        <v>0.0</v>
      </c>
      <c r="AP73" s="21806">
        <f>IF(HLOOKUP("Gs",A1:CV300,73,FALSE)=0,0,HLOOKUP("GIB",A1:CV300,73,FALSE)/HLOOKUP("Gs",A1:CV300,73,FALSE))</f>
      </c>
      <c r="AQ73" t="n" s="21807">
        <v>0.0</v>
      </c>
      <c r="AR73" s="21808">
        <f>IF(HLOOKUP("Gs",A1:CV300,73,FALSE)=0,0,HLOOKUP("Gs - Open",A1:CV300,73,FALSE)/HLOOKUP("Gs",A1:CV300,73,FALSE))</f>
      </c>
      <c r="AS73" t="n" s="21809">
        <v>0.0</v>
      </c>
      <c r="AT73" t="n" s="21810">
        <v>0.0</v>
      </c>
      <c r="AU73" s="21811">
        <f>IF(HLOOKUP("Mins",A1:CV300,73,FALSE)=0,0,HLOOKUP("Pts",A1:CV300,73,FALSE)/HLOOKUP("Mins",A1:CV300,73,FALSE)* 90)</f>
      </c>
      <c r="AV73" s="21812">
        <f>IF(HLOOKUP("Apps",A1:CV300,73,FALSE)=0,0,HLOOKUP("Pts",A1:CV300,73,FALSE)/HLOOKUP("Apps",A1:CV300,73,FALSE)* 1)</f>
      </c>
      <c r="AW73" s="21813">
        <f>IF(HLOOKUP("Mins",A1:CV300,73,FALSE)=0,0,HLOOKUP("Gs",A1:CV300,73,FALSE)/HLOOKUP("Mins",A1:CV300,73,FALSE)* 90)</f>
      </c>
      <c r="AX73" s="21814">
        <f>IF(HLOOKUP("Mins",A1:CV300,73,FALSE)=0,0,HLOOKUP("Bonus",A1:CV300,73,FALSE)/HLOOKUP("Mins",A1:CV300,73,FALSE)* 90)</f>
      </c>
      <c r="AY73" s="21815">
        <f>IF(HLOOKUP("Mins",A1:CV300,73,FALSE)=0,0,HLOOKUP("BPS",A1:CV300,73,FALSE)/HLOOKUP("Mins",A1:CV300,73,FALSE)* 90)</f>
      </c>
      <c r="AZ73" s="21816">
        <f>IF(HLOOKUP("Mins",A1:CV300,73,FALSE)=0,0,HLOOKUP("Base BPS",A1:CV300,73,FALSE)/HLOOKUP("Mins",A1:CV300,73,FALSE)* 90)</f>
      </c>
      <c r="BA73" s="21817">
        <f>IF(HLOOKUP("Mins",A1:CV300,73,FALSE)=0,0,HLOOKUP("PenTchs",A1:CV300,73,FALSE)/HLOOKUP("Mins",A1:CV300,73,FALSE)* 90)</f>
      </c>
      <c r="BB73" s="21818">
        <f>IF(HLOOKUP("Mins",A1:CV300,73,FALSE)=0,0,HLOOKUP("Shots",A1:CV300,73,FALSE)/HLOOKUP("Mins",A1:CV300,73,FALSE)* 90)</f>
      </c>
      <c r="BC73" s="21819">
        <f>IF(HLOOKUP("Mins",A1:CV300,73,FALSE)=0,0,HLOOKUP("SIB",A1:CV300,73,FALSE)/HLOOKUP("Mins",A1:CV300,73,FALSE)* 90)</f>
      </c>
      <c r="BD73" s="21820">
        <f>IF(HLOOKUP("Mins",A1:CV300,73,FALSE)=0,0,HLOOKUP("S6YD",A1:CV300,73,FALSE)/HLOOKUP("Mins",A1:CV300,73,FALSE)* 90)</f>
      </c>
      <c r="BE73" s="21821">
        <f>IF(HLOOKUP("Mins",A1:CV300,73,FALSE)=0,0,HLOOKUP("Headers",A1:CV300,73,FALSE)/HLOOKUP("Mins",A1:CV300,73,FALSE)* 90)</f>
      </c>
      <c r="BF73" s="21822">
        <f>IF(HLOOKUP("Mins",A1:CV300,73,FALSE)=0,0,HLOOKUP("SOT",A1:CV300,73,FALSE)/HLOOKUP("Mins",A1:CV300,73,FALSE)* 90)</f>
      </c>
      <c r="BG73" s="21823">
        <f>IF(HLOOKUP("Mins",A1:CV300,73,FALSE)=0,0,HLOOKUP("As",A1:CV300,73,FALSE)/HLOOKUP("Mins",A1:CV300,73,FALSE)* 90)</f>
      </c>
      <c r="BH73" s="21824">
        <f>IF(HLOOKUP("Mins",A1:CV300,73,FALSE)=0,0,HLOOKUP("FPL As",A1:CV300,73,FALSE)/HLOOKUP("Mins",A1:CV300,73,FALSE)* 90)</f>
      </c>
      <c r="BI73" s="21825">
        <f>IF(HLOOKUP("Mins",A1:CV300,73,FALSE)=0,0,HLOOKUP("BC Created",A1:CV300,73,FALSE)/HLOOKUP("Mins",A1:CV300,73,FALSE)* 90)</f>
      </c>
      <c r="BJ73" s="21826">
        <f>IF(HLOOKUP("Mins",A1:CV300,73,FALSE)=0,0,HLOOKUP("KP",A1:CV300,73,FALSE)/HLOOKUP("Mins",A1:CV300,73,FALSE)* 90)</f>
      </c>
      <c r="BK73" s="21827">
        <f>IF(HLOOKUP("Mins",A1:CV300,73,FALSE)=0,0,HLOOKUP("BC",A1:CV300,73,FALSE)/HLOOKUP("Mins",A1:CV300,73,FALSE)* 90)</f>
      </c>
      <c r="BL73" s="21828">
        <f>IF(HLOOKUP("Mins",A1:CV300,73,FALSE)=0,0,HLOOKUP("BC Miss",A1:CV300,73,FALSE)/HLOOKUP("Mins",A1:CV300,73,FALSE)* 90)</f>
      </c>
      <c r="BM73" s="21829">
        <f>IF(HLOOKUP("Mins",A1:CV300,73,FALSE)=0,0,HLOOKUP("Gs - BC",A1:CV300,73,FALSE)/HLOOKUP("Mins",A1:CV300,73,FALSE)* 90)</f>
      </c>
      <c r="BN73" s="21830">
        <f>IF(HLOOKUP("Mins",A1:CV300,73,FALSE)=0,0,HLOOKUP("GIB",A1:CV300,73,FALSE)/HLOOKUP("Mins",A1:CV300,73,FALSE)* 90)</f>
      </c>
      <c r="BO73" s="21831">
        <f>IF(HLOOKUP("Mins",A1:CV300,73,FALSE)=0,0,HLOOKUP("Gs - Open",A1:CV300,73,FALSE)/HLOOKUP("Mins",A1:CV300,73,FALSE)* 90)</f>
      </c>
      <c r="BP73" s="21832">
        <f>IF(HLOOKUP("Mins",A1:CV300,73,FALSE)=0,0,HLOOKUP("ICT Index",A1:CV300,73,FALSE)/HLOOKUP("Mins",A1:CV300,73,FALSE)* 90)</f>
      </c>
      <c r="BQ73" s="21833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</c>
      <c r="BR73" s="21834">
        <f>0.0885*HLOOKUP("KP/90",A1:CV300,73,FALSE)</f>
      </c>
      <c r="BS73" s="21835">
        <f>5*HLOOKUP("xG/90",A1:CV300,73,FALSE)+3*HLOOKUP("xA/90",A1:CV300,73,FALSE)</f>
      </c>
      <c r="BT73" s="21836">
        <f>HLOOKUP("xPts/90",A1:CV300,73,FALSE)-(5*0.75*(HLOOKUP("PK Gs",A1:CV300,73,FALSE)+HLOOKUP("PK Miss",A1:CV300,73,FALSE))*90/HLOOKUP("Mins",A1:CV300,73,FALSE))</f>
      </c>
      <c r="BU73" s="21837">
        <f>IF(HLOOKUP("Mins",A1:CV300,73,FALSE)=0,0,HLOOKUP("fsXG",A1:CV300,73,FALSE)/HLOOKUP("Mins",A1:CV300,73,FALSE)* 90)</f>
      </c>
      <c r="BV73" s="21838">
        <f>IF(HLOOKUP("Mins",A1:CV300,73,FALSE)=0,0,HLOOKUP("fsXA",A1:CV300,73,FALSE)/HLOOKUP("Mins",A1:CV300,73,FALSE)* 90)</f>
      </c>
      <c r="BW73" s="21839">
        <f>5*HLOOKUP("fsXG/90",A1:CV300,73,FALSE)+3*HLOOKUP("fsXA/90",A1:CV300,73,FALSE)</f>
      </c>
      <c r="BX73" t="n" s="21840">
        <v>0.0</v>
      </c>
      <c r="BY73" t="n" s="21841">
        <v>0.0</v>
      </c>
      <c r="BZ73" s="21842">
        <f>5*HLOOKUP("uXG/90",A1:CV300,73,FALSE)+3*HLOOKUP("uXA/90",A1:CV300,73,FALSE)</f>
      </c>
    </row>
    <row r="74">
      <c r="A74" t="s" s="21843">
        <v>377</v>
      </c>
      <c r="B74" t="s" s="21844">
        <v>97</v>
      </c>
      <c r="C74" t="n" s="21845">
        <v>5.400000095367432</v>
      </c>
      <c r="D74" t="n" s="21846">
        <v>433.0</v>
      </c>
      <c r="E74" t="n" s="21847">
        <v>5.0</v>
      </c>
      <c r="F74" t="n" s="21848">
        <v>61.0</v>
      </c>
      <c r="G74" t="n" s="21849">
        <v>0.0</v>
      </c>
      <c r="H74" t="n" s="21850">
        <v>4.0</v>
      </c>
      <c r="I74" t="n" s="21851">
        <v>179.0</v>
      </c>
      <c r="J74" s="21852">
        <f>HLOOKUP("BPS",A1:CV300,74,FALSE)-((-6*HLOOKUP("OG",A1:CV300,74,FALSE))+(-6*HLOOKUP("PK Miss",A1:CV300,74,FALSE))+(9*HLOOKUP("FPL As",A1:CV300,74,FALSE))+(0*HLOOKUP("CS",A1:CV300,74,FALSE))+(18*HLOOKUP("Gs",A1:CV300,74,FALSE)))</f>
      </c>
      <c r="K74" t="n" s="21853">
        <v>0.0</v>
      </c>
      <c r="L74" t="n" s="21854">
        <v>8.0</v>
      </c>
      <c r="M74" t="n" s="21855">
        <v>10.0</v>
      </c>
      <c r="N74" t="n" s="21856">
        <v>5.0</v>
      </c>
      <c r="O74" t="n" s="21857">
        <v>4.0</v>
      </c>
      <c r="P74" s="21858">
        <f>IF(HLOOKUP("Shots",A1:CV300,74,FALSE)=0,0,HLOOKUP("SIB",A1:CV300,74,FALSE)/HLOOKUP("Shots",A1:CV300,74,FALSE))</f>
      </c>
      <c r="Q74" t="n" s="21859">
        <v>1.0</v>
      </c>
      <c r="R74" s="21860">
        <f>IF(HLOOKUP("Shots",A1:CV300,74,FALSE)=0,0,HLOOKUP("S6YD",A1:CV300,74,FALSE)/HLOOKUP("Shots",A1:CV300,74,FALSE))</f>
      </c>
      <c r="S74" t="n" s="21861">
        <v>2.0</v>
      </c>
      <c r="T74" s="21862">
        <f>IF(HLOOKUP("Shots",A1:CV300,74,FALSE)=0,0,HLOOKUP("Headers",A1:CV300,74,FALSE)/HLOOKUP("Shots",A1:CV300,74,FALSE))</f>
      </c>
      <c r="U74" t="n" s="21863">
        <v>0.0</v>
      </c>
      <c r="V74" s="21864">
        <f>IF(HLOOKUP("Shots",A1:CV300,74,FALSE)=0,0,HLOOKUP("SOT",A1:CV300,74,FALSE)/HLOOKUP("Shots",A1:CV300,74,FALSE))</f>
      </c>
      <c r="W74" s="21865">
        <f>IF(HLOOKUP("Shots",A1:CV300,74,FALSE)=0,0,HLOOKUP("Gs",A1:CV300,74,FALSE)/HLOOKUP("Shots",A1:CV300,74,FALSE))</f>
      </c>
      <c r="X74" t="n" s="21866">
        <v>1.0</v>
      </c>
      <c r="Y74" t="n" s="21867">
        <v>2.0</v>
      </c>
      <c r="Z74" t="n" s="21868">
        <v>4.0</v>
      </c>
      <c r="AA74" s="21869">
        <f>IF(HLOOKUP("KP",A1:CV300,74,FALSE)=0,0,HLOOKUP("As",A1:CV300,74,FALSE)/HLOOKUP("KP",A1:CV300,74,FALSE))</f>
      </c>
      <c r="AB74" s="21870"/>
      <c r="AC74" t="n" s="21871">
        <v>17.0</v>
      </c>
      <c r="AD74" t="n" s="21872">
        <v>0.0</v>
      </c>
      <c r="AE74" t="n" s="21873">
        <v>1.0</v>
      </c>
      <c r="AF74" t="n" s="21874">
        <v>1.0</v>
      </c>
      <c r="AG74" s="21875">
        <f>IF(HLOOKUP("BC",A1:CV300,74,FALSE)=0,0,HLOOKUP("Gs - BC",A1:CV300,74,FALSE)/HLOOKUP("BC",A1:CV300,74,FALSE))</f>
      </c>
      <c r="AH74" s="21876">
        <f>HLOOKUP("BC",A1:CV300,74,FALSE) - HLOOKUP("BC Miss",A1:CV300,74,FALSE)</f>
      </c>
      <c r="AI74" s="21877">
        <f>IF(HLOOKUP("Gs",A1:CV300,74,FALSE)=0,0,HLOOKUP("Gs - BC",A1:CV300,74,FALSE)/HLOOKUP("Gs",A1:CV300,74,FALSE))</f>
      </c>
      <c r="AJ74" t="n" s="21878">
        <v>0.0</v>
      </c>
      <c r="AK74" t="n" s="21879">
        <v>0.0</v>
      </c>
      <c r="AL74" s="21880">
        <f>HLOOKUP("BC",A1:CV300,74,FALSE) - (HLOOKUP("PK Gs",A1:CV300,74,FALSE) + HLOOKUP("PK Miss",A1:CV300,74,FALSE))</f>
      </c>
      <c r="AM74" s="21881">
        <f>HLOOKUP("BC Miss",A1:CV300,74,FALSE) - HLOOKUP("PK Miss",A1:CV300,74,FALSE)</f>
      </c>
      <c r="AN74" s="21882">
        <f>IF(HLOOKUP("BC - Open",A1:CV300,74,FALSE)=0,0,HLOOKUP("BC - Open Miss",A1:CV300,74,FALSE)/HLOOKUP("BC - Open",A1:CV300,74,FALSE))</f>
      </c>
      <c r="AO74" t="n" s="21883">
        <v>0.0</v>
      </c>
      <c r="AP74" s="21884">
        <f>IF(HLOOKUP("Gs",A1:CV300,74,FALSE)=0,0,HLOOKUP("GIB",A1:CV300,74,FALSE)/HLOOKUP("Gs",A1:CV300,74,FALSE))</f>
      </c>
      <c r="AQ74" t="n" s="21885">
        <v>0.0</v>
      </c>
      <c r="AR74" s="21886">
        <f>IF(HLOOKUP("Gs",A1:CV300,74,FALSE)=0,0,HLOOKUP("Gs - Open",A1:CV300,74,FALSE)/HLOOKUP("Gs",A1:CV300,74,FALSE))</f>
      </c>
      <c r="AS74" t="n" s="21887">
        <v>0.69</v>
      </c>
      <c r="AT74" t="n" s="21888">
        <v>0.16</v>
      </c>
      <c r="AU74" s="21889">
        <f>IF(HLOOKUP("Mins",A1:CV300,74,FALSE)=0,0,HLOOKUP("Pts",A1:CV300,74,FALSE)/HLOOKUP("Mins",A1:CV300,74,FALSE)* 90)</f>
      </c>
      <c r="AV74" s="21890">
        <f>IF(HLOOKUP("Apps",A1:CV300,74,FALSE)=0,0,HLOOKUP("Pts",A1:CV300,74,FALSE)/HLOOKUP("Apps",A1:CV300,74,FALSE)* 1)</f>
      </c>
      <c r="AW74" s="21891">
        <f>IF(HLOOKUP("Mins",A1:CV300,74,FALSE)=0,0,HLOOKUP("Gs",A1:CV300,74,FALSE)/HLOOKUP("Mins",A1:CV300,74,FALSE)* 90)</f>
      </c>
      <c r="AX74" s="21892">
        <f>IF(HLOOKUP("Mins",A1:CV300,74,FALSE)=0,0,HLOOKUP("Bonus",A1:CV300,74,FALSE)/HLOOKUP("Mins",A1:CV300,74,FALSE)* 90)</f>
      </c>
      <c r="AY74" s="21893">
        <f>IF(HLOOKUP("Mins",A1:CV300,74,FALSE)=0,0,HLOOKUP("BPS",A1:CV300,74,FALSE)/HLOOKUP("Mins",A1:CV300,74,FALSE)* 90)</f>
      </c>
      <c r="AZ74" s="21894">
        <f>IF(HLOOKUP("Mins",A1:CV300,74,FALSE)=0,0,HLOOKUP("Base BPS",A1:CV300,74,FALSE)/HLOOKUP("Mins",A1:CV300,74,FALSE)* 90)</f>
      </c>
      <c r="BA74" s="21895">
        <f>IF(HLOOKUP("Mins",A1:CV300,74,FALSE)=0,0,HLOOKUP("PenTchs",A1:CV300,74,FALSE)/HLOOKUP("Mins",A1:CV300,74,FALSE)* 90)</f>
      </c>
      <c r="BB74" s="21896">
        <f>IF(HLOOKUP("Mins",A1:CV300,74,FALSE)=0,0,HLOOKUP("Shots",A1:CV300,74,FALSE)/HLOOKUP("Mins",A1:CV300,74,FALSE)* 90)</f>
      </c>
      <c r="BC74" s="21897">
        <f>IF(HLOOKUP("Mins",A1:CV300,74,FALSE)=0,0,HLOOKUP("SIB",A1:CV300,74,FALSE)/HLOOKUP("Mins",A1:CV300,74,FALSE)* 90)</f>
      </c>
      <c r="BD74" s="21898">
        <f>IF(HLOOKUP("Mins",A1:CV300,74,FALSE)=0,0,HLOOKUP("S6YD",A1:CV300,74,FALSE)/HLOOKUP("Mins",A1:CV300,74,FALSE)* 90)</f>
      </c>
      <c r="BE74" s="21899">
        <f>IF(HLOOKUP("Mins",A1:CV300,74,FALSE)=0,0,HLOOKUP("Headers",A1:CV300,74,FALSE)/HLOOKUP("Mins",A1:CV300,74,FALSE)* 90)</f>
      </c>
      <c r="BF74" s="21900">
        <f>IF(HLOOKUP("Mins",A1:CV300,74,FALSE)=0,0,HLOOKUP("SOT",A1:CV300,74,FALSE)/HLOOKUP("Mins",A1:CV300,74,FALSE)* 90)</f>
      </c>
      <c r="BG74" s="21901">
        <f>IF(HLOOKUP("Mins",A1:CV300,74,FALSE)=0,0,HLOOKUP("As",A1:CV300,74,FALSE)/HLOOKUP("Mins",A1:CV300,74,FALSE)* 90)</f>
      </c>
      <c r="BH74" s="21902">
        <f>IF(HLOOKUP("Mins",A1:CV300,74,FALSE)=0,0,HLOOKUP("FPL As",A1:CV300,74,FALSE)/HLOOKUP("Mins",A1:CV300,74,FALSE)* 90)</f>
      </c>
      <c r="BI74" s="21903">
        <f>IF(HLOOKUP("Mins",A1:CV300,74,FALSE)=0,0,HLOOKUP("BC Created",A1:CV300,74,FALSE)/HLOOKUP("Mins",A1:CV300,74,FALSE)* 90)</f>
      </c>
      <c r="BJ74" s="21904">
        <f>IF(HLOOKUP("Mins",A1:CV300,74,FALSE)=0,0,HLOOKUP("KP",A1:CV300,74,FALSE)/HLOOKUP("Mins",A1:CV300,74,FALSE)* 90)</f>
      </c>
      <c r="BK74" s="21905">
        <f>IF(HLOOKUP("Mins",A1:CV300,74,FALSE)=0,0,HLOOKUP("BC",A1:CV300,74,FALSE)/HLOOKUP("Mins",A1:CV300,74,FALSE)* 90)</f>
      </c>
      <c r="BL74" s="21906">
        <f>IF(HLOOKUP("Mins",A1:CV300,74,FALSE)=0,0,HLOOKUP("BC Miss",A1:CV300,74,FALSE)/HLOOKUP("Mins",A1:CV300,74,FALSE)* 90)</f>
      </c>
      <c r="BM74" s="21907">
        <f>IF(HLOOKUP("Mins",A1:CV300,74,FALSE)=0,0,HLOOKUP("Gs - BC",A1:CV300,74,FALSE)/HLOOKUP("Mins",A1:CV300,74,FALSE)* 90)</f>
      </c>
      <c r="BN74" s="21908">
        <f>IF(HLOOKUP("Mins",A1:CV300,74,FALSE)=0,0,HLOOKUP("GIB",A1:CV300,74,FALSE)/HLOOKUP("Mins",A1:CV300,74,FALSE)* 90)</f>
      </c>
      <c r="BO74" s="21909">
        <f>IF(HLOOKUP("Mins",A1:CV300,74,FALSE)=0,0,HLOOKUP("Gs - Open",A1:CV300,74,FALSE)/HLOOKUP("Mins",A1:CV300,74,FALSE)* 90)</f>
      </c>
      <c r="BP74" s="21910">
        <f>IF(HLOOKUP("Mins",A1:CV300,74,FALSE)=0,0,HLOOKUP("ICT Index",A1:CV300,74,FALSE)/HLOOKUP("Mins",A1:CV300,74,FALSE)* 90)</f>
      </c>
      <c r="BQ74" s="21911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</c>
      <c r="BR74" s="21912">
        <f>0.0885*HLOOKUP("KP/90",A1:CV300,74,FALSE)</f>
      </c>
      <c r="BS74" s="21913">
        <f>5*HLOOKUP("xG/90",A1:CV300,74,FALSE)+3*HLOOKUP("xA/90",A1:CV300,74,FALSE)</f>
      </c>
      <c r="BT74" s="21914">
        <f>HLOOKUP("xPts/90",A1:CV300,74,FALSE)-(5*0.75*(HLOOKUP("PK Gs",A1:CV300,74,FALSE)+HLOOKUP("PK Miss",A1:CV300,74,FALSE))*90/HLOOKUP("Mins",A1:CV300,74,FALSE))</f>
      </c>
      <c r="BU74" s="21915">
        <f>IF(HLOOKUP("Mins",A1:CV300,74,FALSE)=0,0,HLOOKUP("fsXG",A1:CV300,74,FALSE)/HLOOKUP("Mins",A1:CV300,74,FALSE)* 90)</f>
      </c>
      <c r="BV74" s="21916">
        <f>IF(HLOOKUP("Mins",A1:CV300,74,FALSE)=0,0,HLOOKUP("fsXA",A1:CV300,74,FALSE)/HLOOKUP("Mins",A1:CV300,74,FALSE)* 90)</f>
      </c>
      <c r="BW74" s="21917">
        <f>5*HLOOKUP("fsXG/90",A1:CV300,74,FALSE)+3*HLOOKUP("fsXA/90",A1:CV300,74,FALSE)</f>
      </c>
      <c r="BX74" t="n" s="21918">
        <v>0.1568635255098343</v>
      </c>
      <c r="BY74" t="n" s="21919">
        <v>0.05456707626581192</v>
      </c>
      <c r="BZ74" s="21920">
        <f>5*HLOOKUP("uXG/90",A1:CV300,74,FALSE)+3*HLOOKUP("uXA/90",A1:CV300,74,FALSE)</f>
      </c>
    </row>
    <row r="75">
      <c r="A75" t="s" s="21921">
        <v>378</v>
      </c>
      <c r="B75" t="s" s="21922">
        <v>97</v>
      </c>
      <c r="C75" t="n" s="21923">
        <v>5.5</v>
      </c>
      <c r="D75" t="n" s="21924">
        <v>45.0</v>
      </c>
      <c r="E75" t="n" s="21925">
        <v>1.0</v>
      </c>
      <c r="F75" t="n" s="21926">
        <v>28.0</v>
      </c>
      <c r="G75" t="n" s="21927">
        <v>0.0</v>
      </c>
      <c r="H75" t="n" s="21928">
        <v>0.0</v>
      </c>
      <c r="I75" t="n" s="21929">
        <v>99.0</v>
      </c>
      <c r="J75" s="21930">
        <f>HLOOKUP("BPS",A1:CV300,75,FALSE)-((-6*HLOOKUP("OG",A1:CV300,75,FALSE))+(-6*HLOOKUP("PK Miss",A1:CV300,75,FALSE))+(9*HLOOKUP("FPL As",A1:CV300,75,FALSE))+(0*HLOOKUP("CS",A1:CV300,75,FALSE))+(18*HLOOKUP("Gs",A1:CV300,75,FALSE)))</f>
      </c>
      <c r="K75" t="n" s="21931">
        <v>0.0</v>
      </c>
      <c r="L75" t="n" s="21932">
        <v>1.0</v>
      </c>
      <c r="M75" t="n" s="21933">
        <v>0.0</v>
      </c>
      <c r="N75" t="n" s="21934">
        <v>0.0</v>
      </c>
      <c r="O75" t="n" s="21935">
        <v>0.0</v>
      </c>
      <c r="P75" s="21936">
        <f>IF(HLOOKUP("Shots",A1:CV300,75,FALSE)=0,0,HLOOKUP("SIB",A1:CV300,75,FALSE)/HLOOKUP("Shots",A1:CV300,75,FALSE))</f>
      </c>
      <c r="Q75" t="n" s="21937">
        <v>0.0</v>
      </c>
      <c r="R75" s="21938">
        <f>IF(HLOOKUP("Shots",A1:CV300,75,FALSE)=0,0,HLOOKUP("S6YD",A1:CV300,75,FALSE)/HLOOKUP("Shots",A1:CV300,75,FALSE))</f>
      </c>
      <c r="S75" t="n" s="21939">
        <v>0.0</v>
      </c>
      <c r="T75" s="21940">
        <f>IF(HLOOKUP("Shots",A1:CV300,75,FALSE)=0,0,HLOOKUP("Headers",A1:CV300,75,FALSE)/HLOOKUP("Shots",A1:CV300,75,FALSE))</f>
      </c>
      <c r="U75" t="n" s="21941">
        <v>0.0</v>
      </c>
      <c r="V75" s="21942">
        <f>IF(HLOOKUP("Shots",A1:CV300,75,FALSE)=0,0,HLOOKUP("SOT",A1:CV300,75,FALSE)/HLOOKUP("Shots",A1:CV300,75,FALSE))</f>
      </c>
      <c r="W75" s="21943">
        <f>IF(HLOOKUP("Shots",A1:CV300,75,FALSE)=0,0,HLOOKUP("Gs",A1:CV300,75,FALSE)/HLOOKUP("Shots",A1:CV300,75,FALSE))</f>
      </c>
      <c r="X75" t="n" s="21944">
        <v>0.0</v>
      </c>
      <c r="Y75" t="n" s="21945">
        <v>2.0</v>
      </c>
      <c r="Z75" t="n" s="21946">
        <v>0.0</v>
      </c>
      <c r="AA75" s="21947">
        <f>IF(HLOOKUP("KP",A1:CV300,75,FALSE)=0,0,HLOOKUP("As",A1:CV300,75,FALSE)/HLOOKUP("KP",A1:CV300,75,FALSE))</f>
      </c>
      <c r="AB75" s="21948"/>
      <c r="AC75" t="n" s="21949">
        <v>0.0</v>
      </c>
      <c r="AD75" t="n" s="21950">
        <v>0.0</v>
      </c>
      <c r="AE75" t="n" s="21951">
        <v>0.0</v>
      </c>
      <c r="AF75" t="n" s="21952">
        <v>0.0</v>
      </c>
      <c r="AG75" s="21953">
        <f>IF(HLOOKUP("BC",A1:CV300,75,FALSE)=0,0,HLOOKUP("Gs - BC",A1:CV300,75,FALSE)/HLOOKUP("BC",A1:CV300,75,FALSE))</f>
      </c>
      <c r="AH75" s="21954">
        <f>HLOOKUP("BC",A1:CV300,75,FALSE) - HLOOKUP("BC Miss",A1:CV300,75,FALSE)</f>
      </c>
      <c r="AI75" s="21955">
        <f>IF(HLOOKUP("Gs",A1:CV300,75,FALSE)=0,0,HLOOKUP("Gs - BC",A1:CV300,75,FALSE)/HLOOKUP("Gs",A1:CV300,75,FALSE))</f>
      </c>
      <c r="AJ75" t="n" s="21956">
        <v>0.0</v>
      </c>
      <c r="AK75" t="n" s="21957">
        <v>0.0</v>
      </c>
      <c r="AL75" s="21958">
        <f>HLOOKUP("BC",A1:CV300,75,FALSE) - (HLOOKUP("PK Gs",A1:CV300,75,FALSE) + HLOOKUP("PK Miss",A1:CV300,75,FALSE))</f>
      </c>
      <c r="AM75" s="21959">
        <f>HLOOKUP("BC Miss",A1:CV300,75,FALSE) - HLOOKUP("PK Miss",A1:CV300,75,FALSE)</f>
      </c>
      <c r="AN75" s="21960">
        <f>IF(HLOOKUP("BC - Open",A1:CV300,75,FALSE)=0,0,HLOOKUP("BC - Open Miss",A1:CV300,75,FALSE)/HLOOKUP("BC - Open",A1:CV300,75,FALSE))</f>
      </c>
      <c r="AO75" t="n" s="21961">
        <v>0.0</v>
      </c>
      <c r="AP75" s="21962">
        <f>IF(HLOOKUP("Gs",A1:CV300,75,FALSE)=0,0,HLOOKUP("GIB",A1:CV300,75,FALSE)/HLOOKUP("Gs",A1:CV300,75,FALSE))</f>
      </c>
      <c r="AQ75" t="n" s="21963">
        <v>0.0</v>
      </c>
      <c r="AR75" s="21964">
        <f>IF(HLOOKUP("Gs",A1:CV300,75,FALSE)=0,0,HLOOKUP("Gs - Open",A1:CV300,75,FALSE)/HLOOKUP("Gs",A1:CV300,75,FALSE))</f>
      </c>
      <c r="AS75" t="n" s="21965">
        <v>0.0</v>
      </c>
      <c r="AT75" t="n" s="21966">
        <v>0.0</v>
      </c>
      <c r="AU75" s="21967">
        <f>IF(HLOOKUP("Mins",A1:CV300,75,FALSE)=0,0,HLOOKUP("Pts",A1:CV300,75,FALSE)/HLOOKUP("Mins",A1:CV300,75,FALSE)* 90)</f>
      </c>
      <c r="AV75" s="21968">
        <f>IF(HLOOKUP("Apps",A1:CV300,75,FALSE)=0,0,HLOOKUP("Pts",A1:CV300,75,FALSE)/HLOOKUP("Apps",A1:CV300,75,FALSE)* 1)</f>
      </c>
      <c r="AW75" s="21969">
        <f>IF(HLOOKUP("Mins",A1:CV300,75,FALSE)=0,0,HLOOKUP("Gs",A1:CV300,75,FALSE)/HLOOKUP("Mins",A1:CV300,75,FALSE)* 90)</f>
      </c>
      <c r="AX75" s="21970">
        <f>IF(HLOOKUP("Mins",A1:CV300,75,FALSE)=0,0,HLOOKUP("Bonus",A1:CV300,75,FALSE)/HLOOKUP("Mins",A1:CV300,75,FALSE)* 90)</f>
      </c>
      <c r="AY75" s="21971">
        <f>IF(HLOOKUP("Mins",A1:CV300,75,FALSE)=0,0,HLOOKUP("BPS",A1:CV300,75,FALSE)/HLOOKUP("Mins",A1:CV300,75,FALSE)* 90)</f>
      </c>
      <c r="AZ75" s="21972">
        <f>IF(HLOOKUP("Mins",A1:CV300,75,FALSE)=0,0,HLOOKUP("Base BPS",A1:CV300,75,FALSE)/HLOOKUP("Mins",A1:CV300,75,FALSE)* 90)</f>
      </c>
      <c r="BA75" s="21973">
        <f>IF(HLOOKUP("Mins",A1:CV300,75,FALSE)=0,0,HLOOKUP("PenTchs",A1:CV300,75,FALSE)/HLOOKUP("Mins",A1:CV300,75,FALSE)* 90)</f>
      </c>
      <c r="BB75" s="21974">
        <f>IF(HLOOKUP("Mins",A1:CV300,75,FALSE)=0,0,HLOOKUP("Shots",A1:CV300,75,FALSE)/HLOOKUP("Mins",A1:CV300,75,FALSE)* 90)</f>
      </c>
      <c r="BC75" s="21975">
        <f>IF(HLOOKUP("Mins",A1:CV300,75,FALSE)=0,0,HLOOKUP("SIB",A1:CV300,75,FALSE)/HLOOKUP("Mins",A1:CV300,75,FALSE)* 90)</f>
      </c>
      <c r="BD75" s="21976">
        <f>IF(HLOOKUP("Mins",A1:CV300,75,FALSE)=0,0,HLOOKUP("S6YD",A1:CV300,75,FALSE)/HLOOKUP("Mins",A1:CV300,75,FALSE)* 90)</f>
      </c>
      <c r="BE75" s="21977">
        <f>IF(HLOOKUP("Mins",A1:CV300,75,FALSE)=0,0,HLOOKUP("Headers",A1:CV300,75,FALSE)/HLOOKUP("Mins",A1:CV300,75,FALSE)* 90)</f>
      </c>
      <c r="BF75" s="21978">
        <f>IF(HLOOKUP("Mins",A1:CV300,75,FALSE)=0,0,HLOOKUP("SOT",A1:CV300,75,FALSE)/HLOOKUP("Mins",A1:CV300,75,FALSE)* 90)</f>
      </c>
      <c r="BG75" s="21979">
        <f>IF(HLOOKUP("Mins",A1:CV300,75,FALSE)=0,0,HLOOKUP("As",A1:CV300,75,FALSE)/HLOOKUP("Mins",A1:CV300,75,FALSE)* 90)</f>
      </c>
      <c r="BH75" s="21980">
        <f>IF(HLOOKUP("Mins",A1:CV300,75,FALSE)=0,0,HLOOKUP("FPL As",A1:CV300,75,FALSE)/HLOOKUP("Mins",A1:CV300,75,FALSE)* 90)</f>
      </c>
      <c r="BI75" s="21981">
        <f>IF(HLOOKUP("Mins",A1:CV300,75,FALSE)=0,0,HLOOKUP("BC Created",A1:CV300,75,FALSE)/HLOOKUP("Mins",A1:CV300,75,FALSE)* 90)</f>
      </c>
      <c r="BJ75" s="21982">
        <f>IF(HLOOKUP("Mins",A1:CV300,75,FALSE)=0,0,HLOOKUP("KP",A1:CV300,75,FALSE)/HLOOKUP("Mins",A1:CV300,75,FALSE)* 90)</f>
      </c>
      <c r="BK75" s="21983">
        <f>IF(HLOOKUP("Mins",A1:CV300,75,FALSE)=0,0,HLOOKUP("BC",A1:CV300,75,FALSE)/HLOOKUP("Mins",A1:CV300,75,FALSE)* 90)</f>
      </c>
      <c r="BL75" s="21984">
        <f>IF(HLOOKUP("Mins",A1:CV300,75,FALSE)=0,0,HLOOKUP("BC Miss",A1:CV300,75,FALSE)/HLOOKUP("Mins",A1:CV300,75,FALSE)* 90)</f>
      </c>
      <c r="BM75" s="21985">
        <f>IF(HLOOKUP("Mins",A1:CV300,75,FALSE)=0,0,HLOOKUP("Gs - BC",A1:CV300,75,FALSE)/HLOOKUP("Mins",A1:CV300,75,FALSE)* 90)</f>
      </c>
      <c r="BN75" s="21986">
        <f>IF(HLOOKUP("Mins",A1:CV300,75,FALSE)=0,0,HLOOKUP("GIB",A1:CV300,75,FALSE)/HLOOKUP("Mins",A1:CV300,75,FALSE)* 90)</f>
      </c>
      <c r="BO75" s="21987">
        <f>IF(HLOOKUP("Mins",A1:CV300,75,FALSE)=0,0,HLOOKUP("Gs - Open",A1:CV300,75,FALSE)/HLOOKUP("Mins",A1:CV300,75,FALSE)* 90)</f>
      </c>
      <c r="BP75" s="21988">
        <f>IF(HLOOKUP("Mins",A1:CV300,75,FALSE)=0,0,HLOOKUP("ICT Index",A1:CV300,75,FALSE)/HLOOKUP("Mins",A1:CV300,75,FALSE)* 90)</f>
      </c>
      <c r="BQ75" s="21989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</c>
      <c r="BR75" s="21990">
        <f>0.0885*HLOOKUP("KP/90",A1:CV300,75,FALSE)</f>
      </c>
      <c r="BS75" s="21991">
        <f>5*HLOOKUP("xG/90",A1:CV300,75,FALSE)+3*HLOOKUP("xA/90",A1:CV300,75,FALSE)</f>
      </c>
      <c r="BT75" s="21992">
        <f>HLOOKUP("xPts/90",A1:CV300,75,FALSE)-(5*0.75*(HLOOKUP("PK Gs",A1:CV300,75,FALSE)+HLOOKUP("PK Miss",A1:CV300,75,FALSE))*90/HLOOKUP("Mins",A1:CV300,75,FALSE))</f>
      </c>
      <c r="BU75" s="21993">
        <f>IF(HLOOKUP("Mins",A1:CV300,75,FALSE)=0,0,HLOOKUP("fsXG",A1:CV300,75,FALSE)/HLOOKUP("Mins",A1:CV300,75,FALSE)* 90)</f>
      </c>
      <c r="BV75" s="21994">
        <f>IF(HLOOKUP("Mins",A1:CV300,75,FALSE)=0,0,HLOOKUP("fsXA",A1:CV300,75,FALSE)/HLOOKUP("Mins",A1:CV300,75,FALSE)* 90)</f>
      </c>
      <c r="BW75" s="21995">
        <f>5*HLOOKUP("fsXG/90",A1:CV300,75,FALSE)+3*HLOOKUP("fsXA/90",A1:CV300,75,FALSE)</f>
      </c>
      <c r="BX75" t="n" s="21996">
        <v>0.0</v>
      </c>
      <c r="BY75" t="n" s="21997">
        <v>0.0</v>
      </c>
      <c r="BZ75" s="21998">
        <f>5*HLOOKUP("uXG/90",A1:CV300,75,FALSE)+3*HLOOKUP("uXA/90",A1:CV300,75,FALSE)</f>
      </c>
    </row>
    <row r="76">
      <c r="A76" t="s" s="21999">
        <v>379</v>
      </c>
      <c r="B76" t="s" s="22000">
        <v>85</v>
      </c>
      <c r="C76" t="n" s="22001">
        <v>4.900000095367432</v>
      </c>
      <c r="D76" t="n" s="22002">
        <v>528.0</v>
      </c>
      <c r="E76" t="n" s="22003">
        <v>6.0</v>
      </c>
      <c r="F76" t="n" s="22004">
        <v>72.0</v>
      </c>
      <c r="G76" t="n" s="22005">
        <v>0.0</v>
      </c>
      <c r="H76" t="n" s="22006">
        <v>6.0</v>
      </c>
      <c r="I76" t="n" s="22007">
        <v>414.0</v>
      </c>
      <c r="J76" s="22008">
        <f>HLOOKUP("BPS",A1:CV300,76,FALSE)-((-6*HLOOKUP("OG",A1:CV300,76,FALSE))+(-6*HLOOKUP("PK Miss",A1:CV300,76,FALSE))+(9*HLOOKUP("FPL As",A1:CV300,76,FALSE))+(0*HLOOKUP("CS",A1:CV300,76,FALSE))+(18*HLOOKUP("Gs",A1:CV300,76,FALSE)))</f>
      </c>
      <c r="K76" t="n" s="22009">
        <v>0.0</v>
      </c>
      <c r="L76" t="n" s="22010">
        <v>9.0</v>
      </c>
      <c r="M76" t="n" s="22011">
        <v>0.0</v>
      </c>
      <c r="N76" t="n" s="22012">
        <v>4.0</v>
      </c>
      <c r="O76" t="n" s="22013">
        <v>0.0</v>
      </c>
      <c r="P76" s="22014">
        <f>IF(HLOOKUP("Shots",A1:CV300,76,FALSE)=0,0,HLOOKUP("SIB",A1:CV300,76,FALSE)/HLOOKUP("Shots",A1:CV300,76,FALSE))</f>
      </c>
      <c r="Q76" t="n" s="22015">
        <v>0.0</v>
      </c>
      <c r="R76" s="22016">
        <f>IF(HLOOKUP("Shots",A1:CV300,76,FALSE)=0,0,HLOOKUP("S6YD",A1:CV300,76,FALSE)/HLOOKUP("Shots",A1:CV300,76,FALSE))</f>
      </c>
      <c r="S76" t="n" s="22017">
        <v>0.0</v>
      </c>
      <c r="T76" s="22018">
        <f>IF(HLOOKUP("Shots",A1:CV300,76,FALSE)=0,0,HLOOKUP("Headers",A1:CV300,76,FALSE)/HLOOKUP("Shots",A1:CV300,76,FALSE))</f>
      </c>
      <c r="U76" t="n" s="22019">
        <v>1.0</v>
      </c>
      <c r="V76" s="22020">
        <f>IF(HLOOKUP("Shots",A1:CV300,76,FALSE)=0,0,HLOOKUP("SOT",A1:CV300,76,FALSE)/HLOOKUP("Shots",A1:CV300,76,FALSE))</f>
      </c>
      <c r="W76" s="22021">
        <f>IF(HLOOKUP("Shots",A1:CV300,76,FALSE)=0,0,HLOOKUP("Gs",A1:CV300,76,FALSE)/HLOOKUP("Shots",A1:CV300,76,FALSE))</f>
      </c>
      <c r="X76" t="n" s="22022">
        <v>0.0</v>
      </c>
      <c r="Y76" t="n" s="22023">
        <v>2.0</v>
      </c>
      <c r="Z76" t="n" s="22024">
        <v>7.0</v>
      </c>
      <c r="AA76" s="22025">
        <f>IF(HLOOKUP("KP",A1:CV300,76,FALSE)=0,0,HLOOKUP("As",A1:CV300,76,FALSE)/HLOOKUP("KP",A1:CV300,76,FALSE))</f>
      </c>
      <c r="AB76" s="22026"/>
      <c r="AC76" t="n" s="22027">
        <v>20.0</v>
      </c>
      <c r="AD76" t="n" s="22028">
        <v>2.0</v>
      </c>
      <c r="AE76" t="n" s="22029">
        <v>0.0</v>
      </c>
      <c r="AF76" t="n" s="22030">
        <v>0.0</v>
      </c>
      <c r="AG76" s="22031">
        <f>IF(HLOOKUP("BC",A1:CV300,76,FALSE)=0,0,HLOOKUP("Gs - BC",A1:CV300,76,FALSE)/HLOOKUP("BC",A1:CV300,76,FALSE))</f>
      </c>
      <c r="AH76" s="22032">
        <f>HLOOKUP("BC",A1:CV300,76,FALSE) - HLOOKUP("BC Miss",A1:CV300,76,FALSE)</f>
      </c>
      <c r="AI76" s="22033">
        <f>IF(HLOOKUP("Gs",A1:CV300,76,FALSE)=0,0,HLOOKUP("Gs - BC",A1:CV300,76,FALSE)/HLOOKUP("Gs",A1:CV300,76,FALSE))</f>
      </c>
      <c r="AJ76" t="n" s="22034">
        <v>0.0</v>
      </c>
      <c r="AK76" t="n" s="22035">
        <v>0.0</v>
      </c>
      <c r="AL76" s="22036">
        <f>HLOOKUP("BC",A1:CV300,76,FALSE) - (HLOOKUP("PK Gs",A1:CV300,76,FALSE) + HLOOKUP("PK Miss",A1:CV300,76,FALSE))</f>
      </c>
      <c r="AM76" s="22037">
        <f>HLOOKUP("BC Miss",A1:CV300,76,FALSE) - HLOOKUP("PK Miss",A1:CV300,76,FALSE)</f>
      </c>
      <c r="AN76" s="22038">
        <f>IF(HLOOKUP("BC - Open",A1:CV300,76,FALSE)=0,0,HLOOKUP("BC - Open Miss",A1:CV300,76,FALSE)/HLOOKUP("BC - Open",A1:CV300,76,FALSE))</f>
      </c>
      <c r="AO76" t="n" s="22039">
        <v>0.0</v>
      </c>
      <c r="AP76" s="22040">
        <f>IF(HLOOKUP("Gs",A1:CV300,76,FALSE)=0,0,HLOOKUP("GIB",A1:CV300,76,FALSE)/HLOOKUP("Gs",A1:CV300,76,FALSE))</f>
      </c>
      <c r="AQ76" t="n" s="22041">
        <v>0.0</v>
      </c>
      <c r="AR76" s="22042">
        <f>IF(HLOOKUP("Gs",A1:CV300,76,FALSE)=0,0,HLOOKUP("Gs - Open",A1:CV300,76,FALSE)/HLOOKUP("Gs",A1:CV300,76,FALSE))</f>
      </c>
      <c r="AS76" t="n" s="22043">
        <v>0.2</v>
      </c>
      <c r="AT76" t="n" s="22044">
        <v>0.79</v>
      </c>
      <c r="AU76" s="22045">
        <f>IF(HLOOKUP("Mins",A1:CV300,76,FALSE)=0,0,HLOOKUP("Pts",A1:CV300,76,FALSE)/HLOOKUP("Mins",A1:CV300,76,FALSE)* 90)</f>
      </c>
      <c r="AV76" s="22046">
        <f>IF(HLOOKUP("Apps",A1:CV300,76,FALSE)=0,0,HLOOKUP("Pts",A1:CV300,76,FALSE)/HLOOKUP("Apps",A1:CV300,76,FALSE)* 1)</f>
      </c>
      <c r="AW76" s="22047">
        <f>IF(HLOOKUP("Mins",A1:CV300,76,FALSE)=0,0,HLOOKUP("Gs",A1:CV300,76,FALSE)/HLOOKUP("Mins",A1:CV300,76,FALSE)* 90)</f>
      </c>
      <c r="AX76" s="22048">
        <f>IF(HLOOKUP("Mins",A1:CV300,76,FALSE)=0,0,HLOOKUP("Bonus",A1:CV300,76,FALSE)/HLOOKUP("Mins",A1:CV300,76,FALSE)* 90)</f>
      </c>
      <c r="AY76" s="22049">
        <f>IF(HLOOKUP("Mins",A1:CV300,76,FALSE)=0,0,HLOOKUP("BPS",A1:CV300,76,FALSE)/HLOOKUP("Mins",A1:CV300,76,FALSE)* 90)</f>
      </c>
      <c r="AZ76" s="22050">
        <f>IF(HLOOKUP("Mins",A1:CV300,76,FALSE)=0,0,HLOOKUP("Base BPS",A1:CV300,76,FALSE)/HLOOKUP("Mins",A1:CV300,76,FALSE)* 90)</f>
      </c>
      <c r="BA76" s="22051">
        <f>IF(HLOOKUP("Mins",A1:CV300,76,FALSE)=0,0,HLOOKUP("PenTchs",A1:CV300,76,FALSE)/HLOOKUP("Mins",A1:CV300,76,FALSE)* 90)</f>
      </c>
      <c r="BB76" s="22052">
        <f>IF(HLOOKUP("Mins",A1:CV300,76,FALSE)=0,0,HLOOKUP("Shots",A1:CV300,76,FALSE)/HLOOKUP("Mins",A1:CV300,76,FALSE)* 90)</f>
      </c>
      <c r="BC76" s="22053">
        <f>IF(HLOOKUP("Mins",A1:CV300,76,FALSE)=0,0,HLOOKUP("SIB",A1:CV300,76,FALSE)/HLOOKUP("Mins",A1:CV300,76,FALSE)* 90)</f>
      </c>
      <c r="BD76" s="22054">
        <f>IF(HLOOKUP("Mins",A1:CV300,76,FALSE)=0,0,HLOOKUP("S6YD",A1:CV300,76,FALSE)/HLOOKUP("Mins",A1:CV300,76,FALSE)* 90)</f>
      </c>
      <c r="BE76" s="22055">
        <f>IF(HLOOKUP("Mins",A1:CV300,76,FALSE)=0,0,HLOOKUP("Headers",A1:CV300,76,FALSE)/HLOOKUP("Mins",A1:CV300,76,FALSE)* 90)</f>
      </c>
      <c r="BF76" s="22056">
        <f>IF(HLOOKUP("Mins",A1:CV300,76,FALSE)=0,0,HLOOKUP("SOT",A1:CV300,76,FALSE)/HLOOKUP("Mins",A1:CV300,76,FALSE)* 90)</f>
      </c>
      <c r="BG76" s="22057">
        <f>IF(HLOOKUP("Mins",A1:CV300,76,FALSE)=0,0,HLOOKUP("As",A1:CV300,76,FALSE)/HLOOKUP("Mins",A1:CV300,76,FALSE)* 90)</f>
      </c>
      <c r="BH76" s="22058">
        <f>IF(HLOOKUP("Mins",A1:CV300,76,FALSE)=0,0,HLOOKUP("FPL As",A1:CV300,76,FALSE)/HLOOKUP("Mins",A1:CV300,76,FALSE)* 90)</f>
      </c>
      <c r="BI76" s="22059">
        <f>IF(HLOOKUP("Mins",A1:CV300,76,FALSE)=0,0,HLOOKUP("BC Created",A1:CV300,76,FALSE)/HLOOKUP("Mins",A1:CV300,76,FALSE)* 90)</f>
      </c>
      <c r="BJ76" s="22060">
        <f>IF(HLOOKUP("Mins",A1:CV300,76,FALSE)=0,0,HLOOKUP("KP",A1:CV300,76,FALSE)/HLOOKUP("Mins",A1:CV300,76,FALSE)* 90)</f>
      </c>
      <c r="BK76" s="22061">
        <f>IF(HLOOKUP("Mins",A1:CV300,76,FALSE)=0,0,HLOOKUP("BC",A1:CV300,76,FALSE)/HLOOKUP("Mins",A1:CV300,76,FALSE)* 90)</f>
      </c>
      <c r="BL76" s="22062">
        <f>IF(HLOOKUP("Mins",A1:CV300,76,FALSE)=0,0,HLOOKUP("BC Miss",A1:CV300,76,FALSE)/HLOOKUP("Mins",A1:CV300,76,FALSE)* 90)</f>
      </c>
      <c r="BM76" s="22063">
        <f>IF(HLOOKUP("Mins",A1:CV300,76,FALSE)=0,0,HLOOKUP("Gs - BC",A1:CV300,76,FALSE)/HLOOKUP("Mins",A1:CV300,76,FALSE)* 90)</f>
      </c>
      <c r="BN76" s="22064">
        <f>IF(HLOOKUP("Mins",A1:CV300,76,FALSE)=0,0,HLOOKUP("GIB",A1:CV300,76,FALSE)/HLOOKUP("Mins",A1:CV300,76,FALSE)* 90)</f>
      </c>
      <c r="BO76" s="22065">
        <f>IF(HLOOKUP("Mins",A1:CV300,76,FALSE)=0,0,HLOOKUP("Gs - Open",A1:CV300,76,FALSE)/HLOOKUP("Mins",A1:CV300,76,FALSE)* 90)</f>
      </c>
      <c r="BP76" s="22066">
        <f>IF(HLOOKUP("Mins",A1:CV300,76,FALSE)=0,0,HLOOKUP("ICT Index",A1:CV300,76,FALSE)/HLOOKUP("Mins",A1:CV300,76,FALSE)* 90)</f>
      </c>
      <c r="BQ76" s="22067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</c>
      <c r="BR76" s="22068">
        <f>0.0885*HLOOKUP("KP/90",A1:CV300,76,FALSE)</f>
      </c>
      <c r="BS76" s="22069">
        <f>5*HLOOKUP("xG/90",A1:CV300,76,FALSE)+3*HLOOKUP("xA/90",A1:CV300,76,FALSE)</f>
      </c>
      <c r="BT76" s="22070">
        <f>HLOOKUP("xPts/90",A1:CV300,76,FALSE)-(5*0.75*(HLOOKUP("PK Gs",A1:CV300,76,FALSE)+HLOOKUP("PK Miss",A1:CV300,76,FALSE))*90/HLOOKUP("Mins",A1:CV300,76,FALSE))</f>
      </c>
      <c r="BU76" s="22071">
        <f>IF(HLOOKUP("Mins",A1:CV300,76,FALSE)=0,0,HLOOKUP("fsXG",A1:CV300,76,FALSE)/HLOOKUP("Mins",A1:CV300,76,FALSE)* 90)</f>
      </c>
      <c r="BV76" s="22072">
        <f>IF(HLOOKUP("Mins",A1:CV300,76,FALSE)=0,0,HLOOKUP("fsXA",A1:CV300,76,FALSE)/HLOOKUP("Mins",A1:CV300,76,FALSE)* 90)</f>
      </c>
      <c r="BW76" s="22073">
        <f>5*HLOOKUP("fsXG/90",A1:CV300,76,FALSE)+3*HLOOKUP("fsXA/90",A1:CV300,76,FALSE)</f>
      </c>
      <c r="BX76" t="n" s="22074">
        <v>0.02488851174712181</v>
      </c>
      <c r="BY76" t="n" s="22075">
        <v>0.18658477067947388</v>
      </c>
      <c r="BZ76" s="22076">
        <f>5*HLOOKUP("uXG/90",A1:CV300,76,FALSE)+3*HLOOKUP("uXA/90",A1:CV300,76,FALSE)</f>
      </c>
    </row>
    <row r="77">
      <c r="A77" t="s" s="22077">
        <v>380</v>
      </c>
      <c r="B77" t="s" s="22078">
        <v>134</v>
      </c>
      <c r="C77" t="n" s="22079">
        <v>5.300000190734863</v>
      </c>
      <c r="D77" t="n" s="22080">
        <v>96.0</v>
      </c>
      <c r="E77" t="n" s="22081">
        <v>2.0</v>
      </c>
      <c r="F77" t="n" s="22082">
        <v>43.0</v>
      </c>
      <c r="G77" t="n" s="22083">
        <v>0.0</v>
      </c>
      <c r="H77" t="n" s="22084">
        <v>3.0</v>
      </c>
      <c r="I77" t="n" s="22085">
        <v>161.0</v>
      </c>
      <c r="J77" s="22086">
        <f>HLOOKUP("BPS",A1:CV300,77,FALSE)-((-6*HLOOKUP("OG",A1:CV300,77,FALSE))+(-6*HLOOKUP("PK Miss",A1:CV300,77,FALSE))+(9*HLOOKUP("FPL As",A1:CV300,77,FALSE))+(0*HLOOKUP("CS",A1:CV300,77,FALSE))+(18*HLOOKUP("Gs",A1:CV300,77,FALSE)))</f>
      </c>
      <c r="K77" t="n" s="22087">
        <v>0.0</v>
      </c>
      <c r="L77" t="n" s="22088">
        <v>4.0</v>
      </c>
      <c r="M77" t="n" s="22089">
        <v>1.0</v>
      </c>
      <c r="N77" t="n" s="22090">
        <v>0.0</v>
      </c>
      <c r="O77" t="n" s="22091">
        <v>0.0</v>
      </c>
      <c r="P77" s="22092">
        <f>IF(HLOOKUP("Shots",A1:CV300,77,FALSE)=0,0,HLOOKUP("SIB",A1:CV300,77,FALSE)/HLOOKUP("Shots",A1:CV300,77,FALSE))</f>
      </c>
      <c r="Q77" t="n" s="22093">
        <v>0.0</v>
      </c>
      <c r="R77" s="22094">
        <f>IF(HLOOKUP("Shots",A1:CV300,77,FALSE)=0,0,HLOOKUP("S6YD",A1:CV300,77,FALSE)/HLOOKUP("Shots",A1:CV300,77,FALSE))</f>
      </c>
      <c r="S77" t="n" s="22095">
        <v>0.0</v>
      </c>
      <c r="T77" s="22096">
        <f>IF(HLOOKUP("Shots",A1:CV300,77,FALSE)=0,0,HLOOKUP("Headers",A1:CV300,77,FALSE)/HLOOKUP("Shots",A1:CV300,77,FALSE))</f>
      </c>
      <c r="U77" t="n" s="22097">
        <v>0.0</v>
      </c>
      <c r="V77" s="22098">
        <f>IF(HLOOKUP("Shots",A1:CV300,77,FALSE)=0,0,HLOOKUP("SOT",A1:CV300,77,FALSE)/HLOOKUP("Shots",A1:CV300,77,FALSE))</f>
      </c>
      <c r="W77" s="22099">
        <f>IF(HLOOKUP("Shots",A1:CV300,77,FALSE)=0,0,HLOOKUP("Gs",A1:CV300,77,FALSE)/HLOOKUP("Shots",A1:CV300,77,FALSE))</f>
      </c>
      <c r="X77" t="n" s="22100">
        <v>0.0</v>
      </c>
      <c r="Y77" t="n" s="22101">
        <v>2.0</v>
      </c>
      <c r="Z77" t="n" s="22102">
        <v>1.0</v>
      </c>
      <c r="AA77" s="22103">
        <f>IF(HLOOKUP("KP",A1:CV300,77,FALSE)=0,0,HLOOKUP("As",A1:CV300,77,FALSE)/HLOOKUP("KP",A1:CV300,77,FALSE))</f>
      </c>
      <c r="AB77" s="22104"/>
      <c r="AC77" t="n" s="22105">
        <v>0.0</v>
      </c>
      <c r="AD77" t="n" s="22106">
        <v>0.0</v>
      </c>
      <c r="AE77" t="n" s="22107">
        <v>0.0</v>
      </c>
      <c r="AF77" t="n" s="22108">
        <v>0.0</v>
      </c>
      <c r="AG77" s="22109">
        <f>IF(HLOOKUP("BC",A1:CV300,77,FALSE)=0,0,HLOOKUP("Gs - BC",A1:CV300,77,FALSE)/HLOOKUP("BC",A1:CV300,77,FALSE))</f>
      </c>
      <c r="AH77" s="22110">
        <f>HLOOKUP("BC",A1:CV300,77,FALSE) - HLOOKUP("BC Miss",A1:CV300,77,FALSE)</f>
      </c>
      <c r="AI77" s="22111">
        <f>IF(HLOOKUP("Gs",A1:CV300,77,FALSE)=0,0,HLOOKUP("Gs - BC",A1:CV300,77,FALSE)/HLOOKUP("Gs",A1:CV300,77,FALSE))</f>
      </c>
      <c r="AJ77" t="n" s="22112">
        <v>0.0</v>
      </c>
      <c r="AK77" t="n" s="22113">
        <v>0.0</v>
      </c>
      <c r="AL77" s="22114">
        <f>HLOOKUP("BC",A1:CV300,77,FALSE) - (HLOOKUP("PK Gs",A1:CV300,77,FALSE) + HLOOKUP("PK Miss",A1:CV300,77,FALSE))</f>
      </c>
      <c r="AM77" s="22115">
        <f>HLOOKUP("BC Miss",A1:CV300,77,FALSE) - HLOOKUP("PK Miss",A1:CV300,77,FALSE)</f>
      </c>
      <c r="AN77" s="22116">
        <f>IF(HLOOKUP("BC - Open",A1:CV300,77,FALSE)=0,0,HLOOKUP("BC - Open Miss",A1:CV300,77,FALSE)/HLOOKUP("BC - Open",A1:CV300,77,FALSE))</f>
      </c>
      <c r="AO77" t="n" s="22117">
        <v>0.0</v>
      </c>
      <c r="AP77" s="22118">
        <f>IF(HLOOKUP("Gs",A1:CV300,77,FALSE)=0,0,HLOOKUP("GIB",A1:CV300,77,FALSE)/HLOOKUP("Gs",A1:CV300,77,FALSE))</f>
      </c>
      <c r="AQ77" t="n" s="22119">
        <v>0.0</v>
      </c>
      <c r="AR77" s="22120">
        <f>IF(HLOOKUP("Gs",A1:CV300,77,FALSE)=0,0,HLOOKUP("Gs - Open",A1:CV300,77,FALSE)/HLOOKUP("Gs",A1:CV300,77,FALSE))</f>
      </c>
      <c r="AS77" t="n" s="22121">
        <v>0.0</v>
      </c>
      <c r="AT77" t="n" s="22122">
        <v>0.05</v>
      </c>
      <c r="AU77" s="22123">
        <f>IF(HLOOKUP("Mins",A1:CV300,77,FALSE)=0,0,HLOOKUP("Pts",A1:CV300,77,FALSE)/HLOOKUP("Mins",A1:CV300,77,FALSE)* 90)</f>
      </c>
      <c r="AV77" s="22124">
        <f>IF(HLOOKUP("Apps",A1:CV300,77,FALSE)=0,0,HLOOKUP("Pts",A1:CV300,77,FALSE)/HLOOKUP("Apps",A1:CV300,77,FALSE)* 1)</f>
      </c>
      <c r="AW77" s="22125">
        <f>IF(HLOOKUP("Mins",A1:CV300,77,FALSE)=0,0,HLOOKUP("Gs",A1:CV300,77,FALSE)/HLOOKUP("Mins",A1:CV300,77,FALSE)* 90)</f>
      </c>
      <c r="AX77" s="22126">
        <f>IF(HLOOKUP("Mins",A1:CV300,77,FALSE)=0,0,HLOOKUP("Bonus",A1:CV300,77,FALSE)/HLOOKUP("Mins",A1:CV300,77,FALSE)* 90)</f>
      </c>
      <c r="AY77" s="22127">
        <f>IF(HLOOKUP("Mins",A1:CV300,77,FALSE)=0,0,HLOOKUP("BPS",A1:CV300,77,FALSE)/HLOOKUP("Mins",A1:CV300,77,FALSE)* 90)</f>
      </c>
      <c r="AZ77" s="22128">
        <f>IF(HLOOKUP("Mins",A1:CV300,77,FALSE)=0,0,HLOOKUP("Base BPS",A1:CV300,77,FALSE)/HLOOKUP("Mins",A1:CV300,77,FALSE)* 90)</f>
      </c>
      <c r="BA77" s="22129">
        <f>IF(HLOOKUP("Mins",A1:CV300,77,FALSE)=0,0,HLOOKUP("PenTchs",A1:CV300,77,FALSE)/HLOOKUP("Mins",A1:CV300,77,FALSE)* 90)</f>
      </c>
      <c r="BB77" s="22130">
        <f>IF(HLOOKUP("Mins",A1:CV300,77,FALSE)=0,0,HLOOKUP("Shots",A1:CV300,77,FALSE)/HLOOKUP("Mins",A1:CV300,77,FALSE)* 90)</f>
      </c>
      <c r="BC77" s="22131">
        <f>IF(HLOOKUP("Mins",A1:CV300,77,FALSE)=0,0,HLOOKUP("SIB",A1:CV300,77,FALSE)/HLOOKUP("Mins",A1:CV300,77,FALSE)* 90)</f>
      </c>
      <c r="BD77" s="22132">
        <f>IF(HLOOKUP("Mins",A1:CV300,77,FALSE)=0,0,HLOOKUP("S6YD",A1:CV300,77,FALSE)/HLOOKUP("Mins",A1:CV300,77,FALSE)* 90)</f>
      </c>
      <c r="BE77" s="22133">
        <f>IF(HLOOKUP("Mins",A1:CV300,77,FALSE)=0,0,HLOOKUP("Headers",A1:CV300,77,FALSE)/HLOOKUP("Mins",A1:CV300,77,FALSE)* 90)</f>
      </c>
      <c r="BF77" s="22134">
        <f>IF(HLOOKUP("Mins",A1:CV300,77,FALSE)=0,0,HLOOKUP("SOT",A1:CV300,77,FALSE)/HLOOKUP("Mins",A1:CV300,77,FALSE)* 90)</f>
      </c>
      <c r="BG77" s="22135">
        <f>IF(HLOOKUP("Mins",A1:CV300,77,FALSE)=0,0,HLOOKUP("As",A1:CV300,77,FALSE)/HLOOKUP("Mins",A1:CV300,77,FALSE)* 90)</f>
      </c>
      <c r="BH77" s="22136">
        <f>IF(HLOOKUP("Mins",A1:CV300,77,FALSE)=0,0,HLOOKUP("FPL As",A1:CV300,77,FALSE)/HLOOKUP("Mins",A1:CV300,77,FALSE)* 90)</f>
      </c>
      <c r="BI77" s="22137">
        <f>IF(HLOOKUP("Mins",A1:CV300,77,FALSE)=0,0,HLOOKUP("BC Created",A1:CV300,77,FALSE)/HLOOKUP("Mins",A1:CV300,77,FALSE)* 90)</f>
      </c>
      <c r="BJ77" s="22138">
        <f>IF(HLOOKUP("Mins",A1:CV300,77,FALSE)=0,0,HLOOKUP("KP",A1:CV300,77,FALSE)/HLOOKUP("Mins",A1:CV300,77,FALSE)* 90)</f>
      </c>
      <c r="BK77" s="22139">
        <f>IF(HLOOKUP("Mins",A1:CV300,77,FALSE)=0,0,HLOOKUP("BC",A1:CV300,77,FALSE)/HLOOKUP("Mins",A1:CV300,77,FALSE)* 90)</f>
      </c>
      <c r="BL77" s="22140">
        <f>IF(HLOOKUP("Mins",A1:CV300,77,FALSE)=0,0,HLOOKUP("BC Miss",A1:CV300,77,FALSE)/HLOOKUP("Mins",A1:CV300,77,FALSE)* 90)</f>
      </c>
      <c r="BM77" s="22141">
        <f>IF(HLOOKUP("Mins",A1:CV300,77,FALSE)=0,0,HLOOKUP("Gs - BC",A1:CV300,77,FALSE)/HLOOKUP("Mins",A1:CV300,77,FALSE)* 90)</f>
      </c>
      <c r="BN77" s="22142">
        <f>IF(HLOOKUP("Mins",A1:CV300,77,FALSE)=0,0,HLOOKUP("GIB",A1:CV300,77,FALSE)/HLOOKUP("Mins",A1:CV300,77,FALSE)* 90)</f>
      </c>
      <c r="BO77" s="22143">
        <f>IF(HLOOKUP("Mins",A1:CV300,77,FALSE)=0,0,HLOOKUP("Gs - Open",A1:CV300,77,FALSE)/HLOOKUP("Mins",A1:CV300,77,FALSE)* 90)</f>
      </c>
      <c r="BP77" s="22144">
        <f>IF(HLOOKUP("Mins",A1:CV300,77,FALSE)=0,0,HLOOKUP("ICT Index",A1:CV300,77,FALSE)/HLOOKUP("Mins",A1:CV300,77,FALSE)* 90)</f>
      </c>
      <c r="BQ77" s="22145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</c>
      <c r="BR77" s="22146">
        <f>0.0885*HLOOKUP("KP/90",A1:CV300,77,FALSE)</f>
      </c>
      <c r="BS77" s="22147">
        <f>5*HLOOKUP("xG/90",A1:CV300,77,FALSE)+3*HLOOKUP("xA/90",A1:CV300,77,FALSE)</f>
      </c>
      <c r="BT77" s="22148">
        <f>HLOOKUP("xPts/90",A1:CV300,77,FALSE)-(5*0.75*(HLOOKUP("PK Gs",A1:CV300,77,FALSE)+HLOOKUP("PK Miss",A1:CV300,77,FALSE))*90/HLOOKUP("Mins",A1:CV300,77,FALSE))</f>
      </c>
      <c r="BU77" s="22149">
        <f>IF(HLOOKUP("Mins",A1:CV300,77,FALSE)=0,0,HLOOKUP("fsXG",A1:CV300,77,FALSE)/HLOOKUP("Mins",A1:CV300,77,FALSE)* 90)</f>
      </c>
      <c r="BV77" s="22150">
        <f>IF(HLOOKUP("Mins",A1:CV300,77,FALSE)=0,0,HLOOKUP("fsXA",A1:CV300,77,FALSE)/HLOOKUP("Mins",A1:CV300,77,FALSE)* 90)</f>
      </c>
      <c r="BW77" s="22151">
        <f>5*HLOOKUP("fsXG/90",A1:CV300,77,FALSE)+3*HLOOKUP("fsXA/90",A1:CV300,77,FALSE)</f>
      </c>
      <c r="BX77" t="n" s="22152">
        <v>0.0</v>
      </c>
      <c r="BY77" t="n" s="22153">
        <v>0.03350154310464859</v>
      </c>
      <c r="BZ77" s="22154">
        <f>5*HLOOKUP("uXG/90",A1:CV300,77,FALSE)+3*HLOOKUP("uXA/90",A1:CV300,77,FALSE)</f>
      </c>
    </row>
    <row r="78">
      <c r="A78" t="s" s="22155">
        <v>381</v>
      </c>
      <c r="B78" t="s" s="22156">
        <v>107</v>
      </c>
      <c r="C78" t="n" s="22157">
        <v>5.599999904632568</v>
      </c>
      <c r="D78" t="n" s="22158">
        <v>13.0</v>
      </c>
      <c r="E78" t="n" s="22159">
        <v>1.0</v>
      </c>
      <c r="F78" t="n" s="22160">
        <v>34.0</v>
      </c>
      <c r="G78" t="n" s="22161">
        <v>0.0</v>
      </c>
      <c r="H78" t="n" s="22162">
        <v>0.0</v>
      </c>
      <c r="I78" t="n" s="22163">
        <v>141.0</v>
      </c>
      <c r="J78" s="22164">
        <f>HLOOKUP("BPS",A1:CV300,78,FALSE)-((-6*HLOOKUP("OG",A1:CV300,78,FALSE))+(-6*HLOOKUP("PK Miss",A1:CV300,78,FALSE))+(9*HLOOKUP("FPL As",A1:CV300,78,FALSE))+(0*HLOOKUP("CS",A1:CV300,78,FALSE))+(18*HLOOKUP("Gs",A1:CV300,78,FALSE)))</f>
      </c>
      <c r="K78" t="n" s="22165">
        <v>0.0</v>
      </c>
      <c r="L78" t="n" s="22166">
        <v>3.0</v>
      </c>
      <c r="M78" t="n" s="22167">
        <v>0.0</v>
      </c>
      <c r="N78" t="n" s="22168">
        <v>0.0</v>
      </c>
      <c r="O78" t="n" s="22169">
        <v>0.0</v>
      </c>
      <c r="P78" s="22170">
        <f>IF(HLOOKUP("Shots",A1:CV300,78,FALSE)=0,0,HLOOKUP("SIB",A1:CV300,78,FALSE)/HLOOKUP("Shots",A1:CV300,78,FALSE))</f>
      </c>
      <c r="Q78" t="n" s="22171">
        <v>0.0</v>
      </c>
      <c r="R78" s="22172">
        <f>IF(HLOOKUP("Shots",A1:CV300,78,FALSE)=0,0,HLOOKUP("S6YD",A1:CV300,78,FALSE)/HLOOKUP("Shots",A1:CV300,78,FALSE))</f>
      </c>
      <c r="S78" t="n" s="22173">
        <v>0.0</v>
      </c>
      <c r="T78" s="22174">
        <f>IF(HLOOKUP("Shots",A1:CV300,78,FALSE)=0,0,HLOOKUP("Headers",A1:CV300,78,FALSE)/HLOOKUP("Shots",A1:CV300,78,FALSE))</f>
      </c>
      <c r="U78" t="n" s="22175">
        <v>0.0</v>
      </c>
      <c r="V78" s="22176">
        <f>IF(HLOOKUP("Shots",A1:CV300,78,FALSE)=0,0,HLOOKUP("SOT",A1:CV300,78,FALSE)/HLOOKUP("Shots",A1:CV300,78,FALSE))</f>
      </c>
      <c r="W78" s="22177">
        <f>IF(HLOOKUP("Shots",A1:CV300,78,FALSE)=0,0,HLOOKUP("Gs",A1:CV300,78,FALSE)/HLOOKUP("Shots",A1:CV300,78,FALSE))</f>
      </c>
      <c r="X78" t="n" s="22178">
        <v>0.0</v>
      </c>
      <c r="Y78" t="n" s="22179">
        <v>1.0</v>
      </c>
      <c r="Z78" t="n" s="22180">
        <v>0.0</v>
      </c>
      <c r="AA78" s="22181">
        <f>IF(HLOOKUP("KP",A1:CV300,78,FALSE)=0,0,HLOOKUP("As",A1:CV300,78,FALSE)/HLOOKUP("KP",A1:CV300,78,FALSE))</f>
      </c>
      <c r="AB78" s="22182"/>
      <c r="AC78" t="n" s="22183">
        <v>0.0</v>
      </c>
      <c r="AD78" t="n" s="22184">
        <v>0.0</v>
      </c>
      <c r="AE78" t="n" s="22185">
        <v>0.0</v>
      </c>
      <c r="AF78" t="n" s="22186">
        <v>0.0</v>
      </c>
      <c r="AG78" s="22187">
        <f>IF(HLOOKUP("BC",A1:CV300,78,FALSE)=0,0,HLOOKUP("Gs - BC",A1:CV300,78,FALSE)/HLOOKUP("BC",A1:CV300,78,FALSE))</f>
      </c>
      <c r="AH78" s="22188">
        <f>HLOOKUP("BC",A1:CV300,78,FALSE) - HLOOKUP("BC Miss",A1:CV300,78,FALSE)</f>
      </c>
      <c r="AI78" s="22189">
        <f>IF(HLOOKUP("Gs",A1:CV300,78,FALSE)=0,0,HLOOKUP("Gs - BC",A1:CV300,78,FALSE)/HLOOKUP("Gs",A1:CV300,78,FALSE))</f>
      </c>
      <c r="AJ78" t="n" s="22190">
        <v>0.0</v>
      </c>
      <c r="AK78" t="n" s="22191">
        <v>0.0</v>
      </c>
      <c r="AL78" s="22192">
        <f>HLOOKUP("BC",A1:CV300,78,FALSE) - (HLOOKUP("PK Gs",A1:CV300,78,FALSE) + HLOOKUP("PK Miss",A1:CV300,78,FALSE))</f>
      </c>
      <c r="AM78" s="22193">
        <f>HLOOKUP("BC Miss",A1:CV300,78,FALSE) - HLOOKUP("PK Miss",A1:CV300,78,FALSE)</f>
      </c>
      <c r="AN78" s="22194">
        <f>IF(HLOOKUP("BC - Open",A1:CV300,78,FALSE)=0,0,HLOOKUP("BC - Open Miss",A1:CV300,78,FALSE)/HLOOKUP("BC - Open",A1:CV300,78,FALSE))</f>
      </c>
      <c r="AO78" t="n" s="22195">
        <v>0.0</v>
      </c>
      <c r="AP78" s="22196">
        <f>IF(HLOOKUP("Gs",A1:CV300,78,FALSE)=0,0,HLOOKUP("GIB",A1:CV300,78,FALSE)/HLOOKUP("Gs",A1:CV300,78,FALSE))</f>
      </c>
      <c r="AQ78" t="n" s="22197">
        <v>0.0</v>
      </c>
      <c r="AR78" s="22198">
        <f>IF(HLOOKUP("Gs",A1:CV300,78,FALSE)=0,0,HLOOKUP("Gs - Open",A1:CV300,78,FALSE)/HLOOKUP("Gs",A1:CV300,78,FALSE))</f>
      </c>
      <c r="AS78" t="n" s="22199">
        <v>0.0</v>
      </c>
      <c r="AT78" t="n" s="22200">
        <v>0.0</v>
      </c>
      <c r="AU78" s="22201">
        <f>IF(HLOOKUP("Mins",A1:CV300,78,FALSE)=0,0,HLOOKUP("Pts",A1:CV300,78,FALSE)/HLOOKUP("Mins",A1:CV300,78,FALSE)* 90)</f>
      </c>
      <c r="AV78" s="22202">
        <f>IF(HLOOKUP("Apps",A1:CV300,78,FALSE)=0,0,HLOOKUP("Pts",A1:CV300,78,FALSE)/HLOOKUP("Apps",A1:CV300,78,FALSE)* 1)</f>
      </c>
      <c r="AW78" s="22203">
        <f>IF(HLOOKUP("Mins",A1:CV300,78,FALSE)=0,0,HLOOKUP("Gs",A1:CV300,78,FALSE)/HLOOKUP("Mins",A1:CV300,78,FALSE)* 90)</f>
      </c>
      <c r="AX78" s="22204">
        <f>IF(HLOOKUP("Mins",A1:CV300,78,FALSE)=0,0,HLOOKUP("Bonus",A1:CV300,78,FALSE)/HLOOKUP("Mins",A1:CV300,78,FALSE)* 90)</f>
      </c>
      <c r="AY78" s="22205">
        <f>IF(HLOOKUP("Mins",A1:CV300,78,FALSE)=0,0,HLOOKUP("BPS",A1:CV300,78,FALSE)/HLOOKUP("Mins",A1:CV300,78,FALSE)* 90)</f>
      </c>
      <c r="AZ78" s="22206">
        <f>IF(HLOOKUP("Mins",A1:CV300,78,FALSE)=0,0,HLOOKUP("Base BPS",A1:CV300,78,FALSE)/HLOOKUP("Mins",A1:CV300,78,FALSE)* 90)</f>
      </c>
      <c r="BA78" s="22207">
        <f>IF(HLOOKUP("Mins",A1:CV300,78,FALSE)=0,0,HLOOKUP("PenTchs",A1:CV300,78,FALSE)/HLOOKUP("Mins",A1:CV300,78,FALSE)* 90)</f>
      </c>
      <c r="BB78" s="22208">
        <f>IF(HLOOKUP("Mins",A1:CV300,78,FALSE)=0,0,HLOOKUP("Shots",A1:CV300,78,FALSE)/HLOOKUP("Mins",A1:CV300,78,FALSE)* 90)</f>
      </c>
      <c r="BC78" s="22209">
        <f>IF(HLOOKUP("Mins",A1:CV300,78,FALSE)=0,0,HLOOKUP("SIB",A1:CV300,78,FALSE)/HLOOKUP("Mins",A1:CV300,78,FALSE)* 90)</f>
      </c>
      <c r="BD78" s="22210">
        <f>IF(HLOOKUP("Mins",A1:CV300,78,FALSE)=0,0,HLOOKUP("S6YD",A1:CV300,78,FALSE)/HLOOKUP("Mins",A1:CV300,78,FALSE)* 90)</f>
      </c>
      <c r="BE78" s="22211">
        <f>IF(HLOOKUP("Mins",A1:CV300,78,FALSE)=0,0,HLOOKUP("Headers",A1:CV300,78,FALSE)/HLOOKUP("Mins",A1:CV300,78,FALSE)* 90)</f>
      </c>
      <c r="BF78" s="22212">
        <f>IF(HLOOKUP("Mins",A1:CV300,78,FALSE)=0,0,HLOOKUP("SOT",A1:CV300,78,FALSE)/HLOOKUP("Mins",A1:CV300,78,FALSE)* 90)</f>
      </c>
      <c r="BG78" s="22213">
        <f>IF(HLOOKUP("Mins",A1:CV300,78,FALSE)=0,0,HLOOKUP("As",A1:CV300,78,FALSE)/HLOOKUP("Mins",A1:CV300,78,FALSE)* 90)</f>
      </c>
      <c r="BH78" s="22214">
        <f>IF(HLOOKUP("Mins",A1:CV300,78,FALSE)=0,0,HLOOKUP("FPL As",A1:CV300,78,FALSE)/HLOOKUP("Mins",A1:CV300,78,FALSE)* 90)</f>
      </c>
      <c r="BI78" s="22215">
        <f>IF(HLOOKUP("Mins",A1:CV300,78,FALSE)=0,0,HLOOKUP("BC Created",A1:CV300,78,FALSE)/HLOOKUP("Mins",A1:CV300,78,FALSE)* 90)</f>
      </c>
      <c r="BJ78" s="22216">
        <f>IF(HLOOKUP("Mins",A1:CV300,78,FALSE)=0,0,HLOOKUP("KP",A1:CV300,78,FALSE)/HLOOKUP("Mins",A1:CV300,78,FALSE)* 90)</f>
      </c>
      <c r="BK78" s="22217">
        <f>IF(HLOOKUP("Mins",A1:CV300,78,FALSE)=0,0,HLOOKUP("BC",A1:CV300,78,FALSE)/HLOOKUP("Mins",A1:CV300,78,FALSE)* 90)</f>
      </c>
      <c r="BL78" s="22218">
        <f>IF(HLOOKUP("Mins",A1:CV300,78,FALSE)=0,0,HLOOKUP("BC Miss",A1:CV300,78,FALSE)/HLOOKUP("Mins",A1:CV300,78,FALSE)* 90)</f>
      </c>
      <c r="BM78" s="22219">
        <f>IF(HLOOKUP("Mins",A1:CV300,78,FALSE)=0,0,HLOOKUP("Gs - BC",A1:CV300,78,FALSE)/HLOOKUP("Mins",A1:CV300,78,FALSE)* 90)</f>
      </c>
      <c r="BN78" s="22220">
        <f>IF(HLOOKUP("Mins",A1:CV300,78,FALSE)=0,0,HLOOKUP("GIB",A1:CV300,78,FALSE)/HLOOKUP("Mins",A1:CV300,78,FALSE)* 90)</f>
      </c>
      <c r="BO78" s="22221">
        <f>IF(HLOOKUP("Mins",A1:CV300,78,FALSE)=0,0,HLOOKUP("Gs - Open",A1:CV300,78,FALSE)/HLOOKUP("Mins",A1:CV300,78,FALSE)* 90)</f>
      </c>
      <c r="BP78" s="22222">
        <f>IF(HLOOKUP("Mins",A1:CV300,78,FALSE)=0,0,HLOOKUP("ICT Index",A1:CV300,78,FALSE)/HLOOKUP("Mins",A1:CV300,78,FALSE)* 90)</f>
      </c>
      <c r="BQ78" s="22223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</c>
      <c r="BR78" s="22224">
        <f>0.0885*HLOOKUP("KP/90",A1:CV300,78,FALSE)</f>
      </c>
      <c r="BS78" s="22225">
        <f>5*HLOOKUP("xG/90",A1:CV300,78,FALSE)+3*HLOOKUP("xA/90",A1:CV300,78,FALSE)</f>
      </c>
      <c r="BT78" s="22226">
        <f>HLOOKUP("xPts/90",A1:CV300,78,FALSE)-(5*0.75*(HLOOKUP("PK Gs",A1:CV300,78,FALSE)+HLOOKUP("PK Miss",A1:CV300,78,FALSE))*90/HLOOKUP("Mins",A1:CV300,78,FALSE))</f>
      </c>
      <c r="BU78" s="22227">
        <f>IF(HLOOKUP("Mins",A1:CV300,78,FALSE)=0,0,HLOOKUP("fsXG",A1:CV300,78,FALSE)/HLOOKUP("Mins",A1:CV300,78,FALSE)* 90)</f>
      </c>
      <c r="BV78" s="22228">
        <f>IF(HLOOKUP("Mins",A1:CV300,78,FALSE)=0,0,HLOOKUP("fsXA",A1:CV300,78,FALSE)/HLOOKUP("Mins",A1:CV300,78,FALSE)* 90)</f>
      </c>
      <c r="BW78" s="22229">
        <f>5*HLOOKUP("fsXG/90",A1:CV300,78,FALSE)+3*HLOOKUP("fsXA/90",A1:CV300,78,FALSE)</f>
      </c>
      <c r="BX78" t="n" s="22230">
        <v>0.0</v>
      </c>
      <c r="BY78" t="n" s="22231">
        <v>0.0</v>
      </c>
      <c r="BZ78" s="22232">
        <f>5*HLOOKUP("uXG/90",A1:CV300,78,FALSE)+3*HLOOKUP("uXA/90",A1:CV300,78,FALSE)</f>
      </c>
    </row>
    <row r="79">
      <c r="A79" t="s" s="22233">
        <v>382</v>
      </c>
      <c r="B79" t="s" s="22234">
        <v>107</v>
      </c>
      <c r="C79" t="n" s="22235">
        <v>6.699999809265137</v>
      </c>
      <c r="D79" t="n" s="22236">
        <v>270.0</v>
      </c>
      <c r="E79" t="n" s="22237">
        <v>3.0</v>
      </c>
      <c r="F79" t="n" s="22238">
        <v>61.0</v>
      </c>
      <c r="G79" t="n" s="22239">
        <v>0.0</v>
      </c>
      <c r="H79" t="n" s="22240">
        <v>7.0</v>
      </c>
      <c r="I79" t="n" s="22241">
        <v>296.0</v>
      </c>
      <c r="J79" s="22242">
        <f>HLOOKUP("BPS",A1:CV300,79,FALSE)-((-6*HLOOKUP("OG",A1:CV300,79,FALSE))+(-6*HLOOKUP("PK Miss",A1:CV300,79,FALSE))+(9*HLOOKUP("FPL As",A1:CV300,79,FALSE))+(0*HLOOKUP("CS",A1:CV300,79,FALSE))+(18*HLOOKUP("Gs",A1:CV300,79,FALSE)))</f>
      </c>
      <c r="K79" t="n" s="22243">
        <v>0.0</v>
      </c>
      <c r="L79" t="n" s="22244">
        <v>6.0</v>
      </c>
      <c r="M79" t="n" s="22245">
        <v>1.0</v>
      </c>
      <c r="N79" t="n" s="22246">
        <v>3.0</v>
      </c>
      <c r="O79" t="n" s="22247">
        <v>0.0</v>
      </c>
      <c r="P79" s="22248">
        <f>IF(HLOOKUP("Shots",A1:CV300,79,FALSE)=0,0,HLOOKUP("SIB",A1:CV300,79,FALSE)/HLOOKUP("Shots",A1:CV300,79,FALSE))</f>
      </c>
      <c r="Q79" t="n" s="22249">
        <v>0.0</v>
      </c>
      <c r="R79" s="22250">
        <f>IF(HLOOKUP("Shots",A1:CV300,79,FALSE)=0,0,HLOOKUP("S6YD",A1:CV300,79,FALSE)/HLOOKUP("Shots",A1:CV300,79,FALSE))</f>
      </c>
      <c r="S79" t="n" s="22251">
        <v>0.0</v>
      </c>
      <c r="T79" s="22252">
        <f>IF(HLOOKUP("Shots",A1:CV300,79,FALSE)=0,0,HLOOKUP("Headers",A1:CV300,79,FALSE)/HLOOKUP("Shots",A1:CV300,79,FALSE))</f>
      </c>
      <c r="U79" t="n" s="22253">
        <v>0.0</v>
      </c>
      <c r="V79" s="22254">
        <f>IF(HLOOKUP("Shots",A1:CV300,79,FALSE)=0,0,HLOOKUP("SOT",A1:CV300,79,FALSE)/HLOOKUP("Shots",A1:CV300,79,FALSE))</f>
      </c>
      <c r="W79" s="22255">
        <f>IF(HLOOKUP("Shots",A1:CV300,79,FALSE)=0,0,HLOOKUP("Gs",A1:CV300,79,FALSE)/HLOOKUP("Shots",A1:CV300,79,FALSE))</f>
      </c>
      <c r="X79" t="n" s="22256">
        <v>0.0</v>
      </c>
      <c r="Y79" t="n" s="22257">
        <v>1.0</v>
      </c>
      <c r="Z79" t="n" s="22258">
        <v>2.0</v>
      </c>
      <c r="AA79" s="22259">
        <f>IF(HLOOKUP("KP",A1:CV300,79,FALSE)=0,0,HLOOKUP("As",A1:CV300,79,FALSE)/HLOOKUP("KP",A1:CV300,79,FALSE))</f>
      </c>
      <c r="AB79" s="22260"/>
      <c r="AC79" t="n" s="22261">
        <v>0.0</v>
      </c>
      <c r="AD79" t="n" s="22262">
        <v>0.0</v>
      </c>
      <c r="AE79" t="n" s="22263">
        <v>0.0</v>
      </c>
      <c r="AF79" t="n" s="22264">
        <v>0.0</v>
      </c>
      <c r="AG79" s="22265">
        <f>IF(HLOOKUP("BC",A1:CV300,79,FALSE)=0,0,HLOOKUP("Gs - BC",A1:CV300,79,FALSE)/HLOOKUP("BC",A1:CV300,79,FALSE))</f>
      </c>
      <c r="AH79" s="22266">
        <f>HLOOKUP("BC",A1:CV300,79,FALSE) - HLOOKUP("BC Miss",A1:CV300,79,FALSE)</f>
      </c>
      <c r="AI79" s="22267">
        <f>IF(HLOOKUP("Gs",A1:CV300,79,FALSE)=0,0,HLOOKUP("Gs - BC",A1:CV300,79,FALSE)/HLOOKUP("Gs",A1:CV300,79,FALSE))</f>
      </c>
      <c r="AJ79" t="n" s="22268">
        <v>0.0</v>
      </c>
      <c r="AK79" t="n" s="22269">
        <v>0.0</v>
      </c>
      <c r="AL79" s="22270">
        <f>HLOOKUP("BC",A1:CV300,79,FALSE) - (HLOOKUP("PK Gs",A1:CV300,79,FALSE) + HLOOKUP("PK Miss",A1:CV300,79,FALSE))</f>
      </c>
      <c r="AM79" s="22271">
        <f>HLOOKUP("BC Miss",A1:CV300,79,FALSE) - HLOOKUP("PK Miss",A1:CV300,79,FALSE)</f>
      </c>
      <c r="AN79" s="22272">
        <f>IF(HLOOKUP("BC - Open",A1:CV300,79,FALSE)=0,0,HLOOKUP("BC - Open Miss",A1:CV300,79,FALSE)/HLOOKUP("BC - Open",A1:CV300,79,FALSE))</f>
      </c>
      <c r="AO79" t="n" s="22273">
        <v>0.0</v>
      </c>
      <c r="AP79" s="22274">
        <f>IF(HLOOKUP("Gs",A1:CV300,79,FALSE)=0,0,HLOOKUP("GIB",A1:CV300,79,FALSE)/HLOOKUP("Gs",A1:CV300,79,FALSE))</f>
      </c>
      <c r="AQ79" t="n" s="22275">
        <v>0.0</v>
      </c>
      <c r="AR79" s="22276">
        <f>IF(HLOOKUP("Gs",A1:CV300,79,FALSE)=0,0,HLOOKUP("Gs - Open",A1:CV300,79,FALSE)/HLOOKUP("Gs",A1:CV300,79,FALSE))</f>
      </c>
      <c r="AS79" t="n" s="22277">
        <v>0.07</v>
      </c>
      <c r="AT79" t="n" s="22278">
        <v>0.16</v>
      </c>
      <c r="AU79" s="22279">
        <f>IF(HLOOKUP("Mins",A1:CV300,79,FALSE)=0,0,HLOOKUP("Pts",A1:CV300,79,FALSE)/HLOOKUP("Mins",A1:CV300,79,FALSE)* 90)</f>
      </c>
      <c r="AV79" s="22280">
        <f>IF(HLOOKUP("Apps",A1:CV300,79,FALSE)=0,0,HLOOKUP("Pts",A1:CV300,79,FALSE)/HLOOKUP("Apps",A1:CV300,79,FALSE)* 1)</f>
      </c>
      <c r="AW79" s="22281">
        <f>IF(HLOOKUP("Mins",A1:CV300,79,FALSE)=0,0,HLOOKUP("Gs",A1:CV300,79,FALSE)/HLOOKUP("Mins",A1:CV300,79,FALSE)* 90)</f>
      </c>
      <c r="AX79" s="22282">
        <f>IF(HLOOKUP("Mins",A1:CV300,79,FALSE)=0,0,HLOOKUP("Bonus",A1:CV300,79,FALSE)/HLOOKUP("Mins",A1:CV300,79,FALSE)* 90)</f>
      </c>
      <c r="AY79" s="22283">
        <f>IF(HLOOKUP("Mins",A1:CV300,79,FALSE)=0,0,HLOOKUP("BPS",A1:CV300,79,FALSE)/HLOOKUP("Mins",A1:CV300,79,FALSE)* 90)</f>
      </c>
      <c r="AZ79" s="22284">
        <f>IF(HLOOKUP("Mins",A1:CV300,79,FALSE)=0,0,HLOOKUP("Base BPS",A1:CV300,79,FALSE)/HLOOKUP("Mins",A1:CV300,79,FALSE)* 90)</f>
      </c>
      <c r="BA79" s="22285">
        <f>IF(HLOOKUP("Mins",A1:CV300,79,FALSE)=0,0,HLOOKUP("PenTchs",A1:CV300,79,FALSE)/HLOOKUP("Mins",A1:CV300,79,FALSE)* 90)</f>
      </c>
      <c r="BB79" s="22286">
        <f>IF(HLOOKUP("Mins",A1:CV300,79,FALSE)=0,0,HLOOKUP("Shots",A1:CV300,79,FALSE)/HLOOKUP("Mins",A1:CV300,79,FALSE)* 90)</f>
      </c>
      <c r="BC79" s="22287">
        <f>IF(HLOOKUP("Mins",A1:CV300,79,FALSE)=0,0,HLOOKUP("SIB",A1:CV300,79,FALSE)/HLOOKUP("Mins",A1:CV300,79,FALSE)* 90)</f>
      </c>
      <c r="BD79" s="22288">
        <f>IF(HLOOKUP("Mins",A1:CV300,79,FALSE)=0,0,HLOOKUP("S6YD",A1:CV300,79,FALSE)/HLOOKUP("Mins",A1:CV300,79,FALSE)* 90)</f>
      </c>
      <c r="BE79" s="22289">
        <f>IF(HLOOKUP("Mins",A1:CV300,79,FALSE)=0,0,HLOOKUP("Headers",A1:CV300,79,FALSE)/HLOOKUP("Mins",A1:CV300,79,FALSE)* 90)</f>
      </c>
      <c r="BF79" s="22290">
        <f>IF(HLOOKUP("Mins",A1:CV300,79,FALSE)=0,0,HLOOKUP("SOT",A1:CV300,79,FALSE)/HLOOKUP("Mins",A1:CV300,79,FALSE)* 90)</f>
      </c>
      <c r="BG79" s="22291">
        <f>IF(HLOOKUP("Mins",A1:CV300,79,FALSE)=0,0,HLOOKUP("As",A1:CV300,79,FALSE)/HLOOKUP("Mins",A1:CV300,79,FALSE)* 90)</f>
      </c>
      <c r="BH79" s="22292">
        <f>IF(HLOOKUP("Mins",A1:CV300,79,FALSE)=0,0,HLOOKUP("FPL As",A1:CV300,79,FALSE)/HLOOKUP("Mins",A1:CV300,79,FALSE)* 90)</f>
      </c>
      <c r="BI79" s="22293">
        <f>IF(HLOOKUP("Mins",A1:CV300,79,FALSE)=0,0,HLOOKUP("BC Created",A1:CV300,79,FALSE)/HLOOKUP("Mins",A1:CV300,79,FALSE)* 90)</f>
      </c>
      <c r="BJ79" s="22294">
        <f>IF(HLOOKUP("Mins",A1:CV300,79,FALSE)=0,0,HLOOKUP("KP",A1:CV300,79,FALSE)/HLOOKUP("Mins",A1:CV300,79,FALSE)* 90)</f>
      </c>
      <c r="BK79" s="22295">
        <f>IF(HLOOKUP("Mins",A1:CV300,79,FALSE)=0,0,HLOOKUP("BC",A1:CV300,79,FALSE)/HLOOKUP("Mins",A1:CV300,79,FALSE)* 90)</f>
      </c>
      <c r="BL79" s="22296">
        <f>IF(HLOOKUP("Mins",A1:CV300,79,FALSE)=0,0,HLOOKUP("BC Miss",A1:CV300,79,FALSE)/HLOOKUP("Mins",A1:CV300,79,FALSE)* 90)</f>
      </c>
      <c r="BM79" s="22297">
        <f>IF(HLOOKUP("Mins",A1:CV300,79,FALSE)=0,0,HLOOKUP("Gs - BC",A1:CV300,79,FALSE)/HLOOKUP("Mins",A1:CV300,79,FALSE)* 90)</f>
      </c>
      <c r="BN79" s="22298">
        <f>IF(HLOOKUP("Mins",A1:CV300,79,FALSE)=0,0,HLOOKUP("GIB",A1:CV300,79,FALSE)/HLOOKUP("Mins",A1:CV300,79,FALSE)* 90)</f>
      </c>
      <c r="BO79" s="22299">
        <f>IF(HLOOKUP("Mins",A1:CV300,79,FALSE)=0,0,HLOOKUP("Gs - Open",A1:CV300,79,FALSE)/HLOOKUP("Mins",A1:CV300,79,FALSE)* 90)</f>
      </c>
      <c r="BP79" s="22300">
        <f>IF(HLOOKUP("Mins",A1:CV300,79,FALSE)=0,0,HLOOKUP("ICT Index",A1:CV300,79,FALSE)/HLOOKUP("Mins",A1:CV300,79,FALSE)* 90)</f>
      </c>
      <c r="BQ79" s="22301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</c>
      <c r="BR79" s="22302">
        <f>0.0885*HLOOKUP("KP/90",A1:CV300,79,FALSE)</f>
      </c>
      <c r="BS79" s="22303">
        <f>5*HLOOKUP("xG/90",A1:CV300,79,FALSE)+3*HLOOKUP("xA/90",A1:CV300,79,FALSE)</f>
      </c>
      <c r="BT79" s="22304">
        <f>HLOOKUP("xPts/90",A1:CV300,79,FALSE)-(5*0.75*(HLOOKUP("PK Gs",A1:CV300,79,FALSE)+HLOOKUP("PK Miss",A1:CV300,79,FALSE))*90/HLOOKUP("Mins",A1:CV300,79,FALSE))</f>
      </c>
      <c r="BU79" s="22305">
        <f>IF(HLOOKUP("Mins",A1:CV300,79,FALSE)=0,0,HLOOKUP("fsXG",A1:CV300,79,FALSE)/HLOOKUP("Mins",A1:CV300,79,FALSE)* 90)</f>
      </c>
      <c r="BV79" s="22306">
        <f>IF(HLOOKUP("Mins",A1:CV300,79,FALSE)=0,0,HLOOKUP("fsXA",A1:CV300,79,FALSE)/HLOOKUP("Mins",A1:CV300,79,FALSE)* 90)</f>
      </c>
      <c r="BW79" s="22307">
        <f>5*HLOOKUP("fsXG/90",A1:CV300,79,FALSE)+3*HLOOKUP("fsXA/90",A1:CV300,79,FALSE)</f>
      </c>
      <c r="BX79" t="n" s="22308">
        <v>0.0195175614207983</v>
      </c>
      <c r="BY79" t="n" s="22309">
        <v>0.04575534909963608</v>
      </c>
      <c r="BZ79" s="22310">
        <f>5*HLOOKUP("uXG/90",A1:CV300,79,FALSE)+3*HLOOKUP("uXA/90",A1:CV300,79,FALSE)</f>
      </c>
    </row>
    <row r="80">
      <c r="A80" t="s" s="22311">
        <v>383</v>
      </c>
      <c r="B80" t="s" s="22312">
        <v>82</v>
      </c>
      <c r="C80" t="n" s="22313">
        <v>5.300000190734863</v>
      </c>
      <c r="D80" t="n" s="22314">
        <v>176.0</v>
      </c>
      <c r="E80" t="n" s="22315">
        <v>4.0</v>
      </c>
      <c r="F80" t="n" s="22316">
        <v>43.0</v>
      </c>
      <c r="G80" t="n" s="22317">
        <v>1.0</v>
      </c>
      <c r="H80" t="n" s="22318">
        <v>3.0</v>
      </c>
      <c r="I80" t="n" s="22319">
        <v>168.0</v>
      </c>
      <c r="J80" s="22320">
        <f>HLOOKUP("BPS",A1:CV300,80,FALSE)-((-6*HLOOKUP("OG",A1:CV300,80,FALSE))+(-6*HLOOKUP("PK Miss",A1:CV300,80,FALSE))+(9*HLOOKUP("FPL As",A1:CV300,80,FALSE))+(0*HLOOKUP("CS",A1:CV300,80,FALSE))+(18*HLOOKUP("Gs",A1:CV300,80,FALSE)))</f>
      </c>
      <c r="K80" t="n" s="22321">
        <v>0.0</v>
      </c>
      <c r="L80" t="n" s="22322">
        <v>1.0</v>
      </c>
      <c r="M80" t="n" s="22323">
        <v>5.0</v>
      </c>
      <c r="N80" t="n" s="22324">
        <v>3.0</v>
      </c>
      <c r="O80" t="n" s="22325">
        <v>3.0</v>
      </c>
      <c r="P80" s="22326">
        <f>IF(HLOOKUP("Shots",A1:CV300,80,FALSE)=0,0,HLOOKUP("SIB",A1:CV300,80,FALSE)/HLOOKUP("Shots",A1:CV300,80,FALSE))</f>
      </c>
      <c r="Q80" t="n" s="22327">
        <v>1.0</v>
      </c>
      <c r="R80" s="22328">
        <f>IF(HLOOKUP("Shots",A1:CV300,80,FALSE)=0,0,HLOOKUP("S6YD",A1:CV300,80,FALSE)/HLOOKUP("Shots",A1:CV300,80,FALSE))</f>
      </c>
      <c r="S80" t="n" s="22329">
        <v>0.0</v>
      </c>
      <c r="T80" s="22330">
        <f>IF(HLOOKUP("Shots",A1:CV300,80,FALSE)=0,0,HLOOKUP("Headers",A1:CV300,80,FALSE)/HLOOKUP("Shots",A1:CV300,80,FALSE))</f>
      </c>
      <c r="U80" t="n" s="22331">
        <v>2.0</v>
      </c>
      <c r="V80" s="22332">
        <f>IF(HLOOKUP("Shots",A1:CV300,80,FALSE)=0,0,HLOOKUP("SOT",A1:CV300,80,FALSE)/HLOOKUP("Shots",A1:CV300,80,FALSE))</f>
      </c>
      <c r="W80" s="22333">
        <f>IF(HLOOKUP("Shots",A1:CV300,80,FALSE)=0,0,HLOOKUP("Gs",A1:CV300,80,FALSE)/HLOOKUP("Shots",A1:CV300,80,FALSE))</f>
      </c>
      <c r="X80" t="n" s="22334">
        <v>1.0</v>
      </c>
      <c r="Y80" t="n" s="22335">
        <v>3.0</v>
      </c>
      <c r="Z80" t="n" s="22336">
        <v>1.0</v>
      </c>
      <c r="AA80" s="22337">
        <f>IF(HLOOKUP("KP",A1:CV300,80,FALSE)=0,0,HLOOKUP("As",A1:CV300,80,FALSE)/HLOOKUP("KP",A1:CV300,80,FALSE))</f>
      </c>
      <c r="AB80" s="22338"/>
      <c r="AC80" t="n" s="22339">
        <v>100.0</v>
      </c>
      <c r="AD80" t="n" s="22340">
        <v>1.0</v>
      </c>
      <c r="AE80" t="n" s="22341">
        <v>1.0</v>
      </c>
      <c r="AF80" t="n" s="22342">
        <v>0.0</v>
      </c>
      <c r="AG80" s="22343">
        <f>IF(HLOOKUP("BC",A1:CV300,80,FALSE)=0,0,HLOOKUP("Gs - BC",A1:CV300,80,FALSE)/HLOOKUP("BC",A1:CV300,80,FALSE))</f>
      </c>
      <c r="AH80" s="22344">
        <f>HLOOKUP("BC",A1:CV300,80,FALSE) - HLOOKUP("BC Miss",A1:CV300,80,FALSE)</f>
      </c>
      <c r="AI80" s="22345">
        <f>IF(HLOOKUP("Gs",A1:CV300,80,FALSE)=0,0,HLOOKUP("Gs - BC",A1:CV300,80,FALSE)/HLOOKUP("Gs",A1:CV300,80,FALSE))</f>
      </c>
      <c r="AJ80" t="n" s="22346">
        <v>0.0</v>
      </c>
      <c r="AK80" t="n" s="22347">
        <v>0.0</v>
      </c>
      <c r="AL80" s="22348">
        <f>HLOOKUP("BC",A1:CV300,80,FALSE) - (HLOOKUP("PK Gs",A1:CV300,80,FALSE) + HLOOKUP("PK Miss",A1:CV300,80,FALSE))</f>
      </c>
      <c r="AM80" s="22349">
        <f>HLOOKUP("BC Miss",A1:CV300,80,FALSE) - HLOOKUP("PK Miss",A1:CV300,80,FALSE)</f>
      </c>
      <c r="AN80" s="22350">
        <f>IF(HLOOKUP("BC - Open",A1:CV300,80,FALSE)=0,0,HLOOKUP("BC - Open Miss",A1:CV300,80,FALSE)/HLOOKUP("BC - Open",A1:CV300,80,FALSE))</f>
      </c>
      <c r="AO80" t="n" s="22351">
        <v>1.0</v>
      </c>
      <c r="AP80" s="22352">
        <f>IF(HLOOKUP("Gs",A1:CV300,80,FALSE)=0,0,HLOOKUP("GIB",A1:CV300,80,FALSE)/HLOOKUP("Gs",A1:CV300,80,FALSE))</f>
      </c>
      <c r="AQ80" t="n" s="22353">
        <v>0.0</v>
      </c>
      <c r="AR80" s="22354">
        <f>IF(HLOOKUP("Gs",A1:CV300,80,FALSE)=0,0,HLOOKUP("Gs - Open",A1:CV300,80,FALSE)/HLOOKUP("Gs",A1:CV300,80,FALSE))</f>
      </c>
      <c r="AS80" t="n" s="22355">
        <v>0.33</v>
      </c>
      <c r="AT80" t="n" s="22356">
        <v>0.02</v>
      </c>
      <c r="AU80" s="22357">
        <f>IF(HLOOKUP("Mins",A1:CV300,80,FALSE)=0,0,HLOOKUP("Pts",A1:CV300,80,FALSE)/HLOOKUP("Mins",A1:CV300,80,FALSE)* 90)</f>
      </c>
      <c r="AV80" s="22358">
        <f>IF(HLOOKUP("Apps",A1:CV300,80,FALSE)=0,0,HLOOKUP("Pts",A1:CV300,80,FALSE)/HLOOKUP("Apps",A1:CV300,80,FALSE)* 1)</f>
      </c>
      <c r="AW80" s="22359">
        <f>IF(HLOOKUP("Mins",A1:CV300,80,FALSE)=0,0,HLOOKUP("Gs",A1:CV300,80,FALSE)/HLOOKUP("Mins",A1:CV300,80,FALSE)* 90)</f>
      </c>
      <c r="AX80" s="22360">
        <f>IF(HLOOKUP("Mins",A1:CV300,80,FALSE)=0,0,HLOOKUP("Bonus",A1:CV300,80,FALSE)/HLOOKUP("Mins",A1:CV300,80,FALSE)* 90)</f>
      </c>
      <c r="AY80" s="22361">
        <f>IF(HLOOKUP("Mins",A1:CV300,80,FALSE)=0,0,HLOOKUP("BPS",A1:CV300,80,FALSE)/HLOOKUP("Mins",A1:CV300,80,FALSE)* 90)</f>
      </c>
      <c r="AZ80" s="22362">
        <f>IF(HLOOKUP("Mins",A1:CV300,80,FALSE)=0,0,HLOOKUP("Base BPS",A1:CV300,80,FALSE)/HLOOKUP("Mins",A1:CV300,80,FALSE)* 90)</f>
      </c>
      <c r="BA80" s="22363">
        <f>IF(HLOOKUP("Mins",A1:CV300,80,FALSE)=0,0,HLOOKUP("PenTchs",A1:CV300,80,FALSE)/HLOOKUP("Mins",A1:CV300,80,FALSE)* 90)</f>
      </c>
      <c r="BB80" s="22364">
        <f>IF(HLOOKUP("Mins",A1:CV300,80,FALSE)=0,0,HLOOKUP("Shots",A1:CV300,80,FALSE)/HLOOKUP("Mins",A1:CV300,80,FALSE)* 90)</f>
      </c>
      <c r="BC80" s="22365">
        <f>IF(HLOOKUP("Mins",A1:CV300,80,FALSE)=0,0,HLOOKUP("SIB",A1:CV300,80,FALSE)/HLOOKUP("Mins",A1:CV300,80,FALSE)* 90)</f>
      </c>
      <c r="BD80" s="22366">
        <f>IF(HLOOKUP("Mins",A1:CV300,80,FALSE)=0,0,HLOOKUP("S6YD",A1:CV300,80,FALSE)/HLOOKUP("Mins",A1:CV300,80,FALSE)* 90)</f>
      </c>
      <c r="BE80" s="22367">
        <f>IF(HLOOKUP("Mins",A1:CV300,80,FALSE)=0,0,HLOOKUP("Headers",A1:CV300,80,FALSE)/HLOOKUP("Mins",A1:CV300,80,FALSE)* 90)</f>
      </c>
      <c r="BF80" s="22368">
        <f>IF(HLOOKUP("Mins",A1:CV300,80,FALSE)=0,0,HLOOKUP("SOT",A1:CV300,80,FALSE)/HLOOKUP("Mins",A1:CV300,80,FALSE)* 90)</f>
      </c>
      <c r="BG80" s="22369">
        <f>IF(HLOOKUP("Mins",A1:CV300,80,FALSE)=0,0,HLOOKUP("As",A1:CV300,80,FALSE)/HLOOKUP("Mins",A1:CV300,80,FALSE)* 90)</f>
      </c>
      <c r="BH80" s="22370">
        <f>IF(HLOOKUP("Mins",A1:CV300,80,FALSE)=0,0,HLOOKUP("FPL As",A1:CV300,80,FALSE)/HLOOKUP("Mins",A1:CV300,80,FALSE)* 90)</f>
      </c>
      <c r="BI80" s="22371">
        <f>IF(HLOOKUP("Mins",A1:CV300,80,FALSE)=0,0,HLOOKUP("BC Created",A1:CV300,80,FALSE)/HLOOKUP("Mins",A1:CV300,80,FALSE)* 90)</f>
      </c>
      <c r="BJ80" s="22372">
        <f>IF(HLOOKUP("Mins",A1:CV300,80,FALSE)=0,0,HLOOKUP("KP",A1:CV300,80,FALSE)/HLOOKUP("Mins",A1:CV300,80,FALSE)* 90)</f>
      </c>
      <c r="BK80" s="22373">
        <f>IF(HLOOKUP("Mins",A1:CV300,80,FALSE)=0,0,HLOOKUP("BC",A1:CV300,80,FALSE)/HLOOKUP("Mins",A1:CV300,80,FALSE)* 90)</f>
      </c>
      <c r="BL80" s="22374">
        <f>IF(HLOOKUP("Mins",A1:CV300,80,FALSE)=0,0,HLOOKUP("BC Miss",A1:CV300,80,FALSE)/HLOOKUP("Mins",A1:CV300,80,FALSE)* 90)</f>
      </c>
      <c r="BM80" s="22375">
        <f>IF(HLOOKUP("Mins",A1:CV300,80,FALSE)=0,0,HLOOKUP("Gs - BC",A1:CV300,80,FALSE)/HLOOKUP("Mins",A1:CV300,80,FALSE)* 90)</f>
      </c>
      <c r="BN80" s="22376">
        <f>IF(HLOOKUP("Mins",A1:CV300,80,FALSE)=0,0,HLOOKUP("GIB",A1:CV300,80,FALSE)/HLOOKUP("Mins",A1:CV300,80,FALSE)* 90)</f>
      </c>
      <c r="BO80" s="22377">
        <f>IF(HLOOKUP("Mins",A1:CV300,80,FALSE)=0,0,HLOOKUP("Gs - Open",A1:CV300,80,FALSE)/HLOOKUP("Mins",A1:CV300,80,FALSE)* 90)</f>
      </c>
      <c r="BP80" s="22378">
        <f>IF(HLOOKUP("Mins",A1:CV300,80,FALSE)=0,0,HLOOKUP("ICT Index",A1:CV300,80,FALSE)/HLOOKUP("Mins",A1:CV300,80,FALSE)* 90)</f>
      </c>
      <c r="BQ80" s="22379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</c>
      <c r="BR80" s="22380">
        <f>0.0885*HLOOKUP("KP/90",A1:CV300,80,FALSE)</f>
      </c>
      <c r="BS80" s="22381">
        <f>5*HLOOKUP("xG/90",A1:CV300,80,FALSE)+3*HLOOKUP("xA/90",A1:CV300,80,FALSE)</f>
      </c>
      <c r="BT80" s="22382">
        <f>HLOOKUP("xPts/90",A1:CV300,80,FALSE)-(5*0.75*(HLOOKUP("PK Gs",A1:CV300,80,FALSE)+HLOOKUP("PK Miss",A1:CV300,80,FALSE))*90/HLOOKUP("Mins",A1:CV300,80,FALSE))</f>
      </c>
      <c r="BU80" s="22383">
        <f>IF(HLOOKUP("Mins",A1:CV300,80,FALSE)=0,0,HLOOKUP("fsXG",A1:CV300,80,FALSE)/HLOOKUP("Mins",A1:CV300,80,FALSE)* 90)</f>
      </c>
      <c r="BV80" s="22384">
        <f>IF(HLOOKUP("Mins",A1:CV300,80,FALSE)=0,0,HLOOKUP("fsXA",A1:CV300,80,FALSE)/HLOOKUP("Mins",A1:CV300,80,FALSE)* 90)</f>
      </c>
      <c r="BW80" s="22385">
        <f>5*HLOOKUP("fsXG/90",A1:CV300,80,FALSE)+3*HLOOKUP("fsXA/90",A1:CV300,80,FALSE)</f>
      </c>
      <c r="BX80" t="n" s="22386">
        <v>0.3095247745513916</v>
      </c>
      <c r="BY80" t="n" s="22387">
        <v>0.05205908790230751</v>
      </c>
      <c r="BZ80" s="22388">
        <f>5*HLOOKUP("uXG/90",A1:CV300,80,FALSE)+3*HLOOKUP("uXA/90",A1:CV300,80,FALSE)</f>
      </c>
    </row>
    <row r="81">
      <c r="A81" t="s" s="22389">
        <v>384</v>
      </c>
      <c r="B81" t="s" s="22390">
        <v>80</v>
      </c>
      <c r="C81" t="n" s="22391">
        <v>4.5</v>
      </c>
      <c r="D81" t="n" s="22392">
        <v>336.0</v>
      </c>
      <c r="E81" t="n" s="22393">
        <v>5.0</v>
      </c>
      <c r="F81" t="n" s="22394">
        <v>33.0</v>
      </c>
      <c r="G81" t="n" s="22395">
        <v>0.0</v>
      </c>
      <c r="H81" t="n" s="22396">
        <v>0.0</v>
      </c>
      <c r="I81" t="n" s="22397">
        <v>140.0</v>
      </c>
      <c r="J81" s="22398">
        <f>HLOOKUP("BPS",A1:CV300,81,FALSE)-((-6*HLOOKUP("OG",A1:CV300,81,FALSE))+(-6*HLOOKUP("PK Miss",A1:CV300,81,FALSE))+(9*HLOOKUP("FPL As",A1:CV300,81,FALSE))+(0*HLOOKUP("CS",A1:CV300,81,FALSE))+(18*HLOOKUP("Gs",A1:CV300,81,FALSE)))</f>
      </c>
      <c r="K81" t="n" s="22399">
        <v>0.0</v>
      </c>
      <c r="L81" t="n" s="22400">
        <v>3.0</v>
      </c>
      <c r="M81" t="n" s="22401">
        <v>10.0</v>
      </c>
      <c r="N81" t="n" s="22402">
        <v>3.0</v>
      </c>
      <c r="O81" t="n" s="22403">
        <v>1.0</v>
      </c>
      <c r="P81" s="22404">
        <f>IF(HLOOKUP("Shots",A1:CV300,81,FALSE)=0,0,HLOOKUP("SIB",A1:CV300,81,FALSE)/HLOOKUP("Shots",A1:CV300,81,FALSE))</f>
      </c>
      <c r="Q81" t="n" s="22405">
        <v>0.0</v>
      </c>
      <c r="R81" s="22406">
        <f>IF(HLOOKUP("Shots",A1:CV300,81,FALSE)=0,0,HLOOKUP("S6YD",A1:CV300,81,FALSE)/HLOOKUP("Shots",A1:CV300,81,FALSE))</f>
      </c>
      <c r="S81" t="n" s="22407">
        <v>0.0</v>
      </c>
      <c r="T81" s="22408">
        <f>IF(HLOOKUP("Shots",A1:CV300,81,FALSE)=0,0,HLOOKUP("Headers",A1:CV300,81,FALSE)/HLOOKUP("Shots",A1:CV300,81,FALSE))</f>
      </c>
      <c r="U81" t="n" s="22409">
        <v>1.0</v>
      </c>
      <c r="V81" s="22410">
        <f>IF(HLOOKUP("Shots",A1:CV300,81,FALSE)=0,0,HLOOKUP("SOT",A1:CV300,81,FALSE)/HLOOKUP("Shots",A1:CV300,81,FALSE))</f>
      </c>
      <c r="W81" s="22411">
        <f>IF(HLOOKUP("Shots",A1:CV300,81,FALSE)=0,0,HLOOKUP("Gs",A1:CV300,81,FALSE)/HLOOKUP("Shots",A1:CV300,81,FALSE))</f>
      </c>
      <c r="X81" t="n" s="22412">
        <v>1.0</v>
      </c>
      <c r="Y81" t="n" s="22413">
        <v>3.0</v>
      </c>
      <c r="Z81" t="n" s="22414">
        <v>1.0</v>
      </c>
      <c r="AA81" s="22415">
        <f>IF(HLOOKUP("KP",A1:CV300,81,FALSE)=0,0,HLOOKUP("As",A1:CV300,81,FALSE)/HLOOKUP("KP",A1:CV300,81,FALSE))</f>
      </c>
      <c r="AB81" s="22416"/>
      <c r="AC81" t="n" s="22417">
        <v>29.0</v>
      </c>
      <c r="AD81" t="n" s="22418">
        <v>1.0</v>
      </c>
      <c r="AE81" t="n" s="22419">
        <v>0.0</v>
      </c>
      <c r="AF81" t="n" s="22420">
        <v>0.0</v>
      </c>
      <c r="AG81" s="22421">
        <f>IF(HLOOKUP("BC",A1:CV300,81,FALSE)=0,0,HLOOKUP("Gs - BC",A1:CV300,81,FALSE)/HLOOKUP("BC",A1:CV300,81,FALSE))</f>
      </c>
      <c r="AH81" s="22422">
        <f>HLOOKUP("BC",A1:CV300,81,FALSE) - HLOOKUP("BC Miss",A1:CV300,81,FALSE)</f>
      </c>
      <c r="AI81" s="22423">
        <f>IF(HLOOKUP("Gs",A1:CV300,81,FALSE)=0,0,HLOOKUP("Gs - BC",A1:CV300,81,FALSE)/HLOOKUP("Gs",A1:CV300,81,FALSE))</f>
      </c>
      <c r="AJ81" t="n" s="22424">
        <v>0.0</v>
      </c>
      <c r="AK81" t="n" s="22425">
        <v>0.0</v>
      </c>
      <c r="AL81" s="22426">
        <f>HLOOKUP("BC",A1:CV300,81,FALSE) - (HLOOKUP("PK Gs",A1:CV300,81,FALSE) + HLOOKUP("PK Miss",A1:CV300,81,FALSE))</f>
      </c>
      <c r="AM81" s="22427">
        <f>HLOOKUP("BC Miss",A1:CV300,81,FALSE) - HLOOKUP("PK Miss",A1:CV300,81,FALSE)</f>
      </c>
      <c r="AN81" s="22428">
        <f>IF(HLOOKUP("BC - Open",A1:CV300,81,FALSE)=0,0,HLOOKUP("BC - Open Miss",A1:CV300,81,FALSE)/HLOOKUP("BC - Open",A1:CV300,81,FALSE))</f>
      </c>
      <c r="AO81" t="n" s="22429">
        <v>0.0</v>
      </c>
      <c r="AP81" s="22430">
        <f>IF(HLOOKUP("Gs",A1:CV300,81,FALSE)=0,0,HLOOKUP("GIB",A1:CV300,81,FALSE)/HLOOKUP("Gs",A1:CV300,81,FALSE))</f>
      </c>
      <c r="AQ81" t="n" s="22431">
        <v>0.0</v>
      </c>
      <c r="AR81" s="22432">
        <f>IF(HLOOKUP("Gs",A1:CV300,81,FALSE)=0,0,HLOOKUP("Gs - Open",A1:CV300,81,FALSE)/HLOOKUP("Gs",A1:CV300,81,FALSE))</f>
      </c>
      <c r="AS81" t="n" s="22433">
        <v>0.13</v>
      </c>
      <c r="AT81" t="n" s="22434">
        <v>0.29</v>
      </c>
      <c r="AU81" s="22435">
        <f>IF(HLOOKUP("Mins",A1:CV300,81,FALSE)=0,0,HLOOKUP("Pts",A1:CV300,81,FALSE)/HLOOKUP("Mins",A1:CV300,81,FALSE)* 90)</f>
      </c>
      <c r="AV81" s="22436">
        <f>IF(HLOOKUP("Apps",A1:CV300,81,FALSE)=0,0,HLOOKUP("Pts",A1:CV300,81,FALSE)/HLOOKUP("Apps",A1:CV300,81,FALSE)* 1)</f>
      </c>
      <c r="AW81" s="22437">
        <f>IF(HLOOKUP("Mins",A1:CV300,81,FALSE)=0,0,HLOOKUP("Gs",A1:CV300,81,FALSE)/HLOOKUP("Mins",A1:CV300,81,FALSE)* 90)</f>
      </c>
      <c r="AX81" s="22438">
        <f>IF(HLOOKUP("Mins",A1:CV300,81,FALSE)=0,0,HLOOKUP("Bonus",A1:CV300,81,FALSE)/HLOOKUP("Mins",A1:CV300,81,FALSE)* 90)</f>
      </c>
      <c r="AY81" s="22439">
        <f>IF(HLOOKUP("Mins",A1:CV300,81,FALSE)=0,0,HLOOKUP("BPS",A1:CV300,81,FALSE)/HLOOKUP("Mins",A1:CV300,81,FALSE)* 90)</f>
      </c>
      <c r="AZ81" s="22440">
        <f>IF(HLOOKUP("Mins",A1:CV300,81,FALSE)=0,0,HLOOKUP("Base BPS",A1:CV300,81,FALSE)/HLOOKUP("Mins",A1:CV300,81,FALSE)* 90)</f>
      </c>
      <c r="BA81" s="22441">
        <f>IF(HLOOKUP("Mins",A1:CV300,81,FALSE)=0,0,HLOOKUP("PenTchs",A1:CV300,81,FALSE)/HLOOKUP("Mins",A1:CV300,81,FALSE)* 90)</f>
      </c>
      <c r="BB81" s="22442">
        <f>IF(HLOOKUP("Mins",A1:CV300,81,FALSE)=0,0,HLOOKUP("Shots",A1:CV300,81,FALSE)/HLOOKUP("Mins",A1:CV300,81,FALSE)* 90)</f>
      </c>
      <c r="BC81" s="22443">
        <f>IF(HLOOKUP("Mins",A1:CV300,81,FALSE)=0,0,HLOOKUP("SIB",A1:CV300,81,FALSE)/HLOOKUP("Mins",A1:CV300,81,FALSE)* 90)</f>
      </c>
      <c r="BD81" s="22444">
        <f>IF(HLOOKUP("Mins",A1:CV300,81,FALSE)=0,0,HLOOKUP("S6YD",A1:CV300,81,FALSE)/HLOOKUP("Mins",A1:CV300,81,FALSE)* 90)</f>
      </c>
      <c r="BE81" s="22445">
        <f>IF(HLOOKUP("Mins",A1:CV300,81,FALSE)=0,0,HLOOKUP("Headers",A1:CV300,81,FALSE)/HLOOKUP("Mins",A1:CV300,81,FALSE)* 90)</f>
      </c>
      <c r="BF81" s="22446">
        <f>IF(HLOOKUP("Mins",A1:CV300,81,FALSE)=0,0,HLOOKUP("SOT",A1:CV300,81,FALSE)/HLOOKUP("Mins",A1:CV300,81,FALSE)* 90)</f>
      </c>
      <c r="BG81" s="22447">
        <f>IF(HLOOKUP("Mins",A1:CV300,81,FALSE)=0,0,HLOOKUP("As",A1:CV300,81,FALSE)/HLOOKUP("Mins",A1:CV300,81,FALSE)* 90)</f>
      </c>
      <c r="BH81" s="22448">
        <f>IF(HLOOKUP("Mins",A1:CV300,81,FALSE)=0,0,HLOOKUP("FPL As",A1:CV300,81,FALSE)/HLOOKUP("Mins",A1:CV300,81,FALSE)* 90)</f>
      </c>
      <c r="BI81" s="22449">
        <f>IF(HLOOKUP("Mins",A1:CV300,81,FALSE)=0,0,HLOOKUP("BC Created",A1:CV300,81,FALSE)/HLOOKUP("Mins",A1:CV300,81,FALSE)* 90)</f>
      </c>
      <c r="BJ81" s="22450">
        <f>IF(HLOOKUP("Mins",A1:CV300,81,FALSE)=0,0,HLOOKUP("KP",A1:CV300,81,FALSE)/HLOOKUP("Mins",A1:CV300,81,FALSE)* 90)</f>
      </c>
      <c r="BK81" s="22451">
        <f>IF(HLOOKUP("Mins",A1:CV300,81,FALSE)=0,0,HLOOKUP("BC",A1:CV300,81,FALSE)/HLOOKUP("Mins",A1:CV300,81,FALSE)* 90)</f>
      </c>
      <c r="BL81" s="22452">
        <f>IF(HLOOKUP("Mins",A1:CV300,81,FALSE)=0,0,HLOOKUP("BC Miss",A1:CV300,81,FALSE)/HLOOKUP("Mins",A1:CV300,81,FALSE)* 90)</f>
      </c>
      <c r="BM81" s="22453">
        <f>IF(HLOOKUP("Mins",A1:CV300,81,FALSE)=0,0,HLOOKUP("Gs - BC",A1:CV300,81,FALSE)/HLOOKUP("Mins",A1:CV300,81,FALSE)* 90)</f>
      </c>
      <c r="BN81" s="22454">
        <f>IF(HLOOKUP("Mins",A1:CV300,81,FALSE)=0,0,HLOOKUP("GIB",A1:CV300,81,FALSE)/HLOOKUP("Mins",A1:CV300,81,FALSE)* 90)</f>
      </c>
      <c r="BO81" s="22455">
        <f>IF(HLOOKUP("Mins",A1:CV300,81,FALSE)=0,0,HLOOKUP("Gs - Open",A1:CV300,81,FALSE)/HLOOKUP("Mins",A1:CV300,81,FALSE)* 90)</f>
      </c>
      <c r="BP81" s="22456">
        <f>IF(HLOOKUP("Mins",A1:CV300,81,FALSE)=0,0,HLOOKUP("ICT Index",A1:CV300,81,FALSE)/HLOOKUP("Mins",A1:CV300,81,FALSE)* 90)</f>
      </c>
      <c r="BQ81" s="22457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</c>
      <c r="BR81" s="22458">
        <f>0.0885*HLOOKUP("KP/90",A1:CV300,81,FALSE)</f>
      </c>
      <c r="BS81" s="22459">
        <f>5*HLOOKUP("xG/90",A1:CV300,81,FALSE)+3*HLOOKUP("xA/90",A1:CV300,81,FALSE)</f>
      </c>
      <c r="BT81" s="22460">
        <f>HLOOKUP("xPts/90",A1:CV300,81,FALSE)-(5*0.75*(HLOOKUP("PK Gs",A1:CV300,81,FALSE)+HLOOKUP("PK Miss",A1:CV300,81,FALSE))*90/HLOOKUP("Mins",A1:CV300,81,FALSE))</f>
      </c>
      <c r="BU81" s="22461">
        <f>IF(HLOOKUP("Mins",A1:CV300,81,FALSE)=0,0,HLOOKUP("fsXG",A1:CV300,81,FALSE)/HLOOKUP("Mins",A1:CV300,81,FALSE)* 90)</f>
      </c>
      <c r="BV81" s="22462">
        <f>IF(HLOOKUP("Mins",A1:CV300,81,FALSE)=0,0,HLOOKUP("fsXA",A1:CV300,81,FALSE)/HLOOKUP("Mins",A1:CV300,81,FALSE)* 90)</f>
      </c>
      <c r="BW81" s="22463">
        <f>5*HLOOKUP("fsXG/90",A1:CV300,81,FALSE)+3*HLOOKUP("fsXA/90",A1:CV300,81,FALSE)</f>
      </c>
      <c r="BX81" t="n" s="22464">
        <v>0.04538359493017197</v>
      </c>
      <c r="BY81" t="n" s="22465">
        <v>0.13635902106761932</v>
      </c>
      <c r="BZ81" s="22466">
        <f>5*HLOOKUP("uXG/90",A1:CV300,81,FALSE)+3*HLOOKUP("uXA/90",A1:CV300,81,FALSE)</f>
      </c>
    </row>
    <row r="82">
      <c r="A82" t="s" s="22467">
        <v>385</v>
      </c>
      <c r="B82" t="s" s="22468">
        <v>90</v>
      </c>
      <c r="C82" t="n" s="22469">
        <v>5.300000190734863</v>
      </c>
      <c r="D82" t="n" s="22470">
        <v>49.0</v>
      </c>
      <c r="E82" t="n" s="22471">
        <v>4.0</v>
      </c>
      <c r="F82" t="n" s="22472">
        <v>33.0</v>
      </c>
      <c r="G82" t="n" s="22473">
        <v>0.0</v>
      </c>
      <c r="H82" t="n" s="22474">
        <v>0.0</v>
      </c>
      <c r="I82" t="n" s="22475">
        <v>106.0</v>
      </c>
      <c r="J82" s="22476">
        <f>HLOOKUP("BPS",A1:CV300,82,FALSE)-((-6*HLOOKUP("OG",A1:CV300,82,FALSE))+(-6*HLOOKUP("PK Miss",A1:CV300,82,FALSE))+(9*HLOOKUP("FPL As",A1:CV300,82,FALSE))+(0*HLOOKUP("CS",A1:CV300,82,FALSE))+(18*HLOOKUP("Gs",A1:CV300,82,FALSE)))</f>
      </c>
      <c r="K82" t="n" s="22477">
        <v>0.0</v>
      </c>
      <c r="L82" t="n" s="22478">
        <v>1.0</v>
      </c>
      <c r="M82" t="n" s="22479">
        <v>4.0</v>
      </c>
      <c r="N82" t="n" s="22480">
        <v>1.0</v>
      </c>
      <c r="O82" t="n" s="22481">
        <v>0.0</v>
      </c>
      <c r="P82" s="22482">
        <f>IF(HLOOKUP("Shots",A1:CV300,82,FALSE)=0,0,HLOOKUP("SIB",A1:CV300,82,FALSE)/HLOOKUP("Shots",A1:CV300,82,FALSE))</f>
      </c>
      <c r="Q82" t="n" s="22483">
        <v>0.0</v>
      </c>
      <c r="R82" s="22484">
        <f>IF(HLOOKUP("Shots",A1:CV300,82,FALSE)=0,0,HLOOKUP("S6YD",A1:CV300,82,FALSE)/HLOOKUP("Shots",A1:CV300,82,FALSE))</f>
      </c>
      <c r="S82" t="n" s="22485">
        <v>0.0</v>
      </c>
      <c r="T82" s="22486">
        <f>IF(HLOOKUP("Shots",A1:CV300,82,FALSE)=0,0,HLOOKUP("Headers",A1:CV300,82,FALSE)/HLOOKUP("Shots",A1:CV300,82,FALSE))</f>
      </c>
      <c r="U82" t="n" s="22487">
        <v>0.0</v>
      </c>
      <c r="V82" s="22488">
        <f>IF(HLOOKUP("Shots",A1:CV300,82,FALSE)=0,0,HLOOKUP("SOT",A1:CV300,82,FALSE)/HLOOKUP("Shots",A1:CV300,82,FALSE))</f>
      </c>
      <c r="W82" s="22489">
        <f>IF(HLOOKUP("Shots",A1:CV300,82,FALSE)=0,0,HLOOKUP("Gs",A1:CV300,82,FALSE)/HLOOKUP("Shots",A1:CV300,82,FALSE))</f>
      </c>
      <c r="X82" t="n" s="22490">
        <v>0.0</v>
      </c>
      <c r="Y82" t="n" s="22491">
        <v>1.0</v>
      </c>
      <c r="Z82" t="n" s="22492">
        <v>0.0</v>
      </c>
      <c r="AA82" s="22493">
        <f>IF(HLOOKUP("KP",A1:CV300,82,FALSE)=0,0,HLOOKUP("As",A1:CV300,82,FALSE)/HLOOKUP("KP",A1:CV300,82,FALSE))</f>
      </c>
      <c r="AB82" s="22494"/>
      <c r="AC82" t="n" s="22495">
        <v>0.0</v>
      </c>
      <c r="AD82" t="n" s="22496">
        <v>0.0</v>
      </c>
      <c r="AE82" t="n" s="22497">
        <v>0.0</v>
      </c>
      <c r="AF82" t="n" s="22498">
        <v>0.0</v>
      </c>
      <c r="AG82" s="22499">
        <f>IF(HLOOKUP("BC",A1:CV300,82,FALSE)=0,0,HLOOKUP("Gs - BC",A1:CV300,82,FALSE)/HLOOKUP("BC",A1:CV300,82,FALSE))</f>
      </c>
      <c r="AH82" s="22500">
        <f>HLOOKUP("BC",A1:CV300,82,FALSE) - HLOOKUP("BC Miss",A1:CV300,82,FALSE)</f>
      </c>
      <c r="AI82" s="22501">
        <f>IF(HLOOKUP("Gs",A1:CV300,82,FALSE)=0,0,HLOOKUP("Gs - BC",A1:CV300,82,FALSE)/HLOOKUP("Gs",A1:CV300,82,FALSE))</f>
      </c>
      <c r="AJ82" t="n" s="22502">
        <v>0.0</v>
      </c>
      <c r="AK82" t="n" s="22503">
        <v>0.0</v>
      </c>
      <c r="AL82" s="22504">
        <f>HLOOKUP("BC",A1:CV300,82,FALSE) - (HLOOKUP("PK Gs",A1:CV300,82,FALSE) + HLOOKUP("PK Miss",A1:CV300,82,FALSE))</f>
      </c>
      <c r="AM82" s="22505">
        <f>HLOOKUP("BC Miss",A1:CV300,82,FALSE) - HLOOKUP("PK Miss",A1:CV300,82,FALSE)</f>
      </c>
      <c r="AN82" s="22506">
        <f>IF(HLOOKUP("BC - Open",A1:CV300,82,FALSE)=0,0,HLOOKUP("BC - Open Miss",A1:CV300,82,FALSE)/HLOOKUP("BC - Open",A1:CV300,82,FALSE))</f>
      </c>
      <c r="AO82" t="n" s="22507">
        <v>0.0</v>
      </c>
      <c r="AP82" s="22508">
        <f>IF(HLOOKUP("Gs",A1:CV300,82,FALSE)=0,0,HLOOKUP("GIB",A1:CV300,82,FALSE)/HLOOKUP("Gs",A1:CV300,82,FALSE))</f>
      </c>
      <c r="AQ82" t="n" s="22509">
        <v>0.0</v>
      </c>
      <c r="AR82" s="22510">
        <f>IF(HLOOKUP("Gs",A1:CV300,82,FALSE)=0,0,HLOOKUP("Gs - Open",A1:CV300,82,FALSE)/HLOOKUP("Gs",A1:CV300,82,FALSE))</f>
      </c>
      <c r="AS82" t="n" s="22511">
        <v>0.03</v>
      </c>
      <c r="AT82" t="n" s="22512">
        <v>0.17</v>
      </c>
      <c r="AU82" s="22513">
        <f>IF(HLOOKUP("Mins",A1:CV300,82,FALSE)=0,0,HLOOKUP("Pts",A1:CV300,82,FALSE)/HLOOKUP("Mins",A1:CV300,82,FALSE)* 90)</f>
      </c>
      <c r="AV82" s="22514">
        <f>IF(HLOOKUP("Apps",A1:CV300,82,FALSE)=0,0,HLOOKUP("Pts",A1:CV300,82,FALSE)/HLOOKUP("Apps",A1:CV300,82,FALSE)* 1)</f>
      </c>
      <c r="AW82" s="22515">
        <f>IF(HLOOKUP("Mins",A1:CV300,82,FALSE)=0,0,HLOOKUP("Gs",A1:CV300,82,FALSE)/HLOOKUP("Mins",A1:CV300,82,FALSE)* 90)</f>
      </c>
      <c r="AX82" s="22516">
        <f>IF(HLOOKUP("Mins",A1:CV300,82,FALSE)=0,0,HLOOKUP("Bonus",A1:CV300,82,FALSE)/HLOOKUP("Mins",A1:CV300,82,FALSE)* 90)</f>
      </c>
      <c r="AY82" s="22517">
        <f>IF(HLOOKUP("Mins",A1:CV300,82,FALSE)=0,0,HLOOKUP("BPS",A1:CV300,82,FALSE)/HLOOKUP("Mins",A1:CV300,82,FALSE)* 90)</f>
      </c>
      <c r="AZ82" s="22518">
        <f>IF(HLOOKUP("Mins",A1:CV300,82,FALSE)=0,0,HLOOKUP("Base BPS",A1:CV300,82,FALSE)/HLOOKUP("Mins",A1:CV300,82,FALSE)* 90)</f>
      </c>
      <c r="BA82" s="22519">
        <f>IF(HLOOKUP("Mins",A1:CV300,82,FALSE)=0,0,HLOOKUP("PenTchs",A1:CV300,82,FALSE)/HLOOKUP("Mins",A1:CV300,82,FALSE)* 90)</f>
      </c>
      <c r="BB82" s="22520">
        <f>IF(HLOOKUP("Mins",A1:CV300,82,FALSE)=0,0,HLOOKUP("Shots",A1:CV300,82,FALSE)/HLOOKUP("Mins",A1:CV300,82,FALSE)* 90)</f>
      </c>
      <c r="BC82" s="22521">
        <f>IF(HLOOKUP("Mins",A1:CV300,82,FALSE)=0,0,HLOOKUP("SIB",A1:CV300,82,FALSE)/HLOOKUP("Mins",A1:CV300,82,FALSE)* 90)</f>
      </c>
      <c r="BD82" s="22522">
        <f>IF(HLOOKUP("Mins",A1:CV300,82,FALSE)=0,0,HLOOKUP("S6YD",A1:CV300,82,FALSE)/HLOOKUP("Mins",A1:CV300,82,FALSE)* 90)</f>
      </c>
      <c r="BE82" s="22523">
        <f>IF(HLOOKUP("Mins",A1:CV300,82,FALSE)=0,0,HLOOKUP("Headers",A1:CV300,82,FALSE)/HLOOKUP("Mins",A1:CV300,82,FALSE)* 90)</f>
      </c>
      <c r="BF82" s="22524">
        <f>IF(HLOOKUP("Mins",A1:CV300,82,FALSE)=0,0,HLOOKUP("SOT",A1:CV300,82,FALSE)/HLOOKUP("Mins",A1:CV300,82,FALSE)* 90)</f>
      </c>
      <c r="BG82" s="22525">
        <f>IF(HLOOKUP("Mins",A1:CV300,82,FALSE)=0,0,HLOOKUP("As",A1:CV300,82,FALSE)/HLOOKUP("Mins",A1:CV300,82,FALSE)* 90)</f>
      </c>
      <c r="BH82" s="22526">
        <f>IF(HLOOKUP("Mins",A1:CV300,82,FALSE)=0,0,HLOOKUP("FPL As",A1:CV300,82,FALSE)/HLOOKUP("Mins",A1:CV300,82,FALSE)* 90)</f>
      </c>
      <c r="BI82" s="22527">
        <f>IF(HLOOKUP("Mins",A1:CV300,82,FALSE)=0,0,HLOOKUP("BC Created",A1:CV300,82,FALSE)/HLOOKUP("Mins",A1:CV300,82,FALSE)* 90)</f>
      </c>
      <c r="BJ82" s="22528">
        <f>IF(HLOOKUP("Mins",A1:CV300,82,FALSE)=0,0,HLOOKUP("KP",A1:CV300,82,FALSE)/HLOOKUP("Mins",A1:CV300,82,FALSE)* 90)</f>
      </c>
      <c r="BK82" s="22529">
        <f>IF(HLOOKUP("Mins",A1:CV300,82,FALSE)=0,0,HLOOKUP("BC",A1:CV300,82,FALSE)/HLOOKUP("Mins",A1:CV300,82,FALSE)* 90)</f>
      </c>
      <c r="BL82" s="22530">
        <f>IF(HLOOKUP("Mins",A1:CV300,82,FALSE)=0,0,HLOOKUP("BC Miss",A1:CV300,82,FALSE)/HLOOKUP("Mins",A1:CV300,82,FALSE)* 90)</f>
      </c>
      <c r="BM82" s="22531">
        <f>IF(HLOOKUP("Mins",A1:CV300,82,FALSE)=0,0,HLOOKUP("Gs - BC",A1:CV300,82,FALSE)/HLOOKUP("Mins",A1:CV300,82,FALSE)* 90)</f>
      </c>
      <c r="BN82" s="22532">
        <f>IF(HLOOKUP("Mins",A1:CV300,82,FALSE)=0,0,HLOOKUP("GIB",A1:CV300,82,FALSE)/HLOOKUP("Mins",A1:CV300,82,FALSE)* 90)</f>
      </c>
      <c r="BO82" s="22533">
        <f>IF(HLOOKUP("Mins",A1:CV300,82,FALSE)=0,0,HLOOKUP("Gs - Open",A1:CV300,82,FALSE)/HLOOKUP("Mins",A1:CV300,82,FALSE)* 90)</f>
      </c>
      <c r="BP82" s="22534">
        <f>IF(HLOOKUP("Mins",A1:CV300,82,FALSE)=0,0,HLOOKUP("ICT Index",A1:CV300,82,FALSE)/HLOOKUP("Mins",A1:CV300,82,FALSE)* 90)</f>
      </c>
      <c r="BQ82" s="22535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</c>
      <c r="BR82" s="22536">
        <f>0.0885*HLOOKUP("KP/90",A1:CV300,82,FALSE)</f>
      </c>
      <c r="BS82" s="22537">
        <f>5*HLOOKUP("xG/90",A1:CV300,82,FALSE)+3*HLOOKUP("xA/90",A1:CV300,82,FALSE)</f>
      </c>
      <c r="BT82" s="22538">
        <f>HLOOKUP("xPts/90",A1:CV300,82,FALSE)-(5*0.75*(HLOOKUP("PK Gs",A1:CV300,82,FALSE)+HLOOKUP("PK Miss",A1:CV300,82,FALSE))*90/HLOOKUP("Mins",A1:CV300,82,FALSE))</f>
      </c>
      <c r="BU82" s="22539">
        <f>IF(HLOOKUP("Mins",A1:CV300,82,FALSE)=0,0,HLOOKUP("fsXG",A1:CV300,82,FALSE)/HLOOKUP("Mins",A1:CV300,82,FALSE)* 90)</f>
      </c>
      <c r="BV82" s="22540">
        <f>IF(HLOOKUP("Mins",A1:CV300,82,FALSE)=0,0,HLOOKUP("fsXA",A1:CV300,82,FALSE)/HLOOKUP("Mins",A1:CV300,82,FALSE)* 90)</f>
      </c>
      <c r="BW82" s="22541">
        <f>5*HLOOKUP("fsXG/90",A1:CV300,82,FALSE)+3*HLOOKUP("fsXA/90",A1:CV300,82,FALSE)</f>
      </c>
      <c r="BX82" t="n" s="22542">
        <v>0.058555398136377335</v>
      </c>
      <c r="BY82" t="n" s="22543">
        <v>0.0</v>
      </c>
      <c r="BZ82" s="22544">
        <f>5*HLOOKUP("uXG/90",A1:CV300,82,FALSE)+3*HLOOKUP("uXA/90",A1:CV300,82,FALSE)</f>
      </c>
    </row>
    <row r="83">
      <c r="A83" t="s" s="22545">
        <v>386</v>
      </c>
      <c r="B83" t="s" s="22546">
        <v>100</v>
      </c>
      <c r="C83" t="n" s="22547">
        <v>5.699999809265137</v>
      </c>
      <c r="D83" t="n" s="22548">
        <v>540.0</v>
      </c>
      <c r="E83" t="n" s="22549">
        <v>6.0</v>
      </c>
      <c r="F83" t="n" s="22550">
        <v>83.0</v>
      </c>
      <c r="G83" t="n" s="22551">
        <v>0.0</v>
      </c>
      <c r="H83" t="n" s="22552">
        <v>6.0</v>
      </c>
      <c r="I83" t="n" s="22553">
        <v>399.0</v>
      </c>
      <c r="J83" s="22554">
        <f>HLOOKUP("BPS",A1:CV300,83,FALSE)-((-6*HLOOKUP("OG",A1:CV300,83,FALSE))+(-6*HLOOKUP("PK Miss",A1:CV300,83,FALSE))+(9*HLOOKUP("FPL As",A1:CV300,83,FALSE))+(0*HLOOKUP("CS",A1:CV300,83,FALSE))+(18*HLOOKUP("Gs",A1:CV300,83,FALSE)))</f>
      </c>
      <c r="K83" t="n" s="22555">
        <v>0.0</v>
      </c>
      <c r="L83" t="n" s="22556">
        <v>5.0</v>
      </c>
      <c r="M83" t="n" s="22557">
        <v>2.0</v>
      </c>
      <c r="N83" t="n" s="22558">
        <v>2.0</v>
      </c>
      <c r="O83" t="n" s="22559">
        <v>0.0</v>
      </c>
      <c r="P83" s="22560">
        <f>IF(HLOOKUP("Shots",A1:CV300,83,FALSE)=0,0,HLOOKUP("SIB",A1:CV300,83,FALSE)/HLOOKUP("Shots",A1:CV300,83,FALSE))</f>
      </c>
      <c r="Q83" t="n" s="22561">
        <v>0.0</v>
      </c>
      <c r="R83" s="22562">
        <f>IF(HLOOKUP("Shots",A1:CV300,83,FALSE)=0,0,HLOOKUP("S6YD",A1:CV300,83,FALSE)/HLOOKUP("Shots",A1:CV300,83,FALSE))</f>
      </c>
      <c r="S83" t="n" s="22563">
        <v>0.0</v>
      </c>
      <c r="T83" s="22564">
        <f>IF(HLOOKUP("Shots",A1:CV300,83,FALSE)=0,0,HLOOKUP("Headers",A1:CV300,83,FALSE)/HLOOKUP("Shots",A1:CV300,83,FALSE))</f>
      </c>
      <c r="U83" t="n" s="22565">
        <v>0.0</v>
      </c>
      <c r="V83" s="22566">
        <f>IF(HLOOKUP("Shots",A1:CV300,83,FALSE)=0,0,HLOOKUP("SOT",A1:CV300,83,FALSE)/HLOOKUP("Shots",A1:CV300,83,FALSE))</f>
      </c>
      <c r="W83" s="22567">
        <f>IF(HLOOKUP("Shots",A1:CV300,83,FALSE)=0,0,HLOOKUP("Gs",A1:CV300,83,FALSE)/HLOOKUP("Shots",A1:CV300,83,FALSE))</f>
      </c>
      <c r="X83" t="n" s="22568">
        <v>0.0</v>
      </c>
      <c r="Y83" t="n" s="22569">
        <v>3.0</v>
      </c>
      <c r="Z83" t="n" s="22570">
        <v>10.0</v>
      </c>
      <c r="AA83" s="22571">
        <f>IF(HLOOKUP("KP",A1:CV300,83,FALSE)=0,0,HLOOKUP("As",A1:CV300,83,FALSE)/HLOOKUP("KP",A1:CV300,83,FALSE))</f>
      </c>
      <c r="AB83" s="22572"/>
      <c r="AC83" t="n" s="22573">
        <v>12.0</v>
      </c>
      <c r="AD83" t="n" s="22574">
        <v>1.0</v>
      </c>
      <c r="AE83" t="n" s="22575">
        <v>0.0</v>
      </c>
      <c r="AF83" t="n" s="22576">
        <v>0.0</v>
      </c>
      <c r="AG83" s="22577">
        <f>IF(HLOOKUP("BC",A1:CV300,83,FALSE)=0,0,HLOOKUP("Gs - BC",A1:CV300,83,FALSE)/HLOOKUP("BC",A1:CV300,83,FALSE))</f>
      </c>
      <c r="AH83" s="22578">
        <f>HLOOKUP("BC",A1:CV300,83,FALSE) - HLOOKUP("BC Miss",A1:CV300,83,FALSE)</f>
      </c>
      <c r="AI83" s="22579">
        <f>IF(HLOOKUP("Gs",A1:CV300,83,FALSE)=0,0,HLOOKUP("Gs - BC",A1:CV300,83,FALSE)/HLOOKUP("Gs",A1:CV300,83,FALSE))</f>
      </c>
      <c r="AJ83" t="n" s="22580">
        <v>0.0</v>
      </c>
      <c r="AK83" t="n" s="22581">
        <v>0.0</v>
      </c>
      <c r="AL83" s="22582">
        <f>HLOOKUP("BC",A1:CV300,83,FALSE) - (HLOOKUP("PK Gs",A1:CV300,83,FALSE) + HLOOKUP("PK Miss",A1:CV300,83,FALSE))</f>
      </c>
      <c r="AM83" s="22583">
        <f>HLOOKUP("BC Miss",A1:CV300,83,FALSE) - HLOOKUP("PK Miss",A1:CV300,83,FALSE)</f>
      </c>
      <c r="AN83" s="22584">
        <f>IF(HLOOKUP("BC - Open",A1:CV300,83,FALSE)=0,0,HLOOKUP("BC - Open Miss",A1:CV300,83,FALSE)/HLOOKUP("BC - Open",A1:CV300,83,FALSE))</f>
      </c>
      <c r="AO83" t="n" s="22585">
        <v>0.0</v>
      </c>
      <c r="AP83" s="22586">
        <f>IF(HLOOKUP("Gs",A1:CV300,83,FALSE)=0,0,HLOOKUP("GIB",A1:CV300,83,FALSE)/HLOOKUP("Gs",A1:CV300,83,FALSE))</f>
      </c>
      <c r="AQ83" t="n" s="22587">
        <v>0.0</v>
      </c>
      <c r="AR83" s="22588">
        <f>IF(HLOOKUP("Gs",A1:CV300,83,FALSE)=0,0,HLOOKUP("Gs - Open",A1:CV300,83,FALSE)/HLOOKUP("Gs",A1:CV300,83,FALSE))</f>
      </c>
      <c r="AS83" t="n" s="22589">
        <v>0.13</v>
      </c>
      <c r="AT83" t="n" s="22590">
        <v>0.55</v>
      </c>
      <c r="AU83" s="22591">
        <f>IF(HLOOKUP("Mins",A1:CV300,83,FALSE)=0,0,HLOOKUP("Pts",A1:CV300,83,FALSE)/HLOOKUP("Mins",A1:CV300,83,FALSE)* 90)</f>
      </c>
      <c r="AV83" s="22592">
        <f>IF(HLOOKUP("Apps",A1:CV300,83,FALSE)=0,0,HLOOKUP("Pts",A1:CV300,83,FALSE)/HLOOKUP("Apps",A1:CV300,83,FALSE)* 1)</f>
      </c>
      <c r="AW83" s="22593">
        <f>IF(HLOOKUP("Mins",A1:CV300,83,FALSE)=0,0,HLOOKUP("Gs",A1:CV300,83,FALSE)/HLOOKUP("Mins",A1:CV300,83,FALSE)* 90)</f>
      </c>
      <c r="AX83" s="22594">
        <f>IF(HLOOKUP("Mins",A1:CV300,83,FALSE)=0,0,HLOOKUP("Bonus",A1:CV300,83,FALSE)/HLOOKUP("Mins",A1:CV300,83,FALSE)* 90)</f>
      </c>
      <c r="AY83" s="22595">
        <f>IF(HLOOKUP("Mins",A1:CV300,83,FALSE)=0,0,HLOOKUP("BPS",A1:CV300,83,FALSE)/HLOOKUP("Mins",A1:CV300,83,FALSE)* 90)</f>
      </c>
      <c r="AZ83" s="22596">
        <f>IF(HLOOKUP("Mins",A1:CV300,83,FALSE)=0,0,HLOOKUP("Base BPS",A1:CV300,83,FALSE)/HLOOKUP("Mins",A1:CV300,83,FALSE)* 90)</f>
      </c>
      <c r="BA83" s="22597">
        <f>IF(HLOOKUP("Mins",A1:CV300,83,FALSE)=0,0,HLOOKUP("PenTchs",A1:CV300,83,FALSE)/HLOOKUP("Mins",A1:CV300,83,FALSE)* 90)</f>
      </c>
      <c r="BB83" s="22598">
        <f>IF(HLOOKUP("Mins",A1:CV300,83,FALSE)=0,0,HLOOKUP("Shots",A1:CV300,83,FALSE)/HLOOKUP("Mins",A1:CV300,83,FALSE)* 90)</f>
      </c>
      <c r="BC83" s="22599">
        <f>IF(HLOOKUP("Mins",A1:CV300,83,FALSE)=0,0,HLOOKUP("SIB",A1:CV300,83,FALSE)/HLOOKUP("Mins",A1:CV300,83,FALSE)* 90)</f>
      </c>
      <c r="BD83" s="22600">
        <f>IF(HLOOKUP("Mins",A1:CV300,83,FALSE)=0,0,HLOOKUP("S6YD",A1:CV300,83,FALSE)/HLOOKUP("Mins",A1:CV300,83,FALSE)* 90)</f>
      </c>
      <c r="BE83" s="22601">
        <f>IF(HLOOKUP("Mins",A1:CV300,83,FALSE)=0,0,HLOOKUP("Headers",A1:CV300,83,FALSE)/HLOOKUP("Mins",A1:CV300,83,FALSE)* 90)</f>
      </c>
      <c r="BF83" s="22602">
        <f>IF(HLOOKUP("Mins",A1:CV300,83,FALSE)=0,0,HLOOKUP("SOT",A1:CV300,83,FALSE)/HLOOKUP("Mins",A1:CV300,83,FALSE)* 90)</f>
      </c>
      <c r="BG83" s="22603">
        <f>IF(HLOOKUP("Mins",A1:CV300,83,FALSE)=0,0,HLOOKUP("As",A1:CV300,83,FALSE)/HLOOKUP("Mins",A1:CV300,83,FALSE)* 90)</f>
      </c>
      <c r="BH83" s="22604">
        <f>IF(HLOOKUP("Mins",A1:CV300,83,FALSE)=0,0,HLOOKUP("FPL As",A1:CV300,83,FALSE)/HLOOKUP("Mins",A1:CV300,83,FALSE)* 90)</f>
      </c>
      <c r="BI83" s="22605">
        <f>IF(HLOOKUP("Mins",A1:CV300,83,FALSE)=0,0,HLOOKUP("BC Created",A1:CV300,83,FALSE)/HLOOKUP("Mins",A1:CV300,83,FALSE)* 90)</f>
      </c>
      <c r="BJ83" s="22606">
        <f>IF(HLOOKUP("Mins",A1:CV300,83,FALSE)=0,0,HLOOKUP("KP",A1:CV300,83,FALSE)/HLOOKUP("Mins",A1:CV300,83,FALSE)* 90)</f>
      </c>
      <c r="BK83" s="22607">
        <f>IF(HLOOKUP("Mins",A1:CV300,83,FALSE)=0,0,HLOOKUP("BC",A1:CV300,83,FALSE)/HLOOKUP("Mins",A1:CV300,83,FALSE)* 90)</f>
      </c>
      <c r="BL83" s="22608">
        <f>IF(HLOOKUP("Mins",A1:CV300,83,FALSE)=0,0,HLOOKUP("BC Miss",A1:CV300,83,FALSE)/HLOOKUP("Mins",A1:CV300,83,FALSE)* 90)</f>
      </c>
      <c r="BM83" s="22609">
        <f>IF(HLOOKUP("Mins",A1:CV300,83,FALSE)=0,0,HLOOKUP("Gs - BC",A1:CV300,83,FALSE)/HLOOKUP("Mins",A1:CV300,83,FALSE)* 90)</f>
      </c>
      <c r="BN83" s="22610">
        <f>IF(HLOOKUP("Mins",A1:CV300,83,FALSE)=0,0,HLOOKUP("GIB",A1:CV300,83,FALSE)/HLOOKUP("Mins",A1:CV300,83,FALSE)* 90)</f>
      </c>
      <c r="BO83" s="22611">
        <f>IF(HLOOKUP("Mins",A1:CV300,83,FALSE)=0,0,HLOOKUP("Gs - Open",A1:CV300,83,FALSE)/HLOOKUP("Mins",A1:CV300,83,FALSE)* 90)</f>
      </c>
      <c r="BP83" s="22612">
        <f>IF(HLOOKUP("Mins",A1:CV300,83,FALSE)=0,0,HLOOKUP("ICT Index",A1:CV300,83,FALSE)/HLOOKUP("Mins",A1:CV300,83,FALSE)* 90)</f>
      </c>
      <c r="BQ83" s="22613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</c>
      <c r="BR83" s="22614">
        <f>0.0885*HLOOKUP("KP/90",A1:CV300,83,FALSE)</f>
      </c>
      <c r="BS83" s="22615">
        <f>5*HLOOKUP("xG/90",A1:CV300,83,FALSE)+3*HLOOKUP("xA/90",A1:CV300,83,FALSE)</f>
      </c>
      <c r="BT83" s="22616">
        <f>HLOOKUP("xPts/90",A1:CV300,83,FALSE)-(5*0.75*(HLOOKUP("PK Gs",A1:CV300,83,FALSE)+HLOOKUP("PK Miss",A1:CV300,83,FALSE))*90/HLOOKUP("Mins",A1:CV300,83,FALSE))</f>
      </c>
      <c r="BU83" s="22617">
        <f>IF(HLOOKUP("Mins",A1:CV300,83,FALSE)=0,0,HLOOKUP("fsXG",A1:CV300,83,FALSE)/HLOOKUP("Mins",A1:CV300,83,FALSE)* 90)</f>
      </c>
      <c r="BV83" s="22618">
        <f>IF(HLOOKUP("Mins",A1:CV300,83,FALSE)=0,0,HLOOKUP("fsXA",A1:CV300,83,FALSE)/HLOOKUP("Mins",A1:CV300,83,FALSE)* 90)</f>
      </c>
      <c r="BW83" s="22619">
        <f>5*HLOOKUP("fsXG/90",A1:CV300,83,FALSE)+3*HLOOKUP("fsXA/90",A1:CV300,83,FALSE)</f>
      </c>
      <c r="BX83" t="n" s="22620">
        <v>0.015962542966008186</v>
      </c>
      <c r="BY83" t="n" s="22621">
        <v>0.0663791075348854</v>
      </c>
      <c r="BZ83" s="22622">
        <f>5*HLOOKUP("uXG/90",A1:CV300,83,FALSE)+3*HLOOKUP("uXA/90",A1:CV300,83,FALSE)</f>
      </c>
    </row>
    <row r="84">
      <c r="A84" t="s" s="22623">
        <v>387</v>
      </c>
      <c r="B84" t="s" s="22624">
        <v>109</v>
      </c>
      <c r="C84" t="n" s="22625">
        <v>4.599999904632568</v>
      </c>
      <c r="D84" t="n" s="22626">
        <v>138.0</v>
      </c>
      <c r="E84" t="n" s="22627">
        <v>3.0</v>
      </c>
      <c r="F84" t="n" s="22628">
        <v>24.0</v>
      </c>
      <c r="G84" t="n" s="22629">
        <v>0.0</v>
      </c>
      <c r="H84" t="n" s="22630">
        <v>3.0</v>
      </c>
      <c r="I84" t="n" s="22631">
        <v>99.0</v>
      </c>
      <c r="J84" s="22632">
        <f>HLOOKUP("BPS",A1:CV300,84,FALSE)-((-6*HLOOKUP("OG",A1:CV300,84,FALSE))+(-6*HLOOKUP("PK Miss",A1:CV300,84,FALSE))+(9*HLOOKUP("FPL As",A1:CV300,84,FALSE))+(0*HLOOKUP("CS",A1:CV300,84,FALSE))+(18*HLOOKUP("Gs",A1:CV300,84,FALSE)))</f>
      </c>
      <c r="K84" t="n" s="22633">
        <v>0.0</v>
      </c>
      <c r="L84" t="n" s="22634">
        <v>2.0</v>
      </c>
      <c r="M84" t="n" s="22635">
        <v>8.0</v>
      </c>
      <c r="N84" t="n" s="22636">
        <v>5.0</v>
      </c>
      <c r="O84" t="n" s="22637">
        <v>3.0</v>
      </c>
      <c r="P84" s="22638">
        <f>IF(HLOOKUP("Shots",A1:CV300,84,FALSE)=0,0,HLOOKUP("SIB",A1:CV300,84,FALSE)/HLOOKUP("Shots",A1:CV300,84,FALSE))</f>
      </c>
      <c r="Q84" t="n" s="22639">
        <v>0.0</v>
      </c>
      <c r="R84" s="22640">
        <f>IF(HLOOKUP("Shots",A1:CV300,84,FALSE)=0,0,HLOOKUP("S6YD",A1:CV300,84,FALSE)/HLOOKUP("Shots",A1:CV300,84,FALSE))</f>
      </c>
      <c r="S84" t="n" s="22641">
        <v>1.0</v>
      </c>
      <c r="T84" s="22642">
        <f>IF(HLOOKUP("Shots",A1:CV300,84,FALSE)=0,0,HLOOKUP("Headers",A1:CV300,84,FALSE)/HLOOKUP("Shots",A1:CV300,84,FALSE))</f>
      </c>
      <c r="U84" t="n" s="22643">
        <v>2.0</v>
      </c>
      <c r="V84" s="22644">
        <f>IF(HLOOKUP("Shots",A1:CV300,84,FALSE)=0,0,HLOOKUP("SOT",A1:CV300,84,FALSE)/HLOOKUP("Shots",A1:CV300,84,FALSE))</f>
      </c>
      <c r="W84" s="22645">
        <f>IF(HLOOKUP("Shots",A1:CV300,84,FALSE)=0,0,HLOOKUP("Gs",A1:CV300,84,FALSE)/HLOOKUP("Shots",A1:CV300,84,FALSE))</f>
      </c>
      <c r="X84" t="n" s="22646">
        <v>0.0</v>
      </c>
      <c r="Y84" t="n" s="22647">
        <v>1.0</v>
      </c>
      <c r="Z84" t="n" s="22648">
        <v>1.0</v>
      </c>
      <c r="AA84" s="22649">
        <f>IF(HLOOKUP("KP",A1:CV300,84,FALSE)=0,0,HLOOKUP("As",A1:CV300,84,FALSE)/HLOOKUP("KP",A1:CV300,84,FALSE))</f>
      </c>
      <c r="AB84" s="22650"/>
      <c r="AC84" t="n" s="22651">
        <v>0.0</v>
      </c>
      <c r="AD84" t="n" s="22652">
        <v>0.0</v>
      </c>
      <c r="AE84" t="n" s="22653">
        <v>0.0</v>
      </c>
      <c r="AF84" t="n" s="22654">
        <v>0.0</v>
      </c>
      <c r="AG84" s="22655">
        <f>IF(HLOOKUP("BC",A1:CV300,84,FALSE)=0,0,HLOOKUP("Gs - BC",A1:CV300,84,FALSE)/HLOOKUP("BC",A1:CV300,84,FALSE))</f>
      </c>
      <c r="AH84" s="22656">
        <f>HLOOKUP("BC",A1:CV300,84,FALSE) - HLOOKUP("BC Miss",A1:CV300,84,FALSE)</f>
      </c>
      <c r="AI84" s="22657">
        <f>IF(HLOOKUP("Gs",A1:CV300,84,FALSE)=0,0,HLOOKUP("Gs - BC",A1:CV300,84,FALSE)/HLOOKUP("Gs",A1:CV300,84,FALSE))</f>
      </c>
      <c r="AJ84" t="n" s="22658">
        <v>0.0</v>
      </c>
      <c r="AK84" t="n" s="22659">
        <v>0.0</v>
      </c>
      <c r="AL84" s="22660">
        <f>HLOOKUP("BC",A1:CV300,84,FALSE) - (HLOOKUP("PK Gs",A1:CV300,84,FALSE) + HLOOKUP("PK Miss",A1:CV300,84,FALSE))</f>
      </c>
      <c r="AM84" s="22661">
        <f>HLOOKUP("BC Miss",A1:CV300,84,FALSE) - HLOOKUP("PK Miss",A1:CV300,84,FALSE)</f>
      </c>
      <c r="AN84" s="22662">
        <f>IF(HLOOKUP("BC - Open",A1:CV300,84,FALSE)=0,0,HLOOKUP("BC - Open Miss",A1:CV300,84,FALSE)/HLOOKUP("BC - Open",A1:CV300,84,FALSE))</f>
      </c>
      <c r="AO84" t="n" s="22663">
        <v>0.0</v>
      </c>
      <c r="AP84" s="22664">
        <f>IF(HLOOKUP("Gs",A1:CV300,84,FALSE)=0,0,HLOOKUP("GIB",A1:CV300,84,FALSE)/HLOOKUP("Gs",A1:CV300,84,FALSE))</f>
      </c>
      <c r="AQ84" t="n" s="22665">
        <v>0.0</v>
      </c>
      <c r="AR84" s="22666">
        <f>IF(HLOOKUP("Gs",A1:CV300,84,FALSE)=0,0,HLOOKUP("Gs - Open",A1:CV300,84,FALSE)/HLOOKUP("Gs",A1:CV300,84,FALSE))</f>
      </c>
      <c r="AS84" t="n" s="22667">
        <v>0.27</v>
      </c>
      <c r="AT84" t="n" s="22668">
        <v>0.31</v>
      </c>
      <c r="AU84" s="22669">
        <f>IF(HLOOKUP("Mins",A1:CV300,84,FALSE)=0,0,HLOOKUP("Pts",A1:CV300,84,FALSE)/HLOOKUP("Mins",A1:CV300,84,FALSE)* 90)</f>
      </c>
      <c r="AV84" s="22670">
        <f>IF(HLOOKUP("Apps",A1:CV300,84,FALSE)=0,0,HLOOKUP("Pts",A1:CV300,84,FALSE)/HLOOKUP("Apps",A1:CV300,84,FALSE)* 1)</f>
      </c>
      <c r="AW84" s="22671">
        <f>IF(HLOOKUP("Mins",A1:CV300,84,FALSE)=0,0,HLOOKUP("Gs",A1:CV300,84,FALSE)/HLOOKUP("Mins",A1:CV300,84,FALSE)* 90)</f>
      </c>
      <c r="AX84" s="22672">
        <f>IF(HLOOKUP("Mins",A1:CV300,84,FALSE)=0,0,HLOOKUP("Bonus",A1:CV300,84,FALSE)/HLOOKUP("Mins",A1:CV300,84,FALSE)* 90)</f>
      </c>
      <c r="AY84" s="22673">
        <f>IF(HLOOKUP("Mins",A1:CV300,84,FALSE)=0,0,HLOOKUP("BPS",A1:CV300,84,FALSE)/HLOOKUP("Mins",A1:CV300,84,FALSE)* 90)</f>
      </c>
      <c r="AZ84" s="22674">
        <f>IF(HLOOKUP("Mins",A1:CV300,84,FALSE)=0,0,HLOOKUP("Base BPS",A1:CV300,84,FALSE)/HLOOKUP("Mins",A1:CV300,84,FALSE)* 90)</f>
      </c>
      <c r="BA84" s="22675">
        <f>IF(HLOOKUP("Mins",A1:CV300,84,FALSE)=0,0,HLOOKUP("PenTchs",A1:CV300,84,FALSE)/HLOOKUP("Mins",A1:CV300,84,FALSE)* 90)</f>
      </c>
      <c r="BB84" s="22676">
        <f>IF(HLOOKUP("Mins",A1:CV300,84,FALSE)=0,0,HLOOKUP("Shots",A1:CV300,84,FALSE)/HLOOKUP("Mins",A1:CV300,84,FALSE)* 90)</f>
      </c>
      <c r="BC84" s="22677">
        <f>IF(HLOOKUP("Mins",A1:CV300,84,FALSE)=0,0,HLOOKUP("SIB",A1:CV300,84,FALSE)/HLOOKUP("Mins",A1:CV300,84,FALSE)* 90)</f>
      </c>
      <c r="BD84" s="22678">
        <f>IF(HLOOKUP("Mins",A1:CV300,84,FALSE)=0,0,HLOOKUP("S6YD",A1:CV300,84,FALSE)/HLOOKUP("Mins",A1:CV300,84,FALSE)* 90)</f>
      </c>
      <c r="BE84" s="22679">
        <f>IF(HLOOKUP("Mins",A1:CV300,84,FALSE)=0,0,HLOOKUP("Headers",A1:CV300,84,FALSE)/HLOOKUP("Mins",A1:CV300,84,FALSE)* 90)</f>
      </c>
      <c r="BF84" s="22680">
        <f>IF(HLOOKUP("Mins",A1:CV300,84,FALSE)=0,0,HLOOKUP("SOT",A1:CV300,84,FALSE)/HLOOKUP("Mins",A1:CV300,84,FALSE)* 90)</f>
      </c>
      <c r="BG84" s="22681">
        <f>IF(HLOOKUP("Mins",A1:CV300,84,FALSE)=0,0,HLOOKUP("As",A1:CV300,84,FALSE)/HLOOKUP("Mins",A1:CV300,84,FALSE)* 90)</f>
      </c>
      <c r="BH84" s="22682">
        <f>IF(HLOOKUP("Mins",A1:CV300,84,FALSE)=0,0,HLOOKUP("FPL As",A1:CV300,84,FALSE)/HLOOKUP("Mins",A1:CV300,84,FALSE)* 90)</f>
      </c>
      <c r="BI84" s="22683">
        <f>IF(HLOOKUP("Mins",A1:CV300,84,FALSE)=0,0,HLOOKUP("BC Created",A1:CV300,84,FALSE)/HLOOKUP("Mins",A1:CV300,84,FALSE)* 90)</f>
      </c>
      <c r="BJ84" s="22684">
        <f>IF(HLOOKUP("Mins",A1:CV300,84,FALSE)=0,0,HLOOKUP("KP",A1:CV300,84,FALSE)/HLOOKUP("Mins",A1:CV300,84,FALSE)* 90)</f>
      </c>
      <c r="BK84" s="22685">
        <f>IF(HLOOKUP("Mins",A1:CV300,84,FALSE)=0,0,HLOOKUP("BC",A1:CV300,84,FALSE)/HLOOKUP("Mins",A1:CV300,84,FALSE)* 90)</f>
      </c>
      <c r="BL84" s="22686">
        <f>IF(HLOOKUP("Mins",A1:CV300,84,FALSE)=0,0,HLOOKUP("BC Miss",A1:CV300,84,FALSE)/HLOOKUP("Mins",A1:CV300,84,FALSE)* 90)</f>
      </c>
      <c r="BM84" s="22687">
        <f>IF(HLOOKUP("Mins",A1:CV300,84,FALSE)=0,0,HLOOKUP("Gs - BC",A1:CV300,84,FALSE)/HLOOKUP("Mins",A1:CV300,84,FALSE)* 90)</f>
      </c>
      <c r="BN84" s="22688">
        <f>IF(HLOOKUP("Mins",A1:CV300,84,FALSE)=0,0,HLOOKUP("GIB",A1:CV300,84,FALSE)/HLOOKUP("Mins",A1:CV300,84,FALSE)* 90)</f>
      </c>
      <c r="BO84" s="22689">
        <f>IF(HLOOKUP("Mins",A1:CV300,84,FALSE)=0,0,HLOOKUP("Gs - Open",A1:CV300,84,FALSE)/HLOOKUP("Mins",A1:CV300,84,FALSE)* 90)</f>
      </c>
      <c r="BP84" s="22690">
        <f>IF(HLOOKUP("Mins",A1:CV300,84,FALSE)=0,0,HLOOKUP("ICT Index",A1:CV300,84,FALSE)/HLOOKUP("Mins",A1:CV300,84,FALSE)* 90)</f>
      </c>
      <c r="BQ84" s="22691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</c>
      <c r="BR84" s="22692">
        <f>0.0885*HLOOKUP("KP/90",A1:CV300,84,FALSE)</f>
      </c>
      <c r="BS84" s="22693">
        <f>5*HLOOKUP("xG/90",A1:CV300,84,FALSE)+3*HLOOKUP("xA/90",A1:CV300,84,FALSE)</f>
      </c>
      <c r="BT84" s="22694">
        <f>HLOOKUP("xPts/90",A1:CV300,84,FALSE)-(5*0.75*(HLOOKUP("PK Gs",A1:CV300,84,FALSE)+HLOOKUP("PK Miss",A1:CV300,84,FALSE))*90/HLOOKUP("Mins",A1:CV300,84,FALSE))</f>
      </c>
      <c r="BU84" s="22695">
        <f>IF(HLOOKUP("Mins",A1:CV300,84,FALSE)=0,0,HLOOKUP("fsXG",A1:CV300,84,FALSE)/HLOOKUP("Mins",A1:CV300,84,FALSE)* 90)</f>
      </c>
      <c r="BV84" s="22696">
        <f>IF(HLOOKUP("Mins",A1:CV300,84,FALSE)=0,0,HLOOKUP("fsXA",A1:CV300,84,FALSE)/HLOOKUP("Mins",A1:CV300,84,FALSE)* 90)</f>
      </c>
      <c r="BW84" s="22697">
        <f>5*HLOOKUP("fsXG/90",A1:CV300,84,FALSE)+3*HLOOKUP("fsXA/90",A1:CV300,84,FALSE)</f>
      </c>
      <c r="BX84" t="n" s="22698">
        <v>0.15843330323696136</v>
      </c>
      <c r="BY84" t="n" s="22699">
        <v>0.03094901517033577</v>
      </c>
      <c r="BZ84" s="22700">
        <f>5*HLOOKUP("uXG/90",A1:CV300,84,FALSE)+3*HLOOKUP("uXA/90",A1:CV300,84,FALSE)</f>
      </c>
    </row>
    <row r="85">
      <c r="A85" t="s" s="22701">
        <v>388</v>
      </c>
      <c r="B85" t="s" s="22702">
        <v>149</v>
      </c>
      <c r="C85" t="n" s="22703">
        <v>4.900000095367432</v>
      </c>
      <c r="D85" t="n" s="22704">
        <v>524.0</v>
      </c>
      <c r="E85" t="n" s="22705">
        <v>6.0</v>
      </c>
      <c r="F85" t="n" s="22706">
        <v>78.0</v>
      </c>
      <c r="G85" t="n" s="22707">
        <v>2.0</v>
      </c>
      <c r="H85" t="n" s="22708">
        <v>9.0</v>
      </c>
      <c r="I85" t="n" s="22709">
        <v>440.0</v>
      </c>
      <c r="J85" s="22710">
        <f>HLOOKUP("BPS",A1:CV300,85,FALSE)-((-6*HLOOKUP("OG",A1:CV300,85,FALSE))+(-6*HLOOKUP("PK Miss",A1:CV300,85,FALSE))+(9*HLOOKUP("FPL As",A1:CV300,85,FALSE))+(0*HLOOKUP("CS",A1:CV300,85,FALSE))+(18*HLOOKUP("Gs",A1:CV300,85,FALSE)))</f>
      </c>
      <c r="K85" t="n" s="22711">
        <v>0.0</v>
      </c>
      <c r="L85" t="n" s="22712">
        <v>4.0</v>
      </c>
      <c r="M85" t="n" s="22713">
        <v>5.0</v>
      </c>
      <c r="N85" t="n" s="22714">
        <v>4.0</v>
      </c>
      <c r="O85" t="n" s="22715">
        <v>3.0</v>
      </c>
      <c r="P85" s="22716">
        <f>IF(HLOOKUP("Shots",A1:CV300,85,FALSE)=0,0,HLOOKUP("SIB",A1:CV300,85,FALSE)/HLOOKUP("Shots",A1:CV300,85,FALSE))</f>
      </c>
      <c r="Q85" t="n" s="22717">
        <v>1.0</v>
      </c>
      <c r="R85" s="22718">
        <f>IF(HLOOKUP("Shots",A1:CV300,85,FALSE)=0,0,HLOOKUP("S6YD",A1:CV300,85,FALSE)/HLOOKUP("Shots",A1:CV300,85,FALSE))</f>
      </c>
      <c r="S85" t="n" s="22719">
        <v>0.0</v>
      </c>
      <c r="T85" s="22720">
        <f>IF(HLOOKUP("Shots",A1:CV300,85,FALSE)=0,0,HLOOKUP("Headers",A1:CV300,85,FALSE)/HLOOKUP("Shots",A1:CV300,85,FALSE))</f>
      </c>
      <c r="U85" t="n" s="22721">
        <v>2.0</v>
      </c>
      <c r="V85" s="22722">
        <f>IF(HLOOKUP("Shots",A1:CV300,85,FALSE)=0,0,HLOOKUP("SOT",A1:CV300,85,FALSE)/HLOOKUP("Shots",A1:CV300,85,FALSE))</f>
      </c>
      <c r="W85" s="22723">
        <f>IF(HLOOKUP("Shots",A1:CV300,85,FALSE)=0,0,HLOOKUP("Gs",A1:CV300,85,FALSE)/HLOOKUP("Shots",A1:CV300,85,FALSE))</f>
      </c>
      <c r="X85" t="n" s="22724">
        <v>0.0</v>
      </c>
      <c r="Y85" t="n" s="22725">
        <v>3.0</v>
      </c>
      <c r="Z85" t="n" s="22726">
        <v>4.0</v>
      </c>
      <c r="AA85" s="22727">
        <f>IF(HLOOKUP("KP",A1:CV300,85,FALSE)=0,0,HLOOKUP("As",A1:CV300,85,FALSE)/HLOOKUP("KP",A1:CV300,85,FALSE))</f>
      </c>
      <c r="AB85" s="22728"/>
      <c r="AC85" t="n" s="22729">
        <v>25.0</v>
      </c>
      <c r="AD85" t="n" s="22730">
        <v>1.0</v>
      </c>
      <c r="AE85" t="n" s="22731">
        <v>2.0</v>
      </c>
      <c r="AF85" t="n" s="22732">
        <v>0.0</v>
      </c>
      <c r="AG85" s="22733">
        <f>IF(HLOOKUP("BC",A1:CV300,85,FALSE)=0,0,HLOOKUP("Gs - BC",A1:CV300,85,FALSE)/HLOOKUP("BC",A1:CV300,85,FALSE))</f>
      </c>
      <c r="AH85" s="22734">
        <f>HLOOKUP("BC",A1:CV300,85,FALSE) - HLOOKUP("BC Miss",A1:CV300,85,FALSE)</f>
      </c>
      <c r="AI85" s="22735">
        <f>IF(HLOOKUP("Gs",A1:CV300,85,FALSE)=0,0,HLOOKUP("Gs - BC",A1:CV300,85,FALSE)/HLOOKUP("Gs",A1:CV300,85,FALSE))</f>
      </c>
      <c r="AJ85" t="n" s="22736">
        <v>2.0</v>
      </c>
      <c r="AK85" t="n" s="22737">
        <v>0.0</v>
      </c>
      <c r="AL85" s="22738">
        <f>HLOOKUP("BC",A1:CV300,85,FALSE) - (HLOOKUP("PK Gs",A1:CV300,85,FALSE) + HLOOKUP("PK Miss",A1:CV300,85,FALSE))</f>
      </c>
      <c r="AM85" s="22739">
        <f>HLOOKUP("BC Miss",A1:CV300,85,FALSE) - HLOOKUP("PK Miss",A1:CV300,85,FALSE)</f>
      </c>
      <c r="AN85" s="22740">
        <f>IF(HLOOKUP("BC - Open",A1:CV300,85,FALSE)=0,0,HLOOKUP("BC - Open Miss",A1:CV300,85,FALSE)/HLOOKUP("BC - Open",A1:CV300,85,FALSE))</f>
      </c>
      <c r="AO85" t="n" s="22741">
        <v>2.0</v>
      </c>
      <c r="AP85" s="22742">
        <f>IF(HLOOKUP("Gs",A1:CV300,85,FALSE)=0,0,HLOOKUP("GIB",A1:CV300,85,FALSE)/HLOOKUP("Gs",A1:CV300,85,FALSE))</f>
      </c>
      <c r="AQ85" t="n" s="22743">
        <v>0.0</v>
      </c>
      <c r="AR85" s="22744">
        <f>IF(HLOOKUP("Gs",A1:CV300,85,FALSE)=0,0,HLOOKUP("Gs - Open",A1:CV300,85,FALSE)/HLOOKUP("Gs",A1:CV300,85,FALSE))</f>
      </c>
      <c r="AS85" t="n" s="22745">
        <v>1.71</v>
      </c>
      <c r="AT85" t="n" s="22746">
        <v>0.68</v>
      </c>
      <c r="AU85" s="22747">
        <f>IF(HLOOKUP("Mins",A1:CV300,85,FALSE)=0,0,HLOOKUP("Pts",A1:CV300,85,FALSE)/HLOOKUP("Mins",A1:CV300,85,FALSE)* 90)</f>
      </c>
      <c r="AV85" s="22748">
        <f>IF(HLOOKUP("Apps",A1:CV300,85,FALSE)=0,0,HLOOKUP("Pts",A1:CV300,85,FALSE)/HLOOKUP("Apps",A1:CV300,85,FALSE)* 1)</f>
      </c>
      <c r="AW85" s="22749">
        <f>IF(HLOOKUP("Mins",A1:CV300,85,FALSE)=0,0,HLOOKUP("Gs",A1:CV300,85,FALSE)/HLOOKUP("Mins",A1:CV300,85,FALSE)* 90)</f>
      </c>
      <c r="AX85" s="22750">
        <f>IF(HLOOKUP("Mins",A1:CV300,85,FALSE)=0,0,HLOOKUP("Bonus",A1:CV300,85,FALSE)/HLOOKUP("Mins",A1:CV300,85,FALSE)* 90)</f>
      </c>
      <c r="AY85" s="22751">
        <f>IF(HLOOKUP("Mins",A1:CV300,85,FALSE)=0,0,HLOOKUP("BPS",A1:CV300,85,FALSE)/HLOOKUP("Mins",A1:CV300,85,FALSE)* 90)</f>
      </c>
      <c r="AZ85" s="22752">
        <f>IF(HLOOKUP("Mins",A1:CV300,85,FALSE)=0,0,HLOOKUP("Base BPS",A1:CV300,85,FALSE)/HLOOKUP("Mins",A1:CV300,85,FALSE)* 90)</f>
      </c>
      <c r="BA85" s="22753">
        <f>IF(HLOOKUP("Mins",A1:CV300,85,FALSE)=0,0,HLOOKUP("PenTchs",A1:CV300,85,FALSE)/HLOOKUP("Mins",A1:CV300,85,FALSE)* 90)</f>
      </c>
      <c r="BB85" s="22754">
        <f>IF(HLOOKUP("Mins",A1:CV300,85,FALSE)=0,0,HLOOKUP("Shots",A1:CV300,85,FALSE)/HLOOKUP("Mins",A1:CV300,85,FALSE)* 90)</f>
      </c>
      <c r="BC85" s="22755">
        <f>IF(HLOOKUP("Mins",A1:CV300,85,FALSE)=0,0,HLOOKUP("SIB",A1:CV300,85,FALSE)/HLOOKUP("Mins",A1:CV300,85,FALSE)* 90)</f>
      </c>
      <c r="BD85" s="22756">
        <f>IF(HLOOKUP("Mins",A1:CV300,85,FALSE)=0,0,HLOOKUP("S6YD",A1:CV300,85,FALSE)/HLOOKUP("Mins",A1:CV300,85,FALSE)* 90)</f>
      </c>
      <c r="BE85" s="22757">
        <f>IF(HLOOKUP("Mins",A1:CV300,85,FALSE)=0,0,HLOOKUP("Headers",A1:CV300,85,FALSE)/HLOOKUP("Mins",A1:CV300,85,FALSE)* 90)</f>
      </c>
      <c r="BF85" s="22758">
        <f>IF(HLOOKUP("Mins",A1:CV300,85,FALSE)=0,0,HLOOKUP("SOT",A1:CV300,85,FALSE)/HLOOKUP("Mins",A1:CV300,85,FALSE)* 90)</f>
      </c>
      <c r="BG85" s="22759">
        <f>IF(HLOOKUP("Mins",A1:CV300,85,FALSE)=0,0,HLOOKUP("As",A1:CV300,85,FALSE)/HLOOKUP("Mins",A1:CV300,85,FALSE)* 90)</f>
      </c>
      <c r="BH85" s="22760">
        <f>IF(HLOOKUP("Mins",A1:CV300,85,FALSE)=0,0,HLOOKUP("FPL As",A1:CV300,85,FALSE)/HLOOKUP("Mins",A1:CV300,85,FALSE)* 90)</f>
      </c>
      <c r="BI85" s="22761">
        <f>IF(HLOOKUP("Mins",A1:CV300,85,FALSE)=0,0,HLOOKUP("BC Created",A1:CV300,85,FALSE)/HLOOKUP("Mins",A1:CV300,85,FALSE)* 90)</f>
      </c>
      <c r="BJ85" s="22762">
        <f>IF(HLOOKUP("Mins",A1:CV300,85,FALSE)=0,0,HLOOKUP("KP",A1:CV300,85,FALSE)/HLOOKUP("Mins",A1:CV300,85,FALSE)* 90)</f>
      </c>
      <c r="BK85" s="22763">
        <f>IF(HLOOKUP("Mins",A1:CV300,85,FALSE)=0,0,HLOOKUP("BC",A1:CV300,85,FALSE)/HLOOKUP("Mins",A1:CV300,85,FALSE)* 90)</f>
      </c>
      <c r="BL85" s="22764">
        <f>IF(HLOOKUP("Mins",A1:CV300,85,FALSE)=0,0,HLOOKUP("BC Miss",A1:CV300,85,FALSE)/HLOOKUP("Mins",A1:CV300,85,FALSE)* 90)</f>
      </c>
      <c r="BM85" s="22765">
        <f>IF(HLOOKUP("Mins",A1:CV300,85,FALSE)=0,0,HLOOKUP("Gs - BC",A1:CV300,85,FALSE)/HLOOKUP("Mins",A1:CV300,85,FALSE)* 90)</f>
      </c>
      <c r="BN85" s="22766">
        <f>IF(HLOOKUP("Mins",A1:CV300,85,FALSE)=0,0,HLOOKUP("GIB",A1:CV300,85,FALSE)/HLOOKUP("Mins",A1:CV300,85,FALSE)* 90)</f>
      </c>
      <c r="BO85" s="22767">
        <f>IF(HLOOKUP("Mins",A1:CV300,85,FALSE)=0,0,HLOOKUP("Gs - Open",A1:CV300,85,FALSE)/HLOOKUP("Mins",A1:CV300,85,FALSE)* 90)</f>
      </c>
      <c r="BP85" s="22768">
        <f>IF(HLOOKUP("Mins",A1:CV300,85,FALSE)=0,0,HLOOKUP("ICT Index",A1:CV300,85,FALSE)/HLOOKUP("Mins",A1:CV300,85,FALSE)* 90)</f>
      </c>
      <c r="BQ85" s="22769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</c>
      <c r="BR85" s="22770">
        <f>0.0885*HLOOKUP("KP/90",A1:CV300,85,FALSE)</f>
      </c>
      <c r="BS85" s="22771">
        <f>5*HLOOKUP("xG/90",A1:CV300,85,FALSE)+3*HLOOKUP("xA/90",A1:CV300,85,FALSE)</f>
      </c>
      <c r="BT85" s="22772">
        <f>HLOOKUP("xPts/90",A1:CV300,85,FALSE)-(5*0.75*(HLOOKUP("PK Gs",A1:CV300,85,FALSE)+HLOOKUP("PK Miss",A1:CV300,85,FALSE))*90/HLOOKUP("Mins",A1:CV300,85,FALSE))</f>
      </c>
      <c r="BU85" s="22773">
        <f>IF(HLOOKUP("Mins",A1:CV300,85,FALSE)=0,0,HLOOKUP("fsXG",A1:CV300,85,FALSE)/HLOOKUP("Mins",A1:CV300,85,FALSE)* 90)</f>
      </c>
      <c r="BV85" s="22774">
        <f>IF(HLOOKUP("Mins",A1:CV300,85,FALSE)=0,0,HLOOKUP("fsXA",A1:CV300,85,FALSE)/HLOOKUP("Mins",A1:CV300,85,FALSE)* 90)</f>
      </c>
      <c r="BW85" s="22775">
        <f>5*HLOOKUP("fsXG/90",A1:CV300,85,FALSE)+3*HLOOKUP("fsXA/90",A1:CV300,85,FALSE)</f>
      </c>
      <c r="BX85" t="n" s="22776">
        <v>0.27253201603889465</v>
      </c>
      <c r="BY85" t="n" s="22777">
        <v>0.07872063666582108</v>
      </c>
      <c r="BZ85" s="22778">
        <f>5*HLOOKUP("uXG/90",A1:CV300,85,FALSE)+3*HLOOKUP("uXA/90",A1:CV300,85,FALSE)</f>
      </c>
    </row>
    <row r="86">
      <c r="A86" t="s" s="22779">
        <v>389</v>
      </c>
      <c r="B86" t="s" s="22780">
        <v>131</v>
      </c>
      <c r="C86" t="n" s="22781">
        <v>4.400000095367432</v>
      </c>
      <c r="D86" t="n" s="22782">
        <v>451.0</v>
      </c>
      <c r="E86" t="n" s="22783">
        <v>6.0</v>
      </c>
      <c r="F86" t="n" s="22784">
        <v>64.0</v>
      </c>
      <c r="G86" t="n" s="22785">
        <v>1.0</v>
      </c>
      <c r="H86" t="n" s="22786">
        <v>6.0</v>
      </c>
      <c r="I86" t="n" s="22787">
        <v>309.0</v>
      </c>
      <c r="J86" s="22788">
        <f>HLOOKUP("BPS",A1:CV300,86,FALSE)-((-6*HLOOKUP("OG",A1:CV300,86,FALSE))+(-6*HLOOKUP("PK Miss",A1:CV300,86,FALSE))+(9*HLOOKUP("FPL As",A1:CV300,86,FALSE))+(0*HLOOKUP("CS",A1:CV300,86,FALSE))+(18*HLOOKUP("Gs",A1:CV300,86,FALSE)))</f>
      </c>
      <c r="K86" t="n" s="22789">
        <v>1.0</v>
      </c>
      <c r="L86" t="n" s="22790">
        <v>5.0</v>
      </c>
      <c r="M86" t="n" s="22791">
        <v>4.0</v>
      </c>
      <c r="N86" t="n" s="22792">
        <v>2.0</v>
      </c>
      <c r="O86" t="n" s="22793">
        <v>2.0</v>
      </c>
      <c r="P86" s="22794">
        <f>IF(HLOOKUP("Shots",A1:CV300,86,FALSE)=0,0,HLOOKUP("SIB",A1:CV300,86,FALSE)/HLOOKUP("Shots",A1:CV300,86,FALSE))</f>
      </c>
      <c r="Q86" t="n" s="22795">
        <v>0.0</v>
      </c>
      <c r="R86" s="22796">
        <f>IF(HLOOKUP("Shots",A1:CV300,86,FALSE)=0,0,HLOOKUP("S6YD",A1:CV300,86,FALSE)/HLOOKUP("Shots",A1:CV300,86,FALSE))</f>
      </c>
      <c r="S86" t="n" s="22797">
        <v>1.0</v>
      </c>
      <c r="T86" s="22798">
        <f>IF(HLOOKUP("Shots",A1:CV300,86,FALSE)=0,0,HLOOKUP("Headers",A1:CV300,86,FALSE)/HLOOKUP("Shots",A1:CV300,86,FALSE))</f>
      </c>
      <c r="U86" t="n" s="22799">
        <v>1.0</v>
      </c>
      <c r="V86" s="22800">
        <f>IF(HLOOKUP("Shots",A1:CV300,86,FALSE)=0,0,HLOOKUP("SOT",A1:CV300,86,FALSE)/HLOOKUP("Shots",A1:CV300,86,FALSE))</f>
      </c>
      <c r="W86" s="22801">
        <f>IF(HLOOKUP("Shots",A1:CV300,86,FALSE)=0,0,HLOOKUP("Gs",A1:CV300,86,FALSE)/HLOOKUP("Shots",A1:CV300,86,FALSE))</f>
      </c>
      <c r="X86" t="n" s="22802">
        <v>0.0</v>
      </c>
      <c r="Y86" t="n" s="22803">
        <v>0.0</v>
      </c>
      <c r="Z86" t="n" s="22804">
        <v>3.0</v>
      </c>
      <c r="AA86" s="22805">
        <f>IF(HLOOKUP("KP",A1:CV300,86,FALSE)=0,0,HLOOKUP("As",A1:CV300,86,FALSE)/HLOOKUP("KP",A1:CV300,86,FALSE))</f>
      </c>
      <c r="AB86" s="22806"/>
      <c r="AC86" t="n" s="22807">
        <v>17.0</v>
      </c>
      <c r="AD86" t="n" s="22808">
        <v>1.0</v>
      </c>
      <c r="AE86" t="n" s="22809">
        <v>1.0</v>
      </c>
      <c r="AF86" t="n" s="22810">
        <v>0.0</v>
      </c>
      <c r="AG86" s="22811">
        <f>IF(HLOOKUP("BC",A1:CV300,86,FALSE)=0,0,HLOOKUP("Gs - BC",A1:CV300,86,FALSE)/HLOOKUP("BC",A1:CV300,86,FALSE))</f>
      </c>
      <c r="AH86" s="22812">
        <f>HLOOKUP("BC",A1:CV300,86,FALSE) - HLOOKUP("BC Miss",A1:CV300,86,FALSE)</f>
      </c>
      <c r="AI86" s="22813">
        <f>IF(HLOOKUP("Gs",A1:CV300,86,FALSE)=0,0,HLOOKUP("Gs - BC",A1:CV300,86,FALSE)/HLOOKUP("Gs",A1:CV300,86,FALSE))</f>
      </c>
      <c r="AJ86" t="n" s="22814">
        <v>0.0</v>
      </c>
      <c r="AK86" t="n" s="22815">
        <v>0.0</v>
      </c>
      <c r="AL86" s="22816">
        <f>HLOOKUP("BC",A1:CV300,86,FALSE) - (HLOOKUP("PK Gs",A1:CV300,86,FALSE) + HLOOKUP("PK Miss",A1:CV300,86,FALSE))</f>
      </c>
      <c r="AM86" s="22817">
        <f>HLOOKUP("BC Miss",A1:CV300,86,FALSE) - HLOOKUP("PK Miss",A1:CV300,86,FALSE)</f>
      </c>
      <c r="AN86" s="22818">
        <f>IF(HLOOKUP("BC - Open",A1:CV300,86,FALSE)=0,0,HLOOKUP("BC - Open Miss",A1:CV300,86,FALSE)/HLOOKUP("BC - Open",A1:CV300,86,FALSE))</f>
      </c>
      <c r="AO86" t="n" s="22819">
        <v>1.0</v>
      </c>
      <c r="AP86" s="22820">
        <f>IF(HLOOKUP("Gs",A1:CV300,86,FALSE)=0,0,HLOOKUP("GIB",A1:CV300,86,FALSE)/HLOOKUP("Gs",A1:CV300,86,FALSE))</f>
      </c>
      <c r="AQ86" t="n" s="22821">
        <v>0.0</v>
      </c>
      <c r="AR86" s="22822">
        <f>IF(HLOOKUP("Gs",A1:CV300,86,FALSE)=0,0,HLOOKUP("Gs - Open",A1:CV300,86,FALSE)/HLOOKUP("Gs",A1:CV300,86,FALSE))</f>
      </c>
      <c r="AS86" t="n" s="22823">
        <v>0.16</v>
      </c>
      <c r="AT86" t="n" s="22824">
        <v>0.24</v>
      </c>
      <c r="AU86" s="22825">
        <f>IF(HLOOKUP("Mins",A1:CV300,86,FALSE)=0,0,HLOOKUP("Pts",A1:CV300,86,FALSE)/HLOOKUP("Mins",A1:CV300,86,FALSE)* 90)</f>
      </c>
      <c r="AV86" s="22826">
        <f>IF(HLOOKUP("Apps",A1:CV300,86,FALSE)=0,0,HLOOKUP("Pts",A1:CV300,86,FALSE)/HLOOKUP("Apps",A1:CV300,86,FALSE)* 1)</f>
      </c>
      <c r="AW86" s="22827">
        <f>IF(HLOOKUP("Mins",A1:CV300,86,FALSE)=0,0,HLOOKUP("Gs",A1:CV300,86,FALSE)/HLOOKUP("Mins",A1:CV300,86,FALSE)* 90)</f>
      </c>
      <c r="AX86" s="22828">
        <f>IF(HLOOKUP("Mins",A1:CV300,86,FALSE)=0,0,HLOOKUP("Bonus",A1:CV300,86,FALSE)/HLOOKUP("Mins",A1:CV300,86,FALSE)* 90)</f>
      </c>
      <c r="AY86" s="22829">
        <f>IF(HLOOKUP("Mins",A1:CV300,86,FALSE)=0,0,HLOOKUP("BPS",A1:CV300,86,FALSE)/HLOOKUP("Mins",A1:CV300,86,FALSE)* 90)</f>
      </c>
      <c r="AZ86" s="22830">
        <f>IF(HLOOKUP("Mins",A1:CV300,86,FALSE)=0,0,HLOOKUP("Base BPS",A1:CV300,86,FALSE)/HLOOKUP("Mins",A1:CV300,86,FALSE)* 90)</f>
      </c>
      <c r="BA86" s="22831">
        <f>IF(HLOOKUP("Mins",A1:CV300,86,FALSE)=0,0,HLOOKUP("PenTchs",A1:CV300,86,FALSE)/HLOOKUP("Mins",A1:CV300,86,FALSE)* 90)</f>
      </c>
      <c r="BB86" s="22832">
        <f>IF(HLOOKUP("Mins",A1:CV300,86,FALSE)=0,0,HLOOKUP("Shots",A1:CV300,86,FALSE)/HLOOKUP("Mins",A1:CV300,86,FALSE)* 90)</f>
      </c>
      <c r="BC86" s="22833">
        <f>IF(HLOOKUP("Mins",A1:CV300,86,FALSE)=0,0,HLOOKUP("SIB",A1:CV300,86,FALSE)/HLOOKUP("Mins",A1:CV300,86,FALSE)* 90)</f>
      </c>
      <c r="BD86" s="22834">
        <f>IF(HLOOKUP("Mins",A1:CV300,86,FALSE)=0,0,HLOOKUP("S6YD",A1:CV300,86,FALSE)/HLOOKUP("Mins",A1:CV300,86,FALSE)* 90)</f>
      </c>
      <c r="BE86" s="22835">
        <f>IF(HLOOKUP("Mins",A1:CV300,86,FALSE)=0,0,HLOOKUP("Headers",A1:CV300,86,FALSE)/HLOOKUP("Mins",A1:CV300,86,FALSE)* 90)</f>
      </c>
      <c r="BF86" s="22836">
        <f>IF(HLOOKUP("Mins",A1:CV300,86,FALSE)=0,0,HLOOKUP("SOT",A1:CV300,86,FALSE)/HLOOKUP("Mins",A1:CV300,86,FALSE)* 90)</f>
      </c>
      <c r="BG86" s="22837">
        <f>IF(HLOOKUP("Mins",A1:CV300,86,FALSE)=0,0,HLOOKUP("As",A1:CV300,86,FALSE)/HLOOKUP("Mins",A1:CV300,86,FALSE)* 90)</f>
      </c>
      <c r="BH86" s="22838">
        <f>IF(HLOOKUP("Mins",A1:CV300,86,FALSE)=0,0,HLOOKUP("FPL As",A1:CV300,86,FALSE)/HLOOKUP("Mins",A1:CV300,86,FALSE)* 90)</f>
      </c>
      <c r="BI86" s="22839">
        <f>IF(HLOOKUP("Mins",A1:CV300,86,FALSE)=0,0,HLOOKUP("BC Created",A1:CV300,86,FALSE)/HLOOKUP("Mins",A1:CV300,86,FALSE)* 90)</f>
      </c>
      <c r="BJ86" s="22840">
        <f>IF(HLOOKUP("Mins",A1:CV300,86,FALSE)=0,0,HLOOKUP("KP",A1:CV300,86,FALSE)/HLOOKUP("Mins",A1:CV300,86,FALSE)* 90)</f>
      </c>
      <c r="BK86" s="22841">
        <f>IF(HLOOKUP("Mins",A1:CV300,86,FALSE)=0,0,HLOOKUP("BC",A1:CV300,86,FALSE)/HLOOKUP("Mins",A1:CV300,86,FALSE)* 90)</f>
      </c>
      <c r="BL86" s="22842">
        <f>IF(HLOOKUP("Mins",A1:CV300,86,FALSE)=0,0,HLOOKUP("BC Miss",A1:CV300,86,FALSE)/HLOOKUP("Mins",A1:CV300,86,FALSE)* 90)</f>
      </c>
      <c r="BM86" s="22843">
        <f>IF(HLOOKUP("Mins",A1:CV300,86,FALSE)=0,0,HLOOKUP("Gs - BC",A1:CV300,86,FALSE)/HLOOKUP("Mins",A1:CV300,86,FALSE)* 90)</f>
      </c>
      <c r="BN86" s="22844">
        <f>IF(HLOOKUP("Mins",A1:CV300,86,FALSE)=0,0,HLOOKUP("GIB",A1:CV300,86,FALSE)/HLOOKUP("Mins",A1:CV300,86,FALSE)* 90)</f>
      </c>
      <c r="BO86" s="22845">
        <f>IF(HLOOKUP("Mins",A1:CV300,86,FALSE)=0,0,HLOOKUP("Gs - Open",A1:CV300,86,FALSE)/HLOOKUP("Mins",A1:CV300,86,FALSE)* 90)</f>
      </c>
      <c r="BP86" s="22846">
        <f>IF(HLOOKUP("Mins",A1:CV300,86,FALSE)=0,0,HLOOKUP("ICT Index",A1:CV300,86,FALSE)/HLOOKUP("Mins",A1:CV300,86,FALSE)* 90)</f>
      </c>
      <c r="BQ86" s="22847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</c>
      <c r="BR86" s="22848">
        <f>0.0885*HLOOKUP("KP/90",A1:CV300,86,FALSE)</f>
      </c>
      <c r="BS86" s="22849">
        <f>5*HLOOKUP("xG/90",A1:CV300,86,FALSE)+3*HLOOKUP("xA/90",A1:CV300,86,FALSE)</f>
      </c>
      <c r="BT86" s="22850">
        <f>HLOOKUP("xPts/90",A1:CV300,86,FALSE)-(5*0.75*(HLOOKUP("PK Gs",A1:CV300,86,FALSE)+HLOOKUP("PK Miss",A1:CV300,86,FALSE))*90/HLOOKUP("Mins",A1:CV300,86,FALSE))</f>
      </c>
      <c r="BU86" s="22851">
        <f>IF(HLOOKUP("Mins",A1:CV300,86,FALSE)=0,0,HLOOKUP("fsXG",A1:CV300,86,FALSE)/HLOOKUP("Mins",A1:CV300,86,FALSE)* 90)</f>
      </c>
      <c r="BV86" s="22852">
        <f>IF(HLOOKUP("Mins",A1:CV300,86,FALSE)=0,0,HLOOKUP("fsXA",A1:CV300,86,FALSE)/HLOOKUP("Mins",A1:CV300,86,FALSE)* 90)</f>
      </c>
      <c r="BW86" s="22853">
        <f>5*HLOOKUP("fsXG/90",A1:CV300,86,FALSE)+3*HLOOKUP("fsXA/90",A1:CV300,86,FALSE)</f>
      </c>
      <c r="BX86" t="n" s="22854">
        <v>0.10215379297733307</v>
      </c>
      <c r="BY86" t="n" s="22855">
        <v>0.08852795511484146</v>
      </c>
      <c r="BZ86" s="22856">
        <f>5*HLOOKUP("uXG/90",A1:CV300,86,FALSE)+3*HLOOKUP("uXA/90",A1:CV300,86,FALSE)</f>
      </c>
    </row>
    <row r="87">
      <c r="A87" t="s" s="22857">
        <v>390</v>
      </c>
      <c r="B87" t="s" s="22858">
        <v>82</v>
      </c>
      <c r="C87" t="n" s="22859">
        <v>4.300000190734863</v>
      </c>
      <c r="D87" t="n" s="22860">
        <v>269.0</v>
      </c>
      <c r="E87" t="n" s="22861">
        <v>4.0</v>
      </c>
      <c r="F87" t="n" s="22862">
        <v>27.0</v>
      </c>
      <c r="G87" t="n" s="22863">
        <v>1.0</v>
      </c>
      <c r="H87" t="n" s="22864">
        <v>0.0</v>
      </c>
      <c r="I87" t="n" s="22865">
        <v>130.0</v>
      </c>
      <c r="J87" s="22866">
        <f>HLOOKUP("BPS",A1:CV300,87,FALSE)-((-6*HLOOKUP("OG",A1:CV300,87,FALSE))+(-6*HLOOKUP("PK Miss",A1:CV300,87,FALSE))+(9*HLOOKUP("FPL As",A1:CV300,87,FALSE))+(0*HLOOKUP("CS",A1:CV300,87,FALSE))+(18*HLOOKUP("Gs",A1:CV300,87,FALSE)))</f>
      </c>
      <c r="K87" t="n" s="22867">
        <v>0.0</v>
      </c>
      <c r="L87" t="n" s="22868">
        <v>2.0</v>
      </c>
      <c r="M87" t="n" s="22869">
        <v>3.0</v>
      </c>
      <c r="N87" t="n" s="22870">
        <v>2.0</v>
      </c>
      <c r="O87" t="n" s="22871">
        <v>1.0</v>
      </c>
      <c r="P87" s="22872">
        <f>IF(HLOOKUP("Shots",A1:CV300,87,FALSE)=0,0,HLOOKUP("SIB",A1:CV300,87,FALSE)/HLOOKUP("Shots",A1:CV300,87,FALSE))</f>
      </c>
      <c r="Q87" t="n" s="22873">
        <v>1.0</v>
      </c>
      <c r="R87" s="22874">
        <f>IF(HLOOKUP("Shots",A1:CV300,87,FALSE)=0,0,HLOOKUP("S6YD",A1:CV300,87,FALSE)/HLOOKUP("Shots",A1:CV300,87,FALSE))</f>
      </c>
      <c r="S87" t="n" s="22875">
        <v>1.0</v>
      </c>
      <c r="T87" s="22876">
        <f>IF(HLOOKUP("Shots",A1:CV300,87,FALSE)=0,0,HLOOKUP("Headers",A1:CV300,87,FALSE)/HLOOKUP("Shots",A1:CV300,87,FALSE))</f>
      </c>
      <c r="U87" t="n" s="22877">
        <v>1.0</v>
      </c>
      <c r="V87" s="22878">
        <f>IF(HLOOKUP("Shots",A1:CV300,87,FALSE)=0,0,HLOOKUP("SOT",A1:CV300,87,FALSE)/HLOOKUP("Shots",A1:CV300,87,FALSE))</f>
      </c>
      <c r="W87" s="22879">
        <f>IF(HLOOKUP("Shots",A1:CV300,87,FALSE)=0,0,HLOOKUP("Gs",A1:CV300,87,FALSE)/HLOOKUP("Shots",A1:CV300,87,FALSE))</f>
      </c>
      <c r="X87" t="n" s="22880">
        <v>0.0</v>
      </c>
      <c r="Y87" t="n" s="22881">
        <v>1.0</v>
      </c>
      <c r="Z87" t="n" s="22882">
        <v>1.0</v>
      </c>
      <c r="AA87" s="22883">
        <f>IF(HLOOKUP("KP",A1:CV300,87,FALSE)=0,0,HLOOKUP("As",A1:CV300,87,FALSE)/HLOOKUP("KP",A1:CV300,87,FALSE))</f>
      </c>
      <c r="AB87" s="22884"/>
      <c r="AC87" t="n" s="22885">
        <v>25.0</v>
      </c>
      <c r="AD87" t="n" s="22886">
        <v>0.0</v>
      </c>
      <c r="AE87" t="n" s="22887">
        <v>0.0</v>
      </c>
      <c r="AF87" t="n" s="22888">
        <v>0.0</v>
      </c>
      <c r="AG87" s="22889">
        <f>IF(HLOOKUP("BC",A1:CV300,87,FALSE)=0,0,HLOOKUP("Gs - BC",A1:CV300,87,FALSE)/HLOOKUP("BC",A1:CV300,87,FALSE))</f>
      </c>
      <c r="AH87" s="22890">
        <f>HLOOKUP("BC",A1:CV300,87,FALSE) - HLOOKUP("BC Miss",A1:CV300,87,FALSE)</f>
      </c>
      <c r="AI87" s="22891">
        <f>IF(HLOOKUP("Gs",A1:CV300,87,FALSE)=0,0,HLOOKUP("Gs - BC",A1:CV300,87,FALSE)/HLOOKUP("Gs",A1:CV300,87,FALSE))</f>
      </c>
      <c r="AJ87" t="n" s="22892">
        <v>0.0</v>
      </c>
      <c r="AK87" t="n" s="22893">
        <v>0.0</v>
      </c>
      <c r="AL87" s="22894">
        <f>HLOOKUP("BC",A1:CV300,87,FALSE) - (HLOOKUP("PK Gs",A1:CV300,87,FALSE) + HLOOKUP("PK Miss",A1:CV300,87,FALSE))</f>
      </c>
      <c r="AM87" s="22895">
        <f>HLOOKUP("BC Miss",A1:CV300,87,FALSE) - HLOOKUP("PK Miss",A1:CV300,87,FALSE)</f>
      </c>
      <c r="AN87" s="22896">
        <f>IF(HLOOKUP("BC - Open",A1:CV300,87,FALSE)=0,0,HLOOKUP("BC - Open Miss",A1:CV300,87,FALSE)/HLOOKUP("BC - Open",A1:CV300,87,FALSE))</f>
      </c>
      <c r="AO87" t="n" s="22897">
        <v>0.0</v>
      </c>
      <c r="AP87" s="22898">
        <f>IF(HLOOKUP("Gs",A1:CV300,87,FALSE)=0,0,HLOOKUP("GIB",A1:CV300,87,FALSE)/HLOOKUP("Gs",A1:CV300,87,FALSE))</f>
      </c>
      <c r="AQ87" t="n" s="22899">
        <v>1.0</v>
      </c>
      <c r="AR87" s="22900">
        <f>IF(HLOOKUP("Gs",A1:CV300,87,FALSE)=0,0,HLOOKUP("Gs - Open",A1:CV300,87,FALSE)/HLOOKUP("Gs",A1:CV300,87,FALSE))</f>
      </c>
      <c r="AS87" t="n" s="22901">
        <v>0.12</v>
      </c>
      <c r="AT87" t="n" s="22902">
        <v>0.04</v>
      </c>
      <c r="AU87" s="22903">
        <f>IF(HLOOKUP("Mins",A1:CV300,87,FALSE)=0,0,HLOOKUP("Pts",A1:CV300,87,FALSE)/HLOOKUP("Mins",A1:CV300,87,FALSE)* 90)</f>
      </c>
      <c r="AV87" s="22904">
        <f>IF(HLOOKUP("Apps",A1:CV300,87,FALSE)=0,0,HLOOKUP("Pts",A1:CV300,87,FALSE)/HLOOKUP("Apps",A1:CV300,87,FALSE)* 1)</f>
      </c>
      <c r="AW87" s="22905">
        <f>IF(HLOOKUP("Mins",A1:CV300,87,FALSE)=0,0,HLOOKUP("Gs",A1:CV300,87,FALSE)/HLOOKUP("Mins",A1:CV300,87,FALSE)* 90)</f>
      </c>
      <c r="AX87" s="22906">
        <f>IF(HLOOKUP("Mins",A1:CV300,87,FALSE)=0,0,HLOOKUP("Bonus",A1:CV300,87,FALSE)/HLOOKUP("Mins",A1:CV300,87,FALSE)* 90)</f>
      </c>
      <c r="AY87" s="22907">
        <f>IF(HLOOKUP("Mins",A1:CV300,87,FALSE)=0,0,HLOOKUP("BPS",A1:CV300,87,FALSE)/HLOOKUP("Mins",A1:CV300,87,FALSE)* 90)</f>
      </c>
      <c r="AZ87" s="22908">
        <f>IF(HLOOKUP("Mins",A1:CV300,87,FALSE)=0,0,HLOOKUP("Base BPS",A1:CV300,87,FALSE)/HLOOKUP("Mins",A1:CV300,87,FALSE)* 90)</f>
      </c>
      <c r="BA87" s="22909">
        <f>IF(HLOOKUP("Mins",A1:CV300,87,FALSE)=0,0,HLOOKUP("PenTchs",A1:CV300,87,FALSE)/HLOOKUP("Mins",A1:CV300,87,FALSE)* 90)</f>
      </c>
      <c r="BB87" s="22910">
        <f>IF(HLOOKUP("Mins",A1:CV300,87,FALSE)=0,0,HLOOKUP("Shots",A1:CV300,87,FALSE)/HLOOKUP("Mins",A1:CV300,87,FALSE)* 90)</f>
      </c>
      <c r="BC87" s="22911">
        <f>IF(HLOOKUP("Mins",A1:CV300,87,FALSE)=0,0,HLOOKUP("SIB",A1:CV300,87,FALSE)/HLOOKUP("Mins",A1:CV300,87,FALSE)* 90)</f>
      </c>
      <c r="BD87" s="22912">
        <f>IF(HLOOKUP("Mins",A1:CV300,87,FALSE)=0,0,HLOOKUP("S6YD",A1:CV300,87,FALSE)/HLOOKUP("Mins",A1:CV300,87,FALSE)* 90)</f>
      </c>
      <c r="BE87" s="22913">
        <f>IF(HLOOKUP("Mins",A1:CV300,87,FALSE)=0,0,HLOOKUP("Headers",A1:CV300,87,FALSE)/HLOOKUP("Mins",A1:CV300,87,FALSE)* 90)</f>
      </c>
      <c r="BF87" s="22914">
        <f>IF(HLOOKUP("Mins",A1:CV300,87,FALSE)=0,0,HLOOKUP("SOT",A1:CV300,87,FALSE)/HLOOKUP("Mins",A1:CV300,87,FALSE)* 90)</f>
      </c>
      <c r="BG87" s="22915">
        <f>IF(HLOOKUP("Mins",A1:CV300,87,FALSE)=0,0,HLOOKUP("As",A1:CV300,87,FALSE)/HLOOKUP("Mins",A1:CV300,87,FALSE)* 90)</f>
      </c>
      <c r="BH87" s="22916">
        <f>IF(HLOOKUP("Mins",A1:CV300,87,FALSE)=0,0,HLOOKUP("FPL As",A1:CV300,87,FALSE)/HLOOKUP("Mins",A1:CV300,87,FALSE)* 90)</f>
      </c>
      <c r="BI87" s="22917">
        <f>IF(HLOOKUP("Mins",A1:CV300,87,FALSE)=0,0,HLOOKUP("BC Created",A1:CV300,87,FALSE)/HLOOKUP("Mins",A1:CV300,87,FALSE)* 90)</f>
      </c>
      <c r="BJ87" s="22918">
        <f>IF(HLOOKUP("Mins",A1:CV300,87,FALSE)=0,0,HLOOKUP("KP",A1:CV300,87,FALSE)/HLOOKUP("Mins",A1:CV300,87,FALSE)* 90)</f>
      </c>
      <c r="BK87" s="22919">
        <f>IF(HLOOKUP("Mins",A1:CV300,87,FALSE)=0,0,HLOOKUP("BC",A1:CV300,87,FALSE)/HLOOKUP("Mins",A1:CV300,87,FALSE)* 90)</f>
      </c>
      <c r="BL87" s="22920">
        <f>IF(HLOOKUP("Mins",A1:CV300,87,FALSE)=0,0,HLOOKUP("BC Miss",A1:CV300,87,FALSE)/HLOOKUP("Mins",A1:CV300,87,FALSE)* 90)</f>
      </c>
      <c r="BM87" s="22921">
        <f>IF(HLOOKUP("Mins",A1:CV300,87,FALSE)=0,0,HLOOKUP("Gs - BC",A1:CV300,87,FALSE)/HLOOKUP("Mins",A1:CV300,87,FALSE)* 90)</f>
      </c>
      <c r="BN87" s="22922">
        <f>IF(HLOOKUP("Mins",A1:CV300,87,FALSE)=0,0,HLOOKUP("GIB",A1:CV300,87,FALSE)/HLOOKUP("Mins",A1:CV300,87,FALSE)* 90)</f>
      </c>
      <c r="BO87" s="22923">
        <f>IF(HLOOKUP("Mins",A1:CV300,87,FALSE)=0,0,HLOOKUP("Gs - Open",A1:CV300,87,FALSE)/HLOOKUP("Mins",A1:CV300,87,FALSE)* 90)</f>
      </c>
      <c r="BP87" s="22924">
        <f>IF(HLOOKUP("Mins",A1:CV300,87,FALSE)=0,0,HLOOKUP("ICT Index",A1:CV300,87,FALSE)/HLOOKUP("Mins",A1:CV300,87,FALSE)* 90)</f>
      </c>
      <c r="BQ87" s="22925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</c>
      <c r="BR87" s="22926">
        <f>0.0885*HLOOKUP("KP/90",A1:CV300,87,FALSE)</f>
      </c>
      <c r="BS87" s="22927">
        <f>5*HLOOKUP("xG/90",A1:CV300,87,FALSE)+3*HLOOKUP("xA/90",A1:CV300,87,FALSE)</f>
      </c>
      <c r="BT87" s="22928">
        <f>HLOOKUP("xPts/90",A1:CV300,87,FALSE)-(5*0.75*(HLOOKUP("PK Gs",A1:CV300,87,FALSE)+HLOOKUP("PK Miss",A1:CV300,87,FALSE))*90/HLOOKUP("Mins",A1:CV300,87,FALSE))</f>
      </c>
      <c r="BU87" s="22929">
        <f>IF(HLOOKUP("Mins",A1:CV300,87,FALSE)=0,0,HLOOKUP("fsXG",A1:CV300,87,FALSE)/HLOOKUP("Mins",A1:CV300,87,FALSE)* 90)</f>
      </c>
      <c r="BV87" s="22930">
        <f>IF(HLOOKUP("Mins",A1:CV300,87,FALSE)=0,0,HLOOKUP("fsXA",A1:CV300,87,FALSE)/HLOOKUP("Mins",A1:CV300,87,FALSE)* 90)</f>
      </c>
      <c r="BW87" s="22931">
        <f>5*HLOOKUP("fsXG/90",A1:CV300,87,FALSE)+3*HLOOKUP("fsXA/90",A1:CV300,87,FALSE)</f>
      </c>
      <c r="BX87" t="n" s="22932">
        <v>0.020125428214669228</v>
      </c>
      <c r="BY87" t="n" s="22933">
        <v>0.008275345899164677</v>
      </c>
      <c r="BZ87" s="22934">
        <f>5*HLOOKUP("uXG/90",A1:CV300,87,FALSE)+3*HLOOKUP("uXA/90",A1:CV300,87,FALSE)</f>
      </c>
    </row>
    <row r="88">
      <c r="A88" t="s" s="22935">
        <v>391</v>
      </c>
      <c r="B88" t="s" s="22936">
        <v>107</v>
      </c>
      <c r="C88" t="n" s="22937">
        <v>6.800000190734863</v>
      </c>
      <c r="D88" t="n" s="22938">
        <v>540.0</v>
      </c>
      <c r="E88" t="n" s="22939">
        <v>6.0</v>
      </c>
      <c r="F88" t="n" s="22940">
        <v>87.0</v>
      </c>
      <c r="G88" t="n" s="22941">
        <v>0.0</v>
      </c>
      <c r="H88" t="n" s="22942">
        <v>4.0</v>
      </c>
      <c r="I88" t="n" s="22943">
        <v>262.0</v>
      </c>
      <c r="J88" s="22944">
        <f>HLOOKUP("BPS",A1:CV300,88,FALSE)-((-6*HLOOKUP("OG",A1:CV300,88,FALSE))+(-6*HLOOKUP("PK Miss",A1:CV300,88,FALSE))+(9*HLOOKUP("FPL As",A1:CV300,88,FALSE))+(0*HLOOKUP("CS",A1:CV300,88,FALSE))+(18*HLOOKUP("Gs",A1:CV300,88,FALSE)))</f>
      </c>
      <c r="K88" t="n" s="22945">
        <v>0.0</v>
      </c>
      <c r="L88" t="n" s="22946">
        <v>5.0</v>
      </c>
      <c r="M88" t="n" s="22947">
        <v>41.0</v>
      </c>
      <c r="N88" t="n" s="22948">
        <v>7.0</v>
      </c>
      <c r="O88" t="n" s="22949">
        <v>5.0</v>
      </c>
      <c r="P88" s="22950">
        <f>IF(HLOOKUP("Shots",A1:CV300,88,FALSE)=0,0,HLOOKUP("SIB",A1:CV300,88,FALSE)/HLOOKUP("Shots",A1:CV300,88,FALSE))</f>
      </c>
      <c r="Q88" t="n" s="22951">
        <v>0.0</v>
      </c>
      <c r="R88" s="22952">
        <f>IF(HLOOKUP("Shots",A1:CV300,88,FALSE)=0,0,HLOOKUP("S6YD",A1:CV300,88,FALSE)/HLOOKUP("Shots",A1:CV300,88,FALSE))</f>
      </c>
      <c r="S88" t="n" s="22953">
        <v>0.0</v>
      </c>
      <c r="T88" s="22954">
        <f>IF(HLOOKUP("Shots",A1:CV300,88,FALSE)=0,0,HLOOKUP("Headers",A1:CV300,88,FALSE)/HLOOKUP("Shots",A1:CV300,88,FALSE))</f>
      </c>
      <c r="U88" t="n" s="22955">
        <v>1.0</v>
      </c>
      <c r="V88" s="22956">
        <f>IF(HLOOKUP("Shots",A1:CV300,88,FALSE)=0,0,HLOOKUP("SOT",A1:CV300,88,FALSE)/HLOOKUP("Shots",A1:CV300,88,FALSE))</f>
      </c>
      <c r="W88" s="22957">
        <f>IF(HLOOKUP("Shots",A1:CV300,88,FALSE)=0,0,HLOOKUP("Gs",A1:CV300,88,FALSE)/HLOOKUP("Shots",A1:CV300,88,FALSE))</f>
      </c>
      <c r="X88" t="n" s="22958">
        <v>2.0</v>
      </c>
      <c r="Y88" t="n" s="22959">
        <v>5.0</v>
      </c>
      <c r="Z88" t="n" s="22960">
        <v>8.0</v>
      </c>
      <c r="AA88" s="22961">
        <f>IF(HLOOKUP("KP",A1:CV300,88,FALSE)=0,0,HLOOKUP("As",A1:CV300,88,FALSE)/HLOOKUP("KP",A1:CV300,88,FALSE))</f>
      </c>
      <c r="AB88" s="22962"/>
      <c r="AC88" t="n" s="22963">
        <v>60.0</v>
      </c>
      <c r="AD88" t="n" s="22964">
        <v>1.0</v>
      </c>
      <c r="AE88" t="n" s="22965">
        <v>0.0</v>
      </c>
      <c r="AF88" t="n" s="22966">
        <v>0.0</v>
      </c>
      <c r="AG88" s="22967">
        <f>IF(HLOOKUP("BC",A1:CV300,88,FALSE)=0,0,HLOOKUP("Gs - BC",A1:CV300,88,FALSE)/HLOOKUP("BC",A1:CV300,88,FALSE))</f>
      </c>
      <c r="AH88" s="22968">
        <f>HLOOKUP("BC",A1:CV300,88,FALSE) - HLOOKUP("BC Miss",A1:CV300,88,FALSE)</f>
      </c>
      <c r="AI88" s="22969">
        <f>IF(HLOOKUP("Gs",A1:CV300,88,FALSE)=0,0,HLOOKUP("Gs - BC",A1:CV300,88,FALSE)/HLOOKUP("Gs",A1:CV300,88,FALSE))</f>
      </c>
      <c r="AJ88" t="n" s="22970">
        <v>0.0</v>
      </c>
      <c r="AK88" t="n" s="22971">
        <v>0.0</v>
      </c>
      <c r="AL88" s="22972">
        <f>HLOOKUP("BC",A1:CV300,88,FALSE) - (HLOOKUP("PK Gs",A1:CV300,88,FALSE) + HLOOKUP("PK Miss",A1:CV300,88,FALSE))</f>
      </c>
      <c r="AM88" s="22973">
        <f>HLOOKUP("BC Miss",A1:CV300,88,FALSE) - HLOOKUP("PK Miss",A1:CV300,88,FALSE)</f>
      </c>
      <c r="AN88" s="22974">
        <f>IF(HLOOKUP("BC - Open",A1:CV300,88,FALSE)=0,0,HLOOKUP("BC - Open Miss",A1:CV300,88,FALSE)/HLOOKUP("BC - Open",A1:CV300,88,FALSE))</f>
      </c>
      <c r="AO88" t="n" s="22975">
        <v>0.0</v>
      </c>
      <c r="AP88" s="22976">
        <f>IF(HLOOKUP("Gs",A1:CV300,88,FALSE)=0,0,HLOOKUP("GIB",A1:CV300,88,FALSE)/HLOOKUP("Gs",A1:CV300,88,FALSE))</f>
      </c>
      <c r="AQ88" t="n" s="22977">
        <v>0.0</v>
      </c>
      <c r="AR88" s="22978">
        <f>IF(HLOOKUP("Gs",A1:CV300,88,FALSE)=0,0,HLOOKUP("Gs - Open",A1:CV300,88,FALSE)/HLOOKUP("Gs",A1:CV300,88,FALSE))</f>
      </c>
      <c r="AS88" t="n" s="22979">
        <v>0.37</v>
      </c>
      <c r="AT88" t="n" s="22980">
        <v>1.13</v>
      </c>
      <c r="AU88" s="22981">
        <f>IF(HLOOKUP("Mins",A1:CV300,88,FALSE)=0,0,HLOOKUP("Pts",A1:CV300,88,FALSE)/HLOOKUP("Mins",A1:CV300,88,FALSE)* 90)</f>
      </c>
      <c r="AV88" s="22982">
        <f>IF(HLOOKUP("Apps",A1:CV300,88,FALSE)=0,0,HLOOKUP("Pts",A1:CV300,88,FALSE)/HLOOKUP("Apps",A1:CV300,88,FALSE)* 1)</f>
      </c>
      <c r="AW88" s="22983">
        <f>IF(HLOOKUP("Mins",A1:CV300,88,FALSE)=0,0,HLOOKUP("Gs",A1:CV300,88,FALSE)/HLOOKUP("Mins",A1:CV300,88,FALSE)* 90)</f>
      </c>
      <c r="AX88" s="22984">
        <f>IF(HLOOKUP("Mins",A1:CV300,88,FALSE)=0,0,HLOOKUP("Bonus",A1:CV300,88,FALSE)/HLOOKUP("Mins",A1:CV300,88,FALSE)* 90)</f>
      </c>
      <c r="AY88" s="22985">
        <f>IF(HLOOKUP("Mins",A1:CV300,88,FALSE)=0,0,HLOOKUP("BPS",A1:CV300,88,FALSE)/HLOOKUP("Mins",A1:CV300,88,FALSE)* 90)</f>
      </c>
      <c r="AZ88" s="22986">
        <f>IF(HLOOKUP("Mins",A1:CV300,88,FALSE)=0,0,HLOOKUP("Base BPS",A1:CV300,88,FALSE)/HLOOKUP("Mins",A1:CV300,88,FALSE)* 90)</f>
      </c>
      <c r="BA88" s="22987">
        <f>IF(HLOOKUP("Mins",A1:CV300,88,FALSE)=0,0,HLOOKUP("PenTchs",A1:CV300,88,FALSE)/HLOOKUP("Mins",A1:CV300,88,FALSE)* 90)</f>
      </c>
      <c r="BB88" s="22988">
        <f>IF(HLOOKUP("Mins",A1:CV300,88,FALSE)=0,0,HLOOKUP("Shots",A1:CV300,88,FALSE)/HLOOKUP("Mins",A1:CV300,88,FALSE)* 90)</f>
      </c>
      <c r="BC88" s="22989">
        <f>IF(HLOOKUP("Mins",A1:CV300,88,FALSE)=0,0,HLOOKUP("SIB",A1:CV300,88,FALSE)/HLOOKUP("Mins",A1:CV300,88,FALSE)* 90)</f>
      </c>
      <c r="BD88" s="22990">
        <f>IF(HLOOKUP("Mins",A1:CV300,88,FALSE)=0,0,HLOOKUP("S6YD",A1:CV300,88,FALSE)/HLOOKUP("Mins",A1:CV300,88,FALSE)* 90)</f>
      </c>
      <c r="BE88" s="22991">
        <f>IF(HLOOKUP("Mins",A1:CV300,88,FALSE)=0,0,HLOOKUP("Headers",A1:CV300,88,FALSE)/HLOOKUP("Mins",A1:CV300,88,FALSE)* 90)</f>
      </c>
      <c r="BF88" s="22992">
        <f>IF(HLOOKUP("Mins",A1:CV300,88,FALSE)=0,0,HLOOKUP("SOT",A1:CV300,88,FALSE)/HLOOKUP("Mins",A1:CV300,88,FALSE)* 90)</f>
      </c>
      <c r="BG88" s="22993">
        <f>IF(HLOOKUP("Mins",A1:CV300,88,FALSE)=0,0,HLOOKUP("As",A1:CV300,88,FALSE)/HLOOKUP("Mins",A1:CV300,88,FALSE)* 90)</f>
      </c>
      <c r="BH88" s="22994">
        <f>IF(HLOOKUP("Mins",A1:CV300,88,FALSE)=0,0,HLOOKUP("FPL As",A1:CV300,88,FALSE)/HLOOKUP("Mins",A1:CV300,88,FALSE)* 90)</f>
      </c>
      <c r="BI88" s="22995">
        <f>IF(HLOOKUP("Mins",A1:CV300,88,FALSE)=0,0,HLOOKUP("BC Created",A1:CV300,88,FALSE)/HLOOKUP("Mins",A1:CV300,88,FALSE)* 90)</f>
      </c>
      <c r="BJ88" s="22996">
        <f>IF(HLOOKUP("Mins",A1:CV300,88,FALSE)=0,0,HLOOKUP("KP",A1:CV300,88,FALSE)/HLOOKUP("Mins",A1:CV300,88,FALSE)* 90)</f>
      </c>
      <c r="BK88" s="22997">
        <f>IF(HLOOKUP("Mins",A1:CV300,88,FALSE)=0,0,HLOOKUP("BC",A1:CV300,88,FALSE)/HLOOKUP("Mins",A1:CV300,88,FALSE)* 90)</f>
      </c>
      <c r="BL88" s="22998">
        <f>IF(HLOOKUP("Mins",A1:CV300,88,FALSE)=0,0,HLOOKUP("BC Miss",A1:CV300,88,FALSE)/HLOOKUP("Mins",A1:CV300,88,FALSE)* 90)</f>
      </c>
      <c r="BM88" s="22999">
        <f>IF(HLOOKUP("Mins",A1:CV300,88,FALSE)=0,0,HLOOKUP("Gs - BC",A1:CV300,88,FALSE)/HLOOKUP("Mins",A1:CV300,88,FALSE)* 90)</f>
      </c>
      <c r="BN88" s="23000">
        <f>IF(HLOOKUP("Mins",A1:CV300,88,FALSE)=0,0,HLOOKUP("GIB",A1:CV300,88,FALSE)/HLOOKUP("Mins",A1:CV300,88,FALSE)* 90)</f>
      </c>
      <c r="BO88" s="23001">
        <f>IF(HLOOKUP("Mins",A1:CV300,88,FALSE)=0,0,HLOOKUP("Gs - Open",A1:CV300,88,FALSE)/HLOOKUP("Mins",A1:CV300,88,FALSE)* 90)</f>
      </c>
      <c r="BP88" s="23002">
        <f>IF(HLOOKUP("Mins",A1:CV300,88,FALSE)=0,0,HLOOKUP("ICT Index",A1:CV300,88,FALSE)/HLOOKUP("Mins",A1:CV300,88,FALSE)* 90)</f>
      </c>
      <c r="BQ88" s="23003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</c>
      <c r="BR88" s="23004">
        <f>0.0885*HLOOKUP("KP/90",A1:CV300,88,FALSE)</f>
      </c>
      <c r="BS88" s="23005">
        <f>5*HLOOKUP("xG/90",A1:CV300,88,FALSE)+3*HLOOKUP("xA/90",A1:CV300,88,FALSE)</f>
      </c>
      <c r="BT88" s="23006">
        <f>HLOOKUP("xPts/90",A1:CV300,88,FALSE)-(5*0.75*(HLOOKUP("PK Gs",A1:CV300,88,FALSE)+HLOOKUP("PK Miss",A1:CV300,88,FALSE))*90/HLOOKUP("Mins",A1:CV300,88,FALSE))</f>
      </c>
      <c r="BU88" s="23007">
        <f>IF(HLOOKUP("Mins",A1:CV300,88,FALSE)=0,0,HLOOKUP("fsXG",A1:CV300,88,FALSE)/HLOOKUP("Mins",A1:CV300,88,FALSE)* 90)</f>
      </c>
      <c r="BV88" s="23008">
        <f>IF(HLOOKUP("Mins",A1:CV300,88,FALSE)=0,0,HLOOKUP("fsXA",A1:CV300,88,FALSE)/HLOOKUP("Mins",A1:CV300,88,FALSE)* 90)</f>
      </c>
      <c r="BW88" s="23009">
        <f>5*HLOOKUP("fsXG/90",A1:CV300,88,FALSE)+3*HLOOKUP("fsXA/90",A1:CV300,88,FALSE)</f>
      </c>
      <c r="BX88" t="n" s="23010">
        <v>0.07174938172101974</v>
      </c>
      <c r="BY88" t="n" s="23011">
        <v>0.1884405016899109</v>
      </c>
      <c r="BZ88" s="23012">
        <f>5*HLOOKUP("uXG/90",A1:CV300,88,FALSE)+3*HLOOKUP("uXA/90",A1:CV300,88,FALSE)</f>
      </c>
    </row>
    <row r="89">
      <c r="A89" t="s" s="23013">
        <v>392</v>
      </c>
      <c r="B89" t="s" s="23014">
        <v>114</v>
      </c>
      <c r="C89" t="n" s="23015">
        <v>5.199999809265137</v>
      </c>
      <c r="D89" t="n" s="23016">
        <v>494.0</v>
      </c>
      <c r="E89" t="n" s="23017">
        <v>7.0</v>
      </c>
      <c r="F89" t="n" s="23018">
        <v>80.0</v>
      </c>
      <c r="G89" t="n" s="23019">
        <v>2.0</v>
      </c>
      <c r="H89" t="n" s="23020">
        <v>8.0</v>
      </c>
      <c r="I89" t="n" s="23021">
        <v>284.0</v>
      </c>
      <c r="J89" s="23022">
        <f>HLOOKUP("BPS",A1:CV300,89,FALSE)-((-6*HLOOKUP("OG",A1:CV300,89,FALSE))+(-6*HLOOKUP("PK Miss",A1:CV300,89,FALSE))+(9*HLOOKUP("FPL As",A1:CV300,89,FALSE))+(0*HLOOKUP("CS",A1:CV300,89,FALSE))+(18*HLOOKUP("Gs",A1:CV300,89,FALSE)))</f>
      </c>
      <c r="K89" t="n" s="23023">
        <v>0.0</v>
      </c>
      <c r="L89" t="n" s="23024">
        <v>3.0</v>
      </c>
      <c r="M89" t="n" s="23025">
        <v>12.0</v>
      </c>
      <c r="N89" t="n" s="23026">
        <v>8.0</v>
      </c>
      <c r="O89" t="n" s="23027">
        <v>4.0</v>
      </c>
      <c r="P89" s="23028">
        <f>IF(HLOOKUP("Shots",A1:CV300,89,FALSE)=0,0,HLOOKUP("SIB",A1:CV300,89,FALSE)/HLOOKUP("Shots",A1:CV300,89,FALSE))</f>
      </c>
      <c r="Q89" t="n" s="23029">
        <v>0.0</v>
      </c>
      <c r="R89" s="23030">
        <f>IF(HLOOKUP("Shots",A1:CV300,89,FALSE)=0,0,HLOOKUP("S6YD",A1:CV300,89,FALSE)/HLOOKUP("Shots",A1:CV300,89,FALSE))</f>
      </c>
      <c r="S89" t="n" s="23031">
        <v>1.0</v>
      </c>
      <c r="T89" s="23032">
        <f>IF(HLOOKUP("Shots",A1:CV300,89,FALSE)=0,0,HLOOKUP("Headers",A1:CV300,89,FALSE)/HLOOKUP("Shots",A1:CV300,89,FALSE))</f>
      </c>
      <c r="U89" t="n" s="23033">
        <v>4.0</v>
      </c>
      <c r="V89" s="23034">
        <f>IF(HLOOKUP("Shots",A1:CV300,89,FALSE)=0,0,HLOOKUP("SOT",A1:CV300,89,FALSE)/HLOOKUP("Shots",A1:CV300,89,FALSE))</f>
      </c>
      <c r="W89" s="23035">
        <f>IF(HLOOKUP("Shots",A1:CV300,89,FALSE)=0,0,HLOOKUP("Gs",A1:CV300,89,FALSE)/HLOOKUP("Shots",A1:CV300,89,FALSE))</f>
      </c>
      <c r="X89" t="n" s="23036">
        <v>3.0</v>
      </c>
      <c r="Y89" t="n" s="23037">
        <v>4.0</v>
      </c>
      <c r="Z89" t="n" s="23038">
        <v>9.0</v>
      </c>
      <c r="AA89" s="23039">
        <f>IF(HLOOKUP("KP",A1:CV300,89,FALSE)=0,0,HLOOKUP("As",A1:CV300,89,FALSE)/HLOOKUP("KP",A1:CV300,89,FALSE))</f>
      </c>
      <c r="AB89" s="23040"/>
      <c r="AC89" t="n" s="23041">
        <v>62.0</v>
      </c>
      <c r="AD89" t="n" s="23042">
        <v>3.0</v>
      </c>
      <c r="AE89" t="n" s="23043">
        <v>0.0</v>
      </c>
      <c r="AF89" t="n" s="23044">
        <v>0.0</v>
      </c>
      <c r="AG89" s="23045">
        <f>IF(HLOOKUP("BC",A1:CV300,89,FALSE)=0,0,HLOOKUP("Gs - BC",A1:CV300,89,FALSE)/HLOOKUP("BC",A1:CV300,89,FALSE))</f>
      </c>
      <c r="AH89" s="23046">
        <f>HLOOKUP("BC",A1:CV300,89,FALSE) - HLOOKUP("BC Miss",A1:CV300,89,FALSE)</f>
      </c>
      <c r="AI89" s="23047">
        <f>IF(HLOOKUP("Gs",A1:CV300,89,FALSE)=0,0,HLOOKUP("Gs - BC",A1:CV300,89,FALSE)/HLOOKUP("Gs",A1:CV300,89,FALSE))</f>
      </c>
      <c r="AJ89" t="n" s="23048">
        <v>0.0</v>
      </c>
      <c r="AK89" t="n" s="23049">
        <v>0.0</v>
      </c>
      <c r="AL89" s="23050">
        <f>HLOOKUP("BC",A1:CV300,89,FALSE) - (HLOOKUP("PK Gs",A1:CV300,89,FALSE) + HLOOKUP("PK Miss",A1:CV300,89,FALSE))</f>
      </c>
      <c r="AM89" s="23051">
        <f>HLOOKUP("BC Miss",A1:CV300,89,FALSE) - HLOOKUP("PK Miss",A1:CV300,89,FALSE)</f>
      </c>
      <c r="AN89" s="23052">
        <f>IF(HLOOKUP("BC - Open",A1:CV300,89,FALSE)=0,0,HLOOKUP("BC - Open Miss",A1:CV300,89,FALSE)/HLOOKUP("BC - Open",A1:CV300,89,FALSE))</f>
      </c>
      <c r="AO89" t="n" s="23053">
        <v>1.0</v>
      </c>
      <c r="AP89" s="23054">
        <f>IF(HLOOKUP("Gs",A1:CV300,89,FALSE)=0,0,HLOOKUP("GIB",A1:CV300,89,FALSE)/HLOOKUP("Gs",A1:CV300,89,FALSE))</f>
      </c>
      <c r="AQ89" t="n" s="23055">
        <v>1.0</v>
      </c>
      <c r="AR89" s="23056">
        <f>IF(HLOOKUP("Gs",A1:CV300,89,FALSE)=0,0,HLOOKUP("Gs - Open",A1:CV300,89,FALSE)/HLOOKUP("Gs",A1:CV300,89,FALSE))</f>
      </c>
      <c r="AS89" t="n" s="23057">
        <v>0.41</v>
      </c>
      <c r="AT89" t="n" s="23058">
        <v>0.95</v>
      </c>
      <c r="AU89" s="23059">
        <f>IF(HLOOKUP("Mins",A1:CV300,89,FALSE)=0,0,HLOOKUP("Pts",A1:CV300,89,FALSE)/HLOOKUP("Mins",A1:CV300,89,FALSE)* 90)</f>
      </c>
      <c r="AV89" s="23060">
        <f>IF(HLOOKUP("Apps",A1:CV300,89,FALSE)=0,0,HLOOKUP("Pts",A1:CV300,89,FALSE)/HLOOKUP("Apps",A1:CV300,89,FALSE)* 1)</f>
      </c>
      <c r="AW89" s="23061">
        <f>IF(HLOOKUP("Mins",A1:CV300,89,FALSE)=0,0,HLOOKUP("Gs",A1:CV300,89,FALSE)/HLOOKUP("Mins",A1:CV300,89,FALSE)* 90)</f>
      </c>
      <c r="AX89" s="23062">
        <f>IF(HLOOKUP("Mins",A1:CV300,89,FALSE)=0,0,HLOOKUP("Bonus",A1:CV300,89,FALSE)/HLOOKUP("Mins",A1:CV300,89,FALSE)* 90)</f>
      </c>
      <c r="AY89" s="23063">
        <f>IF(HLOOKUP("Mins",A1:CV300,89,FALSE)=0,0,HLOOKUP("BPS",A1:CV300,89,FALSE)/HLOOKUP("Mins",A1:CV300,89,FALSE)* 90)</f>
      </c>
      <c r="AZ89" s="23064">
        <f>IF(HLOOKUP("Mins",A1:CV300,89,FALSE)=0,0,HLOOKUP("Base BPS",A1:CV300,89,FALSE)/HLOOKUP("Mins",A1:CV300,89,FALSE)* 90)</f>
      </c>
      <c r="BA89" s="23065">
        <f>IF(HLOOKUP("Mins",A1:CV300,89,FALSE)=0,0,HLOOKUP("PenTchs",A1:CV300,89,FALSE)/HLOOKUP("Mins",A1:CV300,89,FALSE)* 90)</f>
      </c>
      <c r="BB89" s="23066">
        <f>IF(HLOOKUP("Mins",A1:CV300,89,FALSE)=0,0,HLOOKUP("Shots",A1:CV300,89,FALSE)/HLOOKUP("Mins",A1:CV300,89,FALSE)* 90)</f>
      </c>
      <c r="BC89" s="23067">
        <f>IF(HLOOKUP("Mins",A1:CV300,89,FALSE)=0,0,HLOOKUP("SIB",A1:CV300,89,FALSE)/HLOOKUP("Mins",A1:CV300,89,FALSE)* 90)</f>
      </c>
      <c r="BD89" s="23068">
        <f>IF(HLOOKUP("Mins",A1:CV300,89,FALSE)=0,0,HLOOKUP("S6YD",A1:CV300,89,FALSE)/HLOOKUP("Mins",A1:CV300,89,FALSE)* 90)</f>
      </c>
      <c r="BE89" s="23069">
        <f>IF(HLOOKUP("Mins",A1:CV300,89,FALSE)=0,0,HLOOKUP("Headers",A1:CV300,89,FALSE)/HLOOKUP("Mins",A1:CV300,89,FALSE)* 90)</f>
      </c>
      <c r="BF89" s="23070">
        <f>IF(HLOOKUP("Mins",A1:CV300,89,FALSE)=0,0,HLOOKUP("SOT",A1:CV300,89,FALSE)/HLOOKUP("Mins",A1:CV300,89,FALSE)* 90)</f>
      </c>
      <c r="BG89" s="23071">
        <f>IF(HLOOKUP("Mins",A1:CV300,89,FALSE)=0,0,HLOOKUP("As",A1:CV300,89,FALSE)/HLOOKUP("Mins",A1:CV300,89,FALSE)* 90)</f>
      </c>
      <c r="BH89" s="23072">
        <f>IF(HLOOKUP("Mins",A1:CV300,89,FALSE)=0,0,HLOOKUP("FPL As",A1:CV300,89,FALSE)/HLOOKUP("Mins",A1:CV300,89,FALSE)* 90)</f>
      </c>
      <c r="BI89" s="23073">
        <f>IF(HLOOKUP("Mins",A1:CV300,89,FALSE)=0,0,HLOOKUP("BC Created",A1:CV300,89,FALSE)/HLOOKUP("Mins",A1:CV300,89,FALSE)* 90)</f>
      </c>
      <c r="BJ89" s="23074">
        <f>IF(HLOOKUP("Mins",A1:CV300,89,FALSE)=0,0,HLOOKUP("KP",A1:CV300,89,FALSE)/HLOOKUP("Mins",A1:CV300,89,FALSE)* 90)</f>
      </c>
      <c r="BK89" s="23075">
        <f>IF(HLOOKUP("Mins",A1:CV300,89,FALSE)=0,0,HLOOKUP("BC",A1:CV300,89,FALSE)/HLOOKUP("Mins",A1:CV300,89,FALSE)* 90)</f>
      </c>
      <c r="BL89" s="23076">
        <f>IF(HLOOKUP("Mins",A1:CV300,89,FALSE)=0,0,HLOOKUP("BC Miss",A1:CV300,89,FALSE)/HLOOKUP("Mins",A1:CV300,89,FALSE)* 90)</f>
      </c>
      <c r="BM89" s="23077">
        <f>IF(HLOOKUP("Mins",A1:CV300,89,FALSE)=0,0,HLOOKUP("Gs - BC",A1:CV300,89,FALSE)/HLOOKUP("Mins",A1:CV300,89,FALSE)* 90)</f>
      </c>
      <c r="BN89" s="23078">
        <f>IF(HLOOKUP("Mins",A1:CV300,89,FALSE)=0,0,HLOOKUP("GIB",A1:CV300,89,FALSE)/HLOOKUP("Mins",A1:CV300,89,FALSE)* 90)</f>
      </c>
      <c r="BO89" s="23079">
        <f>IF(HLOOKUP("Mins",A1:CV300,89,FALSE)=0,0,HLOOKUP("Gs - Open",A1:CV300,89,FALSE)/HLOOKUP("Mins",A1:CV300,89,FALSE)* 90)</f>
      </c>
      <c r="BP89" s="23080">
        <f>IF(HLOOKUP("Mins",A1:CV300,89,FALSE)=0,0,HLOOKUP("ICT Index",A1:CV300,89,FALSE)/HLOOKUP("Mins",A1:CV300,89,FALSE)* 90)</f>
      </c>
      <c r="BQ89" s="23081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</c>
      <c r="BR89" s="23082">
        <f>0.0885*HLOOKUP("KP/90",A1:CV300,89,FALSE)</f>
      </c>
      <c r="BS89" s="23083">
        <f>5*HLOOKUP("xG/90",A1:CV300,89,FALSE)+3*HLOOKUP("xA/90",A1:CV300,89,FALSE)</f>
      </c>
      <c r="BT89" s="23084">
        <f>HLOOKUP("xPts/90",A1:CV300,89,FALSE)-(5*0.75*(HLOOKUP("PK Gs",A1:CV300,89,FALSE)+HLOOKUP("PK Miss",A1:CV300,89,FALSE))*90/HLOOKUP("Mins",A1:CV300,89,FALSE))</f>
      </c>
      <c r="BU89" s="23085">
        <f>IF(HLOOKUP("Mins",A1:CV300,89,FALSE)=0,0,HLOOKUP("fsXG",A1:CV300,89,FALSE)/HLOOKUP("Mins",A1:CV300,89,FALSE)* 90)</f>
      </c>
      <c r="BV89" s="23086">
        <f>IF(HLOOKUP("Mins",A1:CV300,89,FALSE)=0,0,HLOOKUP("fsXA",A1:CV300,89,FALSE)/HLOOKUP("Mins",A1:CV300,89,FALSE)* 90)</f>
      </c>
      <c r="BW89" s="23087">
        <f>5*HLOOKUP("fsXG/90",A1:CV300,89,FALSE)+3*HLOOKUP("fsXA/90",A1:CV300,89,FALSE)</f>
      </c>
      <c r="BX89" t="n" s="23088">
        <v>0.0727369636297226</v>
      </c>
      <c r="BY89" t="n" s="23089">
        <v>0.26614251732826233</v>
      </c>
      <c r="BZ89" s="23090">
        <f>5*HLOOKUP("uXG/90",A1:CV300,89,FALSE)+3*HLOOKUP("uXA/90",A1:CV300,89,FALSE)</f>
      </c>
    </row>
    <row r="90">
      <c r="A90" t="s" s="23091">
        <v>393</v>
      </c>
      <c r="B90" t="s" s="23092">
        <v>131</v>
      </c>
      <c r="C90" t="n" s="23093">
        <v>4.699999809265137</v>
      </c>
      <c r="D90" t="n" s="23094">
        <v>3.0</v>
      </c>
      <c r="E90" t="n" s="23095">
        <v>1.0</v>
      </c>
      <c r="F90" t="n" s="23096">
        <v>8.0</v>
      </c>
      <c r="G90" t="n" s="23097">
        <v>0.0</v>
      </c>
      <c r="H90" t="n" s="23098">
        <v>0.0</v>
      </c>
      <c r="I90" t="n" s="23099">
        <v>31.0</v>
      </c>
      <c r="J90" s="23100">
        <f>HLOOKUP("BPS",A1:CV300,90,FALSE)-((-6*HLOOKUP("OG",A1:CV300,90,FALSE))+(-6*HLOOKUP("PK Miss",A1:CV300,90,FALSE))+(9*HLOOKUP("FPL As",A1:CV300,90,FALSE))+(0*HLOOKUP("CS",A1:CV300,90,FALSE))+(18*HLOOKUP("Gs",A1:CV300,90,FALSE)))</f>
      </c>
      <c r="K90" t="n" s="23101">
        <v>0.0</v>
      </c>
      <c r="L90" t="n" s="23102">
        <v>0.0</v>
      </c>
      <c r="M90" t="n" s="23103">
        <v>0.0</v>
      </c>
      <c r="N90" t="n" s="23104">
        <v>0.0</v>
      </c>
      <c r="O90" t="n" s="23105">
        <v>0.0</v>
      </c>
      <c r="P90" s="23106">
        <f>IF(HLOOKUP("Shots",A1:CV300,90,FALSE)=0,0,HLOOKUP("SIB",A1:CV300,90,FALSE)/HLOOKUP("Shots",A1:CV300,90,FALSE))</f>
      </c>
      <c r="Q90" t="n" s="23107">
        <v>0.0</v>
      </c>
      <c r="R90" s="23108">
        <f>IF(HLOOKUP("Shots",A1:CV300,90,FALSE)=0,0,HLOOKUP("S6YD",A1:CV300,90,FALSE)/HLOOKUP("Shots",A1:CV300,90,FALSE))</f>
      </c>
      <c r="S90" t="n" s="23109">
        <v>0.0</v>
      </c>
      <c r="T90" s="23110">
        <f>IF(HLOOKUP("Shots",A1:CV300,90,FALSE)=0,0,HLOOKUP("Headers",A1:CV300,90,FALSE)/HLOOKUP("Shots",A1:CV300,90,FALSE))</f>
      </c>
      <c r="U90" t="n" s="23111">
        <v>0.0</v>
      </c>
      <c r="V90" s="23112">
        <f>IF(HLOOKUP("Shots",A1:CV300,90,FALSE)=0,0,HLOOKUP("SOT",A1:CV300,90,FALSE)/HLOOKUP("Shots",A1:CV300,90,FALSE))</f>
      </c>
      <c r="W90" s="23113">
        <f>IF(HLOOKUP("Shots",A1:CV300,90,FALSE)=0,0,HLOOKUP("Gs",A1:CV300,90,FALSE)/HLOOKUP("Shots",A1:CV300,90,FALSE))</f>
      </c>
      <c r="X90" t="n" s="23114">
        <v>0.0</v>
      </c>
      <c r="Y90" t="n" s="23115">
        <v>1.0</v>
      </c>
      <c r="Z90" t="n" s="23116">
        <v>0.0</v>
      </c>
      <c r="AA90" s="23117">
        <f>IF(HLOOKUP("KP",A1:CV300,90,FALSE)=0,0,HLOOKUP("As",A1:CV300,90,FALSE)/HLOOKUP("KP",A1:CV300,90,FALSE))</f>
      </c>
      <c r="AB90" s="23118"/>
      <c r="AC90" t="n" s="23119">
        <v>0.0</v>
      </c>
      <c r="AD90" t="n" s="23120">
        <v>0.0</v>
      </c>
      <c r="AE90" t="n" s="23121">
        <v>0.0</v>
      </c>
      <c r="AF90" t="n" s="23122">
        <v>0.0</v>
      </c>
      <c r="AG90" s="23123">
        <f>IF(HLOOKUP("BC",A1:CV300,90,FALSE)=0,0,HLOOKUP("Gs - BC",A1:CV300,90,FALSE)/HLOOKUP("BC",A1:CV300,90,FALSE))</f>
      </c>
      <c r="AH90" s="23124">
        <f>HLOOKUP("BC",A1:CV300,90,FALSE) - HLOOKUP("BC Miss",A1:CV300,90,FALSE)</f>
      </c>
      <c r="AI90" s="23125">
        <f>IF(HLOOKUP("Gs",A1:CV300,90,FALSE)=0,0,HLOOKUP("Gs - BC",A1:CV300,90,FALSE)/HLOOKUP("Gs",A1:CV300,90,FALSE))</f>
      </c>
      <c r="AJ90" t="n" s="23126">
        <v>0.0</v>
      </c>
      <c r="AK90" t="n" s="23127">
        <v>0.0</v>
      </c>
      <c r="AL90" s="23128">
        <f>HLOOKUP("BC",A1:CV300,90,FALSE) - (HLOOKUP("PK Gs",A1:CV300,90,FALSE) + HLOOKUP("PK Miss",A1:CV300,90,FALSE))</f>
      </c>
      <c r="AM90" s="23129">
        <f>HLOOKUP("BC Miss",A1:CV300,90,FALSE) - HLOOKUP("PK Miss",A1:CV300,90,FALSE)</f>
      </c>
      <c r="AN90" s="23130">
        <f>IF(HLOOKUP("BC - Open",A1:CV300,90,FALSE)=0,0,HLOOKUP("BC - Open Miss",A1:CV300,90,FALSE)/HLOOKUP("BC - Open",A1:CV300,90,FALSE))</f>
      </c>
      <c r="AO90" t="n" s="23131">
        <v>0.0</v>
      </c>
      <c r="AP90" s="23132">
        <f>IF(HLOOKUP("Gs",A1:CV300,90,FALSE)=0,0,HLOOKUP("GIB",A1:CV300,90,FALSE)/HLOOKUP("Gs",A1:CV300,90,FALSE))</f>
      </c>
      <c r="AQ90" t="n" s="23133">
        <v>0.0</v>
      </c>
      <c r="AR90" s="23134">
        <f>IF(HLOOKUP("Gs",A1:CV300,90,FALSE)=0,0,HLOOKUP("Gs - Open",A1:CV300,90,FALSE)/HLOOKUP("Gs",A1:CV300,90,FALSE))</f>
      </c>
      <c r="AS90" t="n" s="23135">
        <v>0.0</v>
      </c>
      <c r="AT90" t="n" s="23136">
        <v>0.0</v>
      </c>
      <c r="AU90" s="23137">
        <f>IF(HLOOKUP("Mins",A1:CV300,90,FALSE)=0,0,HLOOKUP("Pts",A1:CV300,90,FALSE)/HLOOKUP("Mins",A1:CV300,90,FALSE)* 90)</f>
      </c>
      <c r="AV90" s="23138">
        <f>IF(HLOOKUP("Apps",A1:CV300,90,FALSE)=0,0,HLOOKUP("Pts",A1:CV300,90,FALSE)/HLOOKUP("Apps",A1:CV300,90,FALSE)* 1)</f>
      </c>
      <c r="AW90" s="23139">
        <f>IF(HLOOKUP("Mins",A1:CV300,90,FALSE)=0,0,HLOOKUP("Gs",A1:CV300,90,FALSE)/HLOOKUP("Mins",A1:CV300,90,FALSE)* 90)</f>
      </c>
      <c r="AX90" s="23140">
        <f>IF(HLOOKUP("Mins",A1:CV300,90,FALSE)=0,0,HLOOKUP("Bonus",A1:CV300,90,FALSE)/HLOOKUP("Mins",A1:CV300,90,FALSE)* 90)</f>
      </c>
      <c r="AY90" s="23141">
        <f>IF(HLOOKUP("Mins",A1:CV300,90,FALSE)=0,0,HLOOKUP("BPS",A1:CV300,90,FALSE)/HLOOKUP("Mins",A1:CV300,90,FALSE)* 90)</f>
      </c>
      <c r="AZ90" s="23142">
        <f>IF(HLOOKUP("Mins",A1:CV300,90,FALSE)=0,0,HLOOKUP("Base BPS",A1:CV300,90,FALSE)/HLOOKUP("Mins",A1:CV300,90,FALSE)* 90)</f>
      </c>
      <c r="BA90" s="23143">
        <f>IF(HLOOKUP("Mins",A1:CV300,90,FALSE)=0,0,HLOOKUP("PenTchs",A1:CV300,90,FALSE)/HLOOKUP("Mins",A1:CV300,90,FALSE)* 90)</f>
      </c>
      <c r="BB90" s="23144">
        <f>IF(HLOOKUP("Mins",A1:CV300,90,FALSE)=0,0,HLOOKUP("Shots",A1:CV300,90,FALSE)/HLOOKUP("Mins",A1:CV300,90,FALSE)* 90)</f>
      </c>
      <c r="BC90" s="23145">
        <f>IF(HLOOKUP("Mins",A1:CV300,90,FALSE)=0,0,HLOOKUP("SIB",A1:CV300,90,FALSE)/HLOOKUP("Mins",A1:CV300,90,FALSE)* 90)</f>
      </c>
      <c r="BD90" s="23146">
        <f>IF(HLOOKUP("Mins",A1:CV300,90,FALSE)=0,0,HLOOKUP("S6YD",A1:CV300,90,FALSE)/HLOOKUP("Mins",A1:CV300,90,FALSE)* 90)</f>
      </c>
      <c r="BE90" s="23147">
        <f>IF(HLOOKUP("Mins",A1:CV300,90,FALSE)=0,0,HLOOKUP("Headers",A1:CV300,90,FALSE)/HLOOKUP("Mins",A1:CV300,90,FALSE)* 90)</f>
      </c>
      <c r="BF90" s="23148">
        <f>IF(HLOOKUP("Mins",A1:CV300,90,FALSE)=0,0,HLOOKUP("SOT",A1:CV300,90,FALSE)/HLOOKUP("Mins",A1:CV300,90,FALSE)* 90)</f>
      </c>
      <c r="BG90" s="23149">
        <f>IF(HLOOKUP("Mins",A1:CV300,90,FALSE)=0,0,HLOOKUP("As",A1:CV300,90,FALSE)/HLOOKUP("Mins",A1:CV300,90,FALSE)* 90)</f>
      </c>
      <c r="BH90" s="23150">
        <f>IF(HLOOKUP("Mins",A1:CV300,90,FALSE)=0,0,HLOOKUP("FPL As",A1:CV300,90,FALSE)/HLOOKUP("Mins",A1:CV300,90,FALSE)* 90)</f>
      </c>
      <c r="BI90" s="23151">
        <f>IF(HLOOKUP("Mins",A1:CV300,90,FALSE)=0,0,HLOOKUP("BC Created",A1:CV300,90,FALSE)/HLOOKUP("Mins",A1:CV300,90,FALSE)* 90)</f>
      </c>
      <c r="BJ90" s="23152">
        <f>IF(HLOOKUP("Mins",A1:CV300,90,FALSE)=0,0,HLOOKUP("KP",A1:CV300,90,FALSE)/HLOOKUP("Mins",A1:CV300,90,FALSE)* 90)</f>
      </c>
      <c r="BK90" s="23153">
        <f>IF(HLOOKUP("Mins",A1:CV300,90,FALSE)=0,0,HLOOKUP("BC",A1:CV300,90,FALSE)/HLOOKUP("Mins",A1:CV300,90,FALSE)* 90)</f>
      </c>
      <c r="BL90" s="23154">
        <f>IF(HLOOKUP("Mins",A1:CV300,90,FALSE)=0,0,HLOOKUP("BC Miss",A1:CV300,90,FALSE)/HLOOKUP("Mins",A1:CV300,90,FALSE)* 90)</f>
      </c>
      <c r="BM90" s="23155">
        <f>IF(HLOOKUP("Mins",A1:CV300,90,FALSE)=0,0,HLOOKUP("Gs - BC",A1:CV300,90,FALSE)/HLOOKUP("Mins",A1:CV300,90,FALSE)* 90)</f>
      </c>
      <c r="BN90" s="23156">
        <f>IF(HLOOKUP("Mins",A1:CV300,90,FALSE)=0,0,HLOOKUP("GIB",A1:CV300,90,FALSE)/HLOOKUP("Mins",A1:CV300,90,FALSE)* 90)</f>
      </c>
      <c r="BO90" s="23157">
        <f>IF(HLOOKUP("Mins",A1:CV300,90,FALSE)=0,0,HLOOKUP("Gs - Open",A1:CV300,90,FALSE)/HLOOKUP("Mins",A1:CV300,90,FALSE)* 90)</f>
      </c>
      <c r="BP90" s="23158">
        <f>IF(HLOOKUP("Mins",A1:CV300,90,FALSE)=0,0,HLOOKUP("ICT Index",A1:CV300,90,FALSE)/HLOOKUP("Mins",A1:CV300,90,FALSE)* 90)</f>
      </c>
      <c r="BQ90" s="23159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</c>
      <c r="BR90" s="23160">
        <f>0.0885*HLOOKUP("KP/90",A1:CV300,90,FALSE)</f>
      </c>
      <c r="BS90" s="23161">
        <f>5*HLOOKUP("xG/90",A1:CV300,90,FALSE)+3*HLOOKUP("xA/90",A1:CV300,90,FALSE)</f>
      </c>
      <c r="BT90" s="23162">
        <f>HLOOKUP("xPts/90",A1:CV300,90,FALSE)-(5*0.75*(HLOOKUP("PK Gs",A1:CV300,90,FALSE)+HLOOKUP("PK Miss",A1:CV300,90,FALSE))*90/HLOOKUP("Mins",A1:CV300,90,FALSE))</f>
      </c>
      <c r="BU90" s="23163">
        <f>IF(HLOOKUP("Mins",A1:CV300,90,FALSE)=0,0,HLOOKUP("fsXG",A1:CV300,90,FALSE)/HLOOKUP("Mins",A1:CV300,90,FALSE)* 90)</f>
      </c>
      <c r="BV90" s="23164">
        <f>IF(HLOOKUP("Mins",A1:CV300,90,FALSE)=0,0,HLOOKUP("fsXA",A1:CV300,90,FALSE)/HLOOKUP("Mins",A1:CV300,90,FALSE)* 90)</f>
      </c>
      <c r="BW90" s="23165">
        <f>5*HLOOKUP("fsXG/90",A1:CV300,90,FALSE)+3*HLOOKUP("fsXA/90",A1:CV300,90,FALSE)</f>
      </c>
      <c r="BX90" t="n" s="23166">
        <v>0.0</v>
      </c>
      <c r="BY90" t="n" s="23167">
        <v>0.0</v>
      </c>
      <c r="BZ90" s="23168">
        <f>5*HLOOKUP("uXG/90",A1:CV300,90,FALSE)+3*HLOOKUP("uXA/90",A1:CV300,90,FALSE)</f>
      </c>
    </row>
    <row r="91">
      <c r="A91" t="s" s="23169">
        <v>394</v>
      </c>
      <c r="B91" t="s" s="23170">
        <v>82</v>
      </c>
      <c r="C91" t="n" s="23171">
        <v>5.0</v>
      </c>
      <c r="D91" t="n" s="23172">
        <v>146.0</v>
      </c>
      <c r="E91" t="n" s="23173">
        <v>2.0</v>
      </c>
      <c r="F91" t="n" s="23174">
        <v>63.0</v>
      </c>
      <c r="G91" t="n" s="23175">
        <v>0.0</v>
      </c>
      <c r="H91" t="n" s="23176">
        <v>5.0</v>
      </c>
      <c r="I91" t="n" s="23177">
        <v>332.0</v>
      </c>
      <c r="J91" s="23178">
        <f>HLOOKUP("BPS",A1:CV300,91,FALSE)-((-6*HLOOKUP("OG",A1:CV300,91,FALSE))+(-6*HLOOKUP("PK Miss",A1:CV300,91,FALSE))+(9*HLOOKUP("FPL As",A1:CV300,91,FALSE))+(0*HLOOKUP("CS",A1:CV300,91,FALSE))+(18*HLOOKUP("Gs",A1:CV300,91,FALSE)))</f>
      </c>
      <c r="K91" t="n" s="23179">
        <v>0.0</v>
      </c>
      <c r="L91" t="n" s="23180">
        <v>8.0</v>
      </c>
      <c r="M91" t="n" s="23181">
        <v>2.0</v>
      </c>
      <c r="N91" t="n" s="23182">
        <v>2.0</v>
      </c>
      <c r="O91" t="n" s="23183">
        <v>2.0</v>
      </c>
      <c r="P91" s="23184">
        <f>IF(HLOOKUP("Shots",A1:CV300,91,FALSE)=0,0,HLOOKUP("SIB",A1:CV300,91,FALSE)/HLOOKUP("Shots",A1:CV300,91,FALSE))</f>
      </c>
      <c r="Q91" t="n" s="23185">
        <v>1.0</v>
      </c>
      <c r="R91" s="23186">
        <f>IF(HLOOKUP("Shots",A1:CV300,91,FALSE)=0,0,HLOOKUP("S6YD",A1:CV300,91,FALSE)/HLOOKUP("Shots",A1:CV300,91,FALSE))</f>
      </c>
      <c r="S91" t="n" s="23187">
        <v>2.0</v>
      </c>
      <c r="T91" s="23188">
        <f>IF(HLOOKUP("Shots",A1:CV300,91,FALSE)=0,0,HLOOKUP("Headers",A1:CV300,91,FALSE)/HLOOKUP("Shots",A1:CV300,91,FALSE))</f>
      </c>
      <c r="U91" t="n" s="23189">
        <v>0.0</v>
      </c>
      <c r="V91" s="23190">
        <f>IF(HLOOKUP("Shots",A1:CV300,91,FALSE)=0,0,HLOOKUP("SOT",A1:CV300,91,FALSE)/HLOOKUP("Shots",A1:CV300,91,FALSE))</f>
      </c>
      <c r="W91" s="23191">
        <f>IF(HLOOKUP("Shots",A1:CV300,91,FALSE)=0,0,HLOOKUP("Gs",A1:CV300,91,FALSE)/HLOOKUP("Shots",A1:CV300,91,FALSE))</f>
      </c>
      <c r="X91" t="n" s="23192">
        <v>1.0</v>
      </c>
      <c r="Y91" t="n" s="23193">
        <v>1.0</v>
      </c>
      <c r="Z91" t="n" s="23194">
        <v>1.0</v>
      </c>
      <c r="AA91" s="23195">
        <f>IF(HLOOKUP("KP",A1:CV300,91,FALSE)=0,0,HLOOKUP("As",A1:CV300,91,FALSE)/HLOOKUP("KP",A1:CV300,91,FALSE))</f>
      </c>
      <c r="AB91" s="23196"/>
      <c r="AC91" t="n" s="23197">
        <v>17.0</v>
      </c>
      <c r="AD91" t="n" s="23198">
        <v>0.0</v>
      </c>
      <c r="AE91" t="n" s="23199">
        <v>0.0</v>
      </c>
      <c r="AF91" t="n" s="23200">
        <v>0.0</v>
      </c>
      <c r="AG91" s="23201">
        <f>IF(HLOOKUP("BC",A1:CV300,91,FALSE)=0,0,HLOOKUP("Gs - BC",A1:CV300,91,FALSE)/HLOOKUP("BC",A1:CV300,91,FALSE))</f>
      </c>
      <c r="AH91" s="23202">
        <f>HLOOKUP("BC",A1:CV300,91,FALSE) - HLOOKUP("BC Miss",A1:CV300,91,FALSE)</f>
      </c>
      <c r="AI91" s="23203">
        <f>IF(HLOOKUP("Gs",A1:CV300,91,FALSE)=0,0,HLOOKUP("Gs - BC",A1:CV300,91,FALSE)/HLOOKUP("Gs",A1:CV300,91,FALSE))</f>
      </c>
      <c r="AJ91" t="n" s="23204">
        <v>0.0</v>
      </c>
      <c r="AK91" t="n" s="23205">
        <v>0.0</v>
      </c>
      <c r="AL91" s="23206">
        <f>HLOOKUP("BC",A1:CV300,91,FALSE) - (HLOOKUP("PK Gs",A1:CV300,91,FALSE) + HLOOKUP("PK Miss",A1:CV300,91,FALSE))</f>
      </c>
      <c r="AM91" s="23207">
        <f>HLOOKUP("BC Miss",A1:CV300,91,FALSE) - HLOOKUP("PK Miss",A1:CV300,91,FALSE)</f>
      </c>
      <c r="AN91" s="23208">
        <f>IF(HLOOKUP("BC - Open",A1:CV300,91,FALSE)=0,0,HLOOKUP("BC - Open Miss",A1:CV300,91,FALSE)/HLOOKUP("BC - Open",A1:CV300,91,FALSE))</f>
      </c>
      <c r="AO91" t="n" s="23209">
        <v>0.0</v>
      </c>
      <c r="AP91" s="23210">
        <f>IF(HLOOKUP("Gs",A1:CV300,91,FALSE)=0,0,HLOOKUP("GIB",A1:CV300,91,FALSE)/HLOOKUP("Gs",A1:CV300,91,FALSE))</f>
      </c>
      <c r="AQ91" t="n" s="23211">
        <v>0.0</v>
      </c>
      <c r="AR91" s="23212">
        <f>IF(HLOOKUP("Gs",A1:CV300,91,FALSE)=0,0,HLOOKUP("Gs - Open",A1:CV300,91,FALSE)/HLOOKUP("Gs",A1:CV300,91,FALSE))</f>
      </c>
      <c r="AS91" t="n" s="23213">
        <v>0.32</v>
      </c>
      <c r="AT91" t="n" s="23214">
        <v>0.03</v>
      </c>
      <c r="AU91" s="23215">
        <f>IF(HLOOKUP("Mins",A1:CV300,91,FALSE)=0,0,HLOOKUP("Pts",A1:CV300,91,FALSE)/HLOOKUP("Mins",A1:CV300,91,FALSE)* 90)</f>
      </c>
      <c r="AV91" s="23216">
        <f>IF(HLOOKUP("Apps",A1:CV300,91,FALSE)=0,0,HLOOKUP("Pts",A1:CV300,91,FALSE)/HLOOKUP("Apps",A1:CV300,91,FALSE)* 1)</f>
      </c>
      <c r="AW91" s="23217">
        <f>IF(HLOOKUP("Mins",A1:CV300,91,FALSE)=0,0,HLOOKUP("Gs",A1:CV300,91,FALSE)/HLOOKUP("Mins",A1:CV300,91,FALSE)* 90)</f>
      </c>
      <c r="AX91" s="23218">
        <f>IF(HLOOKUP("Mins",A1:CV300,91,FALSE)=0,0,HLOOKUP("Bonus",A1:CV300,91,FALSE)/HLOOKUP("Mins",A1:CV300,91,FALSE)* 90)</f>
      </c>
      <c r="AY91" s="23219">
        <f>IF(HLOOKUP("Mins",A1:CV300,91,FALSE)=0,0,HLOOKUP("BPS",A1:CV300,91,FALSE)/HLOOKUP("Mins",A1:CV300,91,FALSE)* 90)</f>
      </c>
      <c r="AZ91" s="23220">
        <f>IF(HLOOKUP("Mins",A1:CV300,91,FALSE)=0,0,HLOOKUP("Base BPS",A1:CV300,91,FALSE)/HLOOKUP("Mins",A1:CV300,91,FALSE)* 90)</f>
      </c>
      <c r="BA91" s="23221">
        <f>IF(HLOOKUP("Mins",A1:CV300,91,FALSE)=0,0,HLOOKUP("PenTchs",A1:CV300,91,FALSE)/HLOOKUP("Mins",A1:CV300,91,FALSE)* 90)</f>
      </c>
      <c r="BB91" s="23222">
        <f>IF(HLOOKUP("Mins",A1:CV300,91,FALSE)=0,0,HLOOKUP("Shots",A1:CV300,91,FALSE)/HLOOKUP("Mins",A1:CV300,91,FALSE)* 90)</f>
      </c>
      <c r="BC91" s="23223">
        <f>IF(HLOOKUP("Mins",A1:CV300,91,FALSE)=0,0,HLOOKUP("SIB",A1:CV300,91,FALSE)/HLOOKUP("Mins",A1:CV300,91,FALSE)* 90)</f>
      </c>
      <c r="BD91" s="23224">
        <f>IF(HLOOKUP("Mins",A1:CV300,91,FALSE)=0,0,HLOOKUP("S6YD",A1:CV300,91,FALSE)/HLOOKUP("Mins",A1:CV300,91,FALSE)* 90)</f>
      </c>
      <c r="BE91" s="23225">
        <f>IF(HLOOKUP("Mins",A1:CV300,91,FALSE)=0,0,HLOOKUP("Headers",A1:CV300,91,FALSE)/HLOOKUP("Mins",A1:CV300,91,FALSE)* 90)</f>
      </c>
      <c r="BF91" s="23226">
        <f>IF(HLOOKUP("Mins",A1:CV300,91,FALSE)=0,0,HLOOKUP("SOT",A1:CV300,91,FALSE)/HLOOKUP("Mins",A1:CV300,91,FALSE)* 90)</f>
      </c>
      <c r="BG91" s="23227">
        <f>IF(HLOOKUP("Mins",A1:CV300,91,FALSE)=0,0,HLOOKUP("As",A1:CV300,91,FALSE)/HLOOKUP("Mins",A1:CV300,91,FALSE)* 90)</f>
      </c>
      <c r="BH91" s="23228">
        <f>IF(HLOOKUP("Mins",A1:CV300,91,FALSE)=0,0,HLOOKUP("FPL As",A1:CV300,91,FALSE)/HLOOKUP("Mins",A1:CV300,91,FALSE)* 90)</f>
      </c>
      <c r="BI91" s="23229">
        <f>IF(HLOOKUP("Mins",A1:CV300,91,FALSE)=0,0,HLOOKUP("BC Created",A1:CV300,91,FALSE)/HLOOKUP("Mins",A1:CV300,91,FALSE)* 90)</f>
      </c>
      <c r="BJ91" s="23230">
        <f>IF(HLOOKUP("Mins",A1:CV300,91,FALSE)=0,0,HLOOKUP("KP",A1:CV300,91,FALSE)/HLOOKUP("Mins",A1:CV300,91,FALSE)* 90)</f>
      </c>
      <c r="BK91" s="23231">
        <f>IF(HLOOKUP("Mins",A1:CV300,91,FALSE)=0,0,HLOOKUP("BC",A1:CV300,91,FALSE)/HLOOKUP("Mins",A1:CV300,91,FALSE)* 90)</f>
      </c>
      <c r="BL91" s="23232">
        <f>IF(HLOOKUP("Mins",A1:CV300,91,FALSE)=0,0,HLOOKUP("BC Miss",A1:CV300,91,FALSE)/HLOOKUP("Mins",A1:CV300,91,FALSE)* 90)</f>
      </c>
      <c r="BM91" s="23233">
        <f>IF(HLOOKUP("Mins",A1:CV300,91,FALSE)=0,0,HLOOKUP("Gs - BC",A1:CV300,91,FALSE)/HLOOKUP("Mins",A1:CV300,91,FALSE)* 90)</f>
      </c>
      <c r="BN91" s="23234">
        <f>IF(HLOOKUP("Mins",A1:CV300,91,FALSE)=0,0,HLOOKUP("GIB",A1:CV300,91,FALSE)/HLOOKUP("Mins",A1:CV300,91,FALSE)* 90)</f>
      </c>
      <c r="BO91" s="23235">
        <f>IF(HLOOKUP("Mins",A1:CV300,91,FALSE)=0,0,HLOOKUP("Gs - Open",A1:CV300,91,FALSE)/HLOOKUP("Mins",A1:CV300,91,FALSE)* 90)</f>
      </c>
      <c r="BP91" s="23236">
        <f>IF(HLOOKUP("Mins",A1:CV300,91,FALSE)=0,0,HLOOKUP("ICT Index",A1:CV300,91,FALSE)/HLOOKUP("Mins",A1:CV300,91,FALSE)* 90)</f>
      </c>
      <c r="BQ91" s="23237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</c>
      <c r="BR91" s="23238">
        <f>0.0885*HLOOKUP("KP/90",A1:CV300,91,FALSE)</f>
      </c>
      <c r="BS91" s="23239">
        <f>5*HLOOKUP("xG/90",A1:CV300,91,FALSE)+3*HLOOKUP("xA/90",A1:CV300,91,FALSE)</f>
      </c>
      <c r="BT91" s="23240">
        <f>HLOOKUP("xPts/90",A1:CV300,91,FALSE)-(5*0.75*(HLOOKUP("PK Gs",A1:CV300,91,FALSE)+HLOOKUP("PK Miss",A1:CV300,91,FALSE))*90/HLOOKUP("Mins",A1:CV300,91,FALSE))</f>
      </c>
      <c r="BU91" s="23241">
        <f>IF(HLOOKUP("Mins",A1:CV300,91,FALSE)=0,0,HLOOKUP("fsXG",A1:CV300,91,FALSE)/HLOOKUP("Mins",A1:CV300,91,FALSE)* 90)</f>
      </c>
      <c r="BV91" s="23242">
        <f>IF(HLOOKUP("Mins",A1:CV300,91,FALSE)=0,0,HLOOKUP("fsXA",A1:CV300,91,FALSE)/HLOOKUP("Mins",A1:CV300,91,FALSE)* 90)</f>
      </c>
      <c r="BW91" s="23243">
        <f>5*HLOOKUP("fsXG/90",A1:CV300,91,FALSE)+3*HLOOKUP("fsXA/90",A1:CV300,91,FALSE)</f>
      </c>
      <c r="BX91" t="n" s="23244">
        <v>0.10971786826848984</v>
      </c>
      <c r="BY91" t="n" s="23245">
        <v>0.026535777375102043</v>
      </c>
      <c r="BZ91" s="23246">
        <f>5*HLOOKUP("uXG/90",A1:CV300,91,FALSE)+3*HLOOKUP("uXA/90",A1:CV300,91,FALSE)</f>
      </c>
    </row>
    <row r="92">
      <c r="A92" t="s" s="23247">
        <v>395</v>
      </c>
      <c r="B92" t="s" s="23248">
        <v>82</v>
      </c>
      <c r="C92" t="n" s="23249">
        <v>6.199999809265137</v>
      </c>
      <c r="D92" t="n" s="23250">
        <v>364.0</v>
      </c>
      <c r="E92" t="n" s="23251">
        <v>6.0</v>
      </c>
      <c r="F92" t="n" s="23252">
        <v>91.0</v>
      </c>
      <c r="G92" t="n" s="23253">
        <v>0.0</v>
      </c>
      <c r="H92" t="n" s="23254">
        <v>5.0</v>
      </c>
      <c r="I92" t="n" s="23255">
        <v>373.0</v>
      </c>
      <c r="J92" s="23256">
        <f>HLOOKUP("BPS",A1:CV300,92,FALSE)-((-6*HLOOKUP("OG",A1:CV300,92,FALSE))+(-6*HLOOKUP("PK Miss",A1:CV300,92,FALSE))+(9*HLOOKUP("FPL As",A1:CV300,92,FALSE))+(0*HLOOKUP("CS",A1:CV300,92,FALSE))+(18*HLOOKUP("Gs",A1:CV300,92,FALSE)))</f>
      </c>
      <c r="K92" t="n" s="23257">
        <v>0.0</v>
      </c>
      <c r="L92" t="n" s="23258">
        <v>9.0</v>
      </c>
      <c r="M92" t="n" s="23259">
        <v>6.0</v>
      </c>
      <c r="N92" t="n" s="23260">
        <v>8.0</v>
      </c>
      <c r="O92" t="n" s="23261">
        <v>0.0</v>
      </c>
      <c r="P92" s="23262">
        <f>IF(HLOOKUP("Shots",A1:CV300,92,FALSE)=0,0,HLOOKUP("SIB",A1:CV300,92,FALSE)/HLOOKUP("Shots",A1:CV300,92,FALSE))</f>
      </c>
      <c r="Q92" t="n" s="23263">
        <v>0.0</v>
      </c>
      <c r="R92" s="23264">
        <f>IF(HLOOKUP("Shots",A1:CV300,92,FALSE)=0,0,HLOOKUP("S6YD",A1:CV300,92,FALSE)/HLOOKUP("Shots",A1:CV300,92,FALSE))</f>
      </c>
      <c r="S92" t="n" s="23265">
        <v>0.0</v>
      </c>
      <c r="T92" s="23266">
        <f>IF(HLOOKUP("Shots",A1:CV300,92,FALSE)=0,0,HLOOKUP("Headers",A1:CV300,92,FALSE)/HLOOKUP("Shots",A1:CV300,92,FALSE))</f>
      </c>
      <c r="U92" t="n" s="23267">
        <v>4.0</v>
      </c>
      <c r="V92" s="23268">
        <f>IF(HLOOKUP("Shots",A1:CV300,92,FALSE)=0,0,HLOOKUP("SOT",A1:CV300,92,FALSE)/HLOOKUP("Shots",A1:CV300,92,FALSE))</f>
      </c>
      <c r="W92" s="23269">
        <f>IF(HLOOKUP("Shots",A1:CV300,92,FALSE)=0,0,HLOOKUP("Gs",A1:CV300,92,FALSE)/HLOOKUP("Shots",A1:CV300,92,FALSE))</f>
      </c>
      <c r="X92" t="n" s="23270">
        <v>2.0</v>
      </c>
      <c r="Y92" t="n" s="23271">
        <v>5.0</v>
      </c>
      <c r="Z92" t="n" s="23272">
        <v>6.0</v>
      </c>
      <c r="AA92" s="23273">
        <f>IF(HLOOKUP("KP",A1:CV300,92,FALSE)=0,0,HLOOKUP("As",A1:CV300,92,FALSE)/HLOOKUP("KP",A1:CV300,92,FALSE))</f>
      </c>
      <c r="AB92" s="23274"/>
      <c r="AC92" t="n" s="23275">
        <v>22.0</v>
      </c>
      <c r="AD92" t="n" s="23276">
        <v>0.0</v>
      </c>
      <c r="AE92" t="n" s="23277">
        <v>0.0</v>
      </c>
      <c r="AF92" t="n" s="23278">
        <v>0.0</v>
      </c>
      <c r="AG92" s="23279">
        <f>IF(HLOOKUP("BC",A1:CV300,92,FALSE)=0,0,HLOOKUP("Gs - BC",A1:CV300,92,FALSE)/HLOOKUP("BC",A1:CV300,92,FALSE))</f>
      </c>
      <c r="AH92" s="23280">
        <f>HLOOKUP("BC",A1:CV300,92,FALSE) - HLOOKUP("BC Miss",A1:CV300,92,FALSE)</f>
      </c>
      <c r="AI92" s="23281">
        <f>IF(HLOOKUP("Gs",A1:CV300,92,FALSE)=0,0,HLOOKUP("Gs - BC",A1:CV300,92,FALSE)/HLOOKUP("Gs",A1:CV300,92,FALSE))</f>
      </c>
      <c r="AJ92" t="n" s="23282">
        <v>0.0</v>
      </c>
      <c r="AK92" t="n" s="23283">
        <v>0.0</v>
      </c>
      <c r="AL92" s="23284">
        <f>HLOOKUP("BC",A1:CV300,92,FALSE) - (HLOOKUP("PK Gs",A1:CV300,92,FALSE) + HLOOKUP("PK Miss",A1:CV300,92,FALSE))</f>
      </c>
      <c r="AM92" s="23285">
        <f>HLOOKUP("BC Miss",A1:CV300,92,FALSE) - HLOOKUP("PK Miss",A1:CV300,92,FALSE)</f>
      </c>
      <c r="AN92" s="23286">
        <f>IF(HLOOKUP("BC - Open",A1:CV300,92,FALSE)=0,0,HLOOKUP("BC - Open Miss",A1:CV300,92,FALSE)/HLOOKUP("BC - Open",A1:CV300,92,FALSE))</f>
      </c>
      <c r="AO92" t="n" s="23287">
        <v>0.0</v>
      </c>
      <c r="AP92" s="23288">
        <f>IF(HLOOKUP("Gs",A1:CV300,92,FALSE)=0,0,HLOOKUP("GIB",A1:CV300,92,FALSE)/HLOOKUP("Gs",A1:CV300,92,FALSE))</f>
      </c>
      <c r="AQ92" t="n" s="23289">
        <v>0.0</v>
      </c>
      <c r="AR92" s="23290">
        <f>IF(HLOOKUP("Gs",A1:CV300,92,FALSE)=0,0,HLOOKUP("Gs - Open",A1:CV300,92,FALSE)/HLOOKUP("Gs",A1:CV300,92,FALSE))</f>
      </c>
      <c r="AS92" t="n" s="23291">
        <v>0.26</v>
      </c>
      <c r="AT92" t="n" s="23292">
        <v>0.42</v>
      </c>
      <c r="AU92" s="23293">
        <f>IF(HLOOKUP("Mins",A1:CV300,92,FALSE)=0,0,HLOOKUP("Pts",A1:CV300,92,FALSE)/HLOOKUP("Mins",A1:CV300,92,FALSE)* 90)</f>
      </c>
      <c r="AV92" s="23294">
        <f>IF(HLOOKUP("Apps",A1:CV300,92,FALSE)=0,0,HLOOKUP("Pts",A1:CV300,92,FALSE)/HLOOKUP("Apps",A1:CV300,92,FALSE)* 1)</f>
      </c>
      <c r="AW92" s="23295">
        <f>IF(HLOOKUP("Mins",A1:CV300,92,FALSE)=0,0,HLOOKUP("Gs",A1:CV300,92,FALSE)/HLOOKUP("Mins",A1:CV300,92,FALSE)* 90)</f>
      </c>
      <c r="AX92" s="23296">
        <f>IF(HLOOKUP("Mins",A1:CV300,92,FALSE)=0,0,HLOOKUP("Bonus",A1:CV300,92,FALSE)/HLOOKUP("Mins",A1:CV300,92,FALSE)* 90)</f>
      </c>
      <c r="AY92" s="23297">
        <f>IF(HLOOKUP("Mins",A1:CV300,92,FALSE)=0,0,HLOOKUP("BPS",A1:CV300,92,FALSE)/HLOOKUP("Mins",A1:CV300,92,FALSE)* 90)</f>
      </c>
      <c r="AZ92" s="23298">
        <f>IF(HLOOKUP("Mins",A1:CV300,92,FALSE)=0,0,HLOOKUP("Base BPS",A1:CV300,92,FALSE)/HLOOKUP("Mins",A1:CV300,92,FALSE)* 90)</f>
      </c>
      <c r="BA92" s="23299">
        <f>IF(HLOOKUP("Mins",A1:CV300,92,FALSE)=0,0,HLOOKUP("PenTchs",A1:CV300,92,FALSE)/HLOOKUP("Mins",A1:CV300,92,FALSE)* 90)</f>
      </c>
      <c r="BB92" s="23300">
        <f>IF(HLOOKUP("Mins",A1:CV300,92,FALSE)=0,0,HLOOKUP("Shots",A1:CV300,92,FALSE)/HLOOKUP("Mins",A1:CV300,92,FALSE)* 90)</f>
      </c>
      <c r="BC92" s="23301">
        <f>IF(HLOOKUP("Mins",A1:CV300,92,FALSE)=0,0,HLOOKUP("SIB",A1:CV300,92,FALSE)/HLOOKUP("Mins",A1:CV300,92,FALSE)* 90)</f>
      </c>
      <c r="BD92" s="23302">
        <f>IF(HLOOKUP("Mins",A1:CV300,92,FALSE)=0,0,HLOOKUP("S6YD",A1:CV300,92,FALSE)/HLOOKUP("Mins",A1:CV300,92,FALSE)* 90)</f>
      </c>
      <c r="BE92" s="23303">
        <f>IF(HLOOKUP("Mins",A1:CV300,92,FALSE)=0,0,HLOOKUP("Headers",A1:CV300,92,FALSE)/HLOOKUP("Mins",A1:CV300,92,FALSE)* 90)</f>
      </c>
      <c r="BF92" s="23304">
        <f>IF(HLOOKUP("Mins",A1:CV300,92,FALSE)=0,0,HLOOKUP("SOT",A1:CV300,92,FALSE)/HLOOKUP("Mins",A1:CV300,92,FALSE)* 90)</f>
      </c>
      <c r="BG92" s="23305">
        <f>IF(HLOOKUP("Mins",A1:CV300,92,FALSE)=0,0,HLOOKUP("As",A1:CV300,92,FALSE)/HLOOKUP("Mins",A1:CV300,92,FALSE)* 90)</f>
      </c>
      <c r="BH92" s="23306">
        <f>IF(HLOOKUP("Mins",A1:CV300,92,FALSE)=0,0,HLOOKUP("FPL As",A1:CV300,92,FALSE)/HLOOKUP("Mins",A1:CV300,92,FALSE)* 90)</f>
      </c>
      <c r="BI92" s="23307">
        <f>IF(HLOOKUP("Mins",A1:CV300,92,FALSE)=0,0,HLOOKUP("BC Created",A1:CV300,92,FALSE)/HLOOKUP("Mins",A1:CV300,92,FALSE)* 90)</f>
      </c>
      <c r="BJ92" s="23308">
        <f>IF(HLOOKUP("Mins",A1:CV300,92,FALSE)=0,0,HLOOKUP("KP",A1:CV300,92,FALSE)/HLOOKUP("Mins",A1:CV300,92,FALSE)* 90)</f>
      </c>
      <c r="BK92" s="23309">
        <f>IF(HLOOKUP("Mins",A1:CV300,92,FALSE)=0,0,HLOOKUP("BC",A1:CV300,92,FALSE)/HLOOKUP("Mins",A1:CV300,92,FALSE)* 90)</f>
      </c>
      <c r="BL92" s="23310">
        <f>IF(HLOOKUP("Mins",A1:CV300,92,FALSE)=0,0,HLOOKUP("BC Miss",A1:CV300,92,FALSE)/HLOOKUP("Mins",A1:CV300,92,FALSE)* 90)</f>
      </c>
      <c r="BM92" s="23311">
        <f>IF(HLOOKUP("Mins",A1:CV300,92,FALSE)=0,0,HLOOKUP("Gs - BC",A1:CV300,92,FALSE)/HLOOKUP("Mins",A1:CV300,92,FALSE)* 90)</f>
      </c>
      <c r="BN92" s="23312">
        <f>IF(HLOOKUP("Mins",A1:CV300,92,FALSE)=0,0,HLOOKUP("GIB",A1:CV300,92,FALSE)/HLOOKUP("Mins",A1:CV300,92,FALSE)* 90)</f>
      </c>
      <c r="BO92" s="23313">
        <f>IF(HLOOKUP("Mins",A1:CV300,92,FALSE)=0,0,HLOOKUP("Gs - Open",A1:CV300,92,FALSE)/HLOOKUP("Mins",A1:CV300,92,FALSE)* 90)</f>
      </c>
      <c r="BP92" s="23314">
        <f>IF(HLOOKUP("Mins",A1:CV300,92,FALSE)=0,0,HLOOKUP("ICT Index",A1:CV300,92,FALSE)/HLOOKUP("Mins",A1:CV300,92,FALSE)* 90)</f>
      </c>
      <c r="BQ92" s="23315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</c>
      <c r="BR92" s="23316">
        <f>0.0885*HLOOKUP("KP/90",A1:CV300,92,FALSE)</f>
      </c>
      <c r="BS92" s="23317">
        <f>5*HLOOKUP("xG/90",A1:CV300,92,FALSE)+3*HLOOKUP("xA/90",A1:CV300,92,FALSE)</f>
      </c>
      <c r="BT92" s="23318">
        <f>HLOOKUP("xPts/90",A1:CV300,92,FALSE)-(5*0.75*(HLOOKUP("PK Gs",A1:CV300,92,FALSE)+HLOOKUP("PK Miss",A1:CV300,92,FALSE))*90/HLOOKUP("Mins",A1:CV300,92,FALSE))</f>
      </c>
      <c r="BU92" s="23319">
        <f>IF(HLOOKUP("Mins",A1:CV300,92,FALSE)=0,0,HLOOKUP("fsXG",A1:CV300,92,FALSE)/HLOOKUP("Mins",A1:CV300,92,FALSE)* 90)</f>
      </c>
      <c r="BV92" s="23320">
        <f>IF(HLOOKUP("Mins",A1:CV300,92,FALSE)=0,0,HLOOKUP("fsXA",A1:CV300,92,FALSE)/HLOOKUP("Mins",A1:CV300,92,FALSE)* 90)</f>
      </c>
      <c r="BW92" s="23321">
        <f>5*HLOOKUP("fsXG/90",A1:CV300,92,FALSE)+3*HLOOKUP("fsXA/90",A1:CV300,92,FALSE)</f>
      </c>
      <c r="BX92" t="n" s="23322">
        <v>0.05753737688064575</v>
      </c>
      <c r="BY92" t="n" s="23323">
        <v>0.12147174775600433</v>
      </c>
      <c r="BZ92" s="23324">
        <f>5*HLOOKUP("uXG/90",A1:CV300,92,FALSE)+3*HLOOKUP("uXA/90",A1:CV300,92,FALSE)</f>
      </c>
    </row>
    <row r="93">
      <c r="A93" t="s" s="23325">
        <v>396</v>
      </c>
      <c r="B93" t="s" s="23326">
        <v>105</v>
      </c>
      <c r="C93" t="n" s="23327">
        <v>11.699999809265137</v>
      </c>
      <c r="D93" t="n" s="23328">
        <v>263.0</v>
      </c>
      <c r="E93" t="n" s="23329">
        <v>4.0</v>
      </c>
      <c r="F93" t="n" s="23330">
        <v>116.0</v>
      </c>
      <c r="G93" t="n" s="23331">
        <v>0.0</v>
      </c>
      <c r="H93" t="n" s="23332">
        <v>9.0</v>
      </c>
      <c r="I93" t="n" s="23333">
        <v>384.0</v>
      </c>
      <c r="J93" s="23334">
        <f>HLOOKUP("BPS",A1:CV300,93,FALSE)-((-6*HLOOKUP("OG",A1:CV300,93,FALSE))+(-6*HLOOKUP("PK Miss",A1:CV300,93,FALSE))+(9*HLOOKUP("FPL As",A1:CV300,93,FALSE))+(0*HLOOKUP("CS",A1:CV300,93,FALSE))+(18*HLOOKUP("Gs",A1:CV300,93,FALSE)))</f>
      </c>
      <c r="K93" t="n" s="23335">
        <v>0.0</v>
      </c>
      <c r="L93" t="n" s="23336">
        <v>8.0</v>
      </c>
      <c r="M93" t="n" s="23337">
        <v>27.0</v>
      </c>
      <c r="N93" t="n" s="23338">
        <v>10.0</v>
      </c>
      <c r="O93" t="n" s="23339">
        <v>9.0</v>
      </c>
      <c r="P93" s="23340">
        <f>IF(HLOOKUP("Shots",A1:CV300,93,FALSE)=0,0,HLOOKUP("SIB",A1:CV300,93,FALSE)/HLOOKUP("Shots",A1:CV300,93,FALSE))</f>
      </c>
      <c r="Q93" t="n" s="23341">
        <v>2.0</v>
      </c>
      <c r="R93" s="23342">
        <f>IF(HLOOKUP("Shots",A1:CV300,93,FALSE)=0,0,HLOOKUP("S6YD",A1:CV300,93,FALSE)/HLOOKUP("Shots",A1:CV300,93,FALSE))</f>
      </c>
      <c r="S93" t="n" s="23343">
        <v>2.0</v>
      </c>
      <c r="T93" s="23344">
        <f>IF(HLOOKUP("Shots",A1:CV300,93,FALSE)=0,0,HLOOKUP("Headers",A1:CV300,93,FALSE)/HLOOKUP("Shots",A1:CV300,93,FALSE))</f>
      </c>
      <c r="U93" t="n" s="23345">
        <v>1.0</v>
      </c>
      <c r="V93" s="23346">
        <f>IF(HLOOKUP("Shots",A1:CV300,93,FALSE)=0,0,HLOOKUP("SOT",A1:CV300,93,FALSE)/HLOOKUP("Shots",A1:CV300,93,FALSE))</f>
      </c>
      <c r="W93" s="23347">
        <f>IF(HLOOKUP("Shots",A1:CV300,93,FALSE)=0,0,HLOOKUP("Gs",A1:CV300,93,FALSE)/HLOOKUP("Shots",A1:CV300,93,FALSE))</f>
      </c>
      <c r="X93" t="n" s="23348">
        <v>0.0</v>
      </c>
      <c r="Y93" t="n" s="23349">
        <v>2.0</v>
      </c>
      <c r="Z93" t="n" s="23350">
        <v>2.0</v>
      </c>
      <c r="AA93" s="23351">
        <f>IF(HLOOKUP("KP",A1:CV300,93,FALSE)=0,0,HLOOKUP("As",A1:CV300,93,FALSE)/HLOOKUP("KP",A1:CV300,93,FALSE))</f>
      </c>
      <c r="AB93" s="23352"/>
      <c r="AC93" t="n" s="23353">
        <v>0.0</v>
      </c>
      <c r="AD93" t="n" s="23354">
        <v>1.0</v>
      </c>
      <c r="AE93" t="n" s="23355">
        <v>2.0</v>
      </c>
      <c r="AF93" t="n" s="23356">
        <v>2.0</v>
      </c>
      <c r="AG93" s="23357">
        <f>IF(HLOOKUP("BC",A1:CV300,93,FALSE)=0,0,HLOOKUP("Gs - BC",A1:CV300,93,FALSE)/HLOOKUP("BC",A1:CV300,93,FALSE))</f>
      </c>
      <c r="AH93" s="23358">
        <f>HLOOKUP("BC",A1:CV300,93,FALSE) - HLOOKUP("BC Miss",A1:CV300,93,FALSE)</f>
      </c>
      <c r="AI93" s="23359">
        <f>IF(HLOOKUP("Gs",A1:CV300,93,FALSE)=0,0,HLOOKUP("Gs - BC",A1:CV300,93,FALSE)/HLOOKUP("Gs",A1:CV300,93,FALSE))</f>
      </c>
      <c r="AJ93" t="n" s="23360">
        <v>0.0</v>
      </c>
      <c r="AK93" t="n" s="23361">
        <v>0.0</v>
      </c>
      <c r="AL93" s="23362">
        <f>HLOOKUP("BC",A1:CV300,93,FALSE) - (HLOOKUP("PK Gs",A1:CV300,93,FALSE) + HLOOKUP("PK Miss",A1:CV300,93,FALSE))</f>
      </c>
      <c r="AM93" s="23363">
        <f>HLOOKUP("BC Miss",A1:CV300,93,FALSE) - HLOOKUP("PK Miss",A1:CV300,93,FALSE)</f>
      </c>
      <c r="AN93" s="23364">
        <f>IF(HLOOKUP("BC - Open",A1:CV300,93,FALSE)=0,0,HLOOKUP("BC - Open Miss",A1:CV300,93,FALSE)/HLOOKUP("BC - Open",A1:CV300,93,FALSE))</f>
      </c>
      <c r="AO93" t="n" s="23365">
        <v>0.0</v>
      </c>
      <c r="AP93" s="23366">
        <f>IF(HLOOKUP("Gs",A1:CV300,93,FALSE)=0,0,HLOOKUP("GIB",A1:CV300,93,FALSE)/HLOOKUP("Gs",A1:CV300,93,FALSE))</f>
      </c>
      <c r="AQ93" t="n" s="23367">
        <v>0.0</v>
      </c>
      <c r="AR93" s="23368">
        <f>IF(HLOOKUP("Gs",A1:CV300,93,FALSE)=0,0,HLOOKUP("Gs - Open",A1:CV300,93,FALSE)/HLOOKUP("Gs",A1:CV300,93,FALSE))</f>
      </c>
      <c r="AS93" t="n" s="23369">
        <v>1.63</v>
      </c>
      <c r="AT93" t="n" s="23370">
        <v>0.87</v>
      </c>
      <c r="AU93" s="23371">
        <f>IF(HLOOKUP("Mins",A1:CV300,93,FALSE)=0,0,HLOOKUP("Pts",A1:CV300,93,FALSE)/HLOOKUP("Mins",A1:CV300,93,FALSE)* 90)</f>
      </c>
      <c r="AV93" s="23372">
        <f>IF(HLOOKUP("Apps",A1:CV300,93,FALSE)=0,0,HLOOKUP("Pts",A1:CV300,93,FALSE)/HLOOKUP("Apps",A1:CV300,93,FALSE)* 1)</f>
      </c>
      <c r="AW93" s="23373">
        <f>IF(HLOOKUP("Mins",A1:CV300,93,FALSE)=0,0,HLOOKUP("Gs",A1:CV300,93,FALSE)/HLOOKUP("Mins",A1:CV300,93,FALSE)* 90)</f>
      </c>
      <c r="AX93" s="23374">
        <f>IF(HLOOKUP("Mins",A1:CV300,93,FALSE)=0,0,HLOOKUP("Bonus",A1:CV300,93,FALSE)/HLOOKUP("Mins",A1:CV300,93,FALSE)* 90)</f>
      </c>
      <c r="AY93" s="23375">
        <f>IF(HLOOKUP("Mins",A1:CV300,93,FALSE)=0,0,HLOOKUP("BPS",A1:CV300,93,FALSE)/HLOOKUP("Mins",A1:CV300,93,FALSE)* 90)</f>
      </c>
      <c r="AZ93" s="23376">
        <f>IF(HLOOKUP("Mins",A1:CV300,93,FALSE)=0,0,HLOOKUP("Base BPS",A1:CV300,93,FALSE)/HLOOKUP("Mins",A1:CV300,93,FALSE)* 90)</f>
      </c>
      <c r="BA93" s="23377">
        <f>IF(HLOOKUP("Mins",A1:CV300,93,FALSE)=0,0,HLOOKUP("PenTchs",A1:CV300,93,FALSE)/HLOOKUP("Mins",A1:CV300,93,FALSE)* 90)</f>
      </c>
      <c r="BB93" s="23378">
        <f>IF(HLOOKUP("Mins",A1:CV300,93,FALSE)=0,0,HLOOKUP("Shots",A1:CV300,93,FALSE)/HLOOKUP("Mins",A1:CV300,93,FALSE)* 90)</f>
      </c>
      <c r="BC93" s="23379">
        <f>IF(HLOOKUP("Mins",A1:CV300,93,FALSE)=0,0,HLOOKUP("SIB",A1:CV300,93,FALSE)/HLOOKUP("Mins",A1:CV300,93,FALSE)* 90)</f>
      </c>
      <c r="BD93" s="23380">
        <f>IF(HLOOKUP("Mins",A1:CV300,93,FALSE)=0,0,HLOOKUP("S6YD",A1:CV300,93,FALSE)/HLOOKUP("Mins",A1:CV300,93,FALSE)* 90)</f>
      </c>
      <c r="BE93" s="23381">
        <f>IF(HLOOKUP("Mins",A1:CV300,93,FALSE)=0,0,HLOOKUP("Headers",A1:CV300,93,FALSE)/HLOOKUP("Mins",A1:CV300,93,FALSE)* 90)</f>
      </c>
      <c r="BF93" s="23382">
        <f>IF(HLOOKUP("Mins",A1:CV300,93,FALSE)=0,0,HLOOKUP("SOT",A1:CV300,93,FALSE)/HLOOKUP("Mins",A1:CV300,93,FALSE)* 90)</f>
      </c>
      <c r="BG93" s="23383">
        <f>IF(HLOOKUP("Mins",A1:CV300,93,FALSE)=0,0,HLOOKUP("As",A1:CV300,93,FALSE)/HLOOKUP("Mins",A1:CV300,93,FALSE)* 90)</f>
      </c>
      <c r="BH93" s="23384">
        <f>IF(HLOOKUP("Mins",A1:CV300,93,FALSE)=0,0,HLOOKUP("FPL As",A1:CV300,93,FALSE)/HLOOKUP("Mins",A1:CV300,93,FALSE)* 90)</f>
      </c>
      <c r="BI93" s="23385">
        <f>IF(HLOOKUP("Mins",A1:CV300,93,FALSE)=0,0,HLOOKUP("BC Created",A1:CV300,93,FALSE)/HLOOKUP("Mins",A1:CV300,93,FALSE)* 90)</f>
      </c>
      <c r="BJ93" s="23386">
        <f>IF(HLOOKUP("Mins",A1:CV300,93,FALSE)=0,0,HLOOKUP("KP",A1:CV300,93,FALSE)/HLOOKUP("Mins",A1:CV300,93,FALSE)* 90)</f>
      </c>
      <c r="BK93" s="23387">
        <f>IF(HLOOKUP("Mins",A1:CV300,93,FALSE)=0,0,HLOOKUP("BC",A1:CV300,93,FALSE)/HLOOKUP("Mins",A1:CV300,93,FALSE)* 90)</f>
      </c>
      <c r="BL93" s="23388">
        <f>IF(HLOOKUP("Mins",A1:CV300,93,FALSE)=0,0,HLOOKUP("BC Miss",A1:CV300,93,FALSE)/HLOOKUP("Mins",A1:CV300,93,FALSE)* 90)</f>
      </c>
      <c r="BM93" s="23389">
        <f>IF(HLOOKUP("Mins",A1:CV300,93,FALSE)=0,0,HLOOKUP("Gs - BC",A1:CV300,93,FALSE)/HLOOKUP("Mins",A1:CV300,93,FALSE)* 90)</f>
      </c>
      <c r="BN93" s="23390">
        <f>IF(HLOOKUP("Mins",A1:CV300,93,FALSE)=0,0,HLOOKUP("GIB",A1:CV300,93,FALSE)/HLOOKUP("Mins",A1:CV300,93,FALSE)* 90)</f>
      </c>
      <c r="BO93" s="23391">
        <f>IF(HLOOKUP("Mins",A1:CV300,93,FALSE)=0,0,HLOOKUP("Gs - Open",A1:CV300,93,FALSE)/HLOOKUP("Mins",A1:CV300,93,FALSE)* 90)</f>
      </c>
      <c r="BP93" s="23392">
        <f>IF(HLOOKUP("Mins",A1:CV300,93,FALSE)=0,0,HLOOKUP("ICT Index",A1:CV300,93,FALSE)/HLOOKUP("Mins",A1:CV300,93,FALSE)* 90)</f>
      </c>
      <c r="BQ93" s="23393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</c>
      <c r="BR93" s="23394">
        <f>0.0885*HLOOKUP("KP/90",A1:CV300,93,FALSE)</f>
      </c>
      <c r="BS93" s="23395">
        <f>5*HLOOKUP("xG/90",A1:CV300,93,FALSE)+3*HLOOKUP("xA/90",A1:CV300,93,FALSE)</f>
      </c>
      <c r="BT93" s="23396">
        <f>HLOOKUP("xPts/90",A1:CV300,93,FALSE)-(5*0.75*(HLOOKUP("PK Gs",A1:CV300,93,FALSE)+HLOOKUP("PK Miss",A1:CV300,93,FALSE))*90/HLOOKUP("Mins",A1:CV300,93,FALSE))</f>
      </c>
      <c r="BU93" s="23397">
        <f>IF(HLOOKUP("Mins",A1:CV300,93,FALSE)=0,0,HLOOKUP("fsXG",A1:CV300,93,FALSE)/HLOOKUP("Mins",A1:CV300,93,FALSE)* 90)</f>
      </c>
      <c r="BV93" s="23398">
        <f>IF(HLOOKUP("Mins",A1:CV300,93,FALSE)=0,0,HLOOKUP("fsXA",A1:CV300,93,FALSE)/HLOOKUP("Mins",A1:CV300,93,FALSE)* 90)</f>
      </c>
      <c r="BW93" s="23399">
        <f>5*HLOOKUP("fsXG/90",A1:CV300,93,FALSE)+3*HLOOKUP("fsXA/90",A1:CV300,93,FALSE)</f>
      </c>
      <c r="BX93" t="n" s="23400">
        <v>0.5736712217330933</v>
      </c>
      <c r="BY93" t="n" s="23401">
        <v>0.24095618724822998</v>
      </c>
      <c r="BZ93" s="23402">
        <f>5*HLOOKUP("uXG/90",A1:CV300,93,FALSE)+3*HLOOKUP("uXA/90",A1:CV300,93,FALSE)</f>
      </c>
    </row>
    <row r="94">
      <c r="A94" t="s" s="23403">
        <v>397</v>
      </c>
      <c r="B94" t="s" s="23404">
        <v>116</v>
      </c>
      <c r="C94" t="n" s="23405">
        <v>4.900000095367432</v>
      </c>
      <c r="D94" t="n" s="23406">
        <v>32.0</v>
      </c>
      <c r="E94" t="n" s="23407">
        <v>4.0</v>
      </c>
      <c r="F94" t="n" s="23408">
        <v>4.0</v>
      </c>
      <c r="G94" t="n" s="23409">
        <v>0.0</v>
      </c>
      <c r="H94" t="n" s="23410">
        <v>0.0</v>
      </c>
      <c r="I94" t="n" s="23411">
        <v>12.0</v>
      </c>
      <c r="J94" s="23412">
        <f>HLOOKUP("BPS",A1:CV300,94,FALSE)-((-6*HLOOKUP("OG",A1:CV300,94,FALSE))+(-6*HLOOKUP("PK Miss",A1:CV300,94,FALSE))+(9*HLOOKUP("FPL As",A1:CV300,94,FALSE))+(0*HLOOKUP("CS",A1:CV300,94,FALSE))+(18*HLOOKUP("Gs",A1:CV300,94,FALSE)))</f>
      </c>
      <c r="K94" t="n" s="23413">
        <v>0.0</v>
      </c>
      <c r="L94" t="n" s="23414">
        <v>0.0</v>
      </c>
      <c r="M94" t="n" s="23415">
        <v>1.0</v>
      </c>
      <c r="N94" t="n" s="23416">
        <v>0.0</v>
      </c>
      <c r="O94" t="n" s="23417">
        <v>0.0</v>
      </c>
      <c r="P94" s="23418">
        <f>IF(HLOOKUP("Shots",A1:CV300,94,FALSE)=0,0,HLOOKUP("SIB",A1:CV300,94,FALSE)/HLOOKUP("Shots",A1:CV300,94,FALSE))</f>
      </c>
      <c r="Q94" t="n" s="23419">
        <v>0.0</v>
      </c>
      <c r="R94" s="23420">
        <f>IF(HLOOKUP("Shots",A1:CV300,94,FALSE)=0,0,HLOOKUP("S6YD",A1:CV300,94,FALSE)/HLOOKUP("Shots",A1:CV300,94,FALSE))</f>
      </c>
      <c r="S94" t="n" s="23421">
        <v>0.0</v>
      </c>
      <c r="T94" s="23422">
        <f>IF(HLOOKUP("Shots",A1:CV300,94,FALSE)=0,0,HLOOKUP("Headers",A1:CV300,94,FALSE)/HLOOKUP("Shots",A1:CV300,94,FALSE))</f>
      </c>
      <c r="U94" t="n" s="23423">
        <v>0.0</v>
      </c>
      <c r="V94" s="23424">
        <f>IF(HLOOKUP("Shots",A1:CV300,94,FALSE)=0,0,HLOOKUP("SOT",A1:CV300,94,FALSE)/HLOOKUP("Shots",A1:CV300,94,FALSE))</f>
      </c>
      <c r="W94" s="23425">
        <f>IF(HLOOKUP("Shots",A1:CV300,94,FALSE)=0,0,HLOOKUP("Gs",A1:CV300,94,FALSE)/HLOOKUP("Shots",A1:CV300,94,FALSE))</f>
      </c>
      <c r="X94" t="n" s="23426">
        <v>0.0</v>
      </c>
      <c r="Y94" t="n" s="23427">
        <v>0.0</v>
      </c>
      <c r="Z94" t="n" s="23428">
        <v>0.0</v>
      </c>
      <c r="AA94" s="23429">
        <f>IF(HLOOKUP("KP",A1:CV300,94,FALSE)=0,0,HLOOKUP("As",A1:CV300,94,FALSE)/HLOOKUP("KP",A1:CV300,94,FALSE))</f>
      </c>
      <c r="AB94" s="23430"/>
      <c r="AC94" t="n" s="23431">
        <v>0.0</v>
      </c>
      <c r="AD94" t="n" s="23432">
        <v>0.0</v>
      </c>
      <c r="AE94" t="n" s="23433">
        <v>0.0</v>
      </c>
      <c r="AF94" t="n" s="23434">
        <v>0.0</v>
      </c>
      <c r="AG94" s="23435">
        <f>IF(HLOOKUP("BC",A1:CV300,94,FALSE)=0,0,HLOOKUP("Gs - BC",A1:CV300,94,FALSE)/HLOOKUP("BC",A1:CV300,94,FALSE))</f>
      </c>
      <c r="AH94" s="23436">
        <f>HLOOKUP("BC",A1:CV300,94,FALSE) - HLOOKUP("BC Miss",A1:CV300,94,FALSE)</f>
      </c>
      <c r="AI94" s="23437">
        <f>IF(HLOOKUP("Gs",A1:CV300,94,FALSE)=0,0,HLOOKUP("Gs - BC",A1:CV300,94,FALSE)/HLOOKUP("Gs",A1:CV300,94,FALSE))</f>
      </c>
      <c r="AJ94" t="n" s="23438">
        <v>0.0</v>
      </c>
      <c r="AK94" t="n" s="23439">
        <v>0.0</v>
      </c>
      <c r="AL94" s="23440">
        <f>HLOOKUP("BC",A1:CV300,94,FALSE) - (HLOOKUP("PK Gs",A1:CV300,94,FALSE) + HLOOKUP("PK Miss",A1:CV300,94,FALSE))</f>
      </c>
      <c r="AM94" s="23441">
        <f>HLOOKUP("BC Miss",A1:CV300,94,FALSE) - HLOOKUP("PK Miss",A1:CV300,94,FALSE)</f>
      </c>
      <c r="AN94" s="23442">
        <f>IF(HLOOKUP("BC - Open",A1:CV300,94,FALSE)=0,0,HLOOKUP("BC - Open Miss",A1:CV300,94,FALSE)/HLOOKUP("BC - Open",A1:CV300,94,FALSE))</f>
      </c>
      <c r="AO94" t="n" s="23443">
        <v>0.0</v>
      </c>
      <c r="AP94" s="23444">
        <f>IF(HLOOKUP("Gs",A1:CV300,94,FALSE)=0,0,HLOOKUP("GIB",A1:CV300,94,FALSE)/HLOOKUP("Gs",A1:CV300,94,FALSE))</f>
      </c>
      <c r="AQ94" t="n" s="23445">
        <v>0.0</v>
      </c>
      <c r="AR94" s="23446">
        <f>IF(HLOOKUP("Gs",A1:CV300,94,FALSE)=0,0,HLOOKUP("Gs - Open",A1:CV300,94,FALSE)/HLOOKUP("Gs",A1:CV300,94,FALSE))</f>
      </c>
      <c r="AS94" t="n" s="23447">
        <v>0.0</v>
      </c>
      <c r="AT94" t="n" s="23448">
        <v>0.05</v>
      </c>
      <c r="AU94" s="23449">
        <f>IF(HLOOKUP("Mins",A1:CV300,94,FALSE)=0,0,HLOOKUP("Pts",A1:CV300,94,FALSE)/HLOOKUP("Mins",A1:CV300,94,FALSE)* 90)</f>
      </c>
      <c r="AV94" s="23450">
        <f>IF(HLOOKUP("Apps",A1:CV300,94,FALSE)=0,0,HLOOKUP("Pts",A1:CV300,94,FALSE)/HLOOKUP("Apps",A1:CV300,94,FALSE)* 1)</f>
      </c>
      <c r="AW94" s="23451">
        <f>IF(HLOOKUP("Mins",A1:CV300,94,FALSE)=0,0,HLOOKUP("Gs",A1:CV300,94,FALSE)/HLOOKUP("Mins",A1:CV300,94,FALSE)* 90)</f>
      </c>
      <c r="AX94" s="23452">
        <f>IF(HLOOKUP("Mins",A1:CV300,94,FALSE)=0,0,HLOOKUP("Bonus",A1:CV300,94,FALSE)/HLOOKUP("Mins",A1:CV300,94,FALSE)* 90)</f>
      </c>
      <c r="AY94" s="23453">
        <f>IF(HLOOKUP("Mins",A1:CV300,94,FALSE)=0,0,HLOOKUP("BPS",A1:CV300,94,FALSE)/HLOOKUP("Mins",A1:CV300,94,FALSE)* 90)</f>
      </c>
      <c r="AZ94" s="23454">
        <f>IF(HLOOKUP("Mins",A1:CV300,94,FALSE)=0,0,HLOOKUP("Base BPS",A1:CV300,94,FALSE)/HLOOKUP("Mins",A1:CV300,94,FALSE)* 90)</f>
      </c>
      <c r="BA94" s="23455">
        <f>IF(HLOOKUP("Mins",A1:CV300,94,FALSE)=0,0,HLOOKUP("PenTchs",A1:CV300,94,FALSE)/HLOOKUP("Mins",A1:CV300,94,FALSE)* 90)</f>
      </c>
      <c r="BB94" s="23456">
        <f>IF(HLOOKUP("Mins",A1:CV300,94,FALSE)=0,0,HLOOKUP("Shots",A1:CV300,94,FALSE)/HLOOKUP("Mins",A1:CV300,94,FALSE)* 90)</f>
      </c>
      <c r="BC94" s="23457">
        <f>IF(HLOOKUP("Mins",A1:CV300,94,FALSE)=0,0,HLOOKUP("SIB",A1:CV300,94,FALSE)/HLOOKUP("Mins",A1:CV300,94,FALSE)* 90)</f>
      </c>
      <c r="BD94" s="23458">
        <f>IF(HLOOKUP("Mins",A1:CV300,94,FALSE)=0,0,HLOOKUP("S6YD",A1:CV300,94,FALSE)/HLOOKUP("Mins",A1:CV300,94,FALSE)* 90)</f>
      </c>
      <c r="BE94" s="23459">
        <f>IF(HLOOKUP("Mins",A1:CV300,94,FALSE)=0,0,HLOOKUP("Headers",A1:CV300,94,FALSE)/HLOOKUP("Mins",A1:CV300,94,FALSE)* 90)</f>
      </c>
      <c r="BF94" s="23460">
        <f>IF(HLOOKUP("Mins",A1:CV300,94,FALSE)=0,0,HLOOKUP("SOT",A1:CV300,94,FALSE)/HLOOKUP("Mins",A1:CV300,94,FALSE)* 90)</f>
      </c>
      <c r="BG94" s="23461">
        <f>IF(HLOOKUP("Mins",A1:CV300,94,FALSE)=0,0,HLOOKUP("As",A1:CV300,94,FALSE)/HLOOKUP("Mins",A1:CV300,94,FALSE)* 90)</f>
      </c>
      <c r="BH94" s="23462">
        <f>IF(HLOOKUP("Mins",A1:CV300,94,FALSE)=0,0,HLOOKUP("FPL As",A1:CV300,94,FALSE)/HLOOKUP("Mins",A1:CV300,94,FALSE)* 90)</f>
      </c>
      <c r="BI94" s="23463">
        <f>IF(HLOOKUP("Mins",A1:CV300,94,FALSE)=0,0,HLOOKUP("BC Created",A1:CV300,94,FALSE)/HLOOKUP("Mins",A1:CV300,94,FALSE)* 90)</f>
      </c>
      <c r="BJ94" s="23464">
        <f>IF(HLOOKUP("Mins",A1:CV300,94,FALSE)=0,0,HLOOKUP("KP",A1:CV300,94,FALSE)/HLOOKUP("Mins",A1:CV300,94,FALSE)* 90)</f>
      </c>
      <c r="BK94" s="23465">
        <f>IF(HLOOKUP("Mins",A1:CV300,94,FALSE)=0,0,HLOOKUP("BC",A1:CV300,94,FALSE)/HLOOKUP("Mins",A1:CV300,94,FALSE)* 90)</f>
      </c>
      <c r="BL94" s="23466">
        <f>IF(HLOOKUP("Mins",A1:CV300,94,FALSE)=0,0,HLOOKUP("BC Miss",A1:CV300,94,FALSE)/HLOOKUP("Mins",A1:CV300,94,FALSE)* 90)</f>
      </c>
      <c r="BM94" s="23467">
        <f>IF(HLOOKUP("Mins",A1:CV300,94,FALSE)=0,0,HLOOKUP("Gs - BC",A1:CV300,94,FALSE)/HLOOKUP("Mins",A1:CV300,94,FALSE)* 90)</f>
      </c>
      <c r="BN94" s="23468">
        <f>IF(HLOOKUP("Mins",A1:CV300,94,FALSE)=0,0,HLOOKUP("GIB",A1:CV300,94,FALSE)/HLOOKUP("Mins",A1:CV300,94,FALSE)* 90)</f>
      </c>
      <c r="BO94" s="23469">
        <f>IF(HLOOKUP("Mins",A1:CV300,94,FALSE)=0,0,HLOOKUP("Gs - Open",A1:CV300,94,FALSE)/HLOOKUP("Mins",A1:CV300,94,FALSE)* 90)</f>
      </c>
      <c r="BP94" s="23470">
        <f>IF(HLOOKUP("Mins",A1:CV300,94,FALSE)=0,0,HLOOKUP("ICT Index",A1:CV300,94,FALSE)/HLOOKUP("Mins",A1:CV300,94,FALSE)* 90)</f>
      </c>
      <c r="BQ94" s="23471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</c>
      <c r="BR94" s="23472">
        <f>0.0885*HLOOKUP("KP/90",A1:CV300,94,FALSE)</f>
      </c>
      <c r="BS94" s="23473">
        <f>5*HLOOKUP("xG/90",A1:CV300,94,FALSE)+3*HLOOKUP("xA/90",A1:CV300,94,FALSE)</f>
      </c>
      <c r="BT94" s="23474">
        <f>HLOOKUP("xPts/90",A1:CV300,94,FALSE)-(5*0.75*(HLOOKUP("PK Gs",A1:CV300,94,FALSE)+HLOOKUP("PK Miss",A1:CV300,94,FALSE))*90/HLOOKUP("Mins",A1:CV300,94,FALSE))</f>
      </c>
      <c r="BU94" s="23475">
        <f>IF(HLOOKUP("Mins",A1:CV300,94,FALSE)=0,0,HLOOKUP("fsXG",A1:CV300,94,FALSE)/HLOOKUP("Mins",A1:CV300,94,FALSE)* 90)</f>
      </c>
      <c r="BV94" s="23476">
        <f>IF(HLOOKUP("Mins",A1:CV300,94,FALSE)=0,0,HLOOKUP("fsXA",A1:CV300,94,FALSE)/HLOOKUP("Mins",A1:CV300,94,FALSE)* 90)</f>
      </c>
      <c r="BW94" s="23477">
        <f>5*HLOOKUP("fsXG/90",A1:CV300,94,FALSE)+3*HLOOKUP("fsXA/90",A1:CV300,94,FALSE)</f>
      </c>
      <c r="BX94" t="n" s="23478">
        <v>0.0</v>
      </c>
      <c r="BY94" t="n" s="23479">
        <v>0.0</v>
      </c>
      <c r="BZ94" s="23480">
        <f>5*HLOOKUP("uXG/90",A1:CV300,94,FALSE)+3*HLOOKUP("uXA/90",A1:CV300,94,FALSE)</f>
      </c>
    </row>
    <row r="95">
      <c r="A95" t="s" s="23481">
        <v>398</v>
      </c>
      <c r="B95" t="s" s="23482">
        <v>102</v>
      </c>
      <c r="C95" t="n" s="23483">
        <v>5.0</v>
      </c>
      <c r="D95" t="n" s="23484">
        <v>367.0</v>
      </c>
      <c r="E95" t="n" s="23485">
        <v>6.0</v>
      </c>
      <c r="F95" t="n" s="23486">
        <v>35.0</v>
      </c>
      <c r="G95" t="n" s="23487">
        <v>0.0</v>
      </c>
      <c r="H95" t="n" s="23488">
        <v>0.0</v>
      </c>
      <c r="I95" t="n" s="23489">
        <v>149.0</v>
      </c>
      <c r="J95" s="23490">
        <f>HLOOKUP("BPS",A1:CV300,95,FALSE)-((-6*HLOOKUP("OG",A1:CV300,95,FALSE))+(-6*HLOOKUP("PK Miss",A1:CV300,95,FALSE))+(9*HLOOKUP("FPL As",A1:CV300,95,FALSE))+(0*HLOOKUP("CS",A1:CV300,95,FALSE))+(18*HLOOKUP("Gs",A1:CV300,95,FALSE)))</f>
      </c>
      <c r="K95" t="n" s="23491">
        <v>0.0</v>
      </c>
      <c r="L95" t="n" s="23492">
        <v>2.0</v>
      </c>
      <c r="M95" t="n" s="23493">
        <v>2.0</v>
      </c>
      <c r="N95" t="n" s="23494">
        <v>8.0</v>
      </c>
      <c r="O95" t="n" s="23495">
        <v>1.0</v>
      </c>
      <c r="P95" s="23496">
        <f>IF(HLOOKUP("Shots",A1:CV300,95,FALSE)=0,0,HLOOKUP("SIB",A1:CV300,95,FALSE)/HLOOKUP("Shots",A1:CV300,95,FALSE))</f>
      </c>
      <c r="Q95" t="n" s="23497">
        <v>0.0</v>
      </c>
      <c r="R95" s="23498">
        <f>IF(HLOOKUP("Shots",A1:CV300,95,FALSE)=0,0,HLOOKUP("S6YD",A1:CV300,95,FALSE)/HLOOKUP("Shots",A1:CV300,95,FALSE))</f>
      </c>
      <c r="S95" t="n" s="23499">
        <v>1.0</v>
      </c>
      <c r="T95" s="23500">
        <f>IF(HLOOKUP("Shots",A1:CV300,95,FALSE)=0,0,HLOOKUP("Headers",A1:CV300,95,FALSE)/HLOOKUP("Shots",A1:CV300,95,FALSE))</f>
      </c>
      <c r="U95" t="n" s="23501">
        <v>2.0</v>
      </c>
      <c r="V95" s="23502">
        <f>IF(HLOOKUP("Shots",A1:CV300,95,FALSE)=0,0,HLOOKUP("SOT",A1:CV300,95,FALSE)/HLOOKUP("Shots",A1:CV300,95,FALSE))</f>
      </c>
      <c r="W95" s="23503">
        <f>IF(HLOOKUP("Shots",A1:CV300,95,FALSE)=0,0,HLOOKUP("Gs",A1:CV300,95,FALSE)/HLOOKUP("Shots",A1:CV300,95,FALSE))</f>
      </c>
      <c r="X95" t="n" s="23504">
        <v>0.0</v>
      </c>
      <c r="Y95" t="n" s="23505">
        <v>2.0</v>
      </c>
      <c r="Z95" t="n" s="23506">
        <v>2.0</v>
      </c>
      <c r="AA95" s="23507">
        <f>IF(HLOOKUP("KP",A1:CV300,95,FALSE)=0,0,HLOOKUP("As",A1:CV300,95,FALSE)/HLOOKUP("KP",A1:CV300,95,FALSE))</f>
      </c>
      <c r="AB95" s="23508"/>
      <c r="AC95" t="n" s="23509">
        <v>0.0</v>
      </c>
      <c r="AD95" t="n" s="23510">
        <v>0.0</v>
      </c>
      <c r="AE95" t="n" s="23511">
        <v>0.0</v>
      </c>
      <c r="AF95" t="n" s="23512">
        <v>0.0</v>
      </c>
      <c r="AG95" s="23513">
        <f>IF(HLOOKUP("BC",A1:CV300,95,FALSE)=0,0,HLOOKUP("Gs - BC",A1:CV300,95,FALSE)/HLOOKUP("BC",A1:CV300,95,FALSE))</f>
      </c>
      <c r="AH95" s="23514">
        <f>HLOOKUP("BC",A1:CV300,95,FALSE) - HLOOKUP("BC Miss",A1:CV300,95,FALSE)</f>
      </c>
      <c r="AI95" s="23515">
        <f>IF(HLOOKUP("Gs",A1:CV300,95,FALSE)=0,0,HLOOKUP("Gs - BC",A1:CV300,95,FALSE)/HLOOKUP("Gs",A1:CV300,95,FALSE))</f>
      </c>
      <c r="AJ95" t="n" s="23516">
        <v>0.0</v>
      </c>
      <c r="AK95" t="n" s="23517">
        <v>0.0</v>
      </c>
      <c r="AL95" s="23518">
        <f>HLOOKUP("BC",A1:CV300,95,FALSE) - (HLOOKUP("PK Gs",A1:CV300,95,FALSE) + HLOOKUP("PK Miss",A1:CV300,95,FALSE))</f>
      </c>
      <c r="AM95" s="23519">
        <f>HLOOKUP("BC Miss",A1:CV300,95,FALSE) - HLOOKUP("PK Miss",A1:CV300,95,FALSE)</f>
      </c>
      <c r="AN95" s="23520">
        <f>IF(HLOOKUP("BC - Open",A1:CV300,95,FALSE)=0,0,HLOOKUP("BC - Open Miss",A1:CV300,95,FALSE)/HLOOKUP("BC - Open",A1:CV300,95,FALSE))</f>
      </c>
      <c r="AO95" t="n" s="23521">
        <v>0.0</v>
      </c>
      <c r="AP95" s="23522">
        <f>IF(HLOOKUP("Gs",A1:CV300,95,FALSE)=0,0,HLOOKUP("GIB",A1:CV300,95,FALSE)/HLOOKUP("Gs",A1:CV300,95,FALSE))</f>
      </c>
      <c r="AQ95" t="n" s="23523">
        <v>0.0</v>
      </c>
      <c r="AR95" s="23524">
        <f>IF(HLOOKUP("Gs",A1:CV300,95,FALSE)=0,0,HLOOKUP("Gs - Open",A1:CV300,95,FALSE)/HLOOKUP("Gs",A1:CV300,95,FALSE))</f>
      </c>
      <c r="AS95" t="n" s="23525">
        <v>0.34</v>
      </c>
      <c r="AT95" t="n" s="23526">
        <v>0.06</v>
      </c>
      <c r="AU95" s="23527">
        <f>IF(HLOOKUP("Mins",A1:CV300,95,FALSE)=0,0,HLOOKUP("Pts",A1:CV300,95,FALSE)/HLOOKUP("Mins",A1:CV300,95,FALSE)* 90)</f>
      </c>
      <c r="AV95" s="23528">
        <f>IF(HLOOKUP("Apps",A1:CV300,95,FALSE)=0,0,HLOOKUP("Pts",A1:CV300,95,FALSE)/HLOOKUP("Apps",A1:CV300,95,FALSE)* 1)</f>
      </c>
      <c r="AW95" s="23529">
        <f>IF(HLOOKUP("Mins",A1:CV300,95,FALSE)=0,0,HLOOKUP("Gs",A1:CV300,95,FALSE)/HLOOKUP("Mins",A1:CV300,95,FALSE)* 90)</f>
      </c>
      <c r="AX95" s="23530">
        <f>IF(HLOOKUP("Mins",A1:CV300,95,FALSE)=0,0,HLOOKUP("Bonus",A1:CV300,95,FALSE)/HLOOKUP("Mins",A1:CV300,95,FALSE)* 90)</f>
      </c>
      <c r="AY95" s="23531">
        <f>IF(HLOOKUP("Mins",A1:CV300,95,FALSE)=0,0,HLOOKUP("BPS",A1:CV300,95,FALSE)/HLOOKUP("Mins",A1:CV300,95,FALSE)* 90)</f>
      </c>
      <c r="AZ95" s="23532">
        <f>IF(HLOOKUP("Mins",A1:CV300,95,FALSE)=0,0,HLOOKUP("Base BPS",A1:CV300,95,FALSE)/HLOOKUP("Mins",A1:CV300,95,FALSE)* 90)</f>
      </c>
      <c r="BA95" s="23533">
        <f>IF(HLOOKUP("Mins",A1:CV300,95,FALSE)=0,0,HLOOKUP("PenTchs",A1:CV300,95,FALSE)/HLOOKUP("Mins",A1:CV300,95,FALSE)* 90)</f>
      </c>
      <c r="BB95" s="23534">
        <f>IF(HLOOKUP("Mins",A1:CV300,95,FALSE)=0,0,HLOOKUP("Shots",A1:CV300,95,FALSE)/HLOOKUP("Mins",A1:CV300,95,FALSE)* 90)</f>
      </c>
      <c r="BC95" s="23535">
        <f>IF(HLOOKUP("Mins",A1:CV300,95,FALSE)=0,0,HLOOKUP("SIB",A1:CV300,95,FALSE)/HLOOKUP("Mins",A1:CV300,95,FALSE)* 90)</f>
      </c>
      <c r="BD95" s="23536">
        <f>IF(HLOOKUP("Mins",A1:CV300,95,FALSE)=0,0,HLOOKUP("S6YD",A1:CV300,95,FALSE)/HLOOKUP("Mins",A1:CV300,95,FALSE)* 90)</f>
      </c>
      <c r="BE95" s="23537">
        <f>IF(HLOOKUP("Mins",A1:CV300,95,FALSE)=0,0,HLOOKUP("Headers",A1:CV300,95,FALSE)/HLOOKUP("Mins",A1:CV300,95,FALSE)* 90)</f>
      </c>
      <c r="BF95" s="23538">
        <f>IF(HLOOKUP("Mins",A1:CV300,95,FALSE)=0,0,HLOOKUP("SOT",A1:CV300,95,FALSE)/HLOOKUP("Mins",A1:CV300,95,FALSE)* 90)</f>
      </c>
      <c r="BG95" s="23539">
        <f>IF(HLOOKUP("Mins",A1:CV300,95,FALSE)=0,0,HLOOKUP("As",A1:CV300,95,FALSE)/HLOOKUP("Mins",A1:CV300,95,FALSE)* 90)</f>
      </c>
      <c r="BH95" s="23540">
        <f>IF(HLOOKUP("Mins",A1:CV300,95,FALSE)=0,0,HLOOKUP("FPL As",A1:CV300,95,FALSE)/HLOOKUP("Mins",A1:CV300,95,FALSE)* 90)</f>
      </c>
      <c r="BI95" s="23541">
        <f>IF(HLOOKUP("Mins",A1:CV300,95,FALSE)=0,0,HLOOKUP("BC Created",A1:CV300,95,FALSE)/HLOOKUP("Mins",A1:CV300,95,FALSE)* 90)</f>
      </c>
      <c r="BJ95" s="23542">
        <f>IF(HLOOKUP("Mins",A1:CV300,95,FALSE)=0,0,HLOOKUP("KP",A1:CV300,95,FALSE)/HLOOKUP("Mins",A1:CV300,95,FALSE)* 90)</f>
      </c>
      <c r="BK95" s="23543">
        <f>IF(HLOOKUP("Mins",A1:CV300,95,FALSE)=0,0,HLOOKUP("BC",A1:CV300,95,FALSE)/HLOOKUP("Mins",A1:CV300,95,FALSE)* 90)</f>
      </c>
      <c r="BL95" s="23544">
        <f>IF(HLOOKUP("Mins",A1:CV300,95,FALSE)=0,0,HLOOKUP("BC Miss",A1:CV300,95,FALSE)/HLOOKUP("Mins",A1:CV300,95,FALSE)* 90)</f>
      </c>
      <c r="BM95" s="23545">
        <f>IF(HLOOKUP("Mins",A1:CV300,95,FALSE)=0,0,HLOOKUP("Gs - BC",A1:CV300,95,FALSE)/HLOOKUP("Mins",A1:CV300,95,FALSE)* 90)</f>
      </c>
      <c r="BN95" s="23546">
        <f>IF(HLOOKUP("Mins",A1:CV300,95,FALSE)=0,0,HLOOKUP("GIB",A1:CV300,95,FALSE)/HLOOKUP("Mins",A1:CV300,95,FALSE)* 90)</f>
      </c>
      <c r="BO95" s="23547">
        <f>IF(HLOOKUP("Mins",A1:CV300,95,FALSE)=0,0,HLOOKUP("Gs - Open",A1:CV300,95,FALSE)/HLOOKUP("Mins",A1:CV300,95,FALSE)* 90)</f>
      </c>
      <c r="BP95" s="23548">
        <f>IF(HLOOKUP("Mins",A1:CV300,95,FALSE)=0,0,HLOOKUP("ICT Index",A1:CV300,95,FALSE)/HLOOKUP("Mins",A1:CV300,95,FALSE)* 90)</f>
      </c>
      <c r="BQ95" s="23549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</c>
      <c r="BR95" s="23550">
        <f>0.0885*HLOOKUP("KP/90",A1:CV300,95,FALSE)</f>
      </c>
      <c r="BS95" s="23551">
        <f>5*HLOOKUP("xG/90",A1:CV300,95,FALSE)+3*HLOOKUP("xA/90",A1:CV300,95,FALSE)</f>
      </c>
      <c r="BT95" s="23552">
        <f>HLOOKUP("xPts/90",A1:CV300,95,FALSE)-(5*0.75*(HLOOKUP("PK Gs",A1:CV300,95,FALSE)+HLOOKUP("PK Miss",A1:CV300,95,FALSE))*90/HLOOKUP("Mins",A1:CV300,95,FALSE))</f>
      </c>
      <c r="BU95" s="23553">
        <f>IF(HLOOKUP("Mins",A1:CV300,95,FALSE)=0,0,HLOOKUP("fsXG",A1:CV300,95,FALSE)/HLOOKUP("Mins",A1:CV300,95,FALSE)* 90)</f>
      </c>
      <c r="BV95" s="23554">
        <f>IF(HLOOKUP("Mins",A1:CV300,95,FALSE)=0,0,HLOOKUP("fsXA",A1:CV300,95,FALSE)/HLOOKUP("Mins",A1:CV300,95,FALSE)* 90)</f>
      </c>
      <c r="BW95" s="23555">
        <f>5*HLOOKUP("fsXG/90",A1:CV300,95,FALSE)+3*HLOOKUP("fsXA/90",A1:CV300,95,FALSE)</f>
      </c>
      <c r="BX95" t="n" s="23556">
        <v>0.06828680634498596</v>
      </c>
      <c r="BY95" t="n" s="23557">
        <v>0.028820786625146866</v>
      </c>
      <c r="BZ95" s="23558">
        <f>5*HLOOKUP("uXG/90",A1:CV300,95,FALSE)+3*HLOOKUP("uXA/90",A1:CV300,95,FALSE)</f>
      </c>
    </row>
    <row r="96">
      <c r="A96" t="s" s="23559">
        <v>399</v>
      </c>
      <c r="B96" t="s" s="23560">
        <v>107</v>
      </c>
      <c r="C96" t="n" s="23561">
        <v>5.199999809265137</v>
      </c>
      <c r="D96" t="n" s="23562">
        <v>188.0</v>
      </c>
      <c r="E96" t="n" s="23563">
        <v>5.0</v>
      </c>
      <c r="F96" t="n" s="23564">
        <v>18.0</v>
      </c>
      <c r="G96" t="n" s="23565">
        <v>0.0</v>
      </c>
      <c r="H96" t="n" s="23566">
        <v>0.0</v>
      </c>
      <c r="I96" t="n" s="23567">
        <v>43.0</v>
      </c>
      <c r="J96" s="23568">
        <f>HLOOKUP("BPS",A1:CV300,96,FALSE)-((-6*HLOOKUP("OG",A1:CV300,96,FALSE))+(-6*HLOOKUP("PK Miss",A1:CV300,96,FALSE))+(9*HLOOKUP("FPL As",A1:CV300,96,FALSE))+(0*HLOOKUP("CS",A1:CV300,96,FALSE))+(18*HLOOKUP("Gs",A1:CV300,96,FALSE)))</f>
      </c>
      <c r="K96" t="n" s="23569">
        <v>0.0</v>
      </c>
      <c r="L96" t="n" s="23570">
        <v>1.0</v>
      </c>
      <c r="M96" t="n" s="23571">
        <v>4.0</v>
      </c>
      <c r="N96" t="n" s="23572">
        <v>2.0</v>
      </c>
      <c r="O96" t="n" s="23573">
        <v>2.0</v>
      </c>
      <c r="P96" s="23574">
        <f>IF(HLOOKUP("Shots",A1:CV300,96,FALSE)=0,0,HLOOKUP("SIB",A1:CV300,96,FALSE)/HLOOKUP("Shots",A1:CV300,96,FALSE))</f>
      </c>
      <c r="Q96" t="n" s="23575">
        <v>0.0</v>
      </c>
      <c r="R96" s="23576">
        <f>IF(HLOOKUP("Shots",A1:CV300,96,FALSE)=0,0,HLOOKUP("S6YD",A1:CV300,96,FALSE)/HLOOKUP("Shots",A1:CV300,96,FALSE))</f>
      </c>
      <c r="S96" t="n" s="23577">
        <v>0.0</v>
      </c>
      <c r="T96" s="23578">
        <f>IF(HLOOKUP("Shots",A1:CV300,96,FALSE)=0,0,HLOOKUP("Headers",A1:CV300,96,FALSE)/HLOOKUP("Shots",A1:CV300,96,FALSE))</f>
      </c>
      <c r="U96" t="n" s="23579">
        <v>1.0</v>
      </c>
      <c r="V96" s="23580">
        <f>IF(HLOOKUP("Shots",A1:CV300,96,FALSE)=0,0,HLOOKUP("SOT",A1:CV300,96,FALSE)/HLOOKUP("Shots",A1:CV300,96,FALSE))</f>
      </c>
      <c r="W96" s="23581">
        <f>IF(HLOOKUP("Shots",A1:CV300,96,FALSE)=0,0,HLOOKUP("Gs",A1:CV300,96,FALSE)/HLOOKUP("Shots",A1:CV300,96,FALSE))</f>
      </c>
      <c r="X96" t="n" s="23582">
        <v>0.0</v>
      </c>
      <c r="Y96" t="n" s="23583">
        <v>0.0</v>
      </c>
      <c r="Z96" t="n" s="23584">
        <v>0.0</v>
      </c>
      <c r="AA96" s="23585">
        <f>IF(HLOOKUP("KP",A1:CV300,96,FALSE)=0,0,HLOOKUP("As",A1:CV300,96,FALSE)/HLOOKUP("KP",A1:CV300,96,FALSE))</f>
      </c>
      <c r="AB96" s="23586"/>
      <c r="AC96" t="n" s="23587">
        <v>0.0</v>
      </c>
      <c r="AD96" t="n" s="23588">
        <v>0.0</v>
      </c>
      <c r="AE96" t="n" s="23589">
        <v>0.0</v>
      </c>
      <c r="AF96" t="n" s="23590">
        <v>0.0</v>
      </c>
      <c r="AG96" s="23591">
        <f>IF(HLOOKUP("BC",A1:CV300,96,FALSE)=0,0,HLOOKUP("Gs - BC",A1:CV300,96,FALSE)/HLOOKUP("BC",A1:CV300,96,FALSE))</f>
      </c>
      <c r="AH96" s="23592">
        <f>HLOOKUP("BC",A1:CV300,96,FALSE) - HLOOKUP("BC Miss",A1:CV300,96,FALSE)</f>
      </c>
      <c r="AI96" s="23593">
        <f>IF(HLOOKUP("Gs",A1:CV300,96,FALSE)=0,0,HLOOKUP("Gs - BC",A1:CV300,96,FALSE)/HLOOKUP("Gs",A1:CV300,96,FALSE))</f>
      </c>
      <c r="AJ96" t="n" s="23594">
        <v>0.0</v>
      </c>
      <c r="AK96" t="n" s="23595">
        <v>0.0</v>
      </c>
      <c r="AL96" s="23596">
        <f>HLOOKUP("BC",A1:CV300,96,FALSE) - (HLOOKUP("PK Gs",A1:CV300,96,FALSE) + HLOOKUP("PK Miss",A1:CV300,96,FALSE))</f>
      </c>
      <c r="AM96" s="23597">
        <f>HLOOKUP("BC Miss",A1:CV300,96,FALSE) - HLOOKUP("PK Miss",A1:CV300,96,FALSE)</f>
      </c>
      <c r="AN96" s="23598">
        <f>IF(HLOOKUP("BC - Open",A1:CV300,96,FALSE)=0,0,HLOOKUP("BC - Open Miss",A1:CV300,96,FALSE)/HLOOKUP("BC - Open",A1:CV300,96,FALSE))</f>
      </c>
      <c r="AO96" t="n" s="23599">
        <v>0.0</v>
      </c>
      <c r="AP96" s="23600">
        <f>IF(HLOOKUP("Gs",A1:CV300,96,FALSE)=0,0,HLOOKUP("GIB",A1:CV300,96,FALSE)/HLOOKUP("Gs",A1:CV300,96,FALSE))</f>
      </c>
      <c r="AQ96" t="n" s="23601">
        <v>0.0</v>
      </c>
      <c r="AR96" s="23602">
        <f>IF(HLOOKUP("Gs",A1:CV300,96,FALSE)=0,0,HLOOKUP("Gs - Open",A1:CV300,96,FALSE)/HLOOKUP("Gs",A1:CV300,96,FALSE))</f>
      </c>
      <c r="AS96" t="n" s="23603">
        <v>0.1</v>
      </c>
      <c r="AT96" t="n" s="23604">
        <v>0.1</v>
      </c>
      <c r="AU96" s="23605">
        <f>IF(HLOOKUP("Mins",A1:CV300,96,FALSE)=0,0,HLOOKUP("Pts",A1:CV300,96,FALSE)/HLOOKUP("Mins",A1:CV300,96,FALSE)* 90)</f>
      </c>
      <c r="AV96" s="23606">
        <f>IF(HLOOKUP("Apps",A1:CV300,96,FALSE)=0,0,HLOOKUP("Pts",A1:CV300,96,FALSE)/HLOOKUP("Apps",A1:CV300,96,FALSE)* 1)</f>
      </c>
      <c r="AW96" s="23607">
        <f>IF(HLOOKUP("Mins",A1:CV300,96,FALSE)=0,0,HLOOKUP("Gs",A1:CV300,96,FALSE)/HLOOKUP("Mins",A1:CV300,96,FALSE)* 90)</f>
      </c>
      <c r="AX96" s="23608">
        <f>IF(HLOOKUP("Mins",A1:CV300,96,FALSE)=0,0,HLOOKUP("Bonus",A1:CV300,96,FALSE)/HLOOKUP("Mins",A1:CV300,96,FALSE)* 90)</f>
      </c>
      <c r="AY96" s="23609">
        <f>IF(HLOOKUP("Mins",A1:CV300,96,FALSE)=0,0,HLOOKUP("BPS",A1:CV300,96,FALSE)/HLOOKUP("Mins",A1:CV300,96,FALSE)* 90)</f>
      </c>
      <c r="AZ96" s="23610">
        <f>IF(HLOOKUP("Mins",A1:CV300,96,FALSE)=0,0,HLOOKUP("Base BPS",A1:CV300,96,FALSE)/HLOOKUP("Mins",A1:CV300,96,FALSE)* 90)</f>
      </c>
      <c r="BA96" s="23611">
        <f>IF(HLOOKUP("Mins",A1:CV300,96,FALSE)=0,0,HLOOKUP("PenTchs",A1:CV300,96,FALSE)/HLOOKUP("Mins",A1:CV300,96,FALSE)* 90)</f>
      </c>
      <c r="BB96" s="23612">
        <f>IF(HLOOKUP("Mins",A1:CV300,96,FALSE)=0,0,HLOOKUP("Shots",A1:CV300,96,FALSE)/HLOOKUP("Mins",A1:CV300,96,FALSE)* 90)</f>
      </c>
      <c r="BC96" s="23613">
        <f>IF(HLOOKUP("Mins",A1:CV300,96,FALSE)=0,0,HLOOKUP("SIB",A1:CV300,96,FALSE)/HLOOKUP("Mins",A1:CV300,96,FALSE)* 90)</f>
      </c>
      <c r="BD96" s="23614">
        <f>IF(HLOOKUP("Mins",A1:CV300,96,FALSE)=0,0,HLOOKUP("S6YD",A1:CV300,96,FALSE)/HLOOKUP("Mins",A1:CV300,96,FALSE)* 90)</f>
      </c>
      <c r="BE96" s="23615">
        <f>IF(HLOOKUP("Mins",A1:CV300,96,FALSE)=0,0,HLOOKUP("Headers",A1:CV300,96,FALSE)/HLOOKUP("Mins",A1:CV300,96,FALSE)* 90)</f>
      </c>
      <c r="BF96" s="23616">
        <f>IF(HLOOKUP("Mins",A1:CV300,96,FALSE)=0,0,HLOOKUP("SOT",A1:CV300,96,FALSE)/HLOOKUP("Mins",A1:CV300,96,FALSE)* 90)</f>
      </c>
      <c r="BG96" s="23617">
        <f>IF(HLOOKUP("Mins",A1:CV300,96,FALSE)=0,0,HLOOKUP("As",A1:CV300,96,FALSE)/HLOOKUP("Mins",A1:CV300,96,FALSE)* 90)</f>
      </c>
      <c r="BH96" s="23618">
        <f>IF(HLOOKUP("Mins",A1:CV300,96,FALSE)=0,0,HLOOKUP("FPL As",A1:CV300,96,FALSE)/HLOOKUP("Mins",A1:CV300,96,FALSE)* 90)</f>
      </c>
      <c r="BI96" s="23619">
        <f>IF(HLOOKUP("Mins",A1:CV300,96,FALSE)=0,0,HLOOKUP("BC Created",A1:CV300,96,FALSE)/HLOOKUP("Mins",A1:CV300,96,FALSE)* 90)</f>
      </c>
      <c r="BJ96" s="23620">
        <f>IF(HLOOKUP("Mins",A1:CV300,96,FALSE)=0,0,HLOOKUP("KP",A1:CV300,96,FALSE)/HLOOKUP("Mins",A1:CV300,96,FALSE)* 90)</f>
      </c>
      <c r="BK96" s="23621">
        <f>IF(HLOOKUP("Mins",A1:CV300,96,FALSE)=0,0,HLOOKUP("BC",A1:CV300,96,FALSE)/HLOOKUP("Mins",A1:CV300,96,FALSE)* 90)</f>
      </c>
      <c r="BL96" s="23622">
        <f>IF(HLOOKUP("Mins",A1:CV300,96,FALSE)=0,0,HLOOKUP("BC Miss",A1:CV300,96,FALSE)/HLOOKUP("Mins",A1:CV300,96,FALSE)* 90)</f>
      </c>
      <c r="BM96" s="23623">
        <f>IF(HLOOKUP("Mins",A1:CV300,96,FALSE)=0,0,HLOOKUP("Gs - BC",A1:CV300,96,FALSE)/HLOOKUP("Mins",A1:CV300,96,FALSE)* 90)</f>
      </c>
      <c r="BN96" s="23624">
        <f>IF(HLOOKUP("Mins",A1:CV300,96,FALSE)=0,0,HLOOKUP("GIB",A1:CV300,96,FALSE)/HLOOKUP("Mins",A1:CV300,96,FALSE)* 90)</f>
      </c>
      <c r="BO96" s="23625">
        <f>IF(HLOOKUP("Mins",A1:CV300,96,FALSE)=0,0,HLOOKUP("Gs - Open",A1:CV300,96,FALSE)/HLOOKUP("Mins",A1:CV300,96,FALSE)* 90)</f>
      </c>
      <c r="BP96" s="23626">
        <f>IF(HLOOKUP("Mins",A1:CV300,96,FALSE)=0,0,HLOOKUP("ICT Index",A1:CV300,96,FALSE)/HLOOKUP("Mins",A1:CV300,96,FALSE)* 90)</f>
      </c>
      <c r="BQ96" s="23627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</c>
      <c r="BR96" s="23628">
        <f>0.0885*HLOOKUP("KP/90",A1:CV300,96,FALSE)</f>
      </c>
      <c r="BS96" s="23629">
        <f>5*HLOOKUP("xG/90",A1:CV300,96,FALSE)+3*HLOOKUP("xA/90",A1:CV300,96,FALSE)</f>
      </c>
      <c r="BT96" s="23630">
        <f>HLOOKUP("xPts/90",A1:CV300,96,FALSE)-(5*0.75*(HLOOKUP("PK Gs",A1:CV300,96,FALSE)+HLOOKUP("PK Miss",A1:CV300,96,FALSE))*90/HLOOKUP("Mins",A1:CV300,96,FALSE))</f>
      </c>
      <c r="BU96" s="23631">
        <f>IF(HLOOKUP("Mins",A1:CV300,96,FALSE)=0,0,HLOOKUP("fsXG",A1:CV300,96,FALSE)/HLOOKUP("Mins",A1:CV300,96,FALSE)* 90)</f>
      </c>
      <c r="BV96" s="23632">
        <f>IF(HLOOKUP("Mins",A1:CV300,96,FALSE)=0,0,HLOOKUP("fsXA",A1:CV300,96,FALSE)/HLOOKUP("Mins",A1:CV300,96,FALSE)* 90)</f>
      </c>
      <c r="BW96" s="23633">
        <f>5*HLOOKUP("fsXG/90",A1:CV300,96,FALSE)+3*HLOOKUP("fsXA/90",A1:CV300,96,FALSE)</f>
      </c>
      <c r="BX96" t="n" s="23634">
        <v>0.044921986758708954</v>
      </c>
      <c r="BY96" t="n" s="23635">
        <v>0.0</v>
      </c>
      <c r="BZ96" s="23636">
        <f>5*HLOOKUP("uXG/90",A1:CV300,96,FALSE)+3*HLOOKUP("uXA/90",A1:CV300,96,FALSE)</f>
      </c>
    </row>
    <row r="97">
      <c r="A97" t="s" s="23637">
        <v>400</v>
      </c>
      <c r="B97" t="s" s="23638">
        <v>134</v>
      </c>
      <c r="C97" t="n" s="23639">
        <v>5.400000095367432</v>
      </c>
      <c r="D97" t="n" s="23640">
        <v>168.0</v>
      </c>
      <c r="E97" t="n" s="23641">
        <v>5.0</v>
      </c>
      <c r="F97" t="n" s="23642">
        <v>39.0</v>
      </c>
      <c r="G97" t="n" s="23643">
        <v>0.0</v>
      </c>
      <c r="H97" t="n" s="23644">
        <v>4.0</v>
      </c>
      <c r="I97" t="n" s="23645">
        <v>223.0</v>
      </c>
      <c r="J97" s="23646">
        <f>HLOOKUP("BPS",A1:CV300,97,FALSE)-((-6*HLOOKUP("OG",A1:CV300,97,FALSE))+(-6*HLOOKUP("PK Miss",A1:CV300,97,FALSE))+(9*HLOOKUP("FPL As",A1:CV300,97,FALSE))+(0*HLOOKUP("CS",A1:CV300,97,FALSE))+(18*HLOOKUP("Gs",A1:CV300,97,FALSE)))</f>
      </c>
      <c r="K97" t="n" s="23647">
        <v>0.0</v>
      </c>
      <c r="L97" t="n" s="23648">
        <v>3.0</v>
      </c>
      <c r="M97" t="n" s="23649">
        <v>1.0</v>
      </c>
      <c r="N97" t="n" s="23650">
        <v>1.0</v>
      </c>
      <c r="O97" t="n" s="23651">
        <v>0.0</v>
      </c>
      <c r="P97" s="23652">
        <f>IF(HLOOKUP("Shots",A1:CV300,97,FALSE)=0,0,HLOOKUP("SIB",A1:CV300,97,FALSE)/HLOOKUP("Shots",A1:CV300,97,FALSE))</f>
      </c>
      <c r="Q97" t="n" s="23653">
        <v>0.0</v>
      </c>
      <c r="R97" s="23654">
        <f>IF(HLOOKUP("Shots",A1:CV300,97,FALSE)=0,0,HLOOKUP("S6YD",A1:CV300,97,FALSE)/HLOOKUP("Shots",A1:CV300,97,FALSE))</f>
      </c>
      <c r="S97" t="n" s="23655">
        <v>0.0</v>
      </c>
      <c r="T97" s="23656">
        <f>IF(HLOOKUP("Shots",A1:CV300,97,FALSE)=0,0,HLOOKUP("Headers",A1:CV300,97,FALSE)/HLOOKUP("Shots",A1:CV300,97,FALSE))</f>
      </c>
      <c r="U97" t="n" s="23657">
        <v>0.0</v>
      </c>
      <c r="V97" s="23658">
        <f>IF(HLOOKUP("Shots",A1:CV300,97,FALSE)=0,0,HLOOKUP("SOT",A1:CV300,97,FALSE)/HLOOKUP("Shots",A1:CV300,97,FALSE))</f>
      </c>
      <c r="W97" s="23659">
        <f>IF(HLOOKUP("Shots",A1:CV300,97,FALSE)=0,0,HLOOKUP("Gs",A1:CV300,97,FALSE)/HLOOKUP("Shots",A1:CV300,97,FALSE))</f>
      </c>
      <c r="X97" t="n" s="23660">
        <v>0.0</v>
      </c>
      <c r="Y97" t="n" s="23661">
        <v>1.0</v>
      </c>
      <c r="Z97" t="n" s="23662">
        <v>1.0</v>
      </c>
      <c r="AA97" s="23663">
        <f>IF(HLOOKUP("KP",A1:CV300,97,FALSE)=0,0,HLOOKUP("As",A1:CV300,97,FALSE)/HLOOKUP("KP",A1:CV300,97,FALSE))</f>
      </c>
      <c r="AB97" s="23664"/>
      <c r="AC97" t="n" s="23665">
        <v>0.0</v>
      </c>
      <c r="AD97" t="n" s="23666">
        <v>0.0</v>
      </c>
      <c r="AE97" t="n" s="23667">
        <v>0.0</v>
      </c>
      <c r="AF97" t="n" s="23668">
        <v>0.0</v>
      </c>
      <c r="AG97" s="23669">
        <f>IF(HLOOKUP("BC",A1:CV300,97,FALSE)=0,0,HLOOKUP("Gs - BC",A1:CV300,97,FALSE)/HLOOKUP("BC",A1:CV300,97,FALSE))</f>
      </c>
      <c r="AH97" s="23670">
        <f>HLOOKUP("BC",A1:CV300,97,FALSE) - HLOOKUP("BC Miss",A1:CV300,97,FALSE)</f>
      </c>
      <c r="AI97" s="23671">
        <f>IF(HLOOKUP("Gs",A1:CV300,97,FALSE)=0,0,HLOOKUP("Gs - BC",A1:CV300,97,FALSE)/HLOOKUP("Gs",A1:CV300,97,FALSE))</f>
      </c>
      <c r="AJ97" t="n" s="23672">
        <v>0.0</v>
      </c>
      <c r="AK97" t="n" s="23673">
        <v>0.0</v>
      </c>
      <c r="AL97" s="23674">
        <f>HLOOKUP("BC",A1:CV300,97,FALSE) - (HLOOKUP("PK Gs",A1:CV300,97,FALSE) + HLOOKUP("PK Miss",A1:CV300,97,FALSE))</f>
      </c>
      <c r="AM97" s="23675">
        <f>HLOOKUP("BC Miss",A1:CV300,97,FALSE) - HLOOKUP("PK Miss",A1:CV300,97,FALSE)</f>
      </c>
      <c r="AN97" s="23676">
        <f>IF(HLOOKUP("BC - Open",A1:CV300,97,FALSE)=0,0,HLOOKUP("BC - Open Miss",A1:CV300,97,FALSE)/HLOOKUP("BC - Open",A1:CV300,97,FALSE))</f>
      </c>
      <c r="AO97" t="n" s="23677">
        <v>0.0</v>
      </c>
      <c r="AP97" s="23678">
        <f>IF(HLOOKUP("Gs",A1:CV300,97,FALSE)=0,0,HLOOKUP("GIB",A1:CV300,97,FALSE)/HLOOKUP("Gs",A1:CV300,97,FALSE))</f>
      </c>
      <c r="AQ97" t="n" s="23679">
        <v>0.0</v>
      </c>
      <c r="AR97" s="23680">
        <f>IF(HLOOKUP("Gs",A1:CV300,97,FALSE)=0,0,HLOOKUP("Gs - Open",A1:CV300,97,FALSE)/HLOOKUP("Gs",A1:CV300,97,FALSE))</f>
      </c>
      <c r="AS97" t="n" s="23681">
        <v>0.02</v>
      </c>
      <c r="AT97" t="n" s="23682">
        <v>0.07</v>
      </c>
      <c r="AU97" s="23683">
        <f>IF(HLOOKUP("Mins",A1:CV300,97,FALSE)=0,0,HLOOKUP("Pts",A1:CV300,97,FALSE)/HLOOKUP("Mins",A1:CV300,97,FALSE)* 90)</f>
      </c>
      <c r="AV97" s="23684">
        <f>IF(HLOOKUP("Apps",A1:CV300,97,FALSE)=0,0,HLOOKUP("Pts",A1:CV300,97,FALSE)/HLOOKUP("Apps",A1:CV300,97,FALSE)* 1)</f>
      </c>
      <c r="AW97" s="23685">
        <f>IF(HLOOKUP("Mins",A1:CV300,97,FALSE)=0,0,HLOOKUP("Gs",A1:CV300,97,FALSE)/HLOOKUP("Mins",A1:CV300,97,FALSE)* 90)</f>
      </c>
      <c r="AX97" s="23686">
        <f>IF(HLOOKUP("Mins",A1:CV300,97,FALSE)=0,0,HLOOKUP("Bonus",A1:CV300,97,FALSE)/HLOOKUP("Mins",A1:CV300,97,FALSE)* 90)</f>
      </c>
      <c r="AY97" s="23687">
        <f>IF(HLOOKUP("Mins",A1:CV300,97,FALSE)=0,0,HLOOKUP("BPS",A1:CV300,97,FALSE)/HLOOKUP("Mins",A1:CV300,97,FALSE)* 90)</f>
      </c>
      <c r="AZ97" s="23688">
        <f>IF(HLOOKUP("Mins",A1:CV300,97,FALSE)=0,0,HLOOKUP("Base BPS",A1:CV300,97,FALSE)/HLOOKUP("Mins",A1:CV300,97,FALSE)* 90)</f>
      </c>
      <c r="BA97" s="23689">
        <f>IF(HLOOKUP("Mins",A1:CV300,97,FALSE)=0,0,HLOOKUP("PenTchs",A1:CV300,97,FALSE)/HLOOKUP("Mins",A1:CV300,97,FALSE)* 90)</f>
      </c>
      <c r="BB97" s="23690">
        <f>IF(HLOOKUP("Mins",A1:CV300,97,FALSE)=0,0,HLOOKUP("Shots",A1:CV300,97,FALSE)/HLOOKUP("Mins",A1:CV300,97,FALSE)* 90)</f>
      </c>
      <c r="BC97" s="23691">
        <f>IF(HLOOKUP("Mins",A1:CV300,97,FALSE)=0,0,HLOOKUP("SIB",A1:CV300,97,FALSE)/HLOOKUP("Mins",A1:CV300,97,FALSE)* 90)</f>
      </c>
      <c r="BD97" s="23692">
        <f>IF(HLOOKUP("Mins",A1:CV300,97,FALSE)=0,0,HLOOKUP("S6YD",A1:CV300,97,FALSE)/HLOOKUP("Mins",A1:CV300,97,FALSE)* 90)</f>
      </c>
      <c r="BE97" s="23693">
        <f>IF(HLOOKUP("Mins",A1:CV300,97,FALSE)=0,0,HLOOKUP("Headers",A1:CV300,97,FALSE)/HLOOKUP("Mins",A1:CV300,97,FALSE)* 90)</f>
      </c>
      <c r="BF97" s="23694">
        <f>IF(HLOOKUP("Mins",A1:CV300,97,FALSE)=0,0,HLOOKUP("SOT",A1:CV300,97,FALSE)/HLOOKUP("Mins",A1:CV300,97,FALSE)* 90)</f>
      </c>
      <c r="BG97" s="23695">
        <f>IF(HLOOKUP("Mins",A1:CV300,97,FALSE)=0,0,HLOOKUP("As",A1:CV300,97,FALSE)/HLOOKUP("Mins",A1:CV300,97,FALSE)* 90)</f>
      </c>
      <c r="BH97" s="23696">
        <f>IF(HLOOKUP("Mins",A1:CV300,97,FALSE)=0,0,HLOOKUP("FPL As",A1:CV300,97,FALSE)/HLOOKUP("Mins",A1:CV300,97,FALSE)* 90)</f>
      </c>
      <c r="BI97" s="23697">
        <f>IF(HLOOKUP("Mins",A1:CV300,97,FALSE)=0,0,HLOOKUP("BC Created",A1:CV300,97,FALSE)/HLOOKUP("Mins",A1:CV300,97,FALSE)* 90)</f>
      </c>
      <c r="BJ97" s="23698">
        <f>IF(HLOOKUP("Mins",A1:CV300,97,FALSE)=0,0,HLOOKUP("KP",A1:CV300,97,FALSE)/HLOOKUP("Mins",A1:CV300,97,FALSE)* 90)</f>
      </c>
      <c r="BK97" s="23699">
        <f>IF(HLOOKUP("Mins",A1:CV300,97,FALSE)=0,0,HLOOKUP("BC",A1:CV300,97,FALSE)/HLOOKUP("Mins",A1:CV300,97,FALSE)* 90)</f>
      </c>
      <c r="BL97" s="23700">
        <f>IF(HLOOKUP("Mins",A1:CV300,97,FALSE)=0,0,HLOOKUP("BC Miss",A1:CV300,97,FALSE)/HLOOKUP("Mins",A1:CV300,97,FALSE)* 90)</f>
      </c>
      <c r="BM97" s="23701">
        <f>IF(HLOOKUP("Mins",A1:CV300,97,FALSE)=0,0,HLOOKUP("Gs - BC",A1:CV300,97,FALSE)/HLOOKUP("Mins",A1:CV300,97,FALSE)* 90)</f>
      </c>
      <c r="BN97" s="23702">
        <f>IF(HLOOKUP("Mins",A1:CV300,97,FALSE)=0,0,HLOOKUP("GIB",A1:CV300,97,FALSE)/HLOOKUP("Mins",A1:CV300,97,FALSE)* 90)</f>
      </c>
      <c r="BO97" s="23703">
        <f>IF(HLOOKUP("Mins",A1:CV300,97,FALSE)=0,0,HLOOKUP("Gs - Open",A1:CV300,97,FALSE)/HLOOKUP("Mins",A1:CV300,97,FALSE)* 90)</f>
      </c>
      <c r="BP97" s="23704">
        <f>IF(HLOOKUP("Mins",A1:CV300,97,FALSE)=0,0,HLOOKUP("ICT Index",A1:CV300,97,FALSE)/HLOOKUP("Mins",A1:CV300,97,FALSE)* 90)</f>
      </c>
      <c r="BQ97" s="23705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</c>
      <c r="BR97" s="23706">
        <f>0.0885*HLOOKUP("KP/90",A1:CV300,97,FALSE)</f>
      </c>
      <c r="BS97" s="23707">
        <f>5*HLOOKUP("xG/90",A1:CV300,97,FALSE)+3*HLOOKUP("xA/90",A1:CV300,97,FALSE)</f>
      </c>
      <c r="BT97" s="23708">
        <f>HLOOKUP("xPts/90",A1:CV300,97,FALSE)-(5*0.75*(HLOOKUP("PK Gs",A1:CV300,97,FALSE)+HLOOKUP("PK Miss",A1:CV300,97,FALSE))*90/HLOOKUP("Mins",A1:CV300,97,FALSE))</f>
      </c>
      <c r="BU97" s="23709">
        <f>IF(HLOOKUP("Mins",A1:CV300,97,FALSE)=0,0,HLOOKUP("fsXG",A1:CV300,97,FALSE)/HLOOKUP("Mins",A1:CV300,97,FALSE)* 90)</f>
      </c>
      <c r="BV97" s="23710">
        <f>IF(HLOOKUP("Mins",A1:CV300,97,FALSE)=0,0,HLOOKUP("fsXA",A1:CV300,97,FALSE)/HLOOKUP("Mins",A1:CV300,97,FALSE)* 90)</f>
      </c>
      <c r="BW97" s="23711">
        <f>5*HLOOKUP("fsXG/90",A1:CV300,97,FALSE)+3*HLOOKUP("fsXA/90",A1:CV300,97,FALSE)</f>
      </c>
      <c r="BX97" t="n" s="23712">
        <v>0.009093111380934715</v>
      </c>
      <c r="BY97" t="n" s="23713">
        <v>0.06177986413240433</v>
      </c>
      <c r="BZ97" s="23714">
        <f>5*HLOOKUP("uXG/90",A1:CV300,97,FALSE)+3*HLOOKUP("uXA/90",A1:CV300,97,FALSE)</f>
      </c>
    </row>
    <row r="98">
      <c r="A98" t="s" s="23715">
        <v>401</v>
      </c>
      <c r="B98" t="s" s="23716">
        <v>149</v>
      </c>
      <c r="C98" t="n" s="23717">
        <v>5.0</v>
      </c>
      <c r="D98" t="n" s="23718">
        <v>351.0</v>
      </c>
      <c r="E98" t="n" s="23719">
        <v>5.0</v>
      </c>
      <c r="F98" t="n" s="23720">
        <v>49.0</v>
      </c>
      <c r="G98" t="n" s="23721">
        <v>0.0</v>
      </c>
      <c r="H98" t="n" s="23722">
        <v>2.0</v>
      </c>
      <c r="I98" t="n" s="23723">
        <v>242.0</v>
      </c>
      <c r="J98" s="23724">
        <f>HLOOKUP("BPS",A1:CV300,98,FALSE)-((-6*HLOOKUP("OG",A1:CV300,98,FALSE))+(-6*HLOOKUP("PK Miss",A1:CV300,98,FALSE))+(9*HLOOKUP("FPL As",A1:CV300,98,FALSE))+(0*HLOOKUP("CS",A1:CV300,98,FALSE))+(18*HLOOKUP("Gs",A1:CV300,98,FALSE)))</f>
      </c>
      <c r="K98" t="n" s="23725">
        <v>0.0</v>
      </c>
      <c r="L98" t="n" s="23726">
        <v>2.0</v>
      </c>
      <c r="M98" t="n" s="23727">
        <v>15.0</v>
      </c>
      <c r="N98" t="n" s="23728">
        <v>5.0</v>
      </c>
      <c r="O98" t="n" s="23729">
        <v>3.0</v>
      </c>
      <c r="P98" s="23730">
        <f>IF(HLOOKUP("Shots",A1:CV300,98,FALSE)=0,0,HLOOKUP("SIB",A1:CV300,98,FALSE)/HLOOKUP("Shots",A1:CV300,98,FALSE))</f>
      </c>
      <c r="Q98" t="n" s="23731">
        <v>0.0</v>
      </c>
      <c r="R98" s="23732">
        <f>IF(HLOOKUP("Shots",A1:CV300,98,FALSE)=0,0,HLOOKUP("S6YD",A1:CV300,98,FALSE)/HLOOKUP("Shots",A1:CV300,98,FALSE))</f>
      </c>
      <c r="S98" t="n" s="23733">
        <v>0.0</v>
      </c>
      <c r="T98" s="23734">
        <f>IF(HLOOKUP("Shots",A1:CV300,98,FALSE)=0,0,HLOOKUP("Headers",A1:CV300,98,FALSE)/HLOOKUP("Shots",A1:CV300,98,FALSE))</f>
      </c>
      <c r="U98" t="n" s="23735">
        <v>3.0</v>
      </c>
      <c r="V98" s="23736">
        <f>IF(HLOOKUP("Shots",A1:CV300,98,FALSE)=0,0,HLOOKUP("SOT",A1:CV300,98,FALSE)/HLOOKUP("Shots",A1:CV300,98,FALSE))</f>
      </c>
      <c r="W98" s="23737">
        <f>IF(HLOOKUP("Shots",A1:CV300,98,FALSE)=0,0,HLOOKUP("Gs",A1:CV300,98,FALSE)/HLOOKUP("Shots",A1:CV300,98,FALSE))</f>
      </c>
      <c r="X98" t="n" s="23738">
        <v>0.0</v>
      </c>
      <c r="Y98" t="n" s="23739">
        <v>0.0</v>
      </c>
      <c r="Z98" t="n" s="23740">
        <v>7.0</v>
      </c>
      <c r="AA98" s="23741">
        <f>IF(HLOOKUP("KP",A1:CV300,98,FALSE)=0,0,HLOOKUP("As",A1:CV300,98,FALSE)/HLOOKUP("KP",A1:CV300,98,FALSE))</f>
      </c>
      <c r="AB98" s="23742"/>
      <c r="AC98" t="n" s="23743">
        <v>0.0</v>
      </c>
      <c r="AD98" t="n" s="23744">
        <v>0.0</v>
      </c>
      <c r="AE98" t="n" s="23745">
        <v>0.0</v>
      </c>
      <c r="AF98" t="n" s="23746">
        <v>0.0</v>
      </c>
      <c r="AG98" s="23747">
        <f>IF(HLOOKUP("BC",A1:CV300,98,FALSE)=0,0,HLOOKUP("Gs - BC",A1:CV300,98,FALSE)/HLOOKUP("BC",A1:CV300,98,FALSE))</f>
      </c>
      <c r="AH98" s="23748">
        <f>HLOOKUP("BC",A1:CV300,98,FALSE) - HLOOKUP("BC Miss",A1:CV300,98,FALSE)</f>
      </c>
      <c r="AI98" s="23749">
        <f>IF(HLOOKUP("Gs",A1:CV300,98,FALSE)=0,0,HLOOKUP("Gs - BC",A1:CV300,98,FALSE)/HLOOKUP("Gs",A1:CV300,98,FALSE))</f>
      </c>
      <c r="AJ98" t="n" s="23750">
        <v>0.0</v>
      </c>
      <c r="AK98" t="n" s="23751">
        <v>0.0</v>
      </c>
      <c r="AL98" s="23752">
        <f>HLOOKUP("BC",A1:CV300,98,FALSE) - (HLOOKUP("PK Gs",A1:CV300,98,FALSE) + HLOOKUP("PK Miss",A1:CV300,98,FALSE))</f>
      </c>
      <c r="AM98" s="23753">
        <f>HLOOKUP("BC Miss",A1:CV300,98,FALSE) - HLOOKUP("PK Miss",A1:CV300,98,FALSE)</f>
      </c>
      <c r="AN98" s="23754">
        <f>IF(HLOOKUP("BC - Open",A1:CV300,98,FALSE)=0,0,HLOOKUP("BC - Open Miss",A1:CV300,98,FALSE)/HLOOKUP("BC - Open",A1:CV300,98,FALSE))</f>
      </c>
      <c r="AO98" t="n" s="23755">
        <v>0.0</v>
      </c>
      <c r="AP98" s="23756">
        <f>IF(HLOOKUP("Gs",A1:CV300,98,FALSE)=0,0,HLOOKUP("GIB",A1:CV300,98,FALSE)/HLOOKUP("Gs",A1:CV300,98,FALSE))</f>
      </c>
      <c r="AQ98" t="n" s="23757">
        <v>0.0</v>
      </c>
      <c r="AR98" s="23758">
        <f>IF(HLOOKUP("Gs",A1:CV300,98,FALSE)=0,0,HLOOKUP("Gs - Open",A1:CV300,98,FALSE)/HLOOKUP("Gs",A1:CV300,98,FALSE))</f>
      </c>
      <c r="AS98" t="n" s="23759">
        <v>0.24</v>
      </c>
      <c r="AT98" t="n" s="23760">
        <v>0.33</v>
      </c>
      <c r="AU98" s="23761">
        <f>IF(HLOOKUP("Mins",A1:CV300,98,FALSE)=0,0,HLOOKUP("Pts",A1:CV300,98,FALSE)/HLOOKUP("Mins",A1:CV300,98,FALSE)* 90)</f>
      </c>
      <c r="AV98" s="23762">
        <f>IF(HLOOKUP("Apps",A1:CV300,98,FALSE)=0,0,HLOOKUP("Pts",A1:CV300,98,FALSE)/HLOOKUP("Apps",A1:CV300,98,FALSE)* 1)</f>
      </c>
      <c r="AW98" s="23763">
        <f>IF(HLOOKUP("Mins",A1:CV300,98,FALSE)=0,0,HLOOKUP("Gs",A1:CV300,98,FALSE)/HLOOKUP("Mins",A1:CV300,98,FALSE)* 90)</f>
      </c>
      <c r="AX98" s="23764">
        <f>IF(HLOOKUP("Mins",A1:CV300,98,FALSE)=0,0,HLOOKUP("Bonus",A1:CV300,98,FALSE)/HLOOKUP("Mins",A1:CV300,98,FALSE)* 90)</f>
      </c>
      <c r="AY98" s="23765">
        <f>IF(HLOOKUP("Mins",A1:CV300,98,FALSE)=0,0,HLOOKUP("BPS",A1:CV300,98,FALSE)/HLOOKUP("Mins",A1:CV300,98,FALSE)* 90)</f>
      </c>
      <c r="AZ98" s="23766">
        <f>IF(HLOOKUP("Mins",A1:CV300,98,FALSE)=0,0,HLOOKUP("Base BPS",A1:CV300,98,FALSE)/HLOOKUP("Mins",A1:CV300,98,FALSE)* 90)</f>
      </c>
      <c r="BA98" s="23767">
        <f>IF(HLOOKUP("Mins",A1:CV300,98,FALSE)=0,0,HLOOKUP("PenTchs",A1:CV300,98,FALSE)/HLOOKUP("Mins",A1:CV300,98,FALSE)* 90)</f>
      </c>
      <c r="BB98" s="23768">
        <f>IF(HLOOKUP("Mins",A1:CV300,98,FALSE)=0,0,HLOOKUP("Shots",A1:CV300,98,FALSE)/HLOOKUP("Mins",A1:CV300,98,FALSE)* 90)</f>
      </c>
      <c r="BC98" s="23769">
        <f>IF(HLOOKUP("Mins",A1:CV300,98,FALSE)=0,0,HLOOKUP("SIB",A1:CV300,98,FALSE)/HLOOKUP("Mins",A1:CV300,98,FALSE)* 90)</f>
      </c>
      <c r="BD98" s="23770">
        <f>IF(HLOOKUP("Mins",A1:CV300,98,FALSE)=0,0,HLOOKUP("S6YD",A1:CV300,98,FALSE)/HLOOKUP("Mins",A1:CV300,98,FALSE)* 90)</f>
      </c>
      <c r="BE98" s="23771">
        <f>IF(HLOOKUP("Mins",A1:CV300,98,FALSE)=0,0,HLOOKUP("Headers",A1:CV300,98,FALSE)/HLOOKUP("Mins",A1:CV300,98,FALSE)* 90)</f>
      </c>
      <c r="BF98" s="23772">
        <f>IF(HLOOKUP("Mins",A1:CV300,98,FALSE)=0,0,HLOOKUP("SOT",A1:CV300,98,FALSE)/HLOOKUP("Mins",A1:CV300,98,FALSE)* 90)</f>
      </c>
      <c r="BG98" s="23773">
        <f>IF(HLOOKUP("Mins",A1:CV300,98,FALSE)=0,0,HLOOKUP("As",A1:CV300,98,FALSE)/HLOOKUP("Mins",A1:CV300,98,FALSE)* 90)</f>
      </c>
      <c r="BH98" s="23774">
        <f>IF(HLOOKUP("Mins",A1:CV300,98,FALSE)=0,0,HLOOKUP("FPL As",A1:CV300,98,FALSE)/HLOOKUP("Mins",A1:CV300,98,FALSE)* 90)</f>
      </c>
      <c r="BI98" s="23775">
        <f>IF(HLOOKUP("Mins",A1:CV300,98,FALSE)=0,0,HLOOKUP("BC Created",A1:CV300,98,FALSE)/HLOOKUP("Mins",A1:CV300,98,FALSE)* 90)</f>
      </c>
      <c r="BJ98" s="23776">
        <f>IF(HLOOKUP("Mins",A1:CV300,98,FALSE)=0,0,HLOOKUP("KP",A1:CV300,98,FALSE)/HLOOKUP("Mins",A1:CV300,98,FALSE)* 90)</f>
      </c>
      <c r="BK98" s="23777">
        <f>IF(HLOOKUP("Mins",A1:CV300,98,FALSE)=0,0,HLOOKUP("BC",A1:CV300,98,FALSE)/HLOOKUP("Mins",A1:CV300,98,FALSE)* 90)</f>
      </c>
      <c r="BL98" s="23778">
        <f>IF(HLOOKUP("Mins",A1:CV300,98,FALSE)=0,0,HLOOKUP("BC Miss",A1:CV300,98,FALSE)/HLOOKUP("Mins",A1:CV300,98,FALSE)* 90)</f>
      </c>
      <c r="BM98" s="23779">
        <f>IF(HLOOKUP("Mins",A1:CV300,98,FALSE)=0,0,HLOOKUP("Gs - BC",A1:CV300,98,FALSE)/HLOOKUP("Mins",A1:CV300,98,FALSE)* 90)</f>
      </c>
      <c r="BN98" s="23780">
        <f>IF(HLOOKUP("Mins",A1:CV300,98,FALSE)=0,0,HLOOKUP("GIB",A1:CV300,98,FALSE)/HLOOKUP("Mins",A1:CV300,98,FALSE)* 90)</f>
      </c>
      <c r="BO98" s="23781">
        <f>IF(HLOOKUP("Mins",A1:CV300,98,FALSE)=0,0,HLOOKUP("Gs - Open",A1:CV300,98,FALSE)/HLOOKUP("Mins",A1:CV300,98,FALSE)* 90)</f>
      </c>
      <c r="BP98" s="23782">
        <f>IF(HLOOKUP("Mins",A1:CV300,98,FALSE)=0,0,HLOOKUP("ICT Index",A1:CV300,98,FALSE)/HLOOKUP("Mins",A1:CV300,98,FALSE)* 90)</f>
      </c>
      <c r="BQ98" s="23783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</c>
      <c r="BR98" s="23784">
        <f>0.0885*HLOOKUP("KP/90",A1:CV300,98,FALSE)</f>
      </c>
      <c r="BS98" s="23785">
        <f>5*HLOOKUP("xG/90",A1:CV300,98,FALSE)+3*HLOOKUP("xA/90",A1:CV300,98,FALSE)</f>
      </c>
      <c r="BT98" s="23786">
        <f>HLOOKUP("xPts/90",A1:CV300,98,FALSE)-(5*0.75*(HLOOKUP("PK Gs",A1:CV300,98,FALSE)+HLOOKUP("PK Miss",A1:CV300,98,FALSE))*90/HLOOKUP("Mins",A1:CV300,98,FALSE))</f>
      </c>
      <c r="BU98" s="23787">
        <f>IF(HLOOKUP("Mins",A1:CV300,98,FALSE)=0,0,HLOOKUP("fsXG",A1:CV300,98,FALSE)/HLOOKUP("Mins",A1:CV300,98,FALSE)* 90)</f>
      </c>
      <c r="BV98" s="23788">
        <f>IF(HLOOKUP("Mins",A1:CV300,98,FALSE)=0,0,HLOOKUP("fsXA",A1:CV300,98,FALSE)/HLOOKUP("Mins",A1:CV300,98,FALSE)* 90)</f>
      </c>
      <c r="BW98" s="23789">
        <f>5*HLOOKUP("fsXG/90",A1:CV300,98,FALSE)+3*HLOOKUP("fsXA/90",A1:CV300,98,FALSE)</f>
      </c>
      <c r="BX98" t="n" s="23790">
        <v>0.08004318177700043</v>
      </c>
      <c r="BY98" t="n" s="23791">
        <v>0.08667219430208206</v>
      </c>
      <c r="BZ98" s="23792">
        <f>5*HLOOKUP("uXG/90",A1:CV300,98,FALSE)+3*HLOOKUP("uXA/90",A1:CV300,98,FALSE)</f>
      </c>
    </row>
    <row r="99">
      <c r="A99" t="s" s="23793">
        <v>402</v>
      </c>
      <c r="B99" t="s" s="23794">
        <v>82</v>
      </c>
      <c r="C99" t="n" s="23795">
        <v>5.099999904632568</v>
      </c>
      <c r="D99" t="n" s="23796">
        <v>50.0</v>
      </c>
      <c r="E99" t="n" s="23797">
        <v>2.0</v>
      </c>
      <c r="F99" t="n" s="23798">
        <v>24.0</v>
      </c>
      <c r="G99" t="n" s="23799">
        <v>0.0</v>
      </c>
      <c r="H99" t="n" s="23800">
        <v>0.0</v>
      </c>
      <c r="I99" t="n" s="23801">
        <v>80.0</v>
      </c>
      <c r="J99" s="23802">
        <f>HLOOKUP("BPS",A1:CV300,99,FALSE)-((-6*HLOOKUP("OG",A1:CV300,99,FALSE))+(-6*HLOOKUP("PK Miss",A1:CV300,99,FALSE))+(9*HLOOKUP("FPL As",A1:CV300,99,FALSE))+(0*HLOOKUP("CS",A1:CV300,99,FALSE))+(18*HLOOKUP("Gs",A1:CV300,99,FALSE)))</f>
      </c>
      <c r="K99" t="n" s="23803">
        <v>0.0</v>
      </c>
      <c r="L99" t="n" s="23804">
        <v>0.0</v>
      </c>
      <c r="M99" t="n" s="23805">
        <v>7.0</v>
      </c>
      <c r="N99" t="n" s="23806">
        <v>3.0</v>
      </c>
      <c r="O99" t="n" s="23807">
        <v>2.0</v>
      </c>
      <c r="P99" s="23808">
        <f>IF(HLOOKUP("Shots",A1:CV300,99,FALSE)=0,0,HLOOKUP("SIB",A1:CV300,99,FALSE)/HLOOKUP("Shots",A1:CV300,99,FALSE))</f>
      </c>
      <c r="Q99" t="n" s="23809">
        <v>0.0</v>
      </c>
      <c r="R99" s="23810">
        <f>IF(HLOOKUP("Shots",A1:CV300,99,FALSE)=0,0,HLOOKUP("S6YD",A1:CV300,99,FALSE)/HLOOKUP("Shots",A1:CV300,99,FALSE))</f>
      </c>
      <c r="S99" t="n" s="23811">
        <v>0.0</v>
      </c>
      <c r="T99" s="23812">
        <f>IF(HLOOKUP("Shots",A1:CV300,99,FALSE)=0,0,HLOOKUP("Headers",A1:CV300,99,FALSE)/HLOOKUP("Shots",A1:CV300,99,FALSE))</f>
      </c>
      <c r="U99" t="n" s="23813">
        <v>1.0</v>
      </c>
      <c r="V99" s="23814">
        <f>IF(HLOOKUP("Shots",A1:CV300,99,FALSE)=0,0,HLOOKUP("SOT",A1:CV300,99,FALSE)/HLOOKUP("Shots",A1:CV300,99,FALSE))</f>
      </c>
      <c r="W99" s="23815">
        <f>IF(HLOOKUP("Shots",A1:CV300,99,FALSE)=0,0,HLOOKUP("Gs",A1:CV300,99,FALSE)/HLOOKUP("Shots",A1:CV300,99,FALSE))</f>
      </c>
      <c r="X99" t="n" s="23816">
        <v>0.0</v>
      </c>
      <c r="Y99" t="n" s="23817">
        <v>2.0</v>
      </c>
      <c r="Z99" t="n" s="23818">
        <v>0.0</v>
      </c>
      <c r="AA99" s="23819">
        <f>IF(HLOOKUP("KP",A1:CV300,99,FALSE)=0,0,HLOOKUP("As",A1:CV300,99,FALSE)/HLOOKUP("KP",A1:CV300,99,FALSE))</f>
      </c>
      <c r="AB99" s="23820"/>
      <c r="AC99" t="n" s="23821">
        <v>0.0</v>
      </c>
      <c r="AD99" t="n" s="23822">
        <v>0.0</v>
      </c>
      <c r="AE99" t="n" s="23823">
        <v>0.0</v>
      </c>
      <c r="AF99" t="n" s="23824">
        <v>0.0</v>
      </c>
      <c r="AG99" s="23825">
        <f>IF(HLOOKUP("BC",A1:CV300,99,FALSE)=0,0,HLOOKUP("Gs - BC",A1:CV300,99,FALSE)/HLOOKUP("BC",A1:CV300,99,FALSE))</f>
      </c>
      <c r="AH99" s="23826">
        <f>HLOOKUP("BC",A1:CV300,99,FALSE) - HLOOKUP("BC Miss",A1:CV300,99,FALSE)</f>
      </c>
      <c r="AI99" s="23827">
        <f>IF(HLOOKUP("Gs",A1:CV300,99,FALSE)=0,0,HLOOKUP("Gs - BC",A1:CV300,99,FALSE)/HLOOKUP("Gs",A1:CV300,99,FALSE))</f>
      </c>
      <c r="AJ99" t="n" s="23828">
        <v>0.0</v>
      </c>
      <c r="AK99" t="n" s="23829">
        <v>0.0</v>
      </c>
      <c r="AL99" s="23830">
        <f>HLOOKUP("BC",A1:CV300,99,FALSE) - (HLOOKUP("PK Gs",A1:CV300,99,FALSE) + HLOOKUP("PK Miss",A1:CV300,99,FALSE))</f>
      </c>
      <c r="AM99" s="23831">
        <f>HLOOKUP("BC Miss",A1:CV300,99,FALSE) - HLOOKUP("PK Miss",A1:CV300,99,FALSE)</f>
      </c>
      <c r="AN99" s="23832">
        <f>IF(HLOOKUP("BC - Open",A1:CV300,99,FALSE)=0,0,HLOOKUP("BC - Open Miss",A1:CV300,99,FALSE)/HLOOKUP("BC - Open",A1:CV300,99,FALSE))</f>
      </c>
      <c r="AO99" t="n" s="23833">
        <v>0.0</v>
      </c>
      <c r="AP99" s="23834">
        <f>IF(HLOOKUP("Gs",A1:CV300,99,FALSE)=0,0,HLOOKUP("GIB",A1:CV300,99,FALSE)/HLOOKUP("Gs",A1:CV300,99,FALSE))</f>
      </c>
      <c r="AQ99" t="n" s="23835">
        <v>0.0</v>
      </c>
      <c r="AR99" s="23836">
        <f>IF(HLOOKUP("Gs",A1:CV300,99,FALSE)=0,0,HLOOKUP("Gs - Open",A1:CV300,99,FALSE)/HLOOKUP("Gs",A1:CV300,99,FALSE))</f>
      </c>
      <c r="AS99" t="n" s="23837">
        <v>0.24</v>
      </c>
      <c r="AT99" t="n" s="23838">
        <v>0.17</v>
      </c>
      <c r="AU99" s="23839">
        <f>IF(HLOOKUP("Mins",A1:CV300,99,FALSE)=0,0,HLOOKUP("Pts",A1:CV300,99,FALSE)/HLOOKUP("Mins",A1:CV300,99,FALSE)* 90)</f>
      </c>
      <c r="AV99" s="23840">
        <f>IF(HLOOKUP("Apps",A1:CV300,99,FALSE)=0,0,HLOOKUP("Pts",A1:CV300,99,FALSE)/HLOOKUP("Apps",A1:CV300,99,FALSE)* 1)</f>
      </c>
      <c r="AW99" s="23841">
        <f>IF(HLOOKUP("Mins",A1:CV300,99,FALSE)=0,0,HLOOKUP("Gs",A1:CV300,99,FALSE)/HLOOKUP("Mins",A1:CV300,99,FALSE)* 90)</f>
      </c>
      <c r="AX99" s="23842">
        <f>IF(HLOOKUP("Mins",A1:CV300,99,FALSE)=0,0,HLOOKUP("Bonus",A1:CV300,99,FALSE)/HLOOKUP("Mins",A1:CV300,99,FALSE)* 90)</f>
      </c>
      <c r="AY99" s="23843">
        <f>IF(HLOOKUP("Mins",A1:CV300,99,FALSE)=0,0,HLOOKUP("BPS",A1:CV300,99,FALSE)/HLOOKUP("Mins",A1:CV300,99,FALSE)* 90)</f>
      </c>
      <c r="AZ99" s="23844">
        <f>IF(HLOOKUP("Mins",A1:CV300,99,FALSE)=0,0,HLOOKUP("Base BPS",A1:CV300,99,FALSE)/HLOOKUP("Mins",A1:CV300,99,FALSE)* 90)</f>
      </c>
      <c r="BA99" s="23845">
        <f>IF(HLOOKUP("Mins",A1:CV300,99,FALSE)=0,0,HLOOKUP("PenTchs",A1:CV300,99,FALSE)/HLOOKUP("Mins",A1:CV300,99,FALSE)* 90)</f>
      </c>
      <c r="BB99" s="23846">
        <f>IF(HLOOKUP("Mins",A1:CV300,99,FALSE)=0,0,HLOOKUP("Shots",A1:CV300,99,FALSE)/HLOOKUP("Mins",A1:CV300,99,FALSE)* 90)</f>
      </c>
      <c r="BC99" s="23847">
        <f>IF(HLOOKUP("Mins",A1:CV300,99,FALSE)=0,0,HLOOKUP("SIB",A1:CV300,99,FALSE)/HLOOKUP("Mins",A1:CV300,99,FALSE)* 90)</f>
      </c>
      <c r="BD99" s="23848">
        <f>IF(HLOOKUP("Mins",A1:CV300,99,FALSE)=0,0,HLOOKUP("S6YD",A1:CV300,99,FALSE)/HLOOKUP("Mins",A1:CV300,99,FALSE)* 90)</f>
      </c>
      <c r="BE99" s="23849">
        <f>IF(HLOOKUP("Mins",A1:CV300,99,FALSE)=0,0,HLOOKUP("Headers",A1:CV300,99,FALSE)/HLOOKUP("Mins",A1:CV300,99,FALSE)* 90)</f>
      </c>
      <c r="BF99" s="23850">
        <f>IF(HLOOKUP("Mins",A1:CV300,99,FALSE)=0,0,HLOOKUP("SOT",A1:CV300,99,FALSE)/HLOOKUP("Mins",A1:CV300,99,FALSE)* 90)</f>
      </c>
      <c r="BG99" s="23851">
        <f>IF(HLOOKUP("Mins",A1:CV300,99,FALSE)=0,0,HLOOKUP("As",A1:CV300,99,FALSE)/HLOOKUP("Mins",A1:CV300,99,FALSE)* 90)</f>
      </c>
      <c r="BH99" s="23852">
        <f>IF(HLOOKUP("Mins",A1:CV300,99,FALSE)=0,0,HLOOKUP("FPL As",A1:CV300,99,FALSE)/HLOOKUP("Mins",A1:CV300,99,FALSE)* 90)</f>
      </c>
      <c r="BI99" s="23853">
        <f>IF(HLOOKUP("Mins",A1:CV300,99,FALSE)=0,0,HLOOKUP("BC Created",A1:CV300,99,FALSE)/HLOOKUP("Mins",A1:CV300,99,FALSE)* 90)</f>
      </c>
      <c r="BJ99" s="23854">
        <f>IF(HLOOKUP("Mins",A1:CV300,99,FALSE)=0,0,HLOOKUP("KP",A1:CV300,99,FALSE)/HLOOKUP("Mins",A1:CV300,99,FALSE)* 90)</f>
      </c>
      <c r="BK99" s="23855">
        <f>IF(HLOOKUP("Mins",A1:CV300,99,FALSE)=0,0,HLOOKUP("BC",A1:CV300,99,FALSE)/HLOOKUP("Mins",A1:CV300,99,FALSE)* 90)</f>
      </c>
      <c r="BL99" s="23856">
        <f>IF(HLOOKUP("Mins",A1:CV300,99,FALSE)=0,0,HLOOKUP("BC Miss",A1:CV300,99,FALSE)/HLOOKUP("Mins",A1:CV300,99,FALSE)* 90)</f>
      </c>
      <c r="BM99" s="23857">
        <f>IF(HLOOKUP("Mins",A1:CV300,99,FALSE)=0,0,HLOOKUP("Gs - BC",A1:CV300,99,FALSE)/HLOOKUP("Mins",A1:CV300,99,FALSE)* 90)</f>
      </c>
      <c r="BN99" s="23858">
        <f>IF(HLOOKUP("Mins",A1:CV300,99,FALSE)=0,0,HLOOKUP("GIB",A1:CV300,99,FALSE)/HLOOKUP("Mins",A1:CV300,99,FALSE)* 90)</f>
      </c>
      <c r="BO99" s="23859">
        <f>IF(HLOOKUP("Mins",A1:CV300,99,FALSE)=0,0,HLOOKUP("Gs - Open",A1:CV300,99,FALSE)/HLOOKUP("Mins",A1:CV300,99,FALSE)* 90)</f>
      </c>
      <c r="BP99" s="23860">
        <f>IF(HLOOKUP("Mins",A1:CV300,99,FALSE)=0,0,HLOOKUP("ICT Index",A1:CV300,99,FALSE)/HLOOKUP("Mins",A1:CV300,99,FALSE)* 90)</f>
      </c>
      <c r="BQ99" s="23861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</c>
      <c r="BR99" s="23862">
        <f>0.0885*HLOOKUP("KP/90",A1:CV300,99,FALSE)</f>
      </c>
      <c r="BS99" s="23863">
        <f>5*HLOOKUP("xG/90",A1:CV300,99,FALSE)+3*HLOOKUP("xA/90",A1:CV300,99,FALSE)</f>
      </c>
      <c r="BT99" s="23864">
        <f>HLOOKUP("xPts/90",A1:CV300,99,FALSE)-(5*0.75*(HLOOKUP("PK Gs",A1:CV300,99,FALSE)+HLOOKUP("PK Miss",A1:CV300,99,FALSE))*90/HLOOKUP("Mins",A1:CV300,99,FALSE))</f>
      </c>
      <c r="BU99" s="23865">
        <f>IF(HLOOKUP("Mins",A1:CV300,99,FALSE)=0,0,HLOOKUP("fsXG",A1:CV300,99,FALSE)/HLOOKUP("Mins",A1:CV300,99,FALSE)* 90)</f>
      </c>
      <c r="BV99" s="23866">
        <f>IF(HLOOKUP("Mins",A1:CV300,99,FALSE)=0,0,HLOOKUP("fsXA",A1:CV300,99,FALSE)/HLOOKUP("Mins",A1:CV300,99,FALSE)* 90)</f>
      </c>
      <c r="BW99" s="23867">
        <f>5*HLOOKUP("fsXG/90",A1:CV300,99,FALSE)+3*HLOOKUP("fsXA/90",A1:CV300,99,FALSE)</f>
      </c>
      <c r="BX99" t="n" s="23868">
        <v>0.5970141887664795</v>
      </c>
      <c r="BY99" t="n" s="23869">
        <v>0.0</v>
      </c>
      <c r="BZ99" s="23870">
        <f>5*HLOOKUP("uXG/90",A1:CV300,99,FALSE)+3*HLOOKUP("uXA/90",A1:CV300,99,FALSE)</f>
      </c>
    </row>
    <row r="100">
      <c r="A100" t="s" s="23871">
        <v>403</v>
      </c>
      <c r="B100" t="s" s="23872">
        <v>134</v>
      </c>
      <c r="C100" t="n" s="23873">
        <v>5.400000095367432</v>
      </c>
      <c r="D100" t="n" s="23874">
        <v>591.0</v>
      </c>
      <c r="E100" t="n" s="23875">
        <v>7.0</v>
      </c>
      <c r="F100" t="n" s="23876">
        <v>72.0</v>
      </c>
      <c r="G100" t="n" s="23877">
        <v>0.0</v>
      </c>
      <c r="H100" t="n" s="23878">
        <v>3.0</v>
      </c>
      <c r="I100" t="n" s="23879">
        <v>325.0</v>
      </c>
      <c r="J100" s="23880">
        <f>HLOOKUP("BPS",A1:CV300,100,FALSE)-((-6*HLOOKUP("OG",A1:CV300,100,FALSE))+(-6*HLOOKUP("PK Miss",A1:CV300,100,FALSE))+(9*HLOOKUP("FPL As",A1:CV300,100,FALSE))+(0*HLOOKUP("CS",A1:CV300,100,FALSE))+(18*HLOOKUP("Gs",A1:CV300,100,FALSE)))</f>
      </c>
      <c r="K100" t="n" s="23881">
        <v>0.0</v>
      </c>
      <c r="L100" t="n" s="23882">
        <v>11.0</v>
      </c>
      <c r="M100" t="n" s="23883">
        <v>19.0</v>
      </c>
      <c r="N100" t="n" s="23884">
        <v>3.0</v>
      </c>
      <c r="O100" t="n" s="23885">
        <v>3.0</v>
      </c>
      <c r="P100" s="23886">
        <f>IF(HLOOKUP("Shots",A1:CV300,100,FALSE)=0,0,HLOOKUP("SIB",A1:CV300,100,FALSE)/HLOOKUP("Shots",A1:CV300,100,FALSE))</f>
      </c>
      <c r="Q100" t="n" s="23887">
        <v>0.0</v>
      </c>
      <c r="R100" s="23888">
        <f>IF(HLOOKUP("Shots",A1:CV300,100,FALSE)=0,0,HLOOKUP("S6YD",A1:CV300,100,FALSE)/HLOOKUP("Shots",A1:CV300,100,FALSE))</f>
      </c>
      <c r="S100" t="n" s="23889">
        <v>1.0</v>
      </c>
      <c r="T100" s="23890">
        <f>IF(HLOOKUP("Shots",A1:CV300,100,FALSE)=0,0,HLOOKUP("Headers",A1:CV300,100,FALSE)/HLOOKUP("Shots",A1:CV300,100,FALSE))</f>
      </c>
      <c r="U100" t="n" s="23891">
        <v>2.0</v>
      </c>
      <c r="V100" s="23892">
        <f>IF(HLOOKUP("Shots",A1:CV300,100,FALSE)=0,0,HLOOKUP("SOT",A1:CV300,100,FALSE)/HLOOKUP("Shots",A1:CV300,100,FALSE))</f>
      </c>
      <c r="W100" s="23893">
        <f>IF(HLOOKUP("Shots",A1:CV300,100,FALSE)=0,0,HLOOKUP("Gs",A1:CV300,100,FALSE)/HLOOKUP("Shots",A1:CV300,100,FALSE))</f>
      </c>
      <c r="X100" t="n" s="23894">
        <v>0.0</v>
      </c>
      <c r="Y100" t="n" s="23895">
        <v>0.0</v>
      </c>
      <c r="Z100" t="n" s="23896">
        <v>3.0</v>
      </c>
      <c r="AA100" s="23897">
        <f>IF(HLOOKUP("KP",A1:CV300,100,FALSE)=0,0,HLOOKUP("As",A1:CV300,100,FALSE)/HLOOKUP("KP",A1:CV300,100,FALSE))</f>
      </c>
      <c r="AB100" s="23898"/>
      <c r="AC100" t="n" s="23899">
        <v>0.0</v>
      </c>
      <c r="AD100" t="n" s="23900">
        <v>0.0</v>
      </c>
      <c r="AE100" t="n" s="23901">
        <v>0.0</v>
      </c>
      <c r="AF100" t="n" s="23902">
        <v>0.0</v>
      </c>
      <c r="AG100" s="23903">
        <f>IF(HLOOKUP("BC",A1:CV300,100,FALSE)=0,0,HLOOKUP("Gs - BC",A1:CV300,100,FALSE)/HLOOKUP("BC",A1:CV300,100,FALSE))</f>
      </c>
      <c r="AH100" s="23904">
        <f>HLOOKUP("BC",A1:CV300,100,FALSE) - HLOOKUP("BC Miss",A1:CV300,100,FALSE)</f>
      </c>
      <c r="AI100" s="23905">
        <f>IF(HLOOKUP("Gs",A1:CV300,100,FALSE)=0,0,HLOOKUP("Gs - BC",A1:CV300,100,FALSE)/HLOOKUP("Gs",A1:CV300,100,FALSE))</f>
      </c>
      <c r="AJ100" t="n" s="23906">
        <v>0.0</v>
      </c>
      <c r="AK100" t="n" s="23907">
        <v>0.0</v>
      </c>
      <c r="AL100" s="23908">
        <f>HLOOKUP("BC",A1:CV300,100,FALSE) - (HLOOKUP("PK Gs",A1:CV300,100,FALSE) + HLOOKUP("PK Miss",A1:CV300,100,FALSE))</f>
      </c>
      <c r="AM100" s="23909">
        <f>HLOOKUP("BC Miss",A1:CV300,100,FALSE) - HLOOKUP("PK Miss",A1:CV300,100,FALSE)</f>
      </c>
      <c r="AN100" s="23910">
        <f>IF(HLOOKUP("BC - Open",A1:CV300,100,FALSE)=0,0,HLOOKUP("BC - Open Miss",A1:CV300,100,FALSE)/HLOOKUP("BC - Open",A1:CV300,100,FALSE))</f>
      </c>
      <c r="AO100" t="n" s="23911">
        <v>0.0</v>
      </c>
      <c r="AP100" s="23912">
        <f>IF(HLOOKUP("Gs",A1:CV300,100,FALSE)=0,0,HLOOKUP("GIB",A1:CV300,100,FALSE)/HLOOKUP("Gs",A1:CV300,100,FALSE))</f>
      </c>
      <c r="AQ100" t="n" s="23913">
        <v>0.0</v>
      </c>
      <c r="AR100" s="23914">
        <f>IF(HLOOKUP("Gs",A1:CV300,100,FALSE)=0,0,HLOOKUP("Gs - Open",A1:CV300,100,FALSE)/HLOOKUP("Gs",A1:CV300,100,FALSE))</f>
      </c>
      <c r="AS100" t="n" s="23915">
        <v>0.21</v>
      </c>
      <c r="AT100" t="n" s="23916">
        <v>0.31</v>
      </c>
      <c r="AU100" s="23917">
        <f>IF(HLOOKUP("Mins",A1:CV300,100,FALSE)=0,0,HLOOKUP("Pts",A1:CV300,100,FALSE)/HLOOKUP("Mins",A1:CV300,100,FALSE)* 90)</f>
      </c>
      <c r="AV100" s="23918">
        <f>IF(HLOOKUP("Apps",A1:CV300,100,FALSE)=0,0,HLOOKUP("Pts",A1:CV300,100,FALSE)/HLOOKUP("Apps",A1:CV300,100,FALSE)* 1)</f>
      </c>
      <c r="AW100" s="23919">
        <f>IF(HLOOKUP("Mins",A1:CV300,100,FALSE)=0,0,HLOOKUP("Gs",A1:CV300,100,FALSE)/HLOOKUP("Mins",A1:CV300,100,FALSE)* 90)</f>
      </c>
      <c r="AX100" s="23920">
        <f>IF(HLOOKUP("Mins",A1:CV300,100,FALSE)=0,0,HLOOKUP("Bonus",A1:CV300,100,FALSE)/HLOOKUP("Mins",A1:CV300,100,FALSE)* 90)</f>
      </c>
      <c r="AY100" s="23921">
        <f>IF(HLOOKUP("Mins",A1:CV300,100,FALSE)=0,0,HLOOKUP("BPS",A1:CV300,100,FALSE)/HLOOKUP("Mins",A1:CV300,100,FALSE)* 90)</f>
      </c>
      <c r="AZ100" s="23922">
        <f>IF(HLOOKUP("Mins",A1:CV300,100,FALSE)=0,0,HLOOKUP("Base BPS",A1:CV300,100,FALSE)/HLOOKUP("Mins",A1:CV300,100,FALSE)* 90)</f>
      </c>
      <c r="BA100" s="23923">
        <f>IF(HLOOKUP("Mins",A1:CV300,100,FALSE)=0,0,HLOOKUP("PenTchs",A1:CV300,100,FALSE)/HLOOKUP("Mins",A1:CV300,100,FALSE)* 90)</f>
      </c>
      <c r="BB100" s="23924">
        <f>IF(HLOOKUP("Mins",A1:CV300,100,FALSE)=0,0,HLOOKUP("Shots",A1:CV300,100,FALSE)/HLOOKUP("Mins",A1:CV300,100,FALSE)* 90)</f>
      </c>
      <c r="BC100" s="23925">
        <f>IF(HLOOKUP("Mins",A1:CV300,100,FALSE)=0,0,HLOOKUP("SIB",A1:CV300,100,FALSE)/HLOOKUP("Mins",A1:CV300,100,FALSE)* 90)</f>
      </c>
      <c r="BD100" s="23926">
        <f>IF(HLOOKUP("Mins",A1:CV300,100,FALSE)=0,0,HLOOKUP("S6YD",A1:CV300,100,FALSE)/HLOOKUP("Mins",A1:CV300,100,FALSE)* 90)</f>
      </c>
      <c r="BE100" s="23927">
        <f>IF(HLOOKUP("Mins",A1:CV300,100,FALSE)=0,0,HLOOKUP("Headers",A1:CV300,100,FALSE)/HLOOKUP("Mins",A1:CV300,100,FALSE)* 90)</f>
      </c>
      <c r="BF100" s="23928">
        <f>IF(HLOOKUP("Mins",A1:CV300,100,FALSE)=0,0,HLOOKUP("SOT",A1:CV300,100,FALSE)/HLOOKUP("Mins",A1:CV300,100,FALSE)* 90)</f>
      </c>
      <c r="BG100" s="23929">
        <f>IF(HLOOKUP("Mins",A1:CV300,100,FALSE)=0,0,HLOOKUP("As",A1:CV300,100,FALSE)/HLOOKUP("Mins",A1:CV300,100,FALSE)* 90)</f>
      </c>
      <c r="BH100" s="23930">
        <f>IF(HLOOKUP("Mins",A1:CV300,100,FALSE)=0,0,HLOOKUP("FPL As",A1:CV300,100,FALSE)/HLOOKUP("Mins",A1:CV300,100,FALSE)* 90)</f>
      </c>
      <c r="BI100" s="23931">
        <f>IF(HLOOKUP("Mins",A1:CV300,100,FALSE)=0,0,HLOOKUP("BC Created",A1:CV300,100,FALSE)/HLOOKUP("Mins",A1:CV300,100,FALSE)* 90)</f>
      </c>
      <c r="BJ100" s="23932">
        <f>IF(HLOOKUP("Mins",A1:CV300,100,FALSE)=0,0,HLOOKUP("KP",A1:CV300,100,FALSE)/HLOOKUP("Mins",A1:CV300,100,FALSE)* 90)</f>
      </c>
      <c r="BK100" s="23933">
        <f>IF(HLOOKUP("Mins",A1:CV300,100,FALSE)=0,0,HLOOKUP("BC",A1:CV300,100,FALSE)/HLOOKUP("Mins",A1:CV300,100,FALSE)* 90)</f>
      </c>
      <c r="BL100" s="23934">
        <f>IF(HLOOKUP("Mins",A1:CV300,100,FALSE)=0,0,HLOOKUP("BC Miss",A1:CV300,100,FALSE)/HLOOKUP("Mins",A1:CV300,100,FALSE)* 90)</f>
      </c>
      <c r="BM100" s="23935">
        <f>IF(HLOOKUP("Mins",A1:CV300,100,FALSE)=0,0,HLOOKUP("Gs - BC",A1:CV300,100,FALSE)/HLOOKUP("Mins",A1:CV300,100,FALSE)* 90)</f>
      </c>
      <c r="BN100" s="23936">
        <f>IF(HLOOKUP("Mins",A1:CV300,100,FALSE)=0,0,HLOOKUP("GIB",A1:CV300,100,FALSE)/HLOOKUP("Mins",A1:CV300,100,FALSE)* 90)</f>
      </c>
      <c r="BO100" s="23937">
        <f>IF(HLOOKUP("Mins",A1:CV300,100,FALSE)=0,0,HLOOKUP("Gs - Open",A1:CV300,100,FALSE)/HLOOKUP("Mins",A1:CV300,100,FALSE)* 90)</f>
      </c>
      <c r="BP100" s="23938">
        <f>IF(HLOOKUP("Mins",A1:CV300,100,FALSE)=0,0,HLOOKUP("ICT Index",A1:CV300,100,FALSE)/HLOOKUP("Mins",A1:CV300,100,FALSE)* 90)</f>
      </c>
      <c r="BQ100" s="23939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</c>
      <c r="BR100" s="23940">
        <f>0.0885*HLOOKUP("KP/90",A1:CV300,100,FALSE)</f>
      </c>
      <c r="BS100" s="23941">
        <f>5*HLOOKUP("xG/90",A1:CV300,100,FALSE)+3*HLOOKUP("xA/90",A1:CV300,100,FALSE)</f>
      </c>
      <c r="BT100" s="23942">
        <f>HLOOKUP("xPts/90",A1:CV300,100,FALSE)-(5*0.75*(HLOOKUP("PK Gs",A1:CV300,100,FALSE)+HLOOKUP("PK Miss",A1:CV300,100,FALSE))*90/HLOOKUP("Mins",A1:CV300,100,FALSE))</f>
      </c>
      <c r="BU100" s="23943">
        <f>IF(HLOOKUP("Mins",A1:CV300,100,FALSE)=0,0,HLOOKUP("fsXG",A1:CV300,100,FALSE)/HLOOKUP("Mins",A1:CV300,100,FALSE)* 90)</f>
      </c>
      <c r="BV100" s="23944">
        <f>IF(HLOOKUP("Mins",A1:CV300,100,FALSE)=0,0,HLOOKUP("fsXA",A1:CV300,100,FALSE)/HLOOKUP("Mins",A1:CV300,100,FALSE)* 90)</f>
      </c>
      <c r="BW100" s="23945">
        <f>5*HLOOKUP("fsXG/90",A1:CV300,100,FALSE)+3*HLOOKUP("fsXA/90",A1:CV300,100,FALSE)</f>
      </c>
      <c r="BX100" t="n" s="23946">
        <v>0.041611041873693466</v>
      </c>
      <c r="BY100" t="n" s="23947">
        <v>0.03823612257838249</v>
      </c>
      <c r="BZ100" s="23948">
        <f>5*HLOOKUP("uXG/90",A1:CV300,100,FALSE)+3*HLOOKUP("uXA/90",A1:CV300,100,FALSE)</f>
      </c>
    </row>
    <row r="101">
      <c r="A101" t="s" s="23949">
        <v>404</v>
      </c>
      <c r="B101" t="s" s="23950">
        <v>134</v>
      </c>
      <c r="C101" t="n" s="23951">
        <v>4.5</v>
      </c>
      <c r="D101" t="n" s="23952">
        <v>5.0</v>
      </c>
      <c r="E101" t="n" s="23953">
        <v>1.0</v>
      </c>
      <c r="F101" t="n" s="23954">
        <v>2.0</v>
      </c>
      <c r="G101" t="n" s="23955">
        <v>0.0</v>
      </c>
      <c r="H101" t="n" s="23956">
        <v>0.0</v>
      </c>
      <c r="I101" t="n" s="23957">
        <v>8.0</v>
      </c>
      <c r="J101" s="23958">
        <f>HLOOKUP("BPS",A1:CV300,101,FALSE)-((-6*HLOOKUP("OG",A1:CV300,101,FALSE))+(-6*HLOOKUP("PK Miss",A1:CV300,101,FALSE))+(9*HLOOKUP("FPL As",A1:CV300,101,FALSE))+(0*HLOOKUP("CS",A1:CV300,101,FALSE))+(18*HLOOKUP("Gs",A1:CV300,101,FALSE)))</f>
      </c>
      <c r="K101" t="n" s="23959">
        <v>0.0</v>
      </c>
      <c r="L101" t="n" s="23960">
        <v>0.0</v>
      </c>
      <c r="M101" t="n" s="23961">
        <v>0.0</v>
      </c>
      <c r="N101" t="n" s="23962">
        <v>0.0</v>
      </c>
      <c r="O101" t="n" s="23963">
        <v>0.0</v>
      </c>
      <c r="P101" s="23964">
        <f>IF(HLOOKUP("Shots",A1:CV300,101,FALSE)=0,0,HLOOKUP("SIB",A1:CV300,101,FALSE)/HLOOKUP("Shots",A1:CV300,101,FALSE))</f>
      </c>
      <c r="Q101" t="n" s="23965">
        <v>0.0</v>
      </c>
      <c r="R101" s="23966">
        <f>IF(HLOOKUP("Shots",A1:CV300,101,FALSE)=0,0,HLOOKUP("S6YD",A1:CV300,101,FALSE)/HLOOKUP("Shots",A1:CV300,101,FALSE))</f>
      </c>
      <c r="S101" t="n" s="23967">
        <v>0.0</v>
      </c>
      <c r="T101" s="23968">
        <f>IF(HLOOKUP("Shots",A1:CV300,101,FALSE)=0,0,HLOOKUP("Headers",A1:CV300,101,FALSE)/HLOOKUP("Shots",A1:CV300,101,FALSE))</f>
      </c>
      <c r="U101" t="n" s="23969">
        <v>0.0</v>
      </c>
      <c r="V101" s="23970">
        <f>IF(HLOOKUP("Shots",A1:CV300,101,FALSE)=0,0,HLOOKUP("SOT",A1:CV300,101,FALSE)/HLOOKUP("Shots",A1:CV300,101,FALSE))</f>
      </c>
      <c r="W101" s="23971">
        <f>IF(HLOOKUP("Shots",A1:CV300,101,FALSE)=0,0,HLOOKUP("Gs",A1:CV300,101,FALSE)/HLOOKUP("Shots",A1:CV300,101,FALSE))</f>
      </c>
      <c r="X101" t="n" s="23972">
        <v>0.0</v>
      </c>
      <c r="Y101" t="n" s="23973">
        <v>0.0</v>
      </c>
      <c r="Z101" t="n" s="23974">
        <v>0.0</v>
      </c>
      <c r="AA101" s="23975">
        <f>IF(HLOOKUP("KP",A1:CV300,101,FALSE)=0,0,HLOOKUP("As",A1:CV300,101,FALSE)/HLOOKUP("KP",A1:CV300,101,FALSE))</f>
      </c>
      <c r="AB101" s="23976"/>
      <c r="AC101" t="n" s="23977">
        <v>0.0</v>
      </c>
      <c r="AD101" t="n" s="23978">
        <v>0.0</v>
      </c>
      <c r="AE101" t="n" s="23979">
        <v>0.0</v>
      </c>
      <c r="AF101" t="n" s="23980">
        <v>0.0</v>
      </c>
      <c r="AG101" s="23981">
        <f>IF(HLOOKUP("BC",A1:CV300,101,FALSE)=0,0,HLOOKUP("Gs - BC",A1:CV300,101,FALSE)/HLOOKUP("BC",A1:CV300,101,FALSE))</f>
      </c>
      <c r="AH101" s="23982">
        <f>HLOOKUP("BC",A1:CV300,101,FALSE) - HLOOKUP("BC Miss",A1:CV300,101,FALSE)</f>
      </c>
      <c r="AI101" s="23983">
        <f>IF(HLOOKUP("Gs",A1:CV300,101,FALSE)=0,0,HLOOKUP("Gs - BC",A1:CV300,101,FALSE)/HLOOKUP("Gs",A1:CV300,101,FALSE))</f>
      </c>
      <c r="AJ101" t="n" s="23984">
        <v>0.0</v>
      </c>
      <c r="AK101" t="n" s="23985">
        <v>0.0</v>
      </c>
      <c r="AL101" s="23986">
        <f>HLOOKUP("BC",A1:CV300,101,FALSE) - (HLOOKUP("PK Gs",A1:CV300,101,FALSE) + HLOOKUP("PK Miss",A1:CV300,101,FALSE))</f>
      </c>
      <c r="AM101" s="23987">
        <f>HLOOKUP("BC Miss",A1:CV300,101,FALSE) - HLOOKUP("PK Miss",A1:CV300,101,FALSE)</f>
      </c>
      <c r="AN101" s="23988">
        <f>IF(HLOOKUP("BC - Open",A1:CV300,101,FALSE)=0,0,HLOOKUP("BC - Open Miss",A1:CV300,101,FALSE)/HLOOKUP("BC - Open",A1:CV300,101,FALSE))</f>
      </c>
      <c r="AO101" t="n" s="23989">
        <v>0.0</v>
      </c>
      <c r="AP101" s="23990">
        <f>IF(HLOOKUP("Gs",A1:CV300,101,FALSE)=0,0,HLOOKUP("GIB",A1:CV300,101,FALSE)/HLOOKUP("Gs",A1:CV300,101,FALSE))</f>
      </c>
      <c r="AQ101" t="n" s="23991">
        <v>0.0</v>
      </c>
      <c r="AR101" s="23992">
        <f>IF(HLOOKUP("Gs",A1:CV300,101,FALSE)=0,0,HLOOKUP("Gs - Open",A1:CV300,101,FALSE)/HLOOKUP("Gs",A1:CV300,101,FALSE))</f>
      </c>
      <c r="AS101" t="n" s="23993">
        <v>0.0</v>
      </c>
      <c r="AT101" t="n" s="23994">
        <v>0.0</v>
      </c>
      <c r="AU101" s="23995">
        <f>IF(HLOOKUP("Mins",A1:CV300,101,FALSE)=0,0,HLOOKUP("Pts",A1:CV300,101,FALSE)/HLOOKUP("Mins",A1:CV300,101,FALSE)* 90)</f>
      </c>
      <c r="AV101" s="23996">
        <f>IF(HLOOKUP("Apps",A1:CV300,101,FALSE)=0,0,HLOOKUP("Pts",A1:CV300,101,FALSE)/HLOOKUP("Apps",A1:CV300,101,FALSE)* 1)</f>
      </c>
      <c r="AW101" s="23997">
        <f>IF(HLOOKUP("Mins",A1:CV300,101,FALSE)=0,0,HLOOKUP("Gs",A1:CV300,101,FALSE)/HLOOKUP("Mins",A1:CV300,101,FALSE)* 90)</f>
      </c>
      <c r="AX101" s="23998">
        <f>IF(HLOOKUP("Mins",A1:CV300,101,FALSE)=0,0,HLOOKUP("Bonus",A1:CV300,101,FALSE)/HLOOKUP("Mins",A1:CV300,101,FALSE)* 90)</f>
      </c>
      <c r="AY101" s="23999">
        <f>IF(HLOOKUP("Mins",A1:CV300,101,FALSE)=0,0,HLOOKUP("BPS",A1:CV300,101,FALSE)/HLOOKUP("Mins",A1:CV300,101,FALSE)* 90)</f>
      </c>
      <c r="AZ101" s="24000">
        <f>IF(HLOOKUP("Mins",A1:CV300,101,FALSE)=0,0,HLOOKUP("Base BPS",A1:CV300,101,FALSE)/HLOOKUP("Mins",A1:CV300,101,FALSE)* 90)</f>
      </c>
      <c r="BA101" s="24001">
        <f>IF(HLOOKUP("Mins",A1:CV300,101,FALSE)=0,0,HLOOKUP("PenTchs",A1:CV300,101,FALSE)/HLOOKUP("Mins",A1:CV300,101,FALSE)* 90)</f>
      </c>
      <c r="BB101" s="24002">
        <f>IF(HLOOKUP("Mins",A1:CV300,101,FALSE)=0,0,HLOOKUP("Shots",A1:CV300,101,FALSE)/HLOOKUP("Mins",A1:CV300,101,FALSE)* 90)</f>
      </c>
      <c r="BC101" s="24003">
        <f>IF(HLOOKUP("Mins",A1:CV300,101,FALSE)=0,0,HLOOKUP("SIB",A1:CV300,101,FALSE)/HLOOKUP("Mins",A1:CV300,101,FALSE)* 90)</f>
      </c>
      <c r="BD101" s="24004">
        <f>IF(HLOOKUP("Mins",A1:CV300,101,FALSE)=0,0,HLOOKUP("S6YD",A1:CV300,101,FALSE)/HLOOKUP("Mins",A1:CV300,101,FALSE)* 90)</f>
      </c>
      <c r="BE101" s="24005">
        <f>IF(HLOOKUP("Mins",A1:CV300,101,FALSE)=0,0,HLOOKUP("Headers",A1:CV300,101,FALSE)/HLOOKUP("Mins",A1:CV300,101,FALSE)* 90)</f>
      </c>
      <c r="BF101" s="24006">
        <f>IF(HLOOKUP("Mins",A1:CV300,101,FALSE)=0,0,HLOOKUP("SOT",A1:CV300,101,FALSE)/HLOOKUP("Mins",A1:CV300,101,FALSE)* 90)</f>
      </c>
      <c r="BG101" s="24007">
        <f>IF(HLOOKUP("Mins",A1:CV300,101,FALSE)=0,0,HLOOKUP("As",A1:CV300,101,FALSE)/HLOOKUP("Mins",A1:CV300,101,FALSE)* 90)</f>
      </c>
      <c r="BH101" s="24008">
        <f>IF(HLOOKUP("Mins",A1:CV300,101,FALSE)=0,0,HLOOKUP("FPL As",A1:CV300,101,FALSE)/HLOOKUP("Mins",A1:CV300,101,FALSE)* 90)</f>
      </c>
      <c r="BI101" s="24009">
        <f>IF(HLOOKUP("Mins",A1:CV300,101,FALSE)=0,0,HLOOKUP("BC Created",A1:CV300,101,FALSE)/HLOOKUP("Mins",A1:CV300,101,FALSE)* 90)</f>
      </c>
      <c r="BJ101" s="24010">
        <f>IF(HLOOKUP("Mins",A1:CV300,101,FALSE)=0,0,HLOOKUP("KP",A1:CV300,101,FALSE)/HLOOKUP("Mins",A1:CV300,101,FALSE)* 90)</f>
      </c>
      <c r="BK101" s="24011">
        <f>IF(HLOOKUP("Mins",A1:CV300,101,FALSE)=0,0,HLOOKUP("BC",A1:CV300,101,FALSE)/HLOOKUP("Mins",A1:CV300,101,FALSE)* 90)</f>
      </c>
      <c r="BL101" s="24012">
        <f>IF(HLOOKUP("Mins",A1:CV300,101,FALSE)=0,0,HLOOKUP("BC Miss",A1:CV300,101,FALSE)/HLOOKUP("Mins",A1:CV300,101,FALSE)* 90)</f>
      </c>
      <c r="BM101" s="24013">
        <f>IF(HLOOKUP("Mins",A1:CV300,101,FALSE)=0,0,HLOOKUP("Gs - BC",A1:CV300,101,FALSE)/HLOOKUP("Mins",A1:CV300,101,FALSE)* 90)</f>
      </c>
      <c r="BN101" s="24014">
        <f>IF(HLOOKUP("Mins",A1:CV300,101,FALSE)=0,0,HLOOKUP("GIB",A1:CV300,101,FALSE)/HLOOKUP("Mins",A1:CV300,101,FALSE)* 90)</f>
      </c>
      <c r="BO101" s="24015">
        <f>IF(HLOOKUP("Mins",A1:CV300,101,FALSE)=0,0,HLOOKUP("Gs - Open",A1:CV300,101,FALSE)/HLOOKUP("Mins",A1:CV300,101,FALSE)* 90)</f>
      </c>
      <c r="BP101" s="24016">
        <f>IF(HLOOKUP("Mins",A1:CV300,101,FALSE)=0,0,HLOOKUP("ICT Index",A1:CV300,101,FALSE)/HLOOKUP("Mins",A1:CV300,101,FALSE)* 90)</f>
      </c>
      <c r="BQ101" s="24017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</c>
      <c r="BR101" s="24018">
        <f>0.0885*HLOOKUP("KP/90",A1:CV300,101,FALSE)</f>
      </c>
      <c r="BS101" s="24019">
        <f>5*HLOOKUP("xG/90",A1:CV300,101,FALSE)+3*HLOOKUP("xA/90",A1:CV300,101,FALSE)</f>
      </c>
      <c r="BT101" s="24020">
        <f>HLOOKUP("xPts/90",A1:CV300,101,FALSE)-(5*0.75*(HLOOKUP("PK Gs",A1:CV300,101,FALSE)+HLOOKUP("PK Miss",A1:CV300,101,FALSE))*90/HLOOKUP("Mins",A1:CV300,101,FALSE))</f>
      </c>
      <c r="BU101" s="24021">
        <f>IF(HLOOKUP("Mins",A1:CV300,101,FALSE)=0,0,HLOOKUP("fsXG",A1:CV300,101,FALSE)/HLOOKUP("Mins",A1:CV300,101,FALSE)* 90)</f>
      </c>
      <c r="BV101" s="24022">
        <f>IF(HLOOKUP("Mins",A1:CV300,101,FALSE)=0,0,HLOOKUP("fsXA",A1:CV300,101,FALSE)/HLOOKUP("Mins",A1:CV300,101,FALSE)* 90)</f>
      </c>
      <c r="BW101" s="24023">
        <f>5*HLOOKUP("fsXG/90",A1:CV300,101,FALSE)+3*HLOOKUP("fsXA/90",A1:CV300,101,FALSE)</f>
      </c>
      <c r="BX101" t="n" s="24024">
        <v>0.0</v>
      </c>
      <c r="BY101" t="n" s="24025">
        <v>0.0</v>
      </c>
      <c r="BZ101" s="24026">
        <f>5*HLOOKUP("uXG/90",A1:CV300,101,FALSE)+3*HLOOKUP("uXA/90",A1:CV300,101,FALSE)</f>
      </c>
    </row>
    <row r="102">
      <c r="A102" t="s" s="24027">
        <v>405</v>
      </c>
      <c r="B102" t="s" s="24028">
        <v>149</v>
      </c>
      <c r="C102" t="n" s="24029">
        <v>7.099999904632568</v>
      </c>
      <c r="D102" t="n" s="24030">
        <v>455.0</v>
      </c>
      <c r="E102" t="n" s="24031">
        <v>6.0</v>
      </c>
      <c r="F102" t="n" s="24032">
        <v>98.0</v>
      </c>
      <c r="G102" t="n" s="24033">
        <v>0.0</v>
      </c>
      <c r="H102" t="n" s="24034">
        <v>14.0</v>
      </c>
      <c r="I102" t="n" s="24035">
        <v>431.0</v>
      </c>
      <c r="J102" s="24036">
        <f>HLOOKUP("BPS",A1:CV300,102,FALSE)-((-6*HLOOKUP("OG",A1:CV300,102,FALSE))+(-6*HLOOKUP("PK Miss",A1:CV300,102,FALSE))+(9*HLOOKUP("FPL As",A1:CV300,102,FALSE))+(0*HLOOKUP("CS",A1:CV300,102,FALSE))+(18*HLOOKUP("Gs",A1:CV300,102,FALSE)))</f>
      </c>
      <c r="K102" t="n" s="24037">
        <v>0.0</v>
      </c>
      <c r="L102" t="n" s="24038">
        <v>7.0</v>
      </c>
      <c r="M102" t="n" s="24039">
        <v>32.0</v>
      </c>
      <c r="N102" t="n" s="24040">
        <v>11.0</v>
      </c>
      <c r="O102" t="n" s="24041">
        <v>8.0</v>
      </c>
      <c r="P102" s="24042">
        <f>IF(HLOOKUP("Shots",A1:CV300,102,FALSE)=0,0,HLOOKUP("SIB",A1:CV300,102,FALSE)/HLOOKUP("Shots",A1:CV300,102,FALSE))</f>
      </c>
      <c r="Q102" t="n" s="24043">
        <v>0.0</v>
      </c>
      <c r="R102" s="24044">
        <f>IF(HLOOKUP("Shots",A1:CV300,102,FALSE)=0,0,HLOOKUP("S6YD",A1:CV300,102,FALSE)/HLOOKUP("Shots",A1:CV300,102,FALSE))</f>
      </c>
      <c r="S102" t="n" s="24045">
        <v>0.0</v>
      </c>
      <c r="T102" s="24046">
        <f>IF(HLOOKUP("Shots",A1:CV300,102,FALSE)=0,0,HLOOKUP("Headers",A1:CV300,102,FALSE)/HLOOKUP("Shots",A1:CV300,102,FALSE))</f>
      </c>
      <c r="U102" t="n" s="24047">
        <v>2.0</v>
      </c>
      <c r="V102" s="24048">
        <f>IF(HLOOKUP("Shots",A1:CV300,102,FALSE)=0,0,HLOOKUP("SOT",A1:CV300,102,FALSE)/HLOOKUP("Shots",A1:CV300,102,FALSE))</f>
      </c>
      <c r="W102" s="24049">
        <f>IF(HLOOKUP("Shots",A1:CV300,102,FALSE)=0,0,HLOOKUP("Gs",A1:CV300,102,FALSE)/HLOOKUP("Shots",A1:CV300,102,FALSE))</f>
      </c>
      <c r="X102" t="n" s="24050">
        <v>0.0</v>
      </c>
      <c r="Y102" t="n" s="24051">
        <v>5.0</v>
      </c>
      <c r="Z102" t="n" s="24052">
        <v>8.0</v>
      </c>
      <c r="AA102" s="24053">
        <f>IF(HLOOKUP("KP",A1:CV300,102,FALSE)=0,0,HLOOKUP("As",A1:CV300,102,FALSE)/HLOOKUP("KP",A1:CV300,102,FALSE))</f>
      </c>
      <c r="AB102" s="24054"/>
      <c r="AC102" t="n" s="24055">
        <v>20.0</v>
      </c>
      <c r="AD102" t="n" s="24056">
        <v>1.0</v>
      </c>
      <c r="AE102" t="n" s="24057">
        <v>0.0</v>
      </c>
      <c r="AF102" t="n" s="24058">
        <v>0.0</v>
      </c>
      <c r="AG102" s="24059">
        <f>IF(HLOOKUP("BC",A1:CV300,102,FALSE)=0,0,HLOOKUP("Gs - BC",A1:CV300,102,FALSE)/HLOOKUP("BC",A1:CV300,102,FALSE))</f>
      </c>
      <c r="AH102" s="24060">
        <f>HLOOKUP("BC",A1:CV300,102,FALSE) - HLOOKUP("BC Miss",A1:CV300,102,FALSE)</f>
      </c>
      <c r="AI102" s="24061">
        <f>IF(HLOOKUP("Gs",A1:CV300,102,FALSE)=0,0,HLOOKUP("Gs - BC",A1:CV300,102,FALSE)/HLOOKUP("Gs",A1:CV300,102,FALSE))</f>
      </c>
      <c r="AJ102" t="n" s="24062">
        <v>0.0</v>
      </c>
      <c r="AK102" t="n" s="24063">
        <v>0.0</v>
      </c>
      <c r="AL102" s="24064">
        <f>HLOOKUP("BC",A1:CV300,102,FALSE) - (HLOOKUP("PK Gs",A1:CV300,102,FALSE) + HLOOKUP("PK Miss",A1:CV300,102,FALSE))</f>
      </c>
      <c r="AM102" s="24065">
        <f>HLOOKUP("BC Miss",A1:CV300,102,FALSE) - HLOOKUP("PK Miss",A1:CV300,102,FALSE)</f>
      </c>
      <c r="AN102" s="24066">
        <f>IF(HLOOKUP("BC - Open",A1:CV300,102,FALSE)=0,0,HLOOKUP("BC - Open Miss",A1:CV300,102,FALSE)/HLOOKUP("BC - Open",A1:CV300,102,FALSE))</f>
      </c>
      <c r="AO102" t="n" s="24067">
        <v>0.0</v>
      </c>
      <c r="AP102" s="24068">
        <f>IF(HLOOKUP("Gs",A1:CV300,102,FALSE)=0,0,HLOOKUP("GIB",A1:CV300,102,FALSE)/HLOOKUP("Gs",A1:CV300,102,FALSE))</f>
      </c>
      <c r="AQ102" t="n" s="24069">
        <v>0.0</v>
      </c>
      <c r="AR102" s="24070">
        <f>IF(HLOOKUP("Gs",A1:CV300,102,FALSE)=0,0,HLOOKUP("Gs - Open",A1:CV300,102,FALSE)/HLOOKUP("Gs",A1:CV300,102,FALSE))</f>
      </c>
      <c r="AS102" t="n" s="24071">
        <v>0.6</v>
      </c>
      <c r="AT102" t="n" s="24072">
        <v>1.05</v>
      </c>
      <c r="AU102" s="24073">
        <f>IF(HLOOKUP("Mins",A1:CV300,102,FALSE)=0,0,HLOOKUP("Pts",A1:CV300,102,FALSE)/HLOOKUP("Mins",A1:CV300,102,FALSE)* 90)</f>
      </c>
      <c r="AV102" s="24074">
        <f>IF(HLOOKUP("Apps",A1:CV300,102,FALSE)=0,0,HLOOKUP("Pts",A1:CV300,102,FALSE)/HLOOKUP("Apps",A1:CV300,102,FALSE)* 1)</f>
      </c>
      <c r="AW102" s="24075">
        <f>IF(HLOOKUP("Mins",A1:CV300,102,FALSE)=0,0,HLOOKUP("Gs",A1:CV300,102,FALSE)/HLOOKUP("Mins",A1:CV300,102,FALSE)* 90)</f>
      </c>
      <c r="AX102" s="24076">
        <f>IF(HLOOKUP("Mins",A1:CV300,102,FALSE)=0,0,HLOOKUP("Bonus",A1:CV300,102,FALSE)/HLOOKUP("Mins",A1:CV300,102,FALSE)* 90)</f>
      </c>
      <c r="AY102" s="24077">
        <f>IF(HLOOKUP("Mins",A1:CV300,102,FALSE)=0,0,HLOOKUP("BPS",A1:CV300,102,FALSE)/HLOOKUP("Mins",A1:CV300,102,FALSE)* 90)</f>
      </c>
      <c r="AZ102" s="24078">
        <f>IF(HLOOKUP("Mins",A1:CV300,102,FALSE)=0,0,HLOOKUP("Base BPS",A1:CV300,102,FALSE)/HLOOKUP("Mins",A1:CV300,102,FALSE)* 90)</f>
      </c>
      <c r="BA102" s="24079">
        <f>IF(HLOOKUP("Mins",A1:CV300,102,FALSE)=0,0,HLOOKUP("PenTchs",A1:CV300,102,FALSE)/HLOOKUP("Mins",A1:CV300,102,FALSE)* 90)</f>
      </c>
      <c r="BB102" s="24080">
        <f>IF(HLOOKUP("Mins",A1:CV300,102,FALSE)=0,0,HLOOKUP("Shots",A1:CV300,102,FALSE)/HLOOKUP("Mins",A1:CV300,102,FALSE)* 90)</f>
      </c>
      <c r="BC102" s="24081">
        <f>IF(HLOOKUP("Mins",A1:CV300,102,FALSE)=0,0,HLOOKUP("SIB",A1:CV300,102,FALSE)/HLOOKUP("Mins",A1:CV300,102,FALSE)* 90)</f>
      </c>
      <c r="BD102" s="24082">
        <f>IF(HLOOKUP("Mins",A1:CV300,102,FALSE)=0,0,HLOOKUP("S6YD",A1:CV300,102,FALSE)/HLOOKUP("Mins",A1:CV300,102,FALSE)* 90)</f>
      </c>
      <c r="BE102" s="24083">
        <f>IF(HLOOKUP("Mins",A1:CV300,102,FALSE)=0,0,HLOOKUP("Headers",A1:CV300,102,FALSE)/HLOOKUP("Mins",A1:CV300,102,FALSE)* 90)</f>
      </c>
      <c r="BF102" s="24084">
        <f>IF(HLOOKUP("Mins",A1:CV300,102,FALSE)=0,0,HLOOKUP("SOT",A1:CV300,102,FALSE)/HLOOKUP("Mins",A1:CV300,102,FALSE)* 90)</f>
      </c>
      <c r="BG102" s="24085">
        <f>IF(HLOOKUP("Mins",A1:CV300,102,FALSE)=0,0,HLOOKUP("As",A1:CV300,102,FALSE)/HLOOKUP("Mins",A1:CV300,102,FALSE)* 90)</f>
      </c>
      <c r="BH102" s="24086">
        <f>IF(HLOOKUP("Mins",A1:CV300,102,FALSE)=0,0,HLOOKUP("FPL As",A1:CV300,102,FALSE)/HLOOKUP("Mins",A1:CV300,102,FALSE)* 90)</f>
      </c>
      <c r="BI102" s="24087">
        <f>IF(HLOOKUP("Mins",A1:CV300,102,FALSE)=0,0,HLOOKUP("BC Created",A1:CV300,102,FALSE)/HLOOKUP("Mins",A1:CV300,102,FALSE)* 90)</f>
      </c>
      <c r="BJ102" s="24088">
        <f>IF(HLOOKUP("Mins",A1:CV300,102,FALSE)=0,0,HLOOKUP("KP",A1:CV300,102,FALSE)/HLOOKUP("Mins",A1:CV300,102,FALSE)* 90)</f>
      </c>
      <c r="BK102" s="24089">
        <f>IF(HLOOKUP("Mins",A1:CV300,102,FALSE)=0,0,HLOOKUP("BC",A1:CV300,102,FALSE)/HLOOKUP("Mins",A1:CV300,102,FALSE)* 90)</f>
      </c>
      <c r="BL102" s="24090">
        <f>IF(HLOOKUP("Mins",A1:CV300,102,FALSE)=0,0,HLOOKUP("BC Miss",A1:CV300,102,FALSE)/HLOOKUP("Mins",A1:CV300,102,FALSE)* 90)</f>
      </c>
      <c r="BM102" s="24091">
        <f>IF(HLOOKUP("Mins",A1:CV300,102,FALSE)=0,0,HLOOKUP("Gs - BC",A1:CV300,102,FALSE)/HLOOKUP("Mins",A1:CV300,102,FALSE)* 90)</f>
      </c>
      <c r="BN102" s="24092">
        <f>IF(HLOOKUP("Mins",A1:CV300,102,FALSE)=0,0,HLOOKUP("GIB",A1:CV300,102,FALSE)/HLOOKUP("Mins",A1:CV300,102,FALSE)* 90)</f>
      </c>
      <c r="BO102" s="24093">
        <f>IF(HLOOKUP("Mins",A1:CV300,102,FALSE)=0,0,HLOOKUP("Gs - Open",A1:CV300,102,FALSE)/HLOOKUP("Mins",A1:CV300,102,FALSE)* 90)</f>
      </c>
      <c r="BP102" s="24094">
        <f>IF(HLOOKUP("Mins",A1:CV300,102,FALSE)=0,0,HLOOKUP("ICT Index",A1:CV300,102,FALSE)/HLOOKUP("Mins",A1:CV300,102,FALSE)* 90)</f>
      </c>
      <c r="BQ102" s="24095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</c>
      <c r="BR102" s="24096">
        <f>0.0885*HLOOKUP("KP/90",A1:CV300,102,FALSE)</f>
      </c>
      <c r="BS102" s="24097">
        <f>5*HLOOKUP("xG/90",A1:CV300,102,FALSE)+3*HLOOKUP("xA/90",A1:CV300,102,FALSE)</f>
      </c>
      <c r="BT102" s="24098">
        <f>HLOOKUP("xPts/90",A1:CV300,102,FALSE)-(5*0.75*(HLOOKUP("PK Gs",A1:CV300,102,FALSE)+HLOOKUP("PK Miss",A1:CV300,102,FALSE))*90/HLOOKUP("Mins",A1:CV300,102,FALSE))</f>
      </c>
      <c r="BU102" s="24099">
        <f>IF(HLOOKUP("Mins",A1:CV300,102,FALSE)=0,0,HLOOKUP("fsXG",A1:CV300,102,FALSE)/HLOOKUP("Mins",A1:CV300,102,FALSE)* 90)</f>
      </c>
      <c r="BV102" s="24100">
        <f>IF(HLOOKUP("Mins",A1:CV300,102,FALSE)=0,0,HLOOKUP("fsXA",A1:CV300,102,FALSE)/HLOOKUP("Mins",A1:CV300,102,FALSE)* 90)</f>
      </c>
      <c r="BW102" s="24101">
        <f>5*HLOOKUP("fsXG/90",A1:CV300,102,FALSE)+3*HLOOKUP("fsXA/90",A1:CV300,102,FALSE)</f>
      </c>
      <c r="BX102" t="n" s="24102">
        <v>0.14661544561386108</v>
      </c>
      <c r="BY102" t="n" s="24103">
        <v>0.05348947271704674</v>
      </c>
      <c r="BZ102" s="24104">
        <f>5*HLOOKUP("uXG/90",A1:CV300,102,FALSE)+3*HLOOKUP("uXA/90",A1:CV300,102,FALSE)</f>
      </c>
    </row>
    <row r="103">
      <c r="A103" t="s" s="24105">
        <v>406</v>
      </c>
      <c r="B103" t="s" s="24106">
        <v>97</v>
      </c>
      <c r="C103" t="n" s="24107">
        <v>5.400000095367432</v>
      </c>
      <c r="D103" t="n" s="24108">
        <v>540.0</v>
      </c>
      <c r="E103" t="n" s="24109">
        <v>6.0</v>
      </c>
      <c r="F103" t="n" s="24110">
        <v>84.0</v>
      </c>
      <c r="G103" t="n" s="24111">
        <v>2.0</v>
      </c>
      <c r="H103" t="n" s="24112">
        <v>9.0</v>
      </c>
      <c r="I103" t="n" s="24113">
        <v>373.0</v>
      </c>
      <c r="J103" s="24114">
        <f>HLOOKUP("BPS",A1:CV300,103,FALSE)-((-6*HLOOKUP("OG",A1:CV300,103,FALSE))+(-6*HLOOKUP("PK Miss",A1:CV300,103,FALSE))+(9*HLOOKUP("FPL As",A1:CV300,103,FALSE))+(0*HLOOKUP("CS",A1:CV300,103,FALSE))+(18*HLOOKUP("Gs",A1:CV300,103,FALSE)))</f>
      </c>
      <c r="K103" t="n" s="24115">
        <v>0.0</v>
      </c>
      <c r="L103" t="n" s="24116">
        <v>9.0</v>
      </c>
      <c r="M103" t="n" s="24117">
        <v>4.0</v>
      </c>
      <c r="N103" t="n" s="24118">
        <v>4.0</v>
      </c>
      <c r="O103" t="n" s="24119">
        <v>2.0</v>
      </c>
      <c r="P103" s="24120">
        <f>IF(HLOOKUP("Shots",A1:CV300,103,FALSE)=0,0,HLOOKUP("SIB",A1:CV300,103,FALSE)/HLOOKUP("Shots",A1:CV300,103,FALSE))</f>
      </c>
      <c r="Q103" t="n" s="24121">
        <v>0.0</v>
      </c>
      <c r="R103" s="24122">
        <f>IF(HLOOKUP("Shots",A1:CV300,103,FALSE)=0,0,HLOOKUP("S6YD",A1:CV300,103,FALSE)/HLOOKUP("Shots",A1:CV300,103,FALSE))</f>
      </c>
      <c r="S103" t="n" s="24123">
        <v>0.0</v>
      </c>
      <c r="T103" s="24124">
        <f>IF(HLOOKUP("Shots",A1:CV300,103,FALSE)=0,0,HLOOKUP("Headers",A1:CV300,103,FALSE)/HLOOKUP("Shots",A1:CV300,103,FALSE))</f>
      </c>
      <c r="U103" t="n" s="24125">
        <v>2.0</v>
      </c>
      <c r="V103" s="24126">
        <f>IF(HLOOKUP("Shots",A1:CV300,103,FALSE)=0,0,HLOOKUP("SOT",A1:CV300,103,FALSE)/HLOOKUP("Shots",A1:CV300,103,FALSE))</f>
      </c>
      <c r="W103" s="24127">
        <f>IF(HLOOKUP("Shots",A1:CV300,103,FALSE)=0,0,HLOOKUP("Gs",A1:CV300,103,FALSE)/HLOOKUP("Shots",A1:CV300,103,FALSE))</f>
      </c>
      <c r="X103" t="n" s="24128">
        <v>1.0</v>
      </c>
      <c r="Y103" t="n" s="24129">
        <v>6.0</v>
      </c>
      <c r="Z103" t="n" s="24130">
        <v>8.0</v>
      </c>
      <c r="AA103" s="24131">
        <f>IF(HLOOKUP("KP",A1:CV300,103,FALSE)=0,0,HLOOKUP("As",A1:CV300,103,FALSE)/HLOOKUP("KP",A1:CV300,103,FALSE))</f>
      </c>
      <c r="AB103" s="24132"/>
      <c r="AC103" t="n" s="24133">
        <v>43.0</v>
      </c>
      <c r="AD103" t="n" s="24134">
        <v>3.0</v>
      </c>
      <c r="AE103" t="n" s="24135">
        <v>1.0</v>
      </c>
      <c r="AF103" t="n" s="24136">
        <v>0.0</v>
      </c>
      <c r="AG103" s="24137">
        <f>IF(HLOOKUP("BC",A1:CV300,103,FALSE)=0,0,HLOOKUP("Gs - BC",A1:CV300,103,FALSE)/HLOOKUP("BC",A1:CV300,103,FALSE))</f>
      </c>
      <c r="AH103" s="24138">
        <f>HLOOKUP("BC",A1:CV300,103,FALSE) - HLOOKUP("BC Miss",A1:CV300,103,FALSE)</f>
      </c>
      <c r="AI103" s="24139">
        <f>IF(HLOOKUP("Gs",A1:CV300,103,FALSE)=0,0,HLOOKUP("Gs - BC",A1:CV300,103,FALSE)/HLOOKUP("Gs",A1:CV300,103,FALSE))</f>
      </c>
      <c r="AJ103" t="n" s="24140">
        <v>0.0</v>
      </c>
      <c r="AK103" t="n" s="24141">
        <v>0.0</v>
      </c>
      <c r="AL103" s="24142">
        <f>HLOOKUP("BC",A1:CV300,103,FALSE) - (HLOOKUP("PK Gs",A1:CV300,103,FALSE) + HLOOKUP("PK Miss",A1:CV300,103,FALSE))</f>
      </c>
      <c r="AM103" s="24143">
        <f>HLOOKUP("BC Miss",A1:CV300,103,FALSE) - HLOOKUP("PK Miss",A1:CV300,103,FALSE)</f>
      </c>
      <c r="AN103" s="24144">
        <f>IF(HLOOKUP("BC - Open",A1:CV300,103,FALSE)=0,0,HLOOKUP("BC - Open Miss",A1:CV300,103,FALSE)/HLOOKUP("BC - Open",A1:CV300,103,FALSE))</f>
      </c>
      <c r="AO103" t="n" s="24145">
        <v>1.0</v>
      </c>
      <c r="AP103" s="24146">
        <f>IF(HLOOKUP("Gs",A1:CV300,103,FALSE)=0,0,HLOOKUP("GIB",A1:CV300,103,FALSE)/HLOOKUP("Gs",A1:CV300,103,FALSE))</f>
      </c>
      <c r="AQ103" t="n" s="24147">
        <v>1.0</v>
      </c>
      <c r="AR103" s="24148">
        <f>IF(HLOOKUP("Gs",A1:CV300,103,FALSE)=0,0,HLOOKUP("Gs - Open",A1:CV300,103,FALSE)/HLOOKUP("Gs",A1:CV300,103,FALSE))</f>
      </c>
      <c r="AS103" t="n" s="24149">
        <v>0.49</v>
      </c>
      <c r="AT103" t="n" s="24150">
        <v>1.3</v>
      </c>
      <c r="AU103" s="24151">
        <f>IF(HLOOKUP("Mins",A1:CV300,103,FALSE)=0,0,HLOOKUP("Pts",A1:CV300,103,FALSE)/HLOOKUP("Mins",A1:CV300,103,FALSE)* 90)</f>
      </c>
      <c r="AV103" s="24152">
        <f>IF(HLOOKUP("Apps",A1:CV300,103,FALSE)=0,0,HLOOKUP("Pts",A1:CV300,103,FALSE)/HLOOKUP("Apps",A1:CV300,103,FALSE)* 1)</f>
      </c>
      <c r="AW103" s="24153">
        <f>IF(HLOOKUP("Mins",A1:CV300,103,FALSE)=0,0,HLOOKUP("Gs",A1:CV300,103,FALSE)/HLOOKUP("Mins",A1:CV300,103,FALSE)* 90)</f>
      </c>
      <c r="AX103" s="24154">
        <f>IF(HLOOKUP("Mins",A1:CV300,103,FALSE)=0,0,HLOOKUP("Bonus",A1:CV300,103,FALSE)/HLOOKUP("Mins",A1:CV300,103,FALSE)* 90)</f>
      </c>
      <c r="AY103" s="24155">
        <f>IF(HLOOKUP("Mins",A1:CV300,103,FALSE)=0,0,HLOOKUP("BPS",A1:CV300,103,FALSE)/HLOOKUP("Mins",A1:CV300,103,FALSE)* 90)</f>
      </c>
      <c r="AZ103" s="24156">
        <f>IF(HLOOKUP("Mins",A1:CV300,103,FALSE)=0,0,HLOOKUP("Base BPS",A1:CV300,103,FALSE)/HLOOKUP("Mins",A1:CV300,103,FALSE)* 90)</f>
      </c>
      <c r="BA103" s="24157">
        <f>IF(HLOOKUP("Mins",A1:CV300,103,FALSE)=0,0,HLOOKUP("PenTchs",A1:CV300,103,FALSE)/HLOOKUP("Mins",A1:CV300,103,FALSE)* 90)</f>
      </c>
      <c r="BB103" s="24158">
        <f>IF(HLOOKUP("Mins",A1:CV300,103,FALSE)=0,0,HLOOKUP("Shots",A1:CV300,103,FALSE)/HLOOKUP("Mins",A1:CV300,103,FALSE)* 90)</f>
      </c>
      <c r="BC103" s="24159">
        <f>IF(HLOOKUP("Mins",A1:CV300,103,FALSE)=0,0,HLOOKUP("SIB",A1:CV300,103,FALSE)/HLOOKUP("Mins",A1:CV300,103,FALSE)* 90)</f>
      </c>
      <c r="BD103" s="24160">
        <f>IF(HLOOKUP("Mins",A1:CV300,103,FALSE)=0,0,HLOOKUP("S6YD",A1:CV300,103,FALSE)/HLOOKUP("Mins",A1:CV300,103,FALSE)* 90)</f>
      </c>
      <c r="BE103" s="24161">
        <f>IF(HLOOKUP("Mins",A1:CV300,103,FALSE)=0,0,HLOOKUP("Headers",A1:CV300,103,FALSE)/HLOOKUP("Mins",A1:CV300,103,FALSE)* 90)</f>
      </c>
      <c r="BF103" s="24162">
        <f>IF(HLOOKUP("Mins",A1:CV300,103,FALSE)=0,0,HLOOKUP("SOT",A1:CV300,103,FALSE)/HLOOKUP("Mins",A1:CV300,103,FALSE)* 90)</f>
      </c>
      <c r="BG103" s="24163">
        <f>IF(HLOOKUP("Mins",A1:CV300,103,FALSE)=0,0,HLOOKUP("As",A1:CV300,103,FALSE)/HLOOKUP("Mins",A1:CV300,103,FALSE)* 90)</f>
      </c>
      <c r="BH103" s="24164">
        <f>IF(HLOOKUP("Mins",A1:CV300,103,FALSE)=0,0,HLOOKUP("FPL As",A1:CV300,103,FALSE)/HLOOKUP("Mins",A1:CV300,103,FALSE)* 90)</f>
      </c>
      <c r="BI103" s="24165">
        <f>IF(HLOOKUP("Mins",A1:CV300,103,FALSE)=0,0,HLOOKUP("BC Created",A1:CV300,103,FALSE)/HLOOKUP("Mins",A1:CV300,103,FALSE)* 90)</f>
      </c>
      <c r="BJ103" s="24166">
        <f>IF(HLOOKUP("Mins",A1:CV300,103,FALSE)=0,0,HLOOKUP("KP",A1:CV300,103,FALSE)/HLOOKUP("Mins",A1:CV300,103,FALSE)* 90)</f>
      </c>
      <c r="BK103" s="24167">
        <f>IF(HLOOKUP("Mins",A1:CV300,103,FALSE)=0,0,HLOOKUP("BC",A1:CV300,103,FALSE)/HLOOKUP("Mins",A1:CV300,103,FALSE)* 90)</f>
      </c>
      <c r="BL103" s="24168">
        <f>IF(HLOOKUP("Mins",A1:CV300,103,FALSE)=0,0,HLOOKUP("BC Miss",A1:CV300,103,FALSE)/HLOOKUP("Mins",A1:CV300,103,FALSE)* 90)</f>
      </c>
      <c r="BM103" s="24169">
        <f>IF(HLOOKUP("Mins",A1:CV300,103,FALSE)=0,0,HLOOKUP("Gs - BC",A1:CV300,103,FALSE)/HLOOKUP("Mins",A1:CV300,103,FALSE)* 90)</f>
      </c>
      <c r="BN103" s="24170">
        <f>IF(HLOOKUP("Mins",A1:CV300,103,FALSE)=0,0,HLOOKUP("GIB",A1:CV300,103,FALSE)/HLOOKUP("Mins",A1:CV300,103,FALSE)* 90)</f>
      </c>
      <c r="BO103" s="24171">
        <f>IF(HLOOKUP("Mins",A1:CV300,103,FALSE)=0,0,HLOOKUP("Gs - Open",A1:CV300,103,FALSE)/HLOOKUP("Mins",A1:CV300,103,FALSE)* 90)</f>
      </c>
      <c r="BP103" s="24172">
        <f>IF(HLOOKUP("Mins",A1:CV300,103,FALSE)=0,0,HLOOKUP("ICT Index",A1:CV300,103,FALSE)/HLOOKUP("Mins",A1:CV300,103,FALSE)* 90)</f>
      </c>
      <c r="BQ103" s="24173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</c>
      <c r="BR103" s="24174">
        <f>0.0885*HLOOKUP("KP/90",A1:CV300,103,FALSE)</f>
      </c>
      <c r="BS103" s="24175">
        <f>5*HLOOKUP("xG/90",A1:CV300,103,FALSE)+3*HLOOKUP("xA/90",A1:CV300,103,FALSE)</f>
      </c>
      <c r="BT103" s="24176">
        <f>HLOOKUP("xPts/90",A1:CV300,103,FALSE)-(5*0.75*(HLOOKUP("PK Gs",A1:CV300,103,FALSE)+HLOOKUP("PK Miss",A1:CV300,103,FALSE))*90/HLOOKUP("Mins",A1:CV300,103,FALSE))</f>
      </c>
      <c r="BU103" s="24177">
        <f>IF(HLOOKUP("Mins",A1:CV300,103,FALSE)=0,0,HLOOKUP("fsXG",A1:CV300,103,FALSE)/HLOOKUP("Mins",A1:CV300,103,FALSE)* 90)</f>
      </c>
      <c r="BV103" s="24178">
        <f>IF(HLOOKUP("Mins",A1:CV300,103,FALSE)=0,0,HLOOKUP("fsXA",A1:CV300,103,FALSE)/HLOOKUP("Mins",A1:CV300,103,FALSE)* 90)</f>
      </c>
      <c r="BW103" s="24179">
        <f>5*HLOOKUP("fsXG/90",A1:CV300,103,FALSE)+3*HLOOKUP("fsXA/90",A1:CV300,103,FALSE)</f>
      </c>
      <c r="BX103" t="n" s="24180">
        <v>0.03630150854587555</v>
      </c>
      <c r="BY103" t="n" s="24181">
        <v>0.2152136266231537</v>
      </c>
      <c r="BZ103" s="24182">
        <f>5*HLOOKUP("uXG/90",A1:CV300,103,FALSE)+3*HLOOKUP("uXA/90",A1:CV300,103,FALSE)</f>
      </c>
    </row>
    <row r="104">
      <c r="A104" t="s" s="24183">
        <v>407</v>
      </c>
      <c r="B104" t="s" s="24184">
        <v>87</v>
      </c>
      <c r="C104" t="n" s="24185">
        <v>4.400000095367432</v>
      </c>
      <c r="D104" t="n" s="24186">
        <v>391.0</v>
      </c>
      <c r="E104" t="n" s="24187">
        <v>6.0</v>
      </c>
      <c r="F104" t="n" s="24188">
        <v>67.0</v>
      </c>
      <c r="G104" t="n" s="24189">
        <v>1.0</v>
      </c>
      <c r="H104" t="n" s="24190">
        <v>5.0</v>
      </c>
      <c r="I104" t="n" s="24191">
        <v>279.0</v>
      </c>
      <c r="J104" s="24192">
        <f>HLOOKUP("BPS",A1:CV300,104,FALSE)-((-6*HLOOKUP("OG",A1:CV300,104,FALSE))+(-6*HLOOKUP("PK Miss",A1:CV300,104,FALSE))+(9*HLOOKUP("FPL As",A1:CV300,104,FALSE))+(0*HLOOKUP("CS",A1:CV300,104,FALSE))+(18*HLOOKUP("Gs",A1:CV300,104,FALSE)))</f>
      </c>
      <c r="K104" t="n" s="24193">
        <v>0.0</v>
      </c>
      <c r="L104" t="n" s="24194">
        <v>5.0</v>
      </c>
      <c r="M104" t="n" s="24195">
        <v>8.0</v>
      </c>
      <c r="N104" t="n" s="24196">
        <v>7.0</v>
      </c>
      <c r="O104" t="n" s="24197">
        <v>4.0</v>
      </c>
      <c r="P104" s="24198">
        <f>IF(HLOOKUP("Shots",A1:CV300,104,FALSE)=0,0,HLOOKUP("SIB",A1:CV300,104,FALSE)/HLOOKUP("Shots",A1:CV300,104,FALSE))</f>
      </c>
      <c r="Q104" t="n" s="24199">
        <v>1.0</v>
      </c>
      <c r="R104" s="24200">
        <f>IF(HLOOKUP("Shots",A1:CV300,104,FALSE)=0,0,HLOOKUP("S6YD",A1:CV300,104,FALSE)/HLOOKUP("Shots",A1:CV300,104,FALSE))</f>
      </c>
      <c r="S104" t="n" s="24201">
        <v>0.0</v>
      </c>
      <c r="T104" s="24202">
        <f>IF(HLOOKUP("Shots",A1:CV300,104,FALSE)=0,0,HLOOKUP("Headers",A1:CV300,104,FALSE)/HLOOKUP("Shots",A1:CV300,104,FALSE))</f>
      </c>
      <c r="U104" t="n" s="24203">
        <v>5.0</v>
      </c>
      <c r="V104" s="24204">
        <f>IF(HLOOKUP("Shots",A1:CV300,104,FALSE)=0,0,HLOOKUP("SOT",A1:CV300,104,FALSE)/HLOOKUP("Shots",A1:CV300,104,FALSE))</f>
      </c>
      <c r="W104" s="24205">
        <f>IF(HLOOKUP("Shots",A1:CV300,104,FALSE)=0,0,HLOOKUP("Gs",A1:CV300,104,FALSE)/HLOOKUP("Shots",A1:CV300,104,FALSE))</f>
      </c>
      <c r="X104" t="n" s="24206">
        <v>2.0</v>
      </c>
      <c r="Y104" t="n" s="24207">
        <v>2.0</v>
      </c>
      <c r="Z104" t="n" s="24208">
        <v>6.0</v>
      </c>
      <c r="AA104" s="24209">
        <f>IF(HLOOKUP("KP",A1:CV300,104,FALSE)=0,0,HLOOKUP("As",A1:CV300,104,FALSE)/HLOOKUP("KP",A1:CV300,104,FALSE))</f>
      </c>
      <c r="AB104" s="24210"/>
      <c r="AC104" t="n" s="24211">
        <v>38.0</v>
      </c>
      <c r="AD104" t="n" s="24212">
        <v>1.0</v>
      </c>
      <c r="AE104" t="n" s="24213">
        <v>3.0</v>
      </c>
      <c r="AF104" t="n" s="24214">
        <v>2.0</v>
      </c>
      <c r="AG104" s="24215">
        <f>IF(HLOOKUP("BC",A1:CV300,104,FALSE)=0,0,HLOOKUP("Gs - BC",A1:CV300,104,FALSE)/HLOOKUP("BC",A1:CV300,104,FALSE))</f>
      </c>
      <c r="AH104" s="24216">
        <f>HLOOKUP("BC",A1:CV300,104,FALSE) - HLOOKUP("BC Miss",A1:CV300,104,FALSE)</f>
      </c>
      <c r="AI104" s="24217">
        <f>IF(HLOOKUP("Gs",A1:CV300,104,FALSE)=0,0,HLOOKUP("Gs - BC",A1:CV300,104,FALSE)/HLOOKUP("Gs",A1:CV300,104,FALSE))</f>
      </c>
      <c r="AJ104" t="n" s="24218">
        <v>0.0</v>
      </c>
      <c r="AK104" t="n" s="24219">
        <v>0.0</v>
      </c>
      <c r="AL104" s="24220">
        <f>HLOOKUP("BC",A1:CV300,104,FALSE) - (HLOOKUP("PK Gs",A1:CV300,104,FALSE) + HLOOKUP("PK Miss",A1:CV300,104,FALSE))</f>
      </c>
      <c r="AM104" s="24221">
        <f>HLOOKUP("BC Miss",A1:CV300,104,FALSE) - HLOOKUP("PK Miss",A1:CV300,104,FALSE)</f>
      </c>
      <c r="AN104" s="24222">
        <f>IF(HLOOKUP("BC - Open",A1:CV300,104,FALSE)=0,0,HLOOKUP("BC - Open Miss",A1:CV300,104,FALSE)/HLOOKUP("BC - Open",A1:CV300,104,FALSE))</f>
      </c>
      <c r="AO104" t="n" s="24223">
        <v>1.0</v>
      </c>
      <c r="AP104" s="24224">
        <f>IF(HLOOKUP("Gs",A1:CV300,104,FALSE)=0,0,HLOOKUP("GIB",A1:CV300,104,FALSE)/HLOOKUP("Gs",A1:CV300,104,FALSE))</f>
      </c>
      <c r="AQ104" t="n" s="24225">
        <v>1.0</v>
      </c>
      <c r="AR104" s="24226">
        <f>IF(HLOOKUP("Gs",A1:CV300,104,FALSE)=0,0,HLOOKUP("Gs - Open",A1:CV300,104,FALSE)/HLOOKUP("Gs",A1:CV300,104,FALSE))</f>
      </c>
      <c r="AS104" t="n" s="24227">
        <v>1.35</v>
      </c>
      <c r="AT104" t="n" s="24228">
        <v>0.39</v>
      </c>
      <c r="AU104" s="24229">
        <f>IF(HLOOKUP("Mins",A1:CV300,104,FALSE)=0,0,HLOOKUP("Pts",A1:CV300,104,FALSE)/HLOOKUP("Mins",A1:CV300,104,FALSE)* 90)</f>
      </c>
      <c r="AV104" s="24230">
        <f>IF(HLOOKUP("Apps",A1:CV300,104,FALSE)=0,0,HLOOKUP("Pts",A1:CV300,104,FALSE)/HLOOKUP("Apps",A1:CV300,104,FALSE)* 1)</f>
      </c>
      <c r="AW104" s="24231">
        <f>IF(HLOOKUP("Mins",A1:CV300,104,FALSE)=0,0,HLOOKUP("Gs",A1:CV300,104,FALSE)/HLOOKUP("Mins",A1:CV300,104,FALSE)* 90)</f>
      </c>
      <c r="AX104" s="24232">
        <f>IF(HLOOKUP("Mins",A1:CV300,104,FALSE)=0,0,HLOOKUP("Bonus",A1:CV300,104,FALSE)/HLOOKUP("Mins",A1:CV300,104,FALSE)* 90)</f>
      </c>
      <c r="AY104" s="24233">
        <f>IF(HLOOKUP("Mins",A1:CV300,104,FALSE)=0,0,HLOOKUP("BPS",A1:CV300,104,FALSE)/HLOOKUP("Mins",A1:CV300,104,FALSE)* 90)</f>
      </c>
      <c r="AZ104" s="24234">
        <f>IF(HLOOKUP("Mins",A1:CV300,104,FALSE)=0,0,HLOOKUP("Base BPS",A1:CV300,104,FALSE)/HLOOKUP("Mins",A1:CV300,104,FALSE)* 90)</f>
      </c>
      <c r="BA104" s="24235">
        <f>IF(HLOOKUP("Mins",A1:CV300,104,FALSE)=0,0,HLOOKUP("PenTchs",A1:CV300,104,FALSE)/HLOOKUP("Mins",A1:CV300,104,FALSE)* 90)</f>
      </c>
      <c r="BB104" s="24236">
        <f>IF(HLOOKUP("Mins",A1:CV300,104,FALSE)=0,0,HLOOKUP("Shots",A1:CV300,104,FALSE)/HLOOKUP("Mins",A1:CV300,104,FALSE)* 90)</f>
      </c>
      <c r="BC104" s="24237">
        <f>IF(HLOOKUP("Mins",A1:CV300,104,FALSE)=0,0,HLOOKUP("SIB",A1:CV300,104,FALSE)/HLOOKUP("Mins",A1:CV300,104,FALSE)* 90)</f>
      </c>
      <c r="BD104" s="24238">
        <f>IF(HLOOKUP("Mins",A1:CV300,104,FALSE)=0,0,HLOOKUP("S6YD",A1:CV300,104,FALSE)/HLOOKUP("Mins",A1:CV300,104,FALSE)* 90)</f>
      </c>
      <c r="BE104" s="24239">
        <f>IF(HLOOKUP("Mins",A1:CV300,104,FALSE)=0,0,HLOOKUP("Headers",A1:CV300,104,FALSE)/HLOOKUP("Mins",A1:CV300,104,FALSE)* 90)</f>
      </c>
      <c r="BF104" s="24240">
        <f>IF(HLOOKUP("Mins",A1:CV300,104,FALSE)=0,0,HLOOKUP("SOT",A1:CV300,104,FALSE)/HLOOKUP("Mins",A1:CV300,104,FALSE)* 90)</f>
      </c>
      <c r="BG104" s="24241">
        <f>IF(HLOOKUP("Mins",A1:CV300,104,FALSE)=0,0,HLOOKUP("As",A1:CV300,104,FALSE)/HLOOKUP("Mins",A1:CV300,104,FALSE)* 90)</f>
      </c>
      <c r="BH104" s="24242">
        <f>IF(HLOOKUP("Mins",A1:CV300,104,FALSE)=0,0,HLOOKUP("FPL As",A1:CV300,104,FALSE)/HLOOKUP("Mins",A1:CV300,104,FALSE)* 90)</f>
      </c>
      <c r="BI104" s="24243">
        <f>IF(HLOOKUP("Mins",A1:CV300,104,FALSE)=0,0,HLOOKUP("BC Created",A1:CV300,104,FALSE)/HLOOKUP("Mins",A1:CV300,104,FALSE)* 90)</f>
      </c>
      <c r="BJ104" s="24244">
        <f>IF(HLOOKUP("Mins",A1:CV300,104,FALSE)=0,0,HLOOKUP("KP",A1:CV300,104,FALSE)/HLOOKUP("Mins",A1:CV300,104,FALSE)* 90)</f>
      </c>
      <c r="BK104" s="24245">
        <f>IF(HLOOKUP("Mins",A1:CV300,104,FALSE)=0,0,HLOOKUP("BC",A1:CV300,104,FALSE)/HLOOKUP("Mins",A1:CV300,104,FALSE)* 90)</f>
      </c>
      <c r="BL104" s="24246">
        <f>IF(HLOOKUP("Mins",A1:CV300,104,FALSE)=0,0,HLOOKUP("BC Miss",A1:CV300,104,FALSE)/HLOOKUP("Mins",A1:CV300,104,FALSE)* 90)</f>
      </c>
      <c r="BM104" s="24247">
        <f>IF(HLOOKUP("Mins",A1:CV300,104,FALSE)=0,0,HLOOKUP("Gs - BC",A1:CV300,104,FALSE)/HLOOKUP("Mins",A1:CV300,104,FALSE)* 90)</f>
      </c>
      <c r="BN104" s="24248">
        <f>IF(HLOOKUP("Mins",A1:CV300,104,FALSE)=0,0,HLOOKUP("GIB",A1:CV300,104,FALSE)/HLOOKUP("Mins",A1:CV300,104,FALSE)* 90)</f>
      </c>
      <c r="BO104" s="24249">
        <f>IF(HLOOKUP("Mins",A1:CV300,104,FALSE)=0,0,HLOOKUP("Gs - Open",A1:CV300,104,FALSE)/HLOOKUP("Mins",A1:CV300,104,FALSE)* 90)</f>
      </c>
      <c r="BP104" s="24250">
        <f>IF(HLOOKUP("Mins",A1:CV300,104,FALSE)=0,0,HLOOKUP("ICT Index",A1:CV300,104,FALSE)/HLOOKUP("Mins",A1:CV300,104,FALSE)* 90)</f>
      </c>
      <c r="BQ104" s="24251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</c>
      <c r="BR104" s="24252">
        <f>0.0885*HLOOKUP("KP/90",A1:CV300,104,FALSE)</f>
      </c>
      <c r="BS104" s="24253">
        <f>5*HLOOKUP("xG/90",A1:CV300,104,FALSE)+3*HLOOKUP("xA/90",A1:CV300,104,FALSE)</f>
      </c>
      <c r="BT104" s="24254">
        <f>HLOOKUP("xPts/90",A1:CV300,104,FALSE)-(5*0.75*(HLOOKUP("PK Gs",A1:CV300,104,FALSE)+HLOOKUP("PK Miss",A1:CV300,104,FALSE))*90/HLOOKUP("Mins",A1:CV300,104,FALSE))</f>
      </c>
      <c r="BU104" s="24255">
        <f>IF(HLOOKUP("Mins",A1:CV300,104,FALSE)=0,0,HLOOKUP("fsXG",A1:CV300,104,FALSE)/HLOOKUP("Mins",A1:CV300,104,FALSE)* 90)</f>
      </c>
      <c r="BV104" s="24256">
        <f>IF(HLOOKUP("Mins",A1:CV300,104,FALSE)=0,0,HLOOKUP("fsXA",A1:CV300,104,FALSE)/HLOOKUP("Mins",A1:CV300,104,FALSE)* 90)</f>
      </c>
      <c r="BW104" s="24257">
        <f>5*HLOOKUP("fsXG/90",A1:CV300,104,FALSE)+3*HLOOKUP("fsXA/90",A1:CV300,104,FALSE)</f>
      </c>
      <c r="BX104" t="n" s="24258">
        <v>0.3194965720176697</v>
      </c>
      <c r="BY104" t="n" s="24259">
        <v>0.18222224712371826</v>
      </c>
      <c r="BZ104" s="24260">
        <f>5*HLOOKUP("uXG/90",A1:CV300,104,FALSE)+3*HLOOKUP("uXA/90",A1:CV300,104,FALSE)</f>
      </c>
    </row>
    <row r="105">
      <c r="A105" t="s" s="24261">
        <v>408</v>
      </c>
      <c r="B105" t="s" s="24262">
        <v>102</v>
      </c>
      <c r="C105" t="n" s="24263">
        <v>5.800000190734863</v>
      </c>
      <c r="D105" t="n" s="24264">
        <v>540.0</v>
      </c>
      <c r="E105" t="n" s="24265">
        <v>6.0</v>
      </c>
      <c r="F105" t="n" s="24266">
        <v>72.0</v>
      </c>
      <c r="G105" t="n" s="24267">
        <v>1.0</v>
      </c>
      <c r="H105" t="n" s="24268">
        <v>5.0</v>
      </c>
      <c r="I105" t="n" s="24269">
        <v>222.0</v>
      </c>
      <c r="J105" s="24270">
        <f>HLOOKUP("BPS",A1:CV300,105,FALSE)-((-6*HLOOKUP("OG",A1:CV300,105,FALSE))+(-6*HLOOKUP("PK Miss",A1:CV300,105,FALSE))+(9*HLOOKUP("FPL As",A1:CV300,105,FALSE))+(0*HLOOKUP("CS",A1:CV300,105,FALSE))+(18*HLOOKUP("Gs",A1:CV300,105,FALSE)))</f>
      </c>
      <c r="K105" t="n" s="24271">
        <v>0.0</v>
      </c>
      <c r="L105" t="n" s="24272">
        <v>8.0</v>
      </c>
      <c r="M105" t="n" s="24273">
        <v>13.0</v>
      </c>
      <c r="N105" t="n" s="24274">
        <v>5.0</v>
      </c>
      <c r="O105" t="n" s="24275">
        <v>3.0</v>
      </c>
      <c r="P105" s="24276">
        <f>IF(HLOOKUP("Shots",A1:CV300,105,FALSE)=0,0,HLOOKUP("SIB",A1:CV300,105,FALSE)/HLOOKUP("Shots",A1:CV300,105,FALSE))</f>
      </c>
      <c r="Q105" t="n" s="24277">
        <v>0.0</v>
      </c>
      <c r="R105" s="24278">
        <f>IF(HLOOKUP("Shots",A1:CV300,105,FALSE)=0,0,HLOOKUP("S6YD",A1:CV300,105,FALSE)/HLOOKUP("Shots",A1:CV300,105,FALSE))</f>
      </c>
      <c r="S105" t="n" s="24279">
        <v>2.0</v>
      </c>
      <c r="T105" s="24280">
        <f>IF(HLOOKUP("Shots",A1:CV300,105,FALSE)=0,0,HLOOKUP("Headers",A1:CV300,105,FALSE)/HLOOKUP("Shots",A1:CV300,105,FALSE))</f>
      </c>
      <c r="U105" t="n" s="24281">
        <v>1.0</v>
      </c>
      <c r="V105" s="24282">
        <f>IF(HLOOKUP("Shots",A1:CV300,105,FALSE)=0,0,HLOOKUP("SOT",A1:CV300,105,FALSE)/HLOOKUP("Shots",A1:CV300,105,FALSE))</f>
      </c>
      <c r="W105" s="24283">
        <f>IF(HLOOKUP("Shots",A1:CV300,105,FALSE)=0,0,HLOOKUP("Gs",A1:CV300,105,FALSE)/HLOOKUP("Shots",A1:CV300,105,FALSE))</f>
      </c>
      <c r="X105" t="n" s="24284">
        <v>0.0</v>
      </c>
      <c r="Y105" t="n" s="24285">
        <v>1.0</v>
      </c>
      <c r="Z105" t="n" s="24286">
        <v>2.0</v>
      </c>
      <c r="AA105" s="24287">
        <f>IF(HLOOKUP("KP",A1:CV300,105,FALSE)=0,0,HLOOKUP("As",A1:CV300,105,FALSE)/HLOOKUP("KP",A1:CV300,105,FALSE))</f>
      </c>
      <c r="AB105" s="24288"/>
      <c r="AC105" t="n" s="24289">
        <v>25.0</v>
      </c>
      <c r="AD105" t="n" s="24290">
        <v>0.0</v>
      </c>
      <c r="AE105" t="n" s="24291">
        <v>1.0</v>
      </c>
      <c r="AF105" t="n" s="24292">
        <v>1.0</v>
      </c>
      <c r="AG105" s="24293">
        <f>IF(HLOOKUP("BC",A1:CV300,105,FALSE)=0,0,HLOOKUP("Gs - BC",A1:CV300,105,FALSE)/HLOOKUP("BC",A1:CV300,105,FALSE))</f>
      </c>
      <c r="AH105" s="24294">
        <f>HLOOKUP("BC",A1:CV300,105,FALSE) - HLOOKUP("BC Miss",A1:CV300,105,FALSE)</f>
      </c>
      <c r="AI105" s="24295">
        <f>IF(HLOOKUP("Gs",A1:CV300,105,FALSE)=0,0,HLOOKUP("Gs - BC",A1:CV300,105,FALSE)/HLOOKUP("Gs",A1:CV300,105,FALSE))</f>
      </c>
      <c r="AJ105" t="n" s="24296">
        <v>0.0</v>
      </c>
      <c r="AK105" t="n" s="24297">
        <v>0.0</v>
      </c>
      <c r="AL105" s="24298">
        <f>HLOOKUP("BC",A1:CV300,105,FALSE) - (HLOOKUP("PK Gs",A1:CV300,105,FALSE) + HLOOKUP("PK Miss",A1:CV300,105,FALSE))</f>
      </c>
      <c r="AM105" s="24299">
        <f>HLOOKUP("BC Miss",A1:CV300,105,FALSE) - HLOOKUP("PK Miss",A1:CV300,105,FALSE)</f>
      </c>
      <c r="AN105" s="24300">
        <f>IF(HLOOKUP("BC - Open",A1:CV300,105,FALSE)=0,0,HLOOKUP("BC - Open Miss",A1:CV300,105,FALSE)/HLOOKUP("BC - Open",A1:CV300,105,FALSE))</f>
      </c>
      <c r="AO105" t="n" s="24301">
        <v>1.0</v>
      </c>
      <c r="AP105" s="24302">
        <f>IF(HLOOKUP("Gs",A1:CV300,105,FALSE)=0,0,HLOOKUP("GIB",A1:CV300,105,FALSE)/HLOOKUP("Gs",A1:CV300,105,FALSE))</f>
      </c>
      <c r="AQ105" t="n" s="24303">
        <v>1.0</v>
      </c>
      <c r="AR105" s="24304">
        <f>IF(HLOOKUP("Gs",A1:CV300,105,FALSE)=0,0,HLOOKUP("Gs - Open",A1:CV300,105,FALSE)/HLOOKUP("Gs",A1:CV300,105,FALSE))</f>
      </c>
      <c r="AS105" t="n" s="24305">
        <v>0.58</v>
      </c>
      <c r="AT105" t="n" s="24306">
        <v>0.21</v>
      </c>
      <c r="AU105" s="24307">
        <f>IF(HLOOKUP("Mins",A1:CV300,105,FALSE)=0,0,HLOOKUP("Pts",A1:CV300,105,FALSE)/HLOOKUP("Mins",A1:CV300,105,FALSE)* 90)</f>
      </c>
      <c r="AV105" s="24308">
        <f>IF(HLOOKUP("Apps",A1:CV300,105,FALSE)=0,0,HLOOKUP("Pts",A1:CV300,105,FALSE)/HLOOKUP("Apps",A1:CV300,105,FALSE)* 1)</f>
      </c>
      <c r="AW105" s="24309">
        <f>IF(HLOOKUP("Mins",A1:CV300,105,FALSE)=0,0,HLOOKUP("Gs",A1:CV300,105,FALSE)/HLOOKUP("Mins",A1:CV300,105,FALSE)* 90)</f>
      </c>
      <c r="AX105" s="24310">
        <f>IF(HLOOKUP("Mins",A1:CV300,105,FALSE)=0,0,HLOOKUP("Bonus",A1:CV300,105,FALSE)/HLOOKUP("Mins",A1:CV300,105,FALSE)* 90)</f>
      </c>
      <c r="AY105" s="24311">
        <f>IF(HLOOKUP("Mins",A1:CV300,105,FALSE)=0,0,HLOOKUP("BPS",A1:CV300,105,FALSE)/HLOOKUP("Mins",A1:CV300,105,FALSE)* 90)</f>
      </c>
      <c r="AZ105" s="24312">
        <f>IF(HLOOKUP("Mins",A1:CV300,105,FALSE)=0,0,HLOOKUP("Base BPS",A1:CV300,105,FALSE)/HLOOKUP("Mins",A1:CV300,105,FALSE)* 90)</f>
      </c>
      <c r="BA105" s="24313">
        <f>IF(HLOOKUP("Mins",A1:CV300,105,FALSE)=0,0,HLOOKUP("PenTchs",A1:CV300,105,FALSE)/HLOOKUP("Mins",A1:CV300,105,FALSE)* 90)</f>
      </c>
      <c r="BB105" s="24314">
        <f>IF(HLOOKUP("Mins",A1:CV300,105,FALSE)=0,0,HLOOKUP("Shots",A1:CV300,105,FALSE)/HLOOKUP("Mins",A1:CV300,105,FALSE)* 90)</f>
      </c>
      <c r="BC105" s="24315">
        <f>IF(HLOOKUP("Mins",A1:CV300,105,FALSE)=0,0,HLOOKUP("SIB",A1:CV300,105,FALSE)/HLOOKUP("Mins",A1:CV300,105,FALSE)* 90)</f>
      </c>
      <c r="BD105" s="24316">
        <f>IF(HLOOKUP("Mins",A1:CV300,105,FALSE)=0,0,HLOOKUP("S6YD",A1:CV300,105,FALSE)/HLOOKUP("Mins",A1:CV300,105,FALSE)* 90)</f>
      </c>
      <c r="BE105" s="24317">
        <f>IF(HLOOKUP("Mins",A1:CV300,105,FALSE)=0,0,HLOOKUP("Headers",A1:CV300,105,FALSE)/HLOOKUP("Mins",A1:CV300,105,FALSE)* 90)</f>
      </c>
      <c r="BF105" s="24318">
        <f>IF(HLOOKUP("Mins",A1:CV300,105,FALSE)=0,0,HLOOKUP("SOT",A1:CV300,105,FALSE)/HLOOKUP("Mins",A1:CV300,105,FALSE)* 90)</f>
      </c>
      <c r="BG105" s="24319">
        <f>IF(HLOOKUP("Mins",A1:CV300,105,FALSE)=0,0,HLOOKUP("As",A1:CV300,105,FALSE)/HLOOKUP("Mins",A1:CV300,105,FALSE)* 90)</f>
      </c>
      <c r="BH105" s="24320">
        <f>IF(HLOOKUP("Mins",A1:CV300,105,FALSE)=0,0,HLOOKUP("FPL As",A1:CV300,105,FALSE)/HLOOKUP("Mins",A1:CV300,105,FALSE)* 90)</f>
      </c>
      <c r="BI105" s="24321">
        <f>IF(HLOOKUP("Mins",A1:CV300,105,FALSE)=0,0,HLOOKUP("BC Created",A1:CV300,105,FALSE)/HLOOKUP("Mins",A1:CV300,105,FALSE)* 90)</f>
      </c>
      <c r="BJ105" s="24322">
        <f>IF(HLOOKUP("Mins",A1:CV300,105,FALSE)=0,0,HLOOKUP("KP",A1:CV300,105,FALSE)/HLOOKUP("Mins",A1:CV300,105,FALSE)* 90)</f>
      </c>
      <c r="BK105" s="24323">
        <f>IF(HLOOKUP("Mins",A1:CV300,105,FALSE)=0,0,HLOOKUP("BC",A1:CV300,105,FALSE)/HLOOKUP("Mins",A1:CV300,105,FALSE)* 90)</f>
      </c>
      <c r="BL105" s="24324">
        <f>IF(HLOOKUP("Mins",A1:CV300,105,FALSE)=0,0,HLOOKUP("BC Miss",A1:CV300,105,FALSE)/HLOOKUP("Mins",A1:CV300,105,FALSE)* 90)</f>
      </c>
      <c r="BM105" s="24325">
        <f>IF(HLOOKUP("Mins",A1:CV300,105,FALSE)=0,0,HLOOKUP("Gs - BC",A1:CV300,105,FALSE)/HLOOKUP("Mins",A1:CV300,105,FALSE)* 90)</f>
      </c>
      <c r="BN105" s="24326">
        <f>IF(HLOOKUP("Mins",A1:CV300,105,FALSE)=0,0,HLOOKUP("GIB",A1:CV300,105,FALSE)/HLOOKUP("Mins",A1:CV300,105,FALSE)* 90)</f>
      </c>
      <c r="BO105" s="24327">
        <f>IF(HLOOKUP("Mins",A1:CV300,105,FALSE)=0,0,HLOOKUP("Gs - Open",A1:CV300,105,FALSE)/HLOOKUP("Mins",A1:CV300,105,FALSE)* 90)</f>
      </c>
      <c r="BP105" s="24328">
        <f>IF(HLOOKUP("Mins",A1:CV300,105,FALSE)=0,0,HLOOKUP("ICT Index",A1:CV300,105,FALSE)/HLOOKUP("Mins",A1:CV300,105,FALSE)* 90)</f>
      </c>
      <c r="BQ105" s="24329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</c>
      <c r="BR105" s="24330">
        <f>0.0885*HLOOKUP("KP/90",A1:CV300,105,FALSE)</f>
      </c>
      <c r="BS105" s="24331">
        <f>5*HLOOKUP("xG/90",A1:CV300,105,FALSE)+3*HLOOKUP("xA/90",A1:CV300,105,FALSE)</f>
      </c>
      <c r="BT105" s="24332">
        <f>HLOOKUP("xPts/90",A1:CV300,105,FALSE)-(5*0.75*(HLOOKUP("PK Gs",A1:CV300,105,FALSE)+HLOOKUP("PK Miss",A1:CV300,105,FALSE))*90/HLOOKUP("Mins",A1:CV300,105,FALSE))</f>
      </c>
      <c r="BU105" s="24333">
        <f>IF(HLOOKUP("Mins",A1:CV300,105,FALSE)=0,0,HLOOKUP("fsXG",A1:CV300,105,FALSE)/HLOOKUP("Mins",A1:CV300,105,FALSE)* 90)</f>
      </c>
      <c r="BV105" s="24334">
        <f>IF(HLOOKUP("Mins",A1:CV300,105,FALSE)=0,0,HLOOKUP("fsXA",A1:CV300,105,FALSE)/HLOOKUP("Mins",A1:CV300,105,FALSE)* 90)</f>
      </c>
      <c r="BW105" s="24335">
        <f>5*HLOOKUP("fsXG/90",A1:CV300,105,FALSE)+3*HLOOKUP("fsXA/90",A1:CV300,105,FALSE)</f>
      </c>
      <c r="BX105" t="n" s="24336">
        <v>0.10890835523605347</v>
      </c>
      <c r="BY105" t="n" s="24337">
        <v>0.01904977485537529</v>
      </c>
      <c r="BZ105" s="24338">
        <f>5*HLOOKUP("uXG/90",A1:CV300,105,FALSE)+3*HLOOKUP("uXA/90",A1:CV300,105,FALSE)</f>
      </c>
    </row>
    <row r="106">
      <c r="A106" t="s" s="24339">
        <v>409</v>
      </c>
      <c r="B106" t="s" s="24340">
        <v>118</v>
      </c>
      <c r="C106" t="n" s="24341">
        <v>5.599999904632568</v>
      </c>
      <c r="D106" t="n" s="24342">
        <v>65.0</v>
      </c>
      <c r="E106" t="n" s="24343">
        <v>1.0</v>
      </c>
      <c r="F106" t="n" s="24344">
        <v>37.0</v>
      </c>
      <c r="G106" t="n" s="24345">
        <v>0.0</v>
      </c>
      <c r="H106" t="n" s="24346">
        <v>2.0</v>
      </c>
      <c r="I106" t="n" s="24347">
        <v>162.0</v>
      </c>
      <c r="J106" s="24348">
        <f>HLOOKUP("BPS",A1:CV300,106,FALSE)-((-6*HLOOKUP("OG",A1:CV300,106,FALSE))+(-6*HLOOKUP("PK Miss",A1:CV300,106,FALSE))+(9*HLOOKUP("FPL As",A1:CV300,106,FALSE))+(0*HLOOKUP("CS",A1:CV300,106,FALSE))+(18*HLOOKUP("Gs",A1:CV300,106,FALSE)))</f>
      </c>
      <c r="K106" t="n" s="24349">
        <v>0.0</v>
      </c>
      <c r="L106" t="n" s="24350">
        <v>1.0</v>
      </c>
      <c r="M106" t="n" s="24351">
        <v>1.0</v>
      </c>
      <c r="N106" t="n" s="24352">
        <v>0.0</v>
      </c>
      <c r="O106" t="n" s="24353">
        <v>0.0</v>
      </c>
      <c r="P106" s="24354">
        <f>IF(HLOOKUP("Shots",A1:CV300,106,FALSE)=0,0,HLOOKUP("SIB",A1:CV300,106,FALSE)/HLOOKUP("Shots",A1:CV300,106,FALSE))</f>
      </c>
      <c r="Q106" t="n" s="24355">
        <v>0.0</v>
      </c>
      <c r="R106" s="24356">
        <f>IF(HLOOKUP("Shots",A1:CV300,106,FALSE)=0,0,HLOOKUP("S6YD",A1:CV300,106,FALSE)/HLOOKUP("Shots",A1:CV300,106,FALSE))</f>
      </c>
      <c r="S106" t="n" s="24357">
        <v>0.0</v>
      </c>
      <c r="T106" s="24358">
        <f>IF(HLOOKUP("Shots",A1:CV300,106,FALSE)=0,0,HLOOKUP("Headers",A1:CV300,106,FALSE)/HLOOKUP("Shots",A1:CV300,106,FALSE))</f>
      </c>
      <c r="U106" t="n" s="24359">
        <v>0.0</v>
      </c>
      <c r="V106" s="24360">
        <f>IF(HLOOKUP("Shots",A1:CV300,106,FALSE)=0,0,HLOOKUP("SOT",A1:CV300,106,FALSE)/HLOOKUP("Shots",A1:CV300,106,FALSE))</f>
      </c>
      <c r="W106" s="24361">
        <f>IF(HLOOKUP("Shots",A1:CV300,106,FALSE)=0,0,HLOOKUP("Gs",A1:CV300,106,FALSE)/HLOOKUP("Shots",A1:CV300,106,FALSE))</f>
      </c>
      <c r="X106" t="n" s="24362">
        <v>0.0</v>
      </c>
      <c r="Y106" t="n" s="24363">
        <v>0.0</v>
      </c>
      <c r="Z106" t="n" s="24364">
        <v>1.0</v>
      </c>
      <c r="AA106" s="24365">
        <f>IF(HLOOKUP("KP",A1:CV300,106,FALSE)=0,0,HLOOKUP("As",A1:CV300,106,FALSE)/HLOOKUP("KP",A1:CV300,106,FALSE))</f>
      </c>
      <c r="AB106" s="24366"/>
      <c r="AC106" t="n" s="24367">
        <v>0.0</v>
      </c>
      <c r="AD106" t="n" s="24368">
        <v>0.0</v>
      </c>
      <c r="AE106" t="n" s="24369">
        <v>0.0</v>
      </c>
      <c r="AF106" t="n" s="24370">
        <v>0.0</v>
      </c>
      <c r="AG106" s="24371">
        <f>IF(HLOOKUP("BC",A1:CV300,106,FALSE)=0,0,HLOOKUP("Gs - BC",A1:CV300,106,FALSE)/HLOOKUP("BC",A1:CV300,106,FALSE))</f>
      </c>
      <c r="AH106" s="24372">
        <f>HLOOKUP("BC",A1:CV300,106,FALSE) - HLOOKUP("BC Miss",A1:CV300,106,FALSE)</f>
      </c>
      <c r="AI106" s="24373">
        <f>IF(HLOOKUP("Gs",A1:CV300,106,FALSE)=0,0,HLOOKUP("Gs - BC",A1:CV300,106,FALSE)/HLOOKUP("Gs",A1:CV300,106,FALSE))</f>
      </c>
      <c r="AJ106" t="n" s="24374">
        <v>0.0</v>
      </c>
      <c r="AK106" t="n" s="24375">
        <v>0.0</v>
      </c>
      <c r="AL106" s="24376">
        <f>HLOOKUP("BC",A1:CV300,106,FALSE) - (HLOOKUP("PK Gs",A1:CV300,106,FALSE) + HLOOKUP("PK Miss",A1:CV300,106,FALSE))</f>
      </c>
      <c r="AM106" s="24377">
        <f>HLOOKUP("BC Miss",A1:CV300,106,FALSE) - HLOOKUP("PK Miss",A1:CV300,106,FALSE)</f>
      </c>
      <c r="AN106" s="24378">
        <f>IF(HLOOKUP("BC - Open",A1:CV300,106,FALSE)=0,0,HLOOKUP("BC - Open Miss",A1:CV300,106,FALSE)/HLOOKUP("BC - Open",A1:CV300,106,FALSE))</f>
      </c>
      <c r="AO106" t="n" s="24379">
        <v>0.0</v>
      </c>
      <c r="AP106" s="24380">
        <f>IF(HLOOKUP("Gs",A1:CV300,106,FALSE)=0,0,HLOOKUP("GIB",A1:CV300,106,FALSE)/HLOOKUP("Gs",A1:CV300,106,FALSE))</f>
      </c>
      <c r="AQ106" t="n" s="24381">
        <v>0.0</v>
      </c>
      <c r="AR106" s="24382">
        <f>IF(HLOOKUP("Gs",A1:CV300,106,FALSE)=0,0,HLOOKUP("Gs - Open",A1:CV300,106,FALSE)/HLOOKUP("Gs",A1:CV300,106,FALSE))</f>
      </c>
      <c r="AS106" t="n" s="24383">
        <v>0.0</v>
      </c>
      <c r="AT106" t="n" s="24384">
        <v>0.08</v>
      </c>
      <c r="AU106" s="24385">
        <f>IF(HLOOKUP("Mins",A1:CV300,106,FALSE)=0,0,HLOOKUP("Pts",A1:CV300,106,FALSE)/HLOOKUP("Mins",A1:CV300,106,FALSE)* 90)</f>
      </c>
      <c r="AV106" s="24386">
        <f>IF(HLOOKUP("Apps",A1:CV300,106,FALSE)=0,0,HLOOKUP("Pts",A1:CV300,106,FALSE)/HLOOKUP("Apps",A1:CV300,106,FALSE)* 1)</f>
      </c>
      <c r="AW106" s="24387">
        <f>IF(HLOOKUP("Mins",A1:CV300,106,FALSE)=0,0,HLOOKUP("Gs",A1:CV300,106,FALSE)/HLOOKUP("Mins",A1:CV300,106,FALSE)* 90)</f>
      </c>
      <c r="AX106" s="24388">
        <f>IF(HLOOKUP("Mins",A1:CV300,106,FALSE)=0,0,HLOOKUP("Bonus",A1:CV300,106,FALSE)/HLOOKUP("Mins",A1:CV300,106,FALSE)* 90)</f>
      </c>
      <c r="AY106" s="24389">
        <f>IF(HLOOKUP("Mins",A1:CV300,106,FALSE)=0,0,HLOOKUP("BPS",A1:CV300,106,FALSE)/HLOOKUP("Mins",A1:CV300,106,FALSE)* 90)</f>
      </c>
      <c r="AZ106" s="24390">
        <f>IF(HLOOKUP("Mins",A1:CV300,106,FALSE)=0,0,HLOOKUP("Base BPS",A1:CV300,106,FALSE)/HLOOKUP("Mins",A1:CV300,106,FALSE)* 90)</f>
      </c>
      <c r="BA106" s="24391">
        <f>IF(HLOOKUP("Mins",A1:CV300,106,FALSE)=0,0,HLOOKUP("PenTchs",A1:CV300,106,FALSE)/HLOOKUP("Mins",A1:CV300,106,FALSE)* 90)</f>
      </c>
      <c r="BB106" s="24392">
        <f>IF(HLOOKUP("Mins",A1:CV300,106,FALSE)=0,0,HLOOKUP("Shots",A1:CV300,106,FALSE)/HLOOKUP("Mins",A1:CV300,106,FALSE)* 90)</f>
      </c>
      <c r="BC106" s="24393">
        <f>IF(HLOOKUP("Mins",A1:CV300,106,FALSE)=0,0,HLOOKUP("SIB",A1:CV300,106,FALSE)/HLOOKUP("Mins",A1:CV300,106,FALSE)* 90)</f>
      </c>
      <c r="BD106" s="24394">
        <f>IF(HLOOKUP("Mins",A1:CV300,106,FALSE)=0,0,HLOOKUP("S6YD",A1:CV300,106,FALSE)/HLOOKUP("Mins",A1:CV300,106,FALSE)* 90)</f>
      </c>
      <c r="BE106" s="24395">
        <f>IF(HLOOKUP("Mins",A1:CV300,106,FALSE)=0,0,HLOOKUP("Headers",A1:CV300,106,FALSE)/HLOOKUP("Mins",A1:CV300,106,FALSE)* 90)</f>
      </c>
      <c r="BF106" s="24396">
        <f>IF(HLOOKUP("Mins",A1:CV300,106,FALSE)=0,0,HLOOKUP("SOT",A1:CV300,106,FALSE)/HLOOKUP("Mins",A1:CV300,106,FALSE)* 90)</f>
      </c>
      <c r="BG106" s="24397">
        <f>IF(HLOOKUP("Mins",A1:CV300,106,FALSE)=0,0,HLOOKUP("As",A1:CV300,106,FALSE)/HLOOKUP("Mins",A1:CV300,106,FALSE)* 90)</f>
      </c>
      <c r="BH106" s="24398">
        <f>IF(HLOOKUP("Mins",A1:CV300,106,FALSE)=0,0,HLOOKUP("FPL As",A1:CV300,106,FALSE)/HLOOKUP("Mins",A1:CV300,106,FALSE)* 90)</f>
      </c>
      <c r="BI106" s="24399">
        <f>IF(HLOOKUP("Mins",A1:CV300,106,FALSE)=0,0,HLOOKUP("BC Created",A1:CV300,106,FALSE)/HLOOKUP("Mins",A1:CV300,106,FALSE)* 90)</f>
      </c>
      <c r="BJ106" s="24400">
        <f>IF(HLOOKUP("Mins",A1:CV300,106,FALSE)=0,0,HLOOKUP("KP",A1:CV300,106,FALSE)/HLOOKUP("Mins",A1:CV300,106,FALSE)* 90)</f>
      </c>
      <c r="BK106" s="24401">
        <f>IF(HLOOKUP("Mins",A1:CV300,106,FALSE)=0,0,HLOOKUP("BC",A1:CV300,106,FALSE)/HLOOKUP("Mins",A1:CV300,106,FALSE)* 90)</f>
      </c>
      <c r="BL106" s="24402">
        <f>IF(HLOOKUP("Mins",A1:CV300,106,FALSE)=0,0,HLOOKUP("BC Miss",A1:CV300,106,FALSE)/HLOOKUP("Mins",A1:CV300,106,FALSE)* 90)</f>
      </c>
      <c r="BM106" s="24403">
        <f>IF(HLOOKUP("Mins",A1:CV300,106,FALSE)=0,0,HLOOKUP("Gs - BC",A1:CV300,106,FALSE)/HLOOKUP("Mins",A1:CV300,106,FALSE)* 90)</f>
      </c>
      <c r="BN106" s="24404">
        <f>IF(HLOOKUP("Mins",A1:CV300,106,FALSE)=0,0,HLOOKUP("GIB",A1:CV300,106,FALSE)/HLOOKUP("Mins",A1:CV300,106,FALSE)* 90)</f>
      </c>
      <c r="BO106" s="24405">
        <f>IF(HLOOKUP("Mins",A1:CV300,106,FALSE)=0,0,HLOOKUP("Gs - Open",A1:CV300,106,FALSE)/HLOOKUP("Mins",A1:CV300,106,FALSE)* 90)</f>
      </c>
      <c r="BP106" s="24406">
        <f>IF(HLOOKUP("Mins",A1:CV300,106,FALSE)=0,0,HLOOKUP("ICT Index",A1:CV300,106,FALSE)/HLOOKUP("Mins",A1:CV300,106,FALSE)* 90)</f>
      </c>
      <c r="BQ106" s="24407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</c>
      <c r="BR106" s="24408">
        <f>0.0885*HLOOKUP("KP/90",A1:CV300,106,FALSE)</f>
      </c>
      <c r="BS106" s="24409">
        <f>5*HLOOKUP("xG/90",A1:CV300,106,FALSE)+3*HLOOKUP("xA/90",A1:CV300,106,FALSE)</f>
      </c>
      <c r="BT106" s="24410">
        <f>HLOOKUP("xPts/90",A1:CV300,106,FALSE)-(5*0.75*(HLOOKUP("PK Gs",A1:CV300,106,FALSE)+HLOOKUP("PK Miss",A1:CV300,106,FALSE))*90/HLOOKUP("Mins",A1:CV300,106,FALSE))</f>
      </c>
      <c r="BU106" s="24411">
        <f>IF(HLOOKUP("Mins",A1:CV300,106,FALSE)=0,0,HLOOKUP("fsXG",A1:CV300,106,FALSE)/HLOOKUP("Mins",A1:CV300,106,FALSE)* 90)</f>
      </c>
      <c r="BV106" s="24412">
        <f>IF(HLOOKUP("Mins",A1:CV300,106,FALSE)=0,0,HLOOKUP("fsXA",A1:CV300,106,FALSE)/HLOOKUP("Mins",A1:CV300,106,FALSE)* 90)</f>
      </c>
      <c r="BW106" s="24413">
        <f>5*HLOOKUP("fsXG/90",A1:CV300,106,FALSE)+3*HLOOKUP("fsXA/90",A1:CV300,106,FALSE)</f>
      </c>
      <c r="BX106" t="n" s="24414">
        <v>0.0</v>
      </c>
      <c r="BY106" t="n" s="24415">
        <v>0.16053806245326996</v>
      </c>
      <c r="BZ106" s="24416">
        <f>5*HLOOKUP("uXG/90",A1:CV300,106,FALSE)+3*HLOOKUP("uXA/90",A1:CV300,106,FALSE)</f>
      </c>
    </row>
    <row r="107">
      <c r="A107" t="s" s="24417">
        <v>410</v>
      </c>
      <c r="B107" t="s" s="24418">
        <v>131</v>
      </c>
      <c r="C107" t="n" s="24419">
        <v>5.5</v>
      </c>
      <c r="D107" t="n" s="24420">
        <v>26.0</v>
      </c>
      <c r="E107" t="n" s="24421">
        <v>2.0</v>
      </c>
      <c r="F107" t="n" s="24422">
        <v>2.0</v>
      </c>
      <c r="G107" t="n" s="24423">
        <v>0.0</v>
      </c>
      <c r="H107" t="n" s="24424">
        <v>0.0</v>
      </c>
      <c r="I107" t="n" s="24425">
        <v>7.0</v>
      </c>
      <c r="J107" s="24426">
        <f>HLOOKUP("BPS",A1:CV300,107,FALSE)-((-6*HLOOKUP("OG",A1:CV300,107,FALSE))+(-6*HLOOKUP("PK Miss",A1:CV300,107,FALSE))+(9*HLOOKUP("FPL As",A1:CV300,107,FALSE))+(0*HLOOKUP("CS",A1:CV300,107,FALSE))+(18*HLOOKUP("Gs",A1:CV300,107,FALSE)))</f>
      </c>
      <c r="K107" t="n" s="24427">
        <v>0.0</v>
      </c>
      <c r="L107" t="n" s="24428">
        <v>0.0</v>
      </c>
      <c r="M107" t="n" s="24429">
        <v>1.0</v>
      </c>
      <c r="N107" t="n" s="24430">
        <v>1.0</v>
      </c>
      <c r="O107" t="n" s="24431">
        <v>1.0</v>
      </c>
      <c r="P107" s="24432">
        <f>IF(HLOOKUP("Shots",A1:CV300,107,FALSE)=0,0,HLOOKUP("SIB",A1:CV300,107,FALSE)/HLOOKUP("Shots",A1:CV300,107,FALSE))</f>
      </c>
      <c r="Q107" t="n" s="24433">
        <v>0.0</v>
      </c>
      <c r="R107" s="24434">
        <f>IF(HLOOKUP("Shots",A1:CV300,107,FALSE)=0,0,HLOOKUP("S6YD",A1:CV300,107,FALSE)/HLOOKUP("Shots",A1:CV300,107,FALSE))</f>
      </c>
      <c r="S107" t="n" s="24435">
        <v>0.0</v>
      </c>
      <c r="T107" s="24436">
        <f>IF(HLOOKUP("Shots",A1:CV300,107,FALSE)=0,0,HLOOKUP("Headers",A1:CV300,107,FALSE)/HLOOKUP("Shots",A1:CV300,107,FALSE))</f>
      </c>
      <c r="U107" t="n" s="24437">
        <v>0.0</v>
      </c>
      <c r="V107" s="24438">
        <f>IF(HLOOKUP("Shots",A1:CV300,107,FALSE)=0,0,HLOOKUP("SOT",A1:CV300,107,FALSE)/HLOOKUP("Shots",A1:CV300,107,FALSE))</f>
      </c>
      <c r="W107" s="24439">
        <f>IF(HLOOKUP("Shots",A1:CV300,107,FALSE)=0,0,HLOOKUP("Gs",A1:CV300,107,FALSE)/HLOOKUP("Shots",A1:CV300,107,FALSE))</f>
      </c>
      <c r="X107" t="n" s="24440">
        <v>0.0</v>
      </c>
      <c r="Y107" t="n" s="24441">
        <v>0.0</v>
      </c>
      <c r="Z107" t="n" s="24442">
        <v>1.0</v>
      </c>
      <c r="AA107" s="24443">
        <f>IF(HLOOKUP("KP",A1:CV300,107,FALSE)=0,0,HLOOKUP("As",A1:CV300,107,FALSE)/HLOOKUP("KP",A1:CV300,107,FALSE))</f>
      </c>
      <c r="AB107" s="24444"/>
      <c r="AC107" t="n" s="24445">
        <v>0.0</v>
      </c>
      <c r="AD107" t="n" s="24446">
        <v>1.0</v>
      </c>
      <c r="AE107" t="n" s="24447">
        <v>0.0</v>
      </c>
      <c r="AF107" t="n" s="24448">
        <v>0.0</v>
      </c>
      <c r="AG107" s="24449">
        <f>IF(HLOOKUP("BC",A1:CV300,107,FALSE)=0,0,HLOOKUP("Gs - BC",A1:CV300,107,FALSE)/HLOOKUP("BC",A1:CV300,107,FALSE))</f>
      </c>
      <c r="AH107" s="24450">
        <f>HLOOKUP("BC",A1:CV300,107,FALSE) - HLOOKUP("BC Miss",A1:CV300,107,FALSE)</f>
      </c>
      <c r="AI107" s="24451">
        <f>IF(HLOOKUP("Gs",A1:CV300,107,FALSE)=0,0,HLOOKUP("Gs - BC",A1:CV300,107,FALSE)/HLOOKUP("Gs",A1:CV300,107,FALSE))</f>
      </c>
      <c r="AJ107" t="n" s="24452">
        <v>0.0</v>
      </c>
      <c r="AK107" t="n" s="24453">
        <v>0.0</v>
      </c>
      <c r="AL107" s="24454">
        <f>HLOOKUP("BC",A1:CV300,107,FALSE) - (HLOOKUP("PK Gs",A1:CV300,107,FALSE) + HLOOKUP("PK Miss",A1:CV300,107,FALSE))</f>
      </c>
      <c r="AM107" s="24455">
        <f>HLOOKUP("BC Miss",A1:CV300,107,FALSE) - HLOOKUP("PK Miss",A1:CV300,107,FALSE)</f>
      </c>
      <c r="AN107" s="24456">
        <f>IF(HLOOKUP("BC - Open",A1:CV300,107,FALSE)=0,0,HLOOKUP("BC - Open Miss",A1:CV300,107,FALSE)/HLOOKUP("BC - Open",A1:CV300,107,FALSE))</f>
      </c>
      <c r="AO107" t="n" s="24457">
        <v>0.0</v>
      </c>
      <c r="AP107" s="24458">
        <f>IF(HLOOKUP("Gs",A1:CV300,107,FALSE)=0,0,HLOOKUP("GIB",A1:CV300,107,FALSE)/HLOOKUP("Gs",A1:CV300,107,FALSE))</f>
      </c>
      <c r="AQ107" t="n" s="24459">
        <v>0.0</v>
      </c>
      <c r="AR107" s="24460">
        <f>IF(HLOOKUP("Gs",A1:CV300,107,FALSE)=0,0,HLOOKUP("Gs - Open",A1:CV300,107,FALSE)/HLOOKUP("Gs",A1:CV300,107,FALSE))</f>
      </c>
      <c r="AS107" t="n" s="24461">
        <v>0.08</v>
      </c>
      <c r="AT107" t="n" s="24462">
        <v>0.07</v>
      </c>
      <c r="AU107" s="24463">
        <f>IF(HLOOKUP("Mins",A1:CV300,107,FALSE)=0,0,HLOOKUP("Pts",A1:CV300,107,FALSE)/HLOOKUP("Mins",A1:CV300,107,FALSE)* 90)</f>
      </c>
      <c r="AV107" s="24464">
        <f>IF(HLOOKUP("Apps",A1:CV300,107,FALSE)=0,0,HLOOKUP("Pts",A1:CV300,107,FALSE)/HLOOKUP("Apps",A1:CV300,107,FALSE)* 1)</f>
      </c>
      <c r="AW107" s="24465">
        <f>IF(HLOOKUP("Mins",A1:CV300,107,FALSE)=0,0,HLOOKUP("Gs",A1:CV300,107,FALSE)/HLOOKUP("Mins",A1:CV300,107,FALSE)* 90)</f>
      </c>
      <c r="AX107" s="24466">
        <f>IF(HLOOKUP("Mins",A1:CV300,107,FALSE)=0,0,HLOOKUP("Bonus",A1:CV300,107,FALSE)/HLOOKUP("Mins",A1:CV300,107,FALSE)* 90)</f>
      </c>
      <c r="AY107" s="24467">
        <f>IF(HLOOKUP("Mins",A1:CV300,107,FALSE)=0,0,HLOOKUP("BPS",A1:CV300,107,FALSE)/HLOOKUP("Mins",A1:CV300,107,FALSE)* 90)</f>
      </c>
      <c r="AZ107" s="24468">
        <f>IF(HLOOKUP("Mins",A1:CV300,107,FALSE)=0,0,HLOOKUP("Base BPS",A1:CV300,107,FALSE)/HLOOKUP("Mins",A1:CV300,107,FALSE)* 90)</f>
      </c>
      <c r="BA107" s="24469">
        <f>IF(HLOOKUP("Mins",A1:CV300,107,FALSE)=0,0,HLOOKUP("PenTchs",A1:CV300,107,FALSE)/HLOOKUP("Mins",A1:CV300,107,FALSE)* 90)</f>
      </c>
      <c r="BB107" s="24470">
        <f>IF(HLOOKUP("Mins",A1:CV300,107,FALSE)=0,0,HLOOKUP("Shots",A1:CV300,107,FALSE)/HLOOKUP("Mins",A1:CV300,107,FALSE)* 90)</f>
      </c>
      <c r="BC107" s="24471">
        <f>IF(HLOOKUP("Mins",A1:CV300,107,FALSE)=0,0,HLOOKUP("SIB",A1:CV300,107,FALSE)/HLOOKUP("Mins",A1:CV300,107,FALSE)* 90)</f>
      </c>
      <c r="BD107" s="24472">
        <f>IF(HLOOKUP("Mins",A1:CV300,107,FALSE)=0,0,HLOOKUP("S6YD",A1:CV300,107,FALSE)/HLOOKUP("Mins",A1:CV300,107,FALSE)* 90)</f>
      </c>
      <c r="BE107" s="24473">
        <f>IF(HLOOKUP("Mins",A1:CV300,107,FALSE)=0,0,HLOOKUP("Headers",A1:CV300,107,FALSE)/HLOOKUP("Mins",A1:CV300,107,FALSE)* 90)</f>
      </c>
      <c r="BF107" s="24474">
        <f>IF(HLOOKUP("Mins",A1:CV300,107,FALSE)=0,0,HLOOKUP("SOT",A1:CV300,107,FALSE)/HLOOKUP("Mins",A1:CV300,107,FALSE)* 90)</f>
      </c>
      <c r="BG107" s="24475">
        <f>IF(HLOOKUP("Mins",A1:CV300,107,FALSE)=0,0,HLOOKUP("As",A1:CV300,107,FALSE)/HLOOKUP("Mins",A1:CV300,107,FALSE)* 90)</f>
      </c>
      <c r="BH107" s="24476">
        <f>IF(HLOOKUP("Mins",A1:CV300,107,FALSE)=0,0,HLOOKUP("FPL As",A1:CV300,107,FALSE)/HLOOKUP("Mins",A1:CV300,107,FALSE)* 90)</f>
      </c>
      <c r="BI107" s="24477">
        <f>IF(HLOOKUP("Mins",A1:CV300,107,FALSE)=0,0,HLOOKUP("BC Created",A1:CV300,107,FALSE)/HLOOKUP("Mins",A1:CV300,107,FALSE)* 90)</f>
      </c>
      <c r="BJ107" s="24478">
        <f>IF(HLOOKUP("Mins",A1:CV300,107,FALSE)=0,0,HLOOKUP("KP",A1:CV300,107,FALSE)/HLOOKUP("Mins",A1:CV300,107,FALSE)* 90)</f>
      </c>
      <c r="BK107" s="24479">
        <f>IF(HLOOKUP("Mins",A1:CV300,107,FALSE)=0,0,HLOOKUP("BC",A1:CV300,107,FALSE)/HLOOKUP("Mins",A1:CV300,107,FALSE)* 90)</f>
      </c>
      <c r="BL107" s="24480">
        <f>IF(HLOOKUP("Mins",A1:CV300,107,FALSE)=0,0,HLOOKUP("BC Miss",A1:CV300,107,FALSE)/HLOOKUP("Mins",A1:CV300,107,FALSE)* 90)</f>
      </c>
      <c r="BM107" s="24481">
        <f>IF(HLOOKUP("Mins",A1:CV300,107,FALSE)=0,0,HLOOKUP("Gs - BC",A1:CV300,107,FALSE)/HLOOKUP("Mins",A1:CV300,107,FALSE)* 90)</f>
      </c>
      <c r="BN107" s="24482">
        <f>IF(HLOOKUP("Mins",A1:CV300,107,FALSE)=0,0,HLOOKUP("GIB",A1:CV300,107,FALSE)/HLOOKUP("Mins",A1:CV300,107,FALSE)* 90)</f>
      </c>
      <c r="BO107" s="24483">
        <f>IF(HLOOKUP("Mins",A1:CV300,107,FALSE)=0,0,HLOOKUP("Gs - Open",A1:CV300,107,FALSE)/HLOOKUP("Mins",A1:CV300,107,FALSE)* 90)</f>
      </c>
      <c r="BP107" s="24484">
        <f>IF(HLOOKUP("Mins",A1:CV300,107,FALSE)=0,0,HLOOKUP("ICT Index",A1:CV300,107,FALSE)/HLOOKUP("Mins",A1:CV300,107,FALSE)* 90)</f>
      </c>
      <c r="BQ107" s="24485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</c>
      <c r="BR107" s="24486">
        <f>0.0885*HLOOKUP("KP/90",A1:CV300,107,FALSE)</f>
      </c>
      <c r="BS107" s="24487">
        <f>5*HLOOKUP("xG/90",A1:CV300,107,FALSE)+3*HLOOKUP("xA/90",A1:CV300,107,FALSE)</f>
      </c>
      <c r="BT107" s="24488">
        <f>HLOOKUP("xPts/90",A1:CV300,107,FALSE)-(5*0.75*(HLOOKUP("PK Gs",A1:CV300,107,FALSE)+HLOOKUP("PK Miss",A1:CV300,107,FALSE))*90/HLOOKUP("Mins",A1:CV300,107,FALSE))</f>
      </c>
      <c r="BU107" s="24489">
        <f>IF(HLOOKUP("Mins",A1:CV300,107,FALSE)=0,0,HLOOKUP("fsXG",A1:CV300,107,FALSE)/HLOOKUP("Mins",A1:CV300,107,FALSE)* 90)</f>
      </c>
      <c r="BV107" s="24490">
        <f>IF(HLOOKUP("Mins",A1:CV300,107,FALSE)=0,0,HLOOKUP("fsXA",A1:CV300,107,FALSE)/HLOOKUP("Mins",A1:CV300,107,FALSE)* 90)</f>
      </c>
      <c r="BW107" s="24491">
        <f>5*HLOOKUP("fsXG/90",A1:CV300,107,FALSE)+3*HLOOKUP("fsXA/90",A1:CV300,107,FALSE)</f>
      </c>
      <c r="BX107" t="n" s="24492">
        <v>0.4830688238143921</v>
      </c>
      <c r="BY107" t="n" s="24493">
        <v>0.3983800709247589</v>
      </c>
      <c r="BZ107" s="24494">
        <f>5*HLOOKUP("uXG/90",A1:CV300,107,FALSE)+3*HLOOKUP("uXA/90",A1:CV300,107,FALSE)</f>
      </c>
    </row>
    <row r="108">
      <c r="A108" t="s" s="24495">
        <v>411</v>
      </c>
      <c r="B108" t="s" s="24496">
        <v>102</v>
      </c>
      <c r="C108" t="n" s="24497">
        <v>4.900000095367432</v>
      </c>
      <c r="D108" t="n" s="24498">
        <v>130.0</v>
      </c>
      <c r="E108" t="n" s="24499">
        <v>2.0</v>
      </c>
      <c r="F108" t="n" s="24500">
        <v>64.0</v>
      </c>
      <c r="G108" t="n" s="24501">
        <v>0.0</v>
      </c>
      <c r="H108" t="n" s="24502">
        <v>9.0</v>
      </c>
      <c r="I108" t="n" s="24503">
        <v>261.0</v>
      </c>
      <c r="J108" s="24504">
        <f>HLOOKUP("BPS",A1:CV300,108,FALSE)-((-6*HLOOKUP("OG",A1:CV300,108,FALSE))+(-6*HLOOKUP("PK Miss",A1:CV300,108,FALSE))+(9*HLOOKUP("FPL As",A1:CV300,108,FALSE))+(0*HLOOKUP("CS",A1:CV300,108,FALSE))+(18*HLOOKUP("Gs",A1:CV300,108,FALSE)))</f>
      </c>
      <c r="K108" t="n" s="24505">
        <v>0.0</v>
      </c>
      <c r="L108" t="n" s="24506">
        <v>4.0</v>
      </c>
      <c r="M108" t="n" s="24507">
        <v>1.0</v>
      </c>
      <c r="N108" t="n" s="24508">
        <v>1.0</v>
      </c>
      <c r="O108" t="n" s="24509">
        <v>0.0</v>
      </c>
      <c r="P108" s="24510">
        <f>IF(HLOOKUP("Shots",A1:CV300,108,FALSE)=0,0,HLOOKUP("SIB",A1:CV300,108,FALSE)/HLOOKUP("Shots",A1:CV300,108,FALSE))</f>
      </c>
      <c r="Q108" t="n" s="24511">
        <v>0.0</v>
      </c>
      <c r="R108" s="24512">
        <f>IF(HLOOKUP("Shots",A1:CV300,108,FALSE)=0,0,HLOOKUP("S6YD",A1:CV300,108,FALSE)/HLOOKUP("Shots",A1:CV300,108,FALSE))</f>
      </c>
      <c r="S108" t="n" s="24513">
        <v>0.0</v>
      </c>
      <c r="T108" s="24514">
        <f>IF(HLOOKUP("Shots",A1:CV300,108,FALSE)=0,0,HLOOKUP("Headers",A1:CV300,108,FALSE)/HLOOKUP("Shots",A1:CV300,108,FALSE))</f>
      </c>
      <c r="U108" t="n" s="24515">
        <v>1.0</v>
      </c>
      <c r="V108" s="24516">
        <f>IF(HLOOKUP("Shots",A1:CV300,108,FALSE)=0,0,HLOOKUP("SOT",A1:CV300,108,FALSE)/HLOOKUP("Shots",A1:CV300,108,FALSE))</f>
      </c>
      <c r="W108" s="24517">
        <f>IF(HLOOKUP("Shots",A1:CV300,108,FALSE)=0,0,HLOOKUP("Gs",A1:CV300,108,FALSE)/HLOOKUP("Shots",A1:CV300,108,FALSE))</f>
      </c>
      <c r="X108" t="n" s="24518">
        <v>0.0</v>
      </c>
      <c r="Y108" t="n" s="24519">
        <v>0.0</v>
      </c>
      <c r="Z108" t="n" s="24520">
        <v>6.0</v>
      </c>
      <c r="AA108" s="24521">
        <f>IF(HLOOKUP("KP",A1:CV300,108,FALSE)=0,0,HLOOKUP("As",A1:CV300,108,FALSE)/HLOOKUP("KP",A1:CV300,108,FALSE))</f>
      </c>
      <c r="AB108" s="24522"/>
      <c r="AC108" t="n" s="24523">
        <v>0.0</v>
      </c>
      <c r="AD108" t="n" s="24524">
        <v>1.0</v>
      </c>
      <c r="AE108" t="n" s="24525">
        <v>0.0</v>
      </c>
      <c r="AF108" t="n" s="24526">
        <v>0.0</v>
      </c>
      <c r="AG108" s="24527">
        <f>IF(HLOOKUP("BC",A1:CV300,108,FALSE)=0,0,HLOOKUP("Gs - BC",A1:CV300,108,FALSE)/HLOOKUP("BC",A1:CV300,108,FALSE))</f>
      </c>
      <c r="AH108" s="24528">
        <f>HLOOKUP("BC",A1:CV300,108,FALSE) - HLOOKUP("BC Miss",A1:CV300,108,FALSE)</f>
      </c>
      <c r="AI108" s="24529">
        <f>IF(HLOOKUP("Gs",A1:CV300,108,FALSE)=0,0,HLOOKUP("Gs - BC",A1:CV300,108,FALSE)/HLOOKUP("Gs",A1:CV300,108,FALSE))</f>
      </c>
      <c r="AJ108" t="n" s="24530">
        <v>0.0</v>
      </c>
      <c r="AK108" t="n" s="24531">
        <v>0.0</v>
      </c>
      <c r="AL108" s="24532">
        <f>HLOOKUP("BC",A1:CV300,108,FALSE) - (HLOOKUP("PK Gs",A1:CV300,108,FALSE) + HLOOKUP("PK Miss",A1:CV300,108,FALSE))</f>
      </c>
      <c r="AM108" s="24533">
        <f>HLOOKUP("BC Miss",A1:CV300,108,FALSE) - HLOOKUP("PK Miss",A1:CV300,108,FALSE)</f>
      </c>
      <c r="AN108" s="24534">
        <f>IF(HLOOKUP("BC - Open",A1:CV300,108,FALSE)=0,0,HLOOKUP("BC - Open Miss",A1:CV300,108,FALSE)/HLOOKUP("BC - Open",A1:CV300,108,FALSE))</f>
      </c>
      <c r="AO108" t="n" s="24535">
        <v>0.0</v>
      </c>
      <c r="AP108" s="24536">
        <f>IF(HLOOKUP("Gs",A1:CV300,108,FALSE)=0,0,HLOOKUP("GIB",A1:CV300,108,FALSE)/HLOOKUP("Gs",A1:CV300,108,FALSE))</f>
      </c>
      <c r="AQ108" t="n" s="24537">
        <v>0.0</v>
      </c>
      <c r="AR108" s="24538">
        <f>IF(HLOOKUP("Gs",A1:CV300,108,FALSE)=0,0,HLOOKUP("Gs - Open",A1:CV300,108,FALSE)/HLOOKUP("Gs",A1:CV300,108,FALSE))</f>
      </c>
      <c r="AS108" t="n" s="24539">
        <v>0.03</v>
      </c>
      <c r="AT108" t="n" s="24540">
        <v>0.44</v>
      </c>
      <c r="AU108" s="24541">
        <f>IF(HLOOKUP("Mins",A1:CV300,108,FALSE)=0,0,HLOOKUP("Pts",A1:CV300,108,FALSE)/HLOOKUP("Mins",A1:CV300,108,FALSE)* 90)</f>
      </c>
      <c r="AV108" s="24542">
        <f>IF(HLOOKUP("Apps",A1:CV300,108,FALSE)=0,0,HLOOKUP("Pts",A1:CV300,108,FALSE)/HLOOKUP("Apps",A1:CV300,108,FALSE)* 1)</f>
      </c>
      <c r="AW108" s="24543">
        <f>IF(HLOOKUP("Mins",A1:CV300,108,FALSE)=0,0,HLOOKUP("Gs",A1:CV300,108,FALSE)/HLOOKUP("Mins",A1:CV300,108,FALSE)* 90)</f>
      </c>
      <c r="AX108" s="24544">
        <f>IF(HLOOKUP("Mins",A1:CV300,108,FALSE)=0,0,HLOOKUP("Bonus",A1:CV300,108,FALSE)/HLOOKUP("Mins",A1:CV300,108,FALSE)* 90)</f>
      </c>
      <c r="AY108" s="24545">
        <f>IF(HLOOKUP("Mins",A1:CV300,108,FALSE)=0,0,HLOOKUP("BPS",A1:CV300,108,FALSE)/HLOOKUP("Mins",A1:CV300,108,FALSE)* 90)</f>
      </c>
      <c r="AZ108" s="24546">
        <f>IF(HLOOKUP("Mins",A1:CV300,108,FALSE)=0,0,HLOOKUP("Base BPS",A1:CV300,108,FALSE)/HLOOKUP("Mins",A1:CV300,108,FALSE)* 90)</f>
      </c>
      <c r="BA108" s="24547">
        <f>IF(HLOOKUP("Mins",A1:CV300,108,FALSE)=0,0,HLOOKUP("PenTchs",A1:CV300,108,FALSE)/HLOOKUP("Mins",A1:CV300,108,FALSE)* 90)</f>
      </c>
      <c r="BB108" s="24548">
        <f>IF(HLOOKUP("Mins",A1:CV300,108,FALSE)=0,0,HLOOKUP("Shots",A1:CV300,108,FALSE)/HLOOKUP("Mins",A1:CV300,108,FALSE)* 90)</f>
      </c>
      <c r="BC108" s="24549">
        <f>IF(HLOOKUP("Mins",A1:CV300,108,FALSE)=0,0,HLOOKUP("SIB",A1:CV300,108,FALSE)/HLOOKUP("Mins",A1:CV300,108,FALSE)* 90)</f>
      </c>
      <c r="BD108" s="24550">
        <f>IF(HLOOKUP("Mins",A1:CV300,108,FALSE)=0,0,HLOOKUP("S6YD",A1:CV300,108,FALSE)/HLOOKUP("Mins",A1:CV300,108,FALSE)* 90)</f>
      </c>
      <c r="BE108" s="24551">
        <f>IF(HLOOKUP("Mins",A1:CV300,108,FALSE)=0,0,HLOOKUP("Headers",A1:CV300,108,FALSE)/HLOOKUP("Mins",A1:CV300,108,FALSE)* 90)</f>
      </c>
      <c r="BF108" s="24552">
        <f>IF(HLOOKUP("Mins",A1:CV300,108,FALSE)=0,0,HLOOKUP("SOT",A1:CV300,108,FALSE)/HLOOKUP("Mins",A1:CV300,108,FALSE)* 90)</f>
      </c>
      <c r="BG108" s="24553">
        <f>IF(HLOOKUP("Mins",A1:CV300,108,FALSE)=0,0,HLOOKUP("As",A1:CV300,108,FALSE)/HLOOKUP("Mins",A1:CV300,108,FALSE)* 90)</f>
      </c>
      <c r="BH108" s="24554">
        <f>IF(HLOOKUP("Mins",A1:CV300,108,FALSE)=0,0,HLOOKUP("FPL As",A1:CV300,108,FALSE)/HLOOKUP("Mins",A1:CV300,108,FALSE)* 90)</f>
      </c>
      <c r="BI108" s="24555">
        <f>IF(HLOOKUP("Mins",A1:CV300,108,FALSE)=0,0,HLOOKUP("BC Created",A1:CV300,108,FALSE)/HLOOKUP("Mins",A1:CV300,108,FALSE)* 90)</f>
      </c>
      <c r="BJ108" s="24556">
        <f>IF(HLOOKUP("Mins",A1:CV300,108,FALSE)=0,0,HLOOKUP("KP",A1:CV300,108,FALSE)/HLOOKUP("Mins",A1:CV300,108,FALSE)* 90)</f>
      </c>
      <c r="BK108" s="24557">
        <f>IF(HLOOKUP("Mins",A1:CV300,108,FALSE)=0,0,HLOOKUP("BC",A1:CV300,108,FALSE)/HLOOKUP("Mins",A1:CV300,108,FALSE)* 90)</f>
      </c>
      <c r="BL108" s="24558">
        <f>IF(HLOOKUP("Mins",A1:CV300,108,FALSE)=0,0,HLOOKUP("BC Miss",A1:CV300,108,FALSE)/HLOOKUP("Mins",A1:CV300,108,FALSE)* 90)</f>
      </c>
      <c r="BM108" s="24559">
        <f>IF(HLOOKUP("Mins",A1:CV300,108,FALSE)=0,0,HLOOKUP("Gs - BC",A1:CV300,108,FALSE)/HLOOKUP("Mins",A1:CV300,108,FALSE)* 90)</f>
      </c>
      <c r="BN108" s="24560">
        <f>IF(HLOOKUP("Mins",A1:CV300,108,FALSE)=0,0,HLOOKUP("GIB",A1:CV300,108,FALSE)/HLOOKUP("Mins",A1:CV300,108,FALSE)* 90)</f>
      </c>
      <c r="BO108" s="24561">
        <f>IF(HLOOKUP("Mins",A1:CV300,108,FALSE)=0,0,HLOOKUP("Gs - Open",A1:CV300,108,FALSE)/HLOOKUP("Mins",A1:CV300,108,FALSE)* 90)</f>
      </c>
      <c r="BP108" s="24562">
        <f>IF(HLOOKUP("Mins",A1:CV300,108,FALSE)=0,0,HLOOKUP("ICT Index",A1:CV300,108,FALSE)/HLOOKUP("Mins",A1:CV300,108,FALSE)* 90)</f>
      </c>
      <c r="BQ108" s="24563">
        <f>IF(HLOOKUP("Mins",A1:CV300,108,FALSE)=0,0,(0.036*(HLOOKUP("Shots",A1:CV300,108,FALSE)-HLOOKUP("SIB",A1:CV300,108,FALSE))+0.142*(HLOOKUP("SIB",A1:CV300,108,FALSE)-(HLOOKUP("PK Gs",A1:CV300,108,FALSE)+HLOOKUP("PK Miss",A1:CV300,108,FALSE)))+0.75*(HLOOKUP("PK Gs",A1:CV300,108,FALSE)+HLOOKUP("PK Miss",A1:CV300,108,FALSE)))/HLOOKUP("Mins",A1:CV300,108,FALSE)*90)</f>
      </c>
      <c r="BR108" s="24564">
        <f>0.0885*HLOOKUP("KP/90",A1:CV300,108,FALSE)</f>
      </c>
      <c r="BS108" s="24565">
        <f>5*HLOOKUP("xG/90",A1:CV300,108,FALSE)+3*HLOOKUP("xA/90",A1:CV300,108,FALSE)</f>
      </c>
      <c r="BT108" s="24566">
        <f>HLOOKUP("xPts/90",A1:CV300,108,FALSE)-(5*0.75*(HLOOKUP("PK Gs",A1:CV300,108,FALSE)+HLOOKUP("PK Miss",A1:CV300,108,FALSE))*90/HLOOKUP("Mins",A1:CV300,108,FALSE))</f>
      </c>
      <c r="BU108" s="24567">
        <f>IF(HLOOKUP("Mins",A1:CV300,108,FALSE)=0,0,HLOOKUP("fsXG",A1:CV300,108,FALSE)/HLOOKUP("Mins",A1:CV300,108,FALSE)* 90)</f>
      </c>
      <c r="BV108" s="24568">
        <f>IF(HLOOKUP("Mins",A1:CV300,108,FALSE)=0,0,HLOOKUP("fsXA",A1:CV300,108,FALSE)/HLOOKUP("Mins",A1:CV300,108,FALSE)* 90)</f>
      </c>
      <c r="BW108" s="24569">
        <f>5*HLOOKUP("fsXG/90",A1:CV300,108,FALSE)+3*HLOOKUP("fsXA/90",A1:CV300,108,FALSE)</f>
      </c>
      <c r="BX108" t="n" s="24570">
        <v>0.013564753346145153</v>
      </c>
      <c r="BY108" t="n" s="24571">
        <v>0.5573728680610657</v>
      </c>
      <c r="BZ108" s="24572">
        <f>5*HLOOKUP("uXG/90",A1:CV300,108,FALSE)+3*HLOOKUP("uXA/90",A1:CV300,108,FALSE)</f>
      </c>
    </row>
    <row r="109">
      <c r="A109" t="s" s="24573">
        <v>412</v>
      </c>
      <c r="B109" t="s" s="24574">
        <v>134</v>
      </c>
      <c r="C109" t="n" s="24575">
        <v>5.800000190734863</v>
      </c>
      <c r="D109" t="n" s="24576">
        <v>114.0</v>
      </c>
      <c r="E109" t="n" s="24577">
        <v>3.0</v>
      </c>
      <c r="F109" t="n" s="24578">
        <v>24.0</v>
      </c>
      <c r="G109" t="n" s="24579">
        <v>0.0</v>
      </c>
      <c r="H109" t="n" s="24580">
        <v>3.0</v>
      </c>
      <c r="I109" t="n" s="24581">
        <v>91.0</v>
      </c>
      <c r="J109" s="24582">
        <f>HLOOKUP("BPS",A1:CV300,109,FALSE)-((-6*HLOOKUP("OG",A1:CV300,109,FALSE))+(-6*HLOOKUP("PK Miss",A1:CV300,109,FALSE))+(9*HLOOKUP("FPL As",A1:CV300,109,FALSE))+(0*HLOOKUP("CS",A1:CV300,109,FALSE))+(18*HLOOKUP("Gs",A1:CV300,109,FALSE)))</f>
      </c>
      <c r="K109" t="n" s="24583">
        <v>0.0</v>
      </c>
      <c r="L109" t="n" s="24584">
        <v>3.0</v>
      </c>
      <c r="M109" t="n" s="24585">
        <v>5.0</v>
      </c>
      <c r="N109" t="n" s="24586">
        <v>4.0</v>
      </c>
      <c r="O109" t="n" s="24587">
        <v>1.0</v>
      </c>
      <c r="P109" s="24588">
        <f>IF(HLOOKUP("Shots",A1:CV300,109,FALSE)=0,0,HLOOKUP("SIB",A1:CV300,109,FALSE)/HLOOKUP("Shots",A1:CV300,109,FALSE))</f>
      </c>
      <c r="Q109" t="n" s="24589">
        <v>1.0</v>
      </c>
      <c r="R109" s="24590">
        <f>IF(HLOOKUP("Shots",A1:CV300,109,FALSE)=0,0,HLOOKUP("S6YD",A1:CV300,109,FALSE)/HLOOKUP("Shots",A1:CV300,109,FALSE))</f>
      </c>
      <c r="S109" t="n" s="24591">
        <v>0.0</v>
      </c>
      <c r="T109" s="24592">
        <f>IF(HLOOKUP("Shots",A1:CV300,109,FALSE)=0,0,HLOOKUP("Headers",A1:CV300,109,FALSE)/HLOOKUP("Shots",A1:CV300,109,FALSE))</f>
      </c>
      <c r="U109" t="n" s="24593">
        <v>3.0</v>
      </c>
      <c r="V109" s="24594">
        <f>IF(HLOOKUP("Shots",A1:CV300,109,FALSE)=0,0,HLOOKUP("SOT",A1:CV300,109,FALSE)/HLOOKUP("Shots",A1:CV300,109,FALSE))</f>
      </c>
      <c r="W109" s="24595">
        <f>IF(HLOOKUP("Shots",A1:CV300,109,FALSE)=0,0,HLOOKUP("Gs",A1:CV300,109,FALSE)/HLOOKUP("Shots",A1:CV300,109,FALSE))</f>
      </c>
      <c r="X109" t="n" s="24596">
        <v>0.0</v>
      </c>
      <c r="Y109" t="n" s="24597">
        <v>1.0</v>
      </c>
      <c r="Z109" t="n" s="24598">
        <v>2.0</v>
      </c>
      <c r="AA109" s="24599">
        <f>IF(HLOOKUP("KP",A1:CV300,109,FALSE)=0,0,HLOOKUP("As",A1:CV300,109,FALSE)/HLOOKUP("KP",A1:CV300,109,FALSE))</f>
      </c>
      <c r="AB109" s="24600"/>
      <c r="AC109" t="n" s="24601">
        <v>0.0</v>
      </c>
      <c r="AD109" t="n" s="24602">
        <v>1.0</v>
      </c>
      <c r="AE109" t="n" s="24603">
        <v>1.0</v>
      </c>
      <c r="AF109" t="n" s="24604">
        <v>1.0</v>
      </c>
      <c r="AG109" s="24605">
        <f>IF(HLOOKUP("BC",A1:CV300,109,FALSE)=0,0,HLOOKUP("Gs - BC",A1:CV300,109,FALSE)/HLOOKUP("BC",A1:CV300,109,FALSE))</f>
      </c>
      <c r="AH109" s="24606">
        <f>HLOOKUP("BC",A1:CV300,109,FALSE) - HLOOKUP("BC Miss",A1:CV300,109,FALSE)</f>
      </c>
      <c r="AI109" s="24607">
        <f>IF(HLOOKUP("Gs",A1:CV300,109,FALSE)=0,0,HLOOKUP("Gs - BC",A1:CV300,109,FALSE)/HLOOKUP("Gs",A1:CV300,109,FALSE))</f>
      </c>
      <c r="AJ109" t="n" s="24608">
        <v>0.0</v>
      </c>
      <c r="AK109" t="n" s="24609">
        <v>0.0</v>
      </c>
      <c r="AL109" s="24610">
        <f>HLOOKUP("BC",A1:CV300,109,FALSE) - (HLOOKUP("PK Gs",A1:CV300,109,FALSE) + HLOOKUP("PK Miss",A1:CV300,109,FALSE))</f>
      </c>
      <c r="AM109" s="24611">
        <f>HLOOKUP("BC Miss",A1:CV300,109,FALSE) - HLOOKUP("PK Miss",A1:CV300,109,FALSE)</f>
      </c>
      <c r="AN109" s="24612">
        <f>IF(HLOOKUP("BC - Open",A1:CV300,109,FALSE)=0,0,HLOOKUP("BC - Open Miss",A1:CV300,109,FALSE)/HLOOKUP("BC - Open",A1:CV300,109,FALSE))</f>
      </c>
      <c r="AO109" t="n" s="24613">
        <v>0.0</v>
      </c>
      <c r="AP109" s="24614">
        <f>IF(HLOOKUP("Gs",A1:CV300,109,FALSE)=0,0,HLOOKUP("GIB",A1:CV300,109,FALSE)/HLOOKUP("Gs",A1:CV300,109,FALSE))</f>
      </c>
      <c r="AQ109" t="n" s="24615">
        <v>0.0</v>
      </c>
      <c r="AR109" s="24616">
        <f>IF(HLOOKUP("Gs",A1:CV300,109,FALSE)=0,0,HLOOKUP("Gs - Open",A1:CV300,109,FALSE)/HLOOKUP("Gs",A1:CV300,109,FALSE))</f>
      </c>
      <c r="AS109" t="n" s="24617">
        <v>0.91</v>
      </c>
      <c r="AT109" t="n" s="24618">
        <v>0.38</v>
      </c>
      <c r="AU109" s="24619">
        <f>IF(HLOOKUP("Mins",A1:CV300,109,FALSE)=0,0,HLOOKUP("Pts",A1:CV300,109,FALSE)/HLOOKUP("Mins",A1:CV300,109,FALSE)* 90)</f>
      </c>
      <c r="AV109" s="24620">
        <f>IF(HLOOKUP("Apps",A1:CV300,109,FALSE)=0,0,HLOOKUP("Pts",A1:CV300,109,FALSE)/HLOOKUP("Apps",A1:CV300,109,FALSE)* 1)</f>
      </c>
      <c r="AW109" s="24621">
        <f>IF(HLOOKUP("Mins",A1:CV300,109,FALSE)=0,0,HLOOKUP("Gs",A1:CV300,109,FALSE)/HLOOKUP("Mins",A1:CV300,109,FALSE)* 90)</f>
      </c>
      <c r="AX109" s="24622">
        <f>IF(HLOOKUP("Mins",A1:CV300,109,FALSE)=0,0,HLOOKUP("Bonus",A1:CV300,109,FALSE)/HLOOKUP("Mins",A1:CV300,109,FALSE)* 90)</f>
      </c>
      <c r="AY109" s="24623">
        <f>IF(HLOOKUP("Mins",A1:CV300,109,FALSE)=0,0,HLOOKUP("BPS",A1:CV300,109,FALSE)/HLOOKUP("Mins",A1:CV300,109,FALSE)* 90)</f>
      </c>
      <c r="AZ109" s="24624">
        <f>IF(HLOOKUP("Mins",A1:CV300,109,FALSE)=0,0,HLOOKUP("Base BPS",A1:CV300,109,FALSE)/HLOOKUP("Mins",A1:CV300,109,FALSE)* 90)</f>
      </c>
      <c r="BA109" s="24625">
        <f>IF(HLOOKUP("Mins",A1:CV300,109,FALSE)=0,0,HLOOKUP("PenTchs",A1:CV300,109,FALSE)/HLOOKUP("Mins",A1:CV300,109,FALSE)* 90)</f>
      </c>
      <c r="BB109" s="24626">
        <f>IF(HLOOKUP("Mins",A1:CV300,109,FALSE)=0,0,HLOOKUP("Shots",A1:CV300,109,FALSE)/HLOOKUP("Mins",A1:CV300,109,FALSE)* 90)</f>
      </c>
      <c r="BC109" s="24627">
        <f>IF(HLOOKUP("Mins",A1:CV300,109,FALSE)=0,0,HLOOKUP("SIB",A1:CV300,109,FALSE)/HLOOKUP("Mins",A1:CV300,109,FALSE)* 90)</f>
      </c>
      <c r="BD109" s="24628">
        <f>IF(HLOOKUP("Mins",A1:CV300,109,FALSE)=0,0,HLOOKUP("S6YD",A1:CV300,109,FALSE)/HLOOKUP("Mins",A1:CV300,109,FALSE)* 90)</f>
      </c>
      <c r="BE109" s="24629">
        <f>IF(HLOOKUP("Mins",A1:CV300,109,FALSE)=0,0,HLOOKUP("Headers",A1:CV300,109,FALSE)/HLOOKUP("Mins",A1:CV300,109,FALSE)* 90)</f>
      </c>
      <c r="BF109" s="24630">
        <f>IF(HLOOKUP("Mins",A1:CV300,109,FALSE)=0,0,HLOOKUP("SOT",A1:CV300,109,FALSE)/HLOOKUP("Mins",A1:CV300,109,FALSE)* 90)</f>
      </c>
      <c r="BG109" s="24631">
        <f>IF(HLOOKUP("Mins",A1:CV300,109,FALSE)=0,0,HLOOKUP("As",A1:CV300,109,FALSE)/HLOOKUP("Mins",A1:CV300,109,FALSE)* 90)</f>
      </c>
      <c r="BH109" s="24632">
        <f>IF(HLOOKUP("Mins",A1:CV300,109,FALSE)=0,0,HLOOKUP("FPL As",A1:CV300,109,FALSE)/HLOOKUP("Mins",A1:CV300,109,FALSE)* 90)</f>
      </c>
      <c r="BI109" s="24633">
        <f>IF(HLOOKUP("Mins",A1:CV300,109,FALSE)=0,0,HLOOKUP("BC Created",A1:CV300,109,FALSE)/HLOOKUP("Mins",A1:CV300,109,FALSE)* 90)</f>
      </c>
      <c r="BJ109" s="24634">
        <f>IF(HLOOKUP("Mins",A1:CV300,109,FALSE)=0,0,HLOOKUP("KP",A1:CV300,109,FALSE)/HLOOKUP("Mins",A1:CV300,109,FALSE)* 90)</f>
      </c>
      <c r="BK109" s="24635">
        <f>IF(HLOOKUP("Mins",A1:CV300,109,FALSE)=0,0,HLOOKUP("BC",A1:CV300,109,FALSE)/HLOOKUP("Mins",A1:CV300,109,FALSE)* 90)</f>
      </c>
      <c r="BL109" s="24636">
        <f>IF(HLOOKUP("Mins",A1:CV300,109,FALSE)=0,0,HLOOKUP("BC Miss",A1:CV300,109,FALSE)/HLOOKUP("Mins",A1:CV300,109,FALSE)* 90)</f>
      </c>
      <c r="BM109" s="24637">
        <f>IF(HLOOKUP("Mins",A1:CV300,109,FALSE)=0,0,HLOOKUP("Gs - BC",A1:CV300,109,FALSE)/HLOOKUP("Mins",A1:CV300,109,FALSE)* 90)</f>
      </c>
      <c r="BN109" s="24638">
        <f>IF(HLOOKUP("Mins",A1:CV300,109,FALSE)=0,0,HLOOKUP("GIB",A1:CV300,109,FALSE)/HLOOKUP("Mins",A1:CV300,109,FALSE)* 90)</f>
      </c>
      <c r="BO109" s="24639">
        <f>IF(HLOOKUP("Mins",A1:CV300,109,FALSE)=0,0,HLOOKUP("Gs - Open",A1:CV300,109,FALSE)/HLOOKUP("Mins",A1:CV300,109,FALSE)* 90)</f>
      </c>
      <c r="BP109" s="24640">
        <f>IF(HLOOKUP("Mins",A1:CV300,109,FALSE)=0,0,HLOOKUP("ICT Index",A1:CV300,109,FALSE)/HLOOKUP("Mins",A1:CV300,109,FALSE)* 90)</f>
      </c>
      <c r="BQ109" s="24641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</c>
      <c r="BR109" s="24642">
        <f>0.0885*HLOOKUP("KP/90",A1:CV300,109,FALSE)</f>
      </c>
      <c r="BS109" s="24643">
        <f>5*HLOOKUP("xG/90",A1:CV300,109,FALSE)+3*HLOOKUP("xA/90",A1:CV300,109,FALSE)</f>
      </c>
      <c r="BT109" s="24644">
        <f>HLOOKUP("xPts/90",A1:CV300,109,FALSE)-(5*0.75*(HLOOKUP("PK Gs",A1:CV300,109,FALSE)+HLOOKUP("PK Miss",A1:CV300,109,FALSE))*90/HLOOKUP("Mins",A1:CV300,109,FALSE))</f>
      </c>
      <c r="BU109" s="24645">
        <f>IF(HLOOKUP("Mins",A1:CV300,109,FALSE)=0,0,HLOOKUP("fsXG",A1:CV300,109,FALSE)/HLOOKUP("Mins",A1:CV300,109,FALSE)* 90)</f>
      </c>
      <c r="BV109" s="24646">
        <f>IF(HLOOKUP("Mins",A1:CV300,109,FALSE)=0,0,HLOOKUP("fsXA",A1:CV300,109,FALSE)/HLOOKUP("Mins",A1:CV300,109,FALSE)* 90)</f>
      </c>
      <c r="BW109" s="24647">
        <f>5*HLOOKUP("fsXG/90",A1:CV300,109,FALSE)+3*HLOOKUP("fsXA/90",A1:CV300,109,FALSE)</f>
      </c>
      <c r="BX109" t="n" s="24648">
        <v>0.6667392253875732</v>
      </c>
      <c r="BY109" t="n" s="24649">
        <v>0.5933798551559448</v>
      </c>
      <c r="BZ109" s="24650">
        <f>5*HLOOKUP("uXG/90",A1:CV300,109,FALSE)+3*HLOOKUP("uXA/90",A1:CV300,109,FALSE)</f>
      </c>
    </row>
    <row r="110">
      <c r="A110" t="s" s="24651">
        <v>413</v>
      </c>
      <c r="B110" t="s" s="24652">
        <v>95</v>
      </c>
      <c r="C110" t="n" s="24653">
        <v>7.300000190734863</v>
      </c>
      <c r="D110" t="n" s="24654">
        <v>376.0</v>
      </c>
      <c r="E110" t="n" s="24655">
        <v>6.0</v>
      </c>
      <c r="F110" t="n" s="24656">
        <v>23.0</v>
      </c>
      <c r="G110" t="n" s="24657">
        <v>0.0</v>
      </c>
      <c r="H110" t="n" s="24658">
        <v>0.0</v>
      </c>
      <c r="I110" t="n" s="24659">
        <v>99.0</v>
      </c>
      <c r="J110" s="24660">
        <f>HLOOKUP("BPS",A1:CV300,110,FALSE)-((-6*HLOOKUP("OG",A1:CV300,110,FALSE))+(-6*HLOOKUP("PK Miss",A1:CV300,110,FALSE))+(9*HLOOKUP("FPL As",A1:CV300,110,FALSE))+(0*HLOOKUP("CS",A1:CV300,110,FALSE))+(18*HLOOKUP("Gs",A1:CV300,110,FALSE)))</f>
      </c>
      <c r="K110" t="n" s="24661">
        <v>0.0</v>
      </c>
      <c r="L110" t="n" s="24662">
        <v>3.0</v>
      </c>
      <c r="M110" t="n" s="24663">
        <v>10.0</v>
      </c>
      <c r="N110" t="n" s="24664">
        <v>4.0</v>
      </c>
      <c r="O110" t="n" s="24665">
        <v>2.0</v>
      </c>
      <c r="P110" s="24666">
        <f>IF(HLOOKUP("Shots",A1:CV300,110,FALSE)=0,0,HLOOKUP("SIB",A1:CV300,110,FALSE)/HLOOKUP("Shots",A1:CV300,110,FALSE))</f>
      </c>
      <c r="Q110" t="n" s="24667">
        <v>1.0</v>
      </c>
      <c r="R110" s="24668">
        <f>IF(HLOOKUP("Shots",A1:CV300,110,FALSE)=0,0,HLOOKUP("S6YD",A1:CV300,110,FALSE)/HLOOKUP("Shots",A1:CV300,110,FALSE))</f>
      </c>
      <c r="S110" t="n" s="24669">
        <v>0.0</v>
      </c>
      <c r="T110" s="24670">
        <f>IF(HLOOKUP("Shots",A1:CV300,110,FALSE)=0,0,HLOOKUP("Headers",A1:CV300,110,FALSE)/HLOOKUP("Shots",A1:CV300,110,FALSE))</f>
      </c>
      <c r="U110" t="n" s="24671">
        <v>1.0</v>
      </c>
      <c r="V110" s="24672">
        <f>IF(HLOOKUP("Shots",A1:CV300,110,FALSE)=0,0,HLOOKUP("SOT",A1:CV300,110,FALSE)/HLOOKUP("Shots",A1:CV300,110,FALSE))</f>
      </c>
      <c r="W110" s="24673">
        <f>IF(HLOOKUP("Shots",A1:CV300,110,FALSE)=0,0,HLOOKUP("Gs",A1:CV300,110,FALSE)/HLOOKUP("Shots",A1:CV300,110,FALSE))</f>
      </c>
      <c r="X110" t="n" s="24674">
        <v>0.0</v>
      </c>
      <c r="Y110" t="n" s="24675">
        <v>0.0</v>
      </c>
      <c r="Z110" t="n" s="24676">
        <v>8.0</v>
      </c>
      <c r="AA110" s="24677">
        <f>IF(HLOOKUP("KP",A1:CV300,110,FALSE)=0,0,HLOOKUP("As",A1:CV300,110,FALSE)/HLOOKUP("KP",A1:CV300,110,FALSE))</f>
      </c>
      <c r="AB110" s="24678"/>
      <c r="AC110" t="n" s="24679">
        <v>0.0</v>
      </c>
      <c r="AD110" t="n" s="24680">
        <v>1.0</v>
      </c>
      <c r="AE110" t="n" s="24681">
        <v>1.0</v>
      </c>
      <c r="AF110" t="n" s="24682">
        <v>1.0</v>
      </c>
      <c r="AG110" s="24683">
        <f>IF(HLOOKUP("BC",A1:CV300,110,FALSE)=0,0,HLOOKUP("Gs - BC",A1:CV300,110,FALSE)/HLOOKUP("BC",A1:CV300,110,FALSE))</f>
      </c>
      <c r="AH110" s="24684">
        <f>HLOOKUP("BC",A1:CV300,110,FALSE) - HLOOKUP("BC Miss",A1:CV300,110,FALSE)</f>
      </c>
      <c r="AI110" s="24685">
        <f>IF(HLOOKUP("Gs",A1:CV300,110,FALSE)=0,0,HLOOKUP("Gs - BC",A1:CV300,110,FALSE)/HLOOKUP("Gs",A1:CV300,110,FALSE))</f>
      </c>
      <c r="AJ110" t="n" s="24686">
        <v>0.0</v>
      </c>
      <c r="AK110" t="n" s="24687">
        <v>0.0</v>
      </c>
      <c r="AL110" s="24688">
        <f>HLOOKUP("BC",A1:CV300,110,FALSE) - (HLOOKUP("PK Gs",A1:CV300,110,FALSE) + HLOOKUP("PK Miss",A1:CV300,110,FALSE))</f>
      </c>
      <c r="AM110" s="24689">
        <f>HLOOKUP("BC Miss",A1:CV300,110,FALSE) - HLOOKUP("PK Miss",A1:CV300,110,FALSE)</f>
      </c>
      <c r="AN110" s="24690">
        <f>IF(HLOOKUP("BC - Open",A1:CV300,110,FALSE)=0,0,HLOOKUP("BC - Open Miss",A1:CV300,110,FALSE)/HLOOKUP("BC - Open",A1:CV300,110,FALSE))</f>
      </c>
      <c r="AO110" t="n" s="24691">
        <v>0.0</v>
      </c>
      <c r="AP110" s="24692">
        <f>IF(HLOOKUP("Gs",A1:CV300,110,FALSE)=0,0,HLOOKUP("GIB",A1:CV300,110,FALSE)/HLOOKUP("Gs",A1:CV300,110,FALSE))</f>
      </c>
      <c r="AQ110" t="n" s="24693">
        <v>0.0</v>
      </c>
      <c r="AR110" s="24694">
        <f>IF(HLOOKUP("Gs",A1:CV300,110,FALSE)=0,0,HLOOKUP("Gs - Open",A1:CV300,110,FALSE)/HLOOKUP("Gs",A1:CV300,110,FALSE))</f>
      </c>
      <c r="AS110" t="n" s="24695">
        <v>0.69</v>
      </c>
      <c r="AT110" t="n" s="24696">
        <v>0.44</v>
      </c>
      <c r="AU110" s="24697">
        <f>IF(HLOOKUP("Mins",A1:CV300,110,FALSE)=0,0,HLOOKUP("Pts",A1:CV300,110,FALSE)/HLOOKUP("Mins",A1:CV300,110,FALSE)* 90)</f>
      </c>
      <c r="AV110" s="24698">
        <f>IF(HLOOKUP("Apps",A1:CV300,110,FALSE)=0,0,HLOOKUP("Pts",A1:CV300,110,FALSE)/HLOOKUP("Apps",A1:CV300,110,FALSE)* 1)</f>
      </c>
      <c r="AW110" s="24699">
        <f>IF(HLOOKUP("Mins",A1:CV300,110,FALSE)=0,0,HLOOKUP("Gs",A1:CV300,110,FALSE)/HLOOKUP("Mins",A1:CV300,110,FALSE)* 90)</f>
      </c>
      <c r="AX110" s="24700">
        <f>IF(HLOOKUP("Mins",A1:CV300,110,FALSE)=0,0,HLOOKUP("Bonus",A1:CV300,110,FALSE)/HLOOKUP("Mins",A1:CV300,110,FALSE)* 90)</f>
      </c>
      <c r="AY110" s="24701">
        <f>IF(HLOOKUP("Mins",A1:CV300,110,FALSE)=0,0,HLOOKUP("BPS",A1:CV300,110,FALSE)/HLOOKUP("Mins",A1:CV300,110,FALSE)* 90)</f>
      </c>
      <c r="AZ110" s="24702">
        <f>IF(HLOOKUP("Mins",A1:CV300,110,FALSE)=0,0,HLOOKUP("Base BPS",A1:CV300,110,FALSE)/HLOOKUP("Mins",A1:CV300,110,FALSE)* 90)</f>
      </c>
      <c r="BA110" s="24703">
        <f>IF(HLOOKUP("Mins",A1:CV300,110,FALSE)=0,0,HLOOKUP("PenTchs",A1:CV300,110,FALSE)/HLOOKUP("Mins",A1:CV300,110,FALSE)* 90)</f>
      </c>
      <c r="BB110" s="24704">
        <f>IF(HLOOKUP("Mins",A1:CV300,110,FALSE)=0,0,HLOOKUP("Shots",A1:CV300,110,FALSE)/HLOOKUP("Mins",A1:CV300,110,FALSE)* 90)</f>
      </c>
      <c r="BC110" s="24705">
        <f>IF(HLOOKUP("Mins",A1:CV300,110,FALSE)=0,0,HLOOKUP("SIB",A1:CV300,110,FALSE)/HLOOKUP("Mins",A1:CV300,110,FALSE)* 90)</f>
      </c>
      <c r="BD110" s="24706">
        <f>IF(HLOOKUP("Mins",A1:CV300,110,FALSE)=0,0,HLOOKUP("S6YD",A1:CV300,110,FALSE)/HLOOKUP("Mins",A1:CV300,110,FALSE)* 90)</f>
      </c>
      <c r="BE110" s="24707">
        <f>IF(HLOOKUP("Mins",A1:CV300,110,FALSE)=0,0,HLOOKUP("Headers",A1:CV300,110,FALSE)/HLOOKUP("Mins",A1:CV300,110,FALSE)* 90)</f>
      </c>
      <c r="BF110" s="24708">
        <f>IF(HLOOKUP("Mins",A1:CV300,110,FALSE)=0,0,HLOOKUP("SOT",A1:CV300,110,FALSE)/HLOOKUP("Mins",A1:CV300,110,FALSE)* 90)</f>
      </c>
      <c r="BG110" s="24709">
        <f>IF(HLOOKUP("Mins",A1:CV300,110,FALSE)=0,0,HLOOKUP("As",A1:CV300,110,FALSE)/HLOOKUP("Mins",A1:CV300,110,FALSE)* 90)</f>
      </c>
      <c r="BH110" s="24710">
        <f>IF(HLOOKUP("Mins",A1:CV300,110,FALSE)=0,0,HLOOKUP("FPL As",A1:CV300,110,FALSE)/HLOOKUP("Mins",A1:CV300,110,FALSE)* 90)</f>
      </c>
      <c r="BI110" s="24711">
        <f>IF(HLOOKUP("Mins",A1:CV300,110,FALSE)=0,0,HLOOKUP("BC Created",A1:CV300,110,FALSE)/HLOOKUP("Mins",A1:CV300,110,FALSE)* 90)</f>
      </c>
      <c r="BJ110" s="24712">
        <f>IF(HLOOKUP("Mins",A1:CV300,110,FALSE)=0,0,HLOOKUP("KP",A1:CV300,110,FALSE)/HLOOKUP("Mins",A1:CV300,110,FALSE)* 90)</f>
      </c>
      <c r="BK110" s="24713">
        <f>IF(HLOOKUP("Mins",A1:CV300,110,FALSE)=0,0,HLOOKUP("BC",A1:CV300,110,FALSE)/HLOOKUP("Mins",A1:CV300,110,FALSE)* 90)</f>
      </c>
      <c r="BL110" s="24714">
        <f>IF(HLOOKUP("Mins",A1:CV300,110,FALSE)=0,0,HLOOKUP("BC Miss",A1:CV300,110,FALSE)/HLOOKUP("Mins",A1:CV300,110,FALSE)* 90)</f>
      </c>
      <c r="BM110" s="24715">
        <f>IF(HLOOKUP("Mins",A1:CV300,110,FALSE)=0,0,HLOOKUP("Gs - BC",A1:CV300,110,FALSE)/HLOOKUP("Mins",A1:CV300,110,FALSE)* 90)</f>
      </c>
      <c r="BN110" s="24716">
        <f>IF(HLOOKUP("Mins",A1:CV300,110,FALSE)=0,0,HLOOKUP("GIB",A1:CV300,110,FALSE)/HLOOKUP("Mins",A1:CV300,110,FALSE)* 90)</f>
      </c>
      <c r="BO110" s="24717">
        <f>IF(HLOOKUP("Mins",A1:CV300,110,FALSE)=0,0,HLOOKUP("Gs - Open",A1:CV300,110,FALSE)/HLOOKUP("Mins",A1:CV300,110,FALSE)* 90)</f>
      </c>
      <c r="BP110" s="24718">
        <f>IF(HLOOKUP("Mins",A1:CV300,110,FALSE)=0,0,HLOOKUP("ICT Index",A1:CV300,110,FALSE)/HLOOKUP("Mins",A1:CV300,110,FALSE)* 90)</f>
      </c>
      <c r="BQ110" s="24719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</c>
      <c r="BR110" s="24720">
        <f>0.0885*HLOOKUP("KP/90",A1:CV300,110,FALSE)</f>
      </c>
      <c r="BS110" s="24721">
        <f>5*HLOOKUP("xG/90",A1:CV300,110,FALSE)+3*HLOOKUP("xA/90",A1:CV300,110,FALSE)</f>
      </c>
      <c r="BT110" s="24722">
        <f>HLOOKUP("xPts/90",A1:CV300,110,FALSE)-(5*0.75*(HLOOKUP("PK Gs",A1:CV300,110,FALSE)+HLOOKUP("PK Miss",A1:CV300,110,FALSE))*90/HLOOKUP("Mins",A1:CV300,110,FALSE))</f>
      </c>
      <c r="BU110" s="24723">
        <f>IF(HLOOKUP("Mins",A1:CV300,110,FALSE)=0,0,HLOOKUP("fsXG",A1:CV300,110,FALSE)/HLOOKUP("Mins",A1:CV300,110,FALSE)* 90)</f>
      </c>
      <c r="BV110" s="24724">
        <f>IF(HLOOKUP("Mins",A1:CV300,110,FALSE)=0,0,HLOOKUP("fsXA",A1:CV300,110,FALSE)/HLOOKUP("Mins",A1:CV300,110,FALSE)* 90)</f>
      </c>
      <c r="BW110" s="24725">
        <f>5*HLOOKUP("fsXG/90",A1:CV300,110,FALSE)+3*HLOOKUP("fsXA/90",A1:CV300,110,FALSE)</f>
      </c>
      <c r="BX110" t="n" s="24726">
        <v>0.17308421432971954</v>
      </c>
      <c r="BY110" t="n" s="24727">
        <v>0.10948114097118378</v>
      </c>
      <c r="BZ110" s="24728">
        <f>5*HLOOKUP("uXG/90",A1:CV300,110,FALSE)+3*HLOOKUP("uXA/90",A1:CV300,110,FALSE)</f>
      </c>
    </row>
    <row r="111">
      <c r="A111" t="s" s="24729">
        <v>414</v>
      </c>
      <c r="B111" t="s" s="24730">
        <v>131</v>
      </c>
      <c r="C111" t="n" s="24731">
        <v>5.400000095367432</v>
      </c>
      <c r="D111" t="n" s="24732">
        <v>456.0</v>
      </c>
      <c r="E111" t="n" s="24733">
        <v>6.0</v>
      </c>
      <c r="F111" t="n" s="24734">
        <v>86.0</v>
      </c>
      <c r="G111" t="n" s="24735">
        <v>0.0</v>
      </c>
      <c r="H111" t="n" s="24736">
        <v>11.0</v>
      </c>
      <c r="I111" t="n" s="24737">
        <v>460.0</v>
      </c>
      <c r="J111" s="24738">
        <f>HLOOKUP("BPS",A1:CV300,111,FALSE)-((-6*HLOOKUP("OG",A1:CV300,111,FALSE))+(-6*HLOOKUP("PK Miss",A1:CV300,111,FALSE))+(9*HLOOKUP("FPL As",A1:CV300,111,FALSE))+(0*HLOOKUP("CS",A1:CV300,111,FALSE))+(18*HLOOKUP("Gs",A1:CV300,111,FALSE)))</f>
      </c>
      <c r="K111" t="n" s="24739">
        <v>0.0</v>
      </c>
      <c r="L111" t="n" s="24740">
        <v>5.0</v>
      </c>
      <c r="M111" t="n" s="24741">
        <v>1.0</v>
      </c>
      <c r="N111" t="n" s="24742">
        <v>4.0</v>
      </c>
      <c r="O111" t="n" s="24743">
        <v>0.0</v>
      </c>
      <c r="P111" s="24744">
        <f>IF(HLOOKUP("Shots",A1:CV300,111,FALSE)=0,0,HLOOKUP("SIB",A1:CV300,111,FALSE)/HLOOKUP("Shots",A1:CV300,111,FALSE))</f>
      </c>
      <c r="Q111" t="n" s="24745">
        <v>0.0</v>
      </c>
      <c r="R111" s="24746">
        <f>IF(HLOOKUP("Shots",A1:CV300,111,FALSE)=0,0,HLOOKUP("S6YD",A1:CV300,111,FALSE)/HLOOKUP("Shots",A1:CV300,111,FALSE))</f>
      </c>
      <c r="S111" t="n" s="24747">
        <v>0.0</v>
      </c>
      <c r="T111" s="24748">
        <f>IF(HLOOKUP("Shots",A1:CV300,111,FALSE)=0,0,HLOOKUP("Headers",A1:CV300,111,FALSE)/HLOOKUP("Shots",A1:CV300,111,FALSE))</f>
      </c>
      <c r="U111" t="n" s="24749">
        <v>1.0</v>
      </c>
      <c r="V111" s="24750">
        <f>IF(HLOOKUP("Shots",A1:CV300,111,FALSE)=0,0,HLOOKUP("SOT",A1:CV300,111,FALSE)/HLOOKUP("Shots",A1:CV300,111,FALSE))</f>
      </c>
      <c r="W111" s="24751">
        <f>IF(HLOOKUP("Shots",A1:CV300,111,FALSE)=0,0,HLOOKUP("Gs",A1:CV300,111,FALSE)/HLOOKUP("Shots",A1:CV300,111,FALSE))</f>
      </c>
      <c r="X111" t="n" s="24752">
        <v>1.0</v>
      </c>
      <c r="Y111" t="n" s="24753">
        <v>7.0</v>
      </c>
      <c r="Z111" t="n" s="24754">
        <v>14.0</v>
      </c>
      <c r="AA111" s="24755">
        <f>IF(HLOOKUP("KP",A1:CV300,111,FALSE)=0,0,HLOOKUP("As",A1:CV300,111,FALSE)/HLOOKUP("KP",A1:CV300,111,FALSE))</f>
      </c>
      <c r="AB111" s="24756"/>
      <c r="AC111" t="n" s="24757">
        <v>33.0</v>
      </c>
      <c r="AD111" t="n" s="24758">
        <v>2.0</v>
      </c>
      <c r="AE111" t="n" s="24759">
        <v>0.0</v>
      </c>
      <c r="AF111" t="n" s="24760">
        <v>0.0</v>
      </c>
      <c r="AG111" s="24761">
        <f>IF(HLOOKUP("BC",A1:CV300,111,FALSE)=0,0,HLOOKUP("Gs - BC",A1:CV300,111,FALSE)/HLOOKUP("BC",A1:CV300,111,FALSE))</f>
      </c>
      <c r="AH111" s="24762">
        <f>HLOOKUP("BC",A1:CV300,111,FALSE) - HLOOKUP("BC Miss",A1:CV300,111,FALSE)</f>
      </c>
      <c r="AI111" s="24763">
        <f>IF(HLOOKUP("Gs",A1:CV300,111,FALSE)=0,0,HLOOKUP("Gs - BC",A1:CV300,111,FALSE)/HLOOKUP("Gs",A1:CV300,111,FALSE))</f>
      </c>
      <c r="AJ111" t="n" s="24764">
        <v>0.0</v>
      </c>
      <c r="AK111" t="n" s="24765">
        <v>0.0</v>
      </c>
      <c r="AL111" s="24766">
        <f>HLOOKUP("BC",A1:CV300,111,FALSE) - (HLOOKUP("PK Gs",A1:CV300,111,FALSE) + HLOOKUP("PK Miss",A1:CV300,111,FALSE))</f>
      </c>
      <c r="AM111" s="24767">
        <f>HLOOKUP("BC Miss",A1:CV300,111,FALSE) - HLOOKUP("PK Miss",A1:CV300,111,FALSE)</f>
      </c>
      <c r="AN111" s="24768">
        <f>IF(HLOOKUP("BC - Open",A1:CV300,111,FALSE)=0,0,HLOOKUP("BC - Open Miss",A1:CV300,111,FALSE)/HLOOKUP("BC - Open",A1:CV300,111,FALSE))</f>
      </c>
      <c r="AO111" t="n" s="24769">
        <v>0.0</v>
      </c>
      <c r="AP111" s="24770">
        <f>IF(HLOOKUP("Gs",A1:CV300,111,FALSE)=0,0,HLOOKUP("GIB",A1:CV300,111,FALSE)/HLOOKUP("Gs",A1:CV300,111,FALSE))</f>
      </c>
      <c r="AQ111" t="n" s="24771">
        <v>0.0</v>
      </c>
      <c r="AR111" s="24772">
        <f>IF(HLOOKUP("Gs",A1:CV300,111,FALSE)=0,0,HLOOKUP("Gs - Open",A1:CV300,111,FALSE)/HLOOKUP("Gs",A1:CV300,111,FALSE))</f>
      </c>
      <c r="AS111" t="n" s="24773">
        <v>0.18</v>
      </c>
      <c r="AT111" t="n" s="24774">
        <v>0.82</v>
      </c>
      <c r="AU111" s="24775">
        <f>IF(HLOOKUP("Mins",A1:CV300,111,FALSE)=0,0,HLOOKUP("Pts",A1:CV300,111,FALSE)/HLOOKUP("Mins",A1:CV300,111,FALSE)* 90)</f>
      </c>
      <c r="AV111" s="24776">
        <f>IF(HLOOKUP("Apps",A1:CV300,111,FALSE)=0,0,HLOOKUP("Pts",A1:CV300,111,FALSE)/HLOOKUP("Apps",A1:CV300,111,FALSE)* 1)</f>
      </c>
      <c r="AW111" s="24777">
        <f>IF(HLOOKUP("Mins",A1:CV300,111,FALSE)=0,0,HLOOKUP("Gs",A1:CV300,111,FALSE)/HLOOKUP("Mins",A1:CV300,111,FALSE)* 90)</f>
      </c>
      <c r="AX111" s="24778">
        <f>IF(HLOOKUP("Mins",A1:CV300,111,FALSE)=0,0,HLOOKUP("Bonus",A1:CV300,111,FALSE)/HLOOKUP("Mins",A1:CV300,111,FALSE)* 90)</f>
      </c>
      <c r="AY111" s="24779">
        <f>IF(HLOOKUP("Mins",A1:CV300,111,FALSE)=0,0,HLOOKUP("BPS",A1:CV300,111,FALSE)/HLOOKUP("Mins",A1:CV300,111,FALSE)* 90)</f>
      </c>
      <c r="AZ111" s="24780">
        <f>IF(HLOOKUP("Mins",A1:CV300,111,FALSE)=0,0,HLOOKUP("Base BPS",A1:CV300,111,FALSE)/HLOOKUP("Mins",A1:CV300,111,FALSE)* 90)</f>
      </c>
      <c r="BA111" s="24781">
        <f>IF(HLOOKUP("Mins",A1:CV300,111,FALSE)=0,0,HLOOKUP("PenTchs",A1:CV300,111,FALSE)/HLOOKUP("Mins",A1:CV300,111,FALSE)* 90)</f>
      </c>
      <c r="BB111" s="24782">
        <f>IF(HLOOKUP("Mins",A1:CV300,111,FALSE)=0,0,HLOOKUP("Shots",A1:CV300,111,FALSE)/HLOOKUP("Mins",A1:CV300,111,FALSE)* 90)</f>
      </c>
      <c r="BC111" s="24783">
        <f>IF(HLOOKUP("Mins",A1:CV300,111,FALSE)=0,0,HLOOKUP("SIB",A1:CV300,111,FALSE)/HLOOKUP("Mins",A1:CV300,111,FALSE)* 90)</f>
      </c>
      <c r="BD111" s="24784">
        <f>IF(HLOOKUP("Mins",A1:CV300,111,FALSE)=0,0,HLOOKUP("S6YD",A1:CV300,111,FALSE)/HLOOKUP("Mins",A1:CV300,111,FALSE)* 90)</f>
      </c>
      <c r="BE111" s="24785">
        <f>IF(HLOOKUP("Mins",A1:CV300,111,FALSE)=0,0,HLOOKUP("Headers",A1:CV300,111,FALSE)/HLOOKUP("Mins",A1:CV300,111,FALSE)* 90)</f>
      </c>
      <c r="BF111" s="24786">
        <f>IF(HLOOKUP("Mins",A1:CV300,111,FALSE)=0,0,HLOOKUP("SOT",A1:CV300,111,FALSE)/HLOOKUP("Mins",A1:CV300,111,FALSE)* 90)</f>
      </c>
      <c r="BG111" s="24787">
        <f>IF(HLOOKUP("Mins",A1:CV300,111,FALSE)=0,0,HLOOKUP("As",A1:CV300,111,FALSE)/HLOOKUP("Mins",A1:CV300,111,FALSE)* 90)</f>
      </c>
      <c r="BH111" s="24788">
        <f>IF(HLOOKUP("Mins",A1:CV300,111,FALSE)=0,0,HLOOKUP("FPL As",A1:CV300,111,FALSE)/HLOOKUP("Mins",A1:CV300,111,FALSE)* 90)</f>
      </c>
      <c r="BI111" s="24789">
        <f>IF(HLOOKUP("Mins",A1:CV300,111,FALSE)=0,0,HLOOKUP("BC Created",A1:CV300,111,FALSE)/HLOOKUP("Mins",A1:CV300,111,FALSE)* 90)</f>
      </c>
      <c r="BJ111" s="24790">
        <f>IF(HLOOKUP("Mins",A1:CV300,111,FALSE)=0,0,HLOOKUP("KP",A1:CV300,111,FALSE)/HLOOKUP("Mins",A1:CV300,111,FALSE)* 90)</f>
      </c>
      <c r="BK111" s="24791">
        <f>IF(HLOOKUP("Mins",A1:CV300,111,FALSE)=0,0,HLOOKUP("BC",A1:CV300,111,FALSE)/HLOOKUP("Mins",A1:CV300,111,FALSE)* 90)</f>
      </c>
      <c r="BL111" s="24792">
        <f>IF(HLOOKUP("Mins",A1:CV300,111,FALSE)=0,0,HLOOKUP("BC Miss",A1:CV300,111,FALSE)/HLOOKUP("Mins",A1:CV300,111,FALSE)* 90)</f>
      </c>
      <c r="BM111" s="24793">
        <f>IF(HLOOKUP("Mins",A1:CV300,111,FALSE)=0,0,HLOOKUP("Gs - BC",A1:CV300,111,FALSE)/HLOOKUP("Mins",A1:CV300,111,FALSE)* 90)</f>
      </c>
      <c r="BN111" s="24794">
        <f>IF(HLOOKUP("Mins",A1:CV300,111,FALSE)=0,0,HLOOKUP("GIB",A1:CV300,111,FALSE)/HLOOKUP("Mins",A1:CV300,111,FALSE)* 90)</f>
      </c>
      <c r="BO111" s="24795">
        <f>IF(HLOOKUP("Mins",A1:CV300,111,FALSE)=0,0,HLOOKUP("Gs - Open",A1:CV300,111,FALSE)/HLOOKUP("Mins",A1:CV300,111,FALSE)* 90)</f>
      </c>
      <c r="BP111" s="24796">
        <f>IF(HLOOKUP("Mins",A1:CV300,111,FALSE)=0,0,HLOOKUP("ICT Index",A1:CV300,111,FALSE)/HLOOKUP("Mins",A1:CV300,111,FALSE)* 90)</f>
      </c>
      <c r="BQ111" s="24797">
        <f>IF(HLOOKUP("Mins",A1:CV300,111,FALSE)=0,0,(0.036*(HLOOKUP("Shots",A1:CV300,111,FALSE)-HLOOKUP("SIB",A1:CV300,111,FALSE))+0.142*(HLOOKUP("SIB",A1:CV300,111,FALSE)-(HLOOKUP("PK Gs",A1:CV300,111,FALSE)+HLOOKUP("PK Miss",A1:CV300,111,FALSE)))+0.75*(HLOOKUP("PK Gs",A1:CV300,111,FALSE)+HLOOKUP("PK Miss",A1:CV300,111,FALSE)))/HLOOKUP("Mins",A1:CV300,111,FALSE)*90)</f>
      </c>
      <c r="BR111" s="24798">
        <f>0.0885*HLOOKUP("KP/90",A1:CV300,111,FALSE)</f>
      </c>
      <c r="BS111" s="24799">
        <f>5*HLOOKUP("xG/90",A1:CV300,111,FALSE)+3*HLOOKUP("xA/90",A1:CV300,111,FALSE)</f>
      </c>
      <c r="BT111" s="24800">
        <f>HLOOKUP("xPts/90",A1:CV300,111,FALSE)-(5*0.75*(HLOOKUP("PK Gs",A1:CV300,111,FALSE)+HLOOKUP("PK Miss",A1:CV300,111,FALSE))*90/HLOOKUP("Mins",A1:CV300,111,FALSE))</f>
      </c>
      <c r="BU111" s="24801">
        <f>IF(HLOOKUP("Mins",A1:CV300,111,FALSE)=0,0,HLOOKUP("fsXG",A1:CV300,111,FALSE)/HLOOKUP("Mins",A1:CV300,111,FALSE)* 90)</f>
      </c>
      <c r="BV111" s="24802">
        <f>IF(HLOOKUP("Mins",A1:CV300,111,FALSE)=0,0,HLOOKUP("fsXA",A1:CV300,111,FALSE)/HLOOKUP("Mins",A1:CV300,111,FALSE)* 90)</f>
      </c>
      <c r="BW111" s="24803">
        <f>5*HLOOKUP("fsXG/90",A1:CV300,111,FALSE)+3*HLOOKUP("fsXA/90",A1:CV300,111,FALSE)</f>
      </c>
      <c r="BX111" t="n" s="24804">
        <v>0.027972565963864326</v>
      </c>
      <c r="BY111" t="n" s="24805">
        <v>0.19465841352939606</v>
      </c>
      <c r="BZ111" s="24806">
        <f>5*HLOOKUP("uXG/90",A1:CV300,111,FALSE)+3*HLOOKUP("uXA/90",A1:CV300,111,FALSE)</f>
      </c>
    </row>
    <row r="112">
      <c r="A112" t="s" s="24807">
        <v>415</v>
      </c>
      <c r="B112" t="s" s="24808">
        <v>122</v>
      </c>
      <c r="C112" t="n" s="24809">
        <v>8.0</v>
      </c>
      <c r="D112" t="n" s="24810">
        <v>179.0</v>
      </c>
      <c r="E112" t="n" s="24811">
        <v>2.0</v>
      </c>
      <c r="F112" t="n" s="24812">
        <v>8.0</v>
      </c>
      <c r="G112" t="n" s="24813">
        <v>0.0</v>
      </c>
      <c r="H112" t="n" s="24814">
        <v>0.0</v>
      </c>
      <c r="I112" t="n" s="24815">
        <v>19.0</v>
      </c>
      <c r="J112" s="24816">
        <f>HLOOKUP("BPS",A1:CV300,112,FALSE)-((-6*HLOOKUP("OG",A1:CV300,112,FALSE))+(-6*HLOOKUP("PK Miss",A1:CV300,112,FALSE))+(9*HLOOKUP("FPL As",A1:CV300,112,FALSE))+(0*HLOOKUP("CS",A1:CV300,112,FALSE))+(18*HLOOKUP("Gs",A1:CV300,112,FALSE)))</f>
      </c>
      <c r="K112" t="n" s="24817">
        <v>0.0</v>
      </c>
      <c r="L112" t="n" s="24818">
        <v>2.0</v>
      </c>
      <c r="M112" t="n" s="24819">
        <v>1.0</v>
      </c>
      <c r="N112" t="n" s="24820">
        <v>7.0</v>
      </c>
      <c r="O112" t="n" s="24821">
        <v>0.0</v>
      </c>
      <c r="P112" s="24822">
        <f>IF(HLOOKUP("Shots",A1:CV300,112,FALSE)=0,0,HLOOKUP("SIB",A1:CV300,112,FALSE)/HLOOKUP("Shots",A1:CV300,112,FALSE))</f>
      </c>
      <c r="Q112" t="n" s="24823">
        <v>0.0</v>
      </c>
      <c r="R112" s="24824">
        <f>IF(HLOOKUP("Shots",A1:CV300,112,FALSE)=0,0,HLOOKUP("S6YD",A1:CV300,112,FALSE)/HLOOKUP("Shots",A1:CV300,112,FALSE))</f>
      </c>
      <c r="S112" t="n" s="24825">
        <v>0.0</v>
      </c>
      <c r="T112" s="24826">
        <f>IF(HLOOKUP("Shots",A1:CV300,112,FALSE)=0,0,HLOOKUP("Headers",A1:CV300,112,FALSE)/HLOOKUP("Shots",A1:CV300,112,FALSE))</f>
      </c>
      <c r="U112" t="n" s="24827">
        <v>3.0</v>
      </c>
      <c r="V112" s="24828">
        <f>IF(HLOOKUP("Shots",A1:CV300,112,FALSE)=0,0,HLOOKUP("SOT",A1:CV300,112,FALSE)/HLOOKUP("Shots",A1:CV300,112,FALSE))</f>
      </c>
      <c r="W112" s="24829">
        <f>IF(HLOOKUP("Shots",A1:CV300,112,FALSE)=0,0,HLOOKUP("Gs",A1:CV300,112,FALSE)/HLOOKUP("Shots",A1:CV300,112,FALSE))</f>
      </c>
      <c r="X112" t="n" s="24830">
        <v>1.0</v>
      </c>
      <c r="Y112" t="n" s="24831">
        <v>1.0</v>
      </c>
      <c r="Z112" t="n" s="24832">
        <v>3.0</v>
      </c>
      <c r="AA112" s="24833">
        <f>IF(HLOOKUP("KP",A1:CV300,112,FALSE)=0,0,HLOOKUP("As",A1:CV300,112,FALSE)/HLOOKUP("KP",A1:CV300,112,FALSE))</f>
      </c>
      <c r="AB112" s="24834"/>
      <c r="AC112" t="n" s="24835">
        <v>50.0</v>
      </c>
      <c r="AD112" t="n" s="24836">
        <v>0.0</v>
      </c>
      <c r="AE112" t="n" s="24837">
        <v>0.0</v>
      </c>
      <c r="AF112" t="n" s="24838">
        <v>0.0</v>
      </c>
      <c r="AG112" s="24839">
        <f>IF(HLOOKUP("BC",A1:CV300,112,FALSE)=0,0,HLOOKUP("Gs - BC",A1:CV300,112,FALSE)/HLOOKUP("BC",A1:CV300,112,FALSE))</f>
      </c>
      <c r="AH112" s="24840">
        <f>HLOOKUP("BC",A1:CV300,112,FALSE) - HLOOKUP("BC Miss",A1:CV300,112,FALSE)</f>
      </c>
      <c r="AI112" s="24841">
        <f>IF(HLOOKUP("Gs",A1:CV300,112,FALSE)=0,0,HLOOKUP("Gs - BC",A1:CV300,112,FALSE)/HLOOKUP("Gs",A1:CV300,112,FALSE))</f>
      </c>
      <c r="AJ112" t="n" s="24842">
        <v>0.0</v>
      </c>
      <c r="AK112" t="n" s="24843">
        <v>0.0</v>
      </c>
      <c r="AL112" s="24844">
        <f>HLOOKUP("BC",A1:CV300,112,FALSE) - (HLOOKUP("PK Gs",A1:CV300,112,FALSE) + HLOOKUP("PK Miss",A1:CV300,112,FALSE))</f>
      </c>
      <c r="AM112" s="24845">
        <f>HLOOKUP("BC Miss",A1:CV300,112,FALSE) - HLOOKUP("PK Miss",A1:CV300,112,FALSE)</f>
      </c>
      <c r="AN112" s="24846">
        <f>IF(HLOOKUP("BC - Open",A1:CV300,112,FALSE)=0,0,HLOOKUP("BC - Open Miss",A1:CV300,112,FALSE)/HLOOKUP("BC - Open",A1:CV300,112,FALSE))</f>
      </c>
      <c r="AO112" t="n" s="24847">
        <v>0.0</v>
      </c>
      <c r="AP112" s="24848">
        <f>IF(HLOOKUP("Gs",A1:CV300,112,FALSE)=0,0,HLOOKUP("GIB",A1:CV300,112,FALSE)/HLOOKUP("Gs",A1:CV300,112,FALSE))</f>
      </c>
      <c r="AQ112" t="n" s="24849">
        <v>0.0</v>
      </c>
      <c r="AR112" s="24850">
        <f>IF(HLOOKUP("Gs",A1:CV300,112,FALSE)=0,0,HLOOKUP("Gs - Open",A1:CV300,112,FALSE)/HLOOKUP("Gs",A1:CV300,112,FALSE))</f>
      </c>
      <c r="AS112" t="n" s="24851">
        <v>0.29</v>
      </c>
      <c r="AT112" t="n" s="24852">
        <v>0.22</v>
      </c>
      <c r="AU112" s="24853">
        <f>IF(HLOOKUP("Mins",A1:CV300,112,FALSE)=0,0,HLOOKUP("Pts",A1:CV300,112,FALSE)/HLOOKUP("Mins",A1:CV300,112,FALSE)* 90)</f>
      </c>
      <c r="AV112" s="24854">
        <f>IF(HLOOKUP("Apps",A1:CV300,112,FALSE)=0,0,HLOOKUP("Pts",A1:CV300,112,FALSE)/HLOOKUP("Apps",A1:CV300,112,FALSE)* 1)</f>
      </c>
      <c r="AW112" s="24855">
        <f>IF(HLOOKUP("Mins",A1:CV300,112,FALSE)=0,0,HLOOKUP("Gs",A1:CV300,112,FALSE)/HLOOKUP("Mins",A1:CV300,112,FALSE)* 90)</f>
      </c>
      <c r="AX112" s="24856">
        <f>IF(HLOOKUP("Mins",A1:CV300,112,FALSE)=0,0,HLOOKUP("Bonus",A1:CV300,112,FALSE)/HLOOKUP("Mins",A1:CV300,112,FALSE)* 90)</f>
      </c>
      <c r="AY112" s="24857">
        <f>IF(HLOOKUP("Mins",A1:CV300,112,FALSE)=0,0,HLOOKUP("BPS",A1:CV300,112,FALSE)/HLOOKUP("Mins",A1:CV300,112,FALSE)* 90)</f>
      </c>
      <c r="AZ112" s="24858">
        <f>IF(HLOOKUP("Mins",A1:CV300,112,FALSE)=0,0,HLOOKUP("Base BPS",A1:CV300,112,FALSE)/HLOOKUP("Mins",A1:CV300,112,FALSE)* 90)</f>
      </c>
      <c r="BA112" s="24859">
        <f>IF(HLOOKUP("Mins",A1:CV300,112,FALSE)=0,0,HLOOKUP("PenTchs",A1:CV300,112,FALSE)/HLOOKUP("Mins",A1:CV300,112,FALSE)* 90)</f>
      </c>
      <c r="BB112" s="24860">
        <f>IF(HLOOKUP("Mins",A1:CV300,112,FALSE)=0,0,HLOOKUP("Shots",A1:CV300,112,FALSE)/HLOOKUP("Mins",A1:CV300,112,FALSE)* 90)</f>
      </c>
      <c r="BC112" s="24861">
        <f>IF(HLOOKUP("Mins",A1:CV300,112,FALSE)=0,0,HLOOKUP("SIB",A1:CV300,112,FALSE)/HLOOKUP("Mins",A1:CV300,112,FALSE)* 90)</f>
      </c>
      <c r="BD112" s="24862">
        <f>IF(HLOOKUP("Mins",A1:CV300,112,FALSE)=0,0,HLOOKUP("S6YD",A1:CV300,112,FALSE)/HLOOKUP("Mins",A1:CV300,112,FALSE)* 90)</f>
      </c>
      <c r="BE112" s="24863">
        <f>IF(HLOOKUP("Mins",A1:CV300,112,FALSE)=0,0,HLOOKUP("Headers",A1:CV300,112,FALSE)/HLOOKUP("Mins",A1:CV300,112,FALSE)* 90)</f>
      </c>
      <c r="BF112" s="24864">
        <f>IF(HLOOKUP("Mins",A1:CV300,112,FALSE)=0,0,HLOOKUP("SOT",A1:CV300,112,FALSE)/HLOOKUP("Mins",A1:CV300,112,FALSE)* 90)</f>
      </c>
      <c r="BG112" s="24865">
        <f>IF(HLOOKUP("Mins",A1:CV300,112,FALSE)=0,0,HLOOKUP("As",A1:CV300,112,FALSE)/HLOOKUP("Mins",A1:CV300,112,FALSE)* 90)</f>
      </c>
      <c r="BH112" s="24866">
        <f>IF(HLOOKUP("Mins",A1:CV300,112,FALSE)=0,0,HLOOKUP("FPL As",A1:CV300,112,FALSE)/HLOOKUP("Mins",A1:CV300,112,FALSE)* 90)</f>
      </c>
      <c r="BI112" s="24867">
        <f>IF(HLOOKUP("Mins",A1:CV300,112,FALSE)=0,0,HLOOKUP("BC Created",A1:CV300,112,FALSE)/HLOOKUP("Mins",A1:CV300,112,FALSE)* 90)</f>
      </c>
      <c r="BJ112" s="24868">
        <f>IF(HLOOKUP("Mins",A1:CV300,112,FALSE)=0,0,HLOOKUP("KP",A1:CV300,112,FALSE)/HLOOKUP("Mins",A1:CV300,112,FALSE)* 90)</f>
      </c>
      <c r="BK112" s="24869">
        <f>IF(HLOOKUP("Mins",A1:CV300,112,FALSE)=0,0,HLOOKUP("BC",A1:CV300,112,FALSE)/HLOOKUP("Mins",A1:CV300,112,FALSE)* 90)</f>
      </c>
      <c r="BL112" s="24870">
        <f>IF(HLOOKUP("Mins",A1:CV300,112,FALSE)=0,0,HLOOKUP("BC Miss",A1:CV300,112,FALSE)/HLOOKUP("Mins",A1:CV300,112,FALSE)* 90)</f>
      </c>
      <c r="BM112" s="24871">
        <f>IF(HLOOKUP("Mins",A1:CV300,112,FALSE)=0,0,HLOOKUP("Gs - BC",A1:CV300,112,FALSE)/HLOOKUP("Mins",A1:CV300,112,FALSE)* 90)</f>
      </c>
      <c r="BN112" s="24872">
        <f>IF(HLOOKUP("Mins",A1:CV300,112,FALSE)=0,0,HLOOKUP("GIB",A1:CV300,112,FALSE)/HLOOKUP("Mins",A1:CV300,112,FALSE)* 90)</f>
      </c>
      <c r="BO112" s="24873">
        <f>IF(HLOOKUP("Mins",A1:CV300,112,FALSE)=0,0,HLOOKUP("Gs - Open",A1:CV300,112,FALSE)/HLOOKUP("Mins",A1:CV300,112,FALSE)* 90)</f>
      </c>
      <c r="BP112" s="24874">
        <f>IF(HLOOKUP("Mins",A1:CV300,112,FALSE)=0,0,HLOOKUP("ICT Index",A1:CV300,112,FALSE)/HLOOKUP("Mins",A1:CV300,112,FALSE)* 90)</f>
      </c>
      <c r="BQ112" s="24875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</c>
      <c r="BR112" s="24876">
        <f>0.0885*HLOOKUP("KP/90",A1:CV300,112,FALSE)</f>
      </c>
      <c r="BS112" s="24877">
        <f>5*HLOOKUP("xG/90",A1:CV300,112,FALSE)+3*HLOOKUP("xA/90",A1:CV300,112,FALSE)</f>
      </c>
      <c r="BT112" s="24878">
        <f>HLOOKUP("xPts/90",A1:CV300,112,FALSE)-(5*0.75*(HLOOKUP("PK Gs",A1:CV300,112,FALSE)+HLOOKUP("PK Miss",A1:CV300,112,FALSE))*90/HLOOKUP("Mins",A1:CV300,112,FALSE))</f>
      </c>
      <c r="BU112" s="24879">
        <f>IF(HLOOKUP("Mins",A1:CV300,112,FALSE)=0,0,HLOOKUP("fsXG",A1:CV300,112,FALSE)/HLOOKUP("Mins",A1:CV300,112,FALSE)* 90)</f>
      </c>
      <c r="BV112" s="24880">
        <f>IF(HLOOKUP("Mins",A1:CV300,112,FALSE)=0,0,HLOOKUP("fsXA",A1:CV300,112,FALSE)/HLOOKUP("Mins",A1:CV300,112,FALSE)* 90)</f>
      </c>
      <c r="BW112" s="24881">
        <f>5*HLOOKUP("fsXG/90",A1:CV300,112,FALSE)+3*HLOOKUP("fsXA/90",A1:CV300,112,FALSE)</f>
      </c>
      <c r="BX112" t="n" s="24882">
        <v>0.11863399296998978</v>
      </c>
      <c r="BY112" t="n" s="24883">
        <v>0.07541876286268234</v>
      </c>
      <c r="BZ112" s="24884">
        <f>5*HLOOKUP("uXG/90",A1:CV300,112,FALSE)+3*HLOOKUP("uXA/90",A1:CV300,112,FALSE)</f>
      </c>
    </row>
    <row r="113">
      <c r="A113" t="s" s="24885">
        <v>416</v>
      </c>
      <c r="B113" t="s" s="24886">
        <v>149</v>
      </c>
      <c r="C113" t="n" s="24887">
        <v>6.800000190734863</v>
      </c>
      <c r="D113" t="n" s="24888">
        <v>164.0</v>
      </c>
      <c r="E113" t="n" s="24889">
        <v>2.0</v>
      </c>
      <c r="F113" t="n" s="24890">
        <v>13.0</v>
      </c>
      <c r="G113" t="n" s="24891">
        <v>0.0</v>
      </c>
      <c r="H113" t="n" s="24892">
        <v>0.0</v>
      </c>
      <c r="I113" t="n" s="24893">
        <v>57.0</v>
      </c>
      <c r="J113" s="24894">
        <f>HLOOKUP("BPS",A1:CV300,113,FALSE)-((-6*HLOOKUP("OG",A1:CV300,113,FALSE))+(-6*HLOOKUP("PK Miss",A1:CV300,113,FALSE))+(9*HLOOKUP("FPL As",A1:CV300,113,FALSE))+(0*HLOOKUP("CS",A1:CV300,113,FALSE))+(18*HLOOKUP("Gs",A1:CV300,113,FALSE)))</f>
      </c>
      <c r="K113" t="n" s="24895">
        <v>0.0</v>
      </c>
      <c r="L113" t="n" s="24896">
        <v>1.0</v>
      </c>
      <c r="M113" t="n" s="24897">
        <v>5.0</v>
      </c>
      <c r="N113" t="n" s="24898">
        <v>4.0</v>
      </c>
      <c r="O113" t="n" s="24899">
        <v>4.0</v>
      </c>
      <c r="P113" s="24900">
        <f>IF(HLOOKUP("Shots",A1:CV300,113,FALSE)=0,0,HLOOKUP("SIB",A1:CV300,113,FALSE)/HLOOKUP("Shots",A1:CV300,113,FALSE))</f>
      </c>
      <c r="Q113" t="n" s="24901">
        <v>0.0</v>
      </c>
      <c r="R113" s="24902">
        <f>IF(HLOOKUP("Shots",A1:CV300,113,FALSE)=0,0,HLOOKUP("S6YD",A1:CV300,113,FALSE)/HLOOKUP("Shots",A1:CV300,113,FALSE))</f>
      </c>
      <c r="S113" t="n" s="24903">
        <v>0.0</v>
      </c>
      <c r="T113" s="24904">
        <f>IF(HLOOKUP("Shots",A1:CV300,113,FALSE)=0,0,HLOOKUP("Headers",A1:CV300,113,FALSE)/HLOOKUP("Shots",A1:CV300,113,FALSE))</f>
      </c>
      <c r="U113" t="n" s="24905">
        <v>1.0</v>
      </c>
      <c r="V113" s="24906">
        <f>IF(HLOOKUP("Shots",A1:CV300,113,FALSE)=0,0,HLOOKUP("SOT",A1:CV300,113,FALSE)/HLOOKUP("Shots",A1:CV300,113,FALSE))</f>
      </c>
      <c r="W113" s="24907">
        <f>IF(HLOOKUP("Shots",A1:CV300,113,FALSE)=0,0,HLOOKUP("Gs",A1:CV300,113,FALSE)/HLOOKUP("Shots",A1:CV300,113,FALSE))</f>
      </c>
      <c r="X113" t="n" s="24908">
        <v>0.0</v>
      </c>
      <c r="Y113" t="n" s="24909">
        <v>0.0</v>
      </c>
      <c r="Z113" t="n" s="24910">
        <v>3.0</v>
      </c>
      <c r="AA113" s="24911">
        <f>IF(HLOOKUP("KP",A1:CV300,113,FALSE)=0,0,HLOOKUP("As",A1:CV300,113,FALSE)/HLOOKUP("KP",A1:CV300,113,FALSE))</f>
      </c>
      <c r="AB113" s="24912"/>
      <c r="AC113" t="n" s="24913">
        <v>0.0</v>
      </c>
      <c r="AD113" t="n" s="24914">
        <v>0.0</v>
      </c>
      <c r="AE113" t="n" s="24915">
        <v>0.0</v>
      </c>
      <c r="AF113" t="n" s="24916">
        <v>0.0</v>
      </c>
      <c r="AG113" s="24917">
        <f>IF(HLOOKUP("BC",A1:CV300,113,FALSE)=0,0,HLOOKUP("Gs - BC",A1:CV300,113,FALSE)/HLOOKUP("BC",A1:CV300,113,FALSE))</f>
      </c>
      <c r="AH113" s="24918">
        <f>HLOOKUP("BC",A1:CV300,113,FALSE) - HLOOKUP("BC Miss",A1:CV300,113,FALSE)</f>
      </c>
      <c r="AI113" s="24919">
        <f>IF(HLOOKUP("Gs",A1:CV300,113,FALSE)=0,0,HLOOKUP("Gs - BC",A1:CV300,113,FALSE)/HLOOKUP("Gs",A1:CV300,113,FALSE))</f>
      </c>
      <c r="AJ113" t="n" s="24920">
        <v>0.0</v>
      </c>
      <c r="AK113" t="n" s="24921">
        <v>0.0</v>
      </c>
      <c r="AL113" s="24922">
        <f>HLOOKUP("BC",A1:CV300,113,FALSE) - (HLOOKUP("PK Gs",A1:CV300,113,FALSE) + HLOOKUP("PK Miss",A1:CV300,113,FALSE))</f>
      </c>
      <c r="AM113" s="24923">
        <f>HLOOKUP("BC Miss",A1:CV300,113,FALSE) - HLOOKUP("PK Miss",A1:CV300,113,FALSE)</f>
      </c>
      <c r="AN113" s="24924">
        <f>IF(HLOOKUP("BC - Open",A1:CV300,113,FALSE)=0,0,HLOOKUP("BC - Open Miss",A1:CV300,113,FALSE)/HLOOKUP("BC - Open",A1:CV300,113,FALSE))</f>
      </c>
      <c r="AO113" t="n" s="24925">
        <v>0.0</v>
      </c>
      <c r="AP113" s="24926">
        <f>IF(HLOOKUP("Gs",A1:CV300,113,FALSE)=0,0,HLOOKUP("GIB",A1:CV300,113,FALSE)/HLOOKUP("Gs",A1:CV300,113,FALSE))</f>
      </c>
      <c r="AQ113" t="n" s="24927">
        <v>0.0</v>
      </c>
      <c r="AR113" s="24928">
        <f>IF(HLOOKUP("Gs",A1:CV300,113,FALSE)=0,0,HLOOKUP("Gs - Open",A1:CV300,113,FALSE)/HLOOKUP("Gs",A1:CV300,113,FALSE))</f>
      </c>
      <c r="AS113" t="n" s="24929">
        <v>0.22</v>
      </c>
      <c r="AT113" t="n" s="24930">
        <v>0.45</v>
      </c>
      <c r="AU113" s="24931">
        <f>IF(HLOOKUP("Mins",A1:CV300,113,FALSE)=0,0,HLOOKUP("Pts",A1:CV300,113,FALSE)/HLOOKUP("Mins",A1:CV300,113,FALSE)* 90)</f>
      </c>
      <c r="AV113" s="24932">
        <f>IF(HLOOKUP("Apps",A1:CV300,113,FALSE)=0,0,HLOOKUP("Pts",A1:CV300,113,FALSE)/HLOOKUP("Apps",A1:CV300,113,FALSE)* 1)</f>
      </c>
      <c r="AW113" s="24933">
        <f>IF(HLOOKUP("Mins",A1:CV300,113,FALSE)=0,0,HLOOKUP("Gs",A1:CV300,113,FALSE)/HLOOKUP("Mins",A1:CV300,113,FALSE)* 90)</f>
      </c>
      <c r="AX113" s="24934">
        <f>IF(HLOOKUP("Mins",A1:CV300,113,FALSE)=0,0,HLOOKUP("Bonus",A1:CV300,113,FALSE)/HLOOKUP("Mins",A1:CV300,113,FALSE)* 90)</f>
      </c>
      <c r="AY113" s="24935">
        <f>IF(HLOOKUP("Mins",A1:CV300,113,FALSE)=0,0,HLOOKUP("BPS",A1:CV300,113,FALSE)/HLOOKUP("Mins",A1:CV300,113,FALSE)* 90)</f>
      </c>
      <c r="AZ113" s="24936">
        <f>IF(HLOOKUP("Mins",A1:CV300,113,FALSE)=0,0,HLOOKUP("Base BPS",A1:CV300,113,FALSE)/HLOOKUP("Mins",A1:CV300,113,FALSE)* 90)</f>
      </c>
      <c r="BA113" s="24937">
        <f>IF(HLOOKUP("Mins",A1:CV300,113,FALSE)=0,0,HLOOKUP("PenTchs",A1:CV300,113,FALSE)/HLOOKUP("Mins",A1:CV300,113,FALSE)* 90)</f>
      </c>
      <c r="BB113" s="24938">
        <f>IF(HLOOKUP("Mins",A1:CV300,113,FALSE)=0,0,HLOOKUP("Shots",A1:CV300,113,FALSE)/HLOOKUP("Mins",A1:CV300,113,FALSE)* 90)</f>
      </c>
      <c r="BC113" s="24939">
        <f>IF(HLOOKUP("Mins",A1:CV300,113,FALSE)=0,0,HLOOKUP("SIB",A1:CV300,113,FALSE)/HLOOKUP("Mins",A1:CV300,113,FALSE)* 90)</f>
      </c>
      <c r="BD113" s="24940">
        <f>IF(HLOOKUP("Mins",A1:CV300,113,FALSE)=0,0,HLOOKUP("S6YD",A1:CV300,113,FALSE)/HLOOKUP("Mins",A1:CV300,113,FALSE)* 90)</f>
      </c>
      <c r="BE113" s="24941">
        <f>IF(HLOOKUP("Mins",A1:CV300,113,FALSE)=0,0,HLOOKUP("Headers",A1:CV300,113,FALSE)/HLOOKUP("Mins",A1:CV300,113,FALSE)* 90)</f>
      </c>
      <c r="BF113" s="24942">
        <f>IF(HLOOKUP("Mins",A1:CV300,113,FALSE)=0,0,HLOOKUP("SOT",A1:CV300,113,FALSE)/HLOOKUP("Mins",A1:CV300,113,FALSE)* 90)</f>
      </c>
      <c r="BG113" s="24943">
        <f>IF(HLOOKUP("Mins",A1:CV300,113,FALSE)=0,0,HLOOKUP("As",A1:CV300,113,FALSE)/HLOOKUP("Mins",A1:CV300,113,FALSE)* 90)</f>
      </c>
      <c r="BH113" s="24944">
        <f>IF(HLOOKUP("Mins",A1:CV300,113,FALSE)=0,0,HLOOKUP("FPL As",A1:CV300,113,FALSE)/HLOOKUP("Mins",A1:CV300,113,FALSE)* 90)</f>
      </c>
      <c r="BI113" s="24945">
        <f>IF(HLOOKUP("Mins",A1:CV300,113,FALSE)=0,0,HLOOKUP("BC Created",A1:CV300,113,FALSE)/HLOOKUP("Mins",A1:CV300,113,FALSE)* 90)</f>
      </c>
      <c r="BJ113" s="24946">
        <f>IF(HLOOKUP("Mins",A1:CV300,113,FALSE)=0,0,HLOOKUP("KP",A1:CV300,113,FALSE)/HLOOKUP("Mins",A1:CV300,113,FALSE)* 90)</f>
      </c>
      <c r="BK113" s="24947">
        <f>IF(HLOOKUP("Mins",A1:CV300,113,FALSE)=0,0,HLOOKUP("BC",A1:CV300,113,FALSE)/HLOOKUP("Mins",A1:CV300,113,FALSE)* 90)</f>
      </c>
      <c r="BL113" s="24948">
        <f>IF(HLOOKUP("Mins",A1:CV300,113,FALSE)=0,0,HLOOKUP("BC Miss",A1:CV300,113,FALSE)/HLOOKUP("Mins",A1:CV300,113,FALSE)* 90)</f>
      </c>
      <c r="BM113" s="24949">
        <f>IF(HLOOKUP("Mins",A1:CV300,113,FALSE)=0,0,HLOOKUP("Gs - BC",A1:CV300,113,FALSE)/HLOOKUP("Mins",A1:CV300,113,FALSE)* 90)</f>
      </c>
      <c r="BN113" s="24950">
        <f>IF(HLOOKUP("Mins",A1:CV300,113,FALSE)=0,0,HLOOKUP("GIB",A1:CV300,113,FALSE)/HLOOKUP("Mins",A1:CV300,113,FALSE)* 90)</f>
      </c>
      <c r="BO113" s="24951">
        <f>IF(HLOOKUP("Mins",A1:CV300,113,FALSE)=0,0,HLOOKUP("Gs - Open",A1:CV300,113,FALSE)/HLOOKUP("Mins",A1:CV300,113,FALSE)* 90)</f>
      </c>
      <c r="BP113" s="24952">
        <f>IF(HLOOKUP("Mins",A1:CV300,113,FALSE)=0,0,HLOOKUP("ICT Index",A1:CV300,113,FALSE)/HLOOKUP("Mins",A1:CV300,113,FALSE)* 90)</f>
      </c>
      <c r="BQ113" s="24953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</c>
      <c r="BR113" s="24954">
        <f>0.0885*HLOOKUP("KP/90",A1:CV300,113,FALSE)</f>
      </c>
      <c r="BS113" s="24955">
        <f>5*HLOOKUP("xG/90",A1:CV300,113,FALSE)+3*HLOOKUP("xA/90",A1:CV300,113,FALSE)</f>
      </c>
      <c r="BT113" s="24956">
        <f>HLOOKUP("xPts/90",A1:CV300,113,FALSE)-(5*0.75*(HLOOKUP("PK Gs",A1:CV300,113,FALSE)+HLOOKUP("PK Miss",A1:CV300,113,FALSE))*90/HLOOKUP("Mins",A1:CV300,113,FALSE))</f>
      </c>
      <c r="BU113" s="24957">
        <f>IF(HLOOKUP("Mins",A1:CV300,113,FALSE)=0,0,HLOOKUP("fsXG",A1:CV300,113,FALSE)/HLOOKUP("Mins",A1:CV300,113,FALSE)* 90)</f>
      </c>
      <c r="BV113" s="24958">
        <f>IF(HLOOKUP("Mins",A1:CV300,113,FALSE)=0,0,HLOOKUP("fsXA",A1:CV300,113,FALSE)/HLOOKUP("Mins",A1:CV300,113,FALSE)* 90)</f>
      </c>
      <c r="BW113" s="24959">
        <f>5*HLOOKUP("fsXG/90",A1:CV300,113,FALSE)+3*HLOOKUP("fsXA/90",A1:CV300,113,FALSE)</f>
      </c>
      <c r="BX113" t="n" s="24960">
        <v>0.11461222916841507</v>
      </c>
      <c r="BY113" t="n" s="24961">
        <v>0.0760677307844162</v>
      </c>
      <c r="BZ113" s="24962">
        <f>5*HLOOKUP("uXG/90",A1:CV300,113,FALSE)+3*HLOOKUP("uXA/90",A1:CV300,113,FALSE)</f>
      </c>
    </row>
    <row r="114">
      <c r="A114" t="s" s="24963">
        <v>417</v>
      </c>
      <c r="B114" t="s" s="24964">
        <v>90</v>
      </c>
      <c r="C114" t="n" s="24965">
        <v>4.900000095367432</v>
      </c>
      <c r="D114" t="n" s="24966">
        <v>348.0</v>
      </c>
      <c r="E114" t="n" s="24967">
        <v>4.0</v>
      </c>
      <c r="F114" t="n" s="24968">
        <v>13.0</v>
      </c>
      <c r="G114" t="n" s="24969">
        <v>0.0</v>
      </c>
      <c r="H114" t="n" s="24970">
        <v>0.0</v>
      </c>
      <c r="I114" t="n" s="24971">
        <v>69.0</v>
      </c>
      <c r="J114" s="24972">
        <f>HLOOKUP("BPS",A1:CV300,114,FALSE)-((-6*HLOOKUP("OG",A1:CV300,114,FALSE))+(-6*HLOOKUP("PK Miss",A1:CV300,114,FALSE))+(9*HLOOKUP("FPL As",A1:CV300,114,FALSE))+(0*HLOOKUP("CS",A1:CV300,114,FALSE))+(18*HLOOKUP("Gs",A1:CV300,114,FALSE)))</f>
      </c>
      <c r="K114" t="n" s="24973">
        <v>0.0</v>
      </c>
      <c r="L114" t="n" s="24974">
        <v>2.0</v>
      </c>
      <c r="M114" t="n" s="24975">
        <v>5.0</v>
      </c>
      <c r="N114" t="n" s="24976">
        <v>5.0</v>
      </c>
      <c r="O114" t="n" s="24977">
        <v>2.0</v>
      </c>
      <c r="P114" s="24978">
        <f>IF(HLOOKUP("Shots",A1:CV300,114,FALSE)=0,0,HLOOKUP("SIB",A1:CV300,114,FALSE)/HLOOKUP("Shots",A1:CV300,114,FALSE))</f>
      </c>
      <c r="Q114" t="n" s="24979">
        <v>0.0</v>
      </c>
      <c r="R114" s="24980">
        <f>IF(HLOOKUP("Shots",A1:CV300,114,FALSE)=0,0,HLOOKUP("S6YD",A1:CV300,114,FALSE)/HLOOKUP("Shots",A1:CV300,114,FALSE))</f>
      </c>
      <c r="S114" t="n" s="24981">
        <v>0.0</v>
      </c>
      <c r="T114" s="24982">
        <f>IF(HLOOKUP("Shots",A1:CV300,114,FALSE)=0,0,HLOOKUP("Headers",A1:CV300,114,FALSE)/HLOOKUP("Shots",A1:CV300,114,FALSE))</f>
      </c>
      <c r="U114" t="n" s="24983">
        <v>1.0</v>
      </c>
      <c r="V114" s="24984">
        <f>IF(HLOOKUP("Shots",A1:CV300,114,FALSE)=0,0,HLOOKUP("SOT",A1:CV300,114,FALSE)/HLOOKUP("Shots",A1:CV300,114,FALSE))</f>
      </c>
      <c r="W114" s="24985">
        <f>IF(HLOOKUP("Shots",A1:CV300,114,FALSE)=0,0,HLOOKUP("Gs",A1:CV300,114,FALSE)/HLOOKUP("Shots",A1:CV300,114,FALSE))</f>
      </c>
      <c r="X114" t="n" s="24986">
        <v>0.0</v>
      </c>
      <c r="Y114" t="n" s="24987">
        <v>1.0</v>
      </c>
      <c r="Z114" t="n" s="24988">
        <v>10.0</v>
      </c>
      <c r="AA114" s="24989">
        <f>IF(HLOOKUP("KP",A1:CV300,114,FALSE)=0,0,HLOOKUP("As",A1:CV300,114,FALSE)/HLOOKUP("KP",A1:CV300,114,FALSE))</f>
      </c>
      <c r="AB114" s="24990"/>
      <c r="AC114" t="n" s="24991">
        <v>50.0</v>
      </c>
      <c r="AD114" t="n" s="24992">
        <v>2.0</v>
      </c>
      <c r="AE114" t="n" s="24993">
        <v>0.0</v>
      </c>
      <c r="AF114" t="n" s="24994">
        <v>0.0</v>
      </c>
      <c r="AG114" s="24995">
        <f>IF(HLOOKUP("BC",A1:CV300,114,FALSE)=0,0,HLOOKUP("Gs - BC",A1:CV300,114,FALSE)/HLOOKUP("BC",A1:CV300,114,FALSE))</f>
      </c>
      <c r="AH114" s="24996">
        <f>HLOOKUP("BC",A1:CV300,114,FALSE) - HLOOKUP("BC Miss",A1:CV300,114,FALSE)</f>
      </c>
      <c r="AI114" s="24997">
        <f>IF(HLOOKUP("Gs",A1:CV300,114,FALSE)=0,0,HLOOKUP("Gs - BC",A1:CV300,114,FALSE)/HLOOKUP("Gs",A1:CV300,114,FALSE))</f>
      </c>
      <c r="AJ114" t="n" s="24998">
        <v>0.0</v>
      </c>
      <c r="AK114" t="n" s="24999">
        <v>0.0</v>
      </c>
      <c r="AL114" s="25000">
        <f>HLOOKUP("BC",A1:CV300,114,FALSE) - (HLOOKUP("PK Gs",A1:CV300,114,FALSE) + HLOOKUP("PK Miss",A1:CV300,114,FALSE))</f>
      </c>
      <c r="AM114" s="25001">
        <f>HLOOKUP("BC Miss",A1:CV300,114,FALSE) - HLOOKUP("PK Miss",A1:CV300,114,FALSE)</f>
      </c>
      <c r="AN114" s="25002">
        <f>IF(HLOOKUP("BC - Open",A1:CV300,114,FALSE)=0,0,HLOOKUP("BC - Open Miss",A1:CV300,114,FALSE)/HLOOKUP("BC - Open",A1:CV300,114,FALSE))</f>
      </c>
      <c r="AO114" t="n" s="25003">
        <v>0.0</v>
      </c>
      <c r="AP114" s="25004">
        <f>IF(HLOOKUP("Gs",A1:CV300,114,FALSE)=0,0,HLOOKUP("GIB",A1:CV300,114,FALSE)/HLOOKUP("Gs",A1:CV300,114,FALSE))</f>
      </c>
      <c r="AQ114" t="n" s="25005">
        <v>0.0</v>
      </c>
      <c r="AR114" s="25006">
        <f>IF(HLOOKUP("Gs",A1:CV300,114,FALSE)=0,0,HLOOKUP("Gs - Open",A1:CV300,114,FALSE)/HLOOKUP("Gs",A1:CV300,114,FALSE))</f>
      </c>
      <c r="AS114" t="n" s="25007">
        <v>0.21</v>
      </c>
      <c r="AT114" t="n" s="25008">
        <v>1.06</v>
      </c>
      <c r="AU114" s="25009">
        <f>IF(HLOOKUP("Mins",A1:CV300,114,FALSE)=0,0,HLOOKUP("Pts",A1:CV300,114,FALSE)/HLOOKUP("Mins",A1:CV300,114,FALSE)* 90)</f>
      </c>
      <c r="AV114" s="25010">
        <f>IF(HLOOKUP("Apps",A1:CV300,114,FALSE)=0,0,HLOOKUP("Pts",A1:CV300,114,FALSE)/HLOOKUP("Apps",A1:CV300,114,FALSE)* 1)</f>
      </c>
      <c r="AW114" s="25011">
        <f>IF(HLOOKUP("Mins",A1:CV300,114,FALSE)=0,0,HLOOKUP("Gs",A1:CV300,114,FALSE)/HLOOKUP("Mins",A1:CV300,114,FALSE)* 90)</f>
      </c>
      <c r="AX114" s="25012">
        <f>IF(HLOOKUP("Mins",A1:CV300,114,FALSE)=0,0,HLOOKUP("Bonus",A1:CV300,114,FALSE)/HLOOKUP("Mins",A1:CV300,114,FALSE)* 90)</f>
      </c>
      <c r="AY114" s="25013">
        <f>IF(HLOOKUP("Mins",A1:CV300,114,FALSE)=0,0,HLOOKUP("BPS",A1:CV300,114,FALSE)/HLOOKUP("Mins",A1:CV300,114,FALSE)* 90)</f>
      </c>
      <c r="AZ114" s="25014">
        <f>IF(HLOOKUP("Mins",A1:CV300,114,FALSE)=0,0,HLOOKUP("Base BPS",A1:CV300,114,FALSE)/HLOOKUP("Mins",A1:CV300,114,FALSE)* 90)</f>
      </c>
      <c r="BA114" s="25015">
        <f>IF(HLOOKUP("Mins",A1:CV300,114,FALSE)=0,0,HLOOKUP("PenTchs",A1:CV300,114,FALSE)/HLOOKUP("Mins",A1:CV300,114,FALSE)* 90)</f>
      </c>
      <c r="BB114" s="25016">
        <f>IF(HLOOKUP("Mins",A1:CV300,114,FALSE)=0,0,HLOOKUP("Shots",A1:CV300,114,FALSE)/HLOOKUP("Mins",A1:CV300,114,FALSE)* 90)</f>
      </c>
      <c r="BC114" s="25017">
        <f>IF(HLOOKUP("Mins",A1:CV300,114,FALSE)=0,0,HLOOKUP("SIB",A1:CV300,114,FALSE)/HLOOKUP("Mins",A1:CV300,114,FALSE)* 90)</f>
      </c>
      <c r="BD114" s="25018">
        <f>IF(HLOOKUP("Mins",A1:CV300,114,FALSE)=0,0,HLOOKUP("S6YD",A1:CV300,114,FALSE)/HLOOKUP("Mins",A1:CV300,114,FALSE)* 90)</f>
      </c>
      <c r="BE114" s="25019">
        <f>IF(HLOOKUP("Mins",A1:CV300,114,FALSE)=0,0,HLOOKUP("Headers",A1:CV300,114,FALSE)/HLOOKUP("Mins",A1:CV300,114,FALSE)* 90)</f>
      </c>
      <c r="BF114" s="25020">
        <f>IF(HLOOKUP("Mins",A1:CV300,114,FALSE)=0,0,HLOOKUP("SOT",A1:CV300,114,FALSE)/HLOOKUP("Mins",A1:CV300,114,FALSE)* 90)</f>
      </c>
      <c r="BG114" s="25021">
        <f>IF(HLOOKUP("Mins",A1:CV300,114,FALSE)=0,0,HLOOKUP("As",A1:CV300,114,FALSE)/HLOOKUP("Mins",A1:CV300,114,FALSE)* 90)</f>
      </c>
      <c r="BH114" s="25022">
        <f>IF(HLOOKUP("Mins",A1:CV300,114,FALSE)=0,0,HLOOKUP("FPL As",A1:CV300,114,FALSE)/HLOOKUP("Mins",A1:CV300,114,FALSE)* 90)</f>
      </c>
      <c r="BI114" s="25023">
        <f>IF(HLOOKUP("Mins",A1:CV300,114,FALSE)=0,0,HLOOKUP("BC Created",A1:CV300,114,FALSE)/HLOOKUP("Mins",A1:CV300,114,FALSE)* 90)</f>
      </c>
      <c r="BJ114" s="25024">
        <f>IF(HLOOKUP("Mins",A1:CV300,114,FALSE)=0,0,HLOOKUP("KP",A1:CV300,114,FALSE)/HLOOKUP("Mins",A1:CV300,114,FALSE)* 90)</f>
      </c>
      <c r="BK114" s="25025">
        <f>IF(HLOOKUP("Mins",A1:CV300,114,FALSE)=0,0,HLOOKUP("BC",A1:CV300,114,FALSE)/HLOOKUP("Mins",A1:CV300,114,FALSE)* 90)</f>
      </c>
      <c r="BL114" s="25026">
        <f>IF(HLOOKUP("Mins",A1:CV300,114,FALSE)=0,0,HLOOKUP("BC Miss",A1:CV300,114,FALSE)/HLOOKUP("Mins",A1:CV300,114,FALSE)* 90)</f>
      </c>
      <c r="BM114" s="25027">
        <f>IF(HLOOKUP("Mins",A1:CV300,114,FALSE)=0,0,HLOOKUP("Gs - BC",A1:CV300,114,FALSE)/HLOOKUP("Mins",A1:CV300,114,FALSE)* 90)</f>
      </c>
      <c r="BN114" s="25028">
        <f>IF(HLOOKUP("Mins",A1:CV300,114,FALSE)=0,0,HLOOKUP("GIB",A1:CV300,114,FALSE)/HLOOKUP("Mins",A1:CV300,114,FALSE)* 90)</f>
      </c>
      <c r="BO114" s="25029">
        <f>IF(HLOOKUP("Mins",A1:CV300,114,FALSE)=0,0,HLOOKUP("Gs - Open",A1:CV300,114,FALSE)/HLOOKUP("Mins",A1:CV300,114,FALSE)* 90)</f>
      </c>
      <c r="BP114" s="25030">
        <f>IF(HLOOKUP("Mins",A1:CV300,114,FALSE)=0,0,HLOOKUP("ICT Index",A1:CV300,114,FALSE)/HLOOKUP("Mins",A1:CV300,114,FALSE)* 90)</f>
      </c>
      <c r="BQ114" s="25031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</c>
      <c r="BR114" s="25032">
        <f>0.0885*HLOOKUP("KP/90",A1:CV300,114,FALSE)</f>
      </c>
      <c r="BS114" s="25033">
        <f>5*HLOOKUP("xG/90",A1:CV300,114,FALSE)+3*HLOOKUP("xA/90",A1:CV300,114,FALSE)</f>
      </c>
      <c r="BT114" s="25034">
        <f>HLOOKUP("xPts/90",A1:CV300,114,FALSE)-(5*0.75*(HLOOKUP("PK Gs",A1:CV300,114,FALSE)+HLOOKUP("PK Miss",A1:CV300,114,FALSE))*90/HLOOKUP("Mins",A1:CV300,114,FALSE))</f>
      </c>
      <c r="BU114" s="25035">
        <f>IF(HLOOKUP("Mins",A1:CV300,114,FALSE)=0,0,HLOOKUP("fsXG",A1:CV300,114,FALSE)/HLOOKUP("Mins",A1:CV300,114,FALSE)* 90)</f>
      </c>
      <c r="BV114" s="25036">
        <f>IF(HLOOKUP("Mins",A1:CV300,114,FALSE)=0,0,HLOOKUP("fsXA",A1:CV300,114,FALSE)/HLOOKUP("Mins",A1:CV300,114,FALSE)* 90)</f>
      </c>
      <c r="BW114" s="25037">
        <f>5*HLOOKUP("fsXG/90",A1:CV300,114,FALSE)+3*HLOOKUP("fsXA/90",A1:CV300,114,FALSE)</f>
      </c>
      <c r="BX114" t="n" s="25038">
        <v>0.057322464883327484</v>
      </c>
      <c r="BY114" t="n" s="25039">
        <v>0.31824037432670593</v>
      </c>
      <c r="BZ114" s="25040">
        <f>5*HLOOKUP("uXG/90",A1:CV300,114,FALSE)+3*HLOOKUP("uXA/90",A1:CV300,114,FALSE)</f>
      </c>
    </row>
    <row r="115">
      <c r="A115" t="s" s="25041">
        <v>418</v>
      </c>
      <c r="B115" t="s" s="25042">
        <v>90</v>
      </c>
      <c r="C115" t="n" s="25043">
        <v>4.800000190734863</v>
      </c>
      <c r="D115" t="n" s="25044">
        <v>539.0</v>
      </c>
      <c r="E115" t="n" s="25045">
        <v>6.0</v>
      </c>
      <c r="F115" t="n" s="25046">
        <v>55.0</v>
      </c>
      <c r="G115" t="n" s="25047">
        <v>0.0</v>
      </c>
      <c r="H115" t="n" s="25048">
        <v>0.0</v>
      </c>
      <c r="I115" t="n" s="25049">
        <v>307.0</v>
      </c>
      <c r="J115" s="25050">
        <f>HLOOKUP("BPS",A1:CV300,115,FALSE)-((-6*HLOOKUP("OG",A1:CV300,115,FALSE))+(-6*HLOOKUP("PK Miss",A1:CV300,115,FALSE))+(9*HLOOKUP("FPL As",A1:CV300,115,FALSE))+(0*HLOOKUP("CS",A1:CV300,115,FALSE))+(18*HLOOKUP("Gs",A1:CV300,115,FALSE)))</f>
      </c>
      <c r="K115" t="n" s="25051">
        <v>0.0</v>
      </c>
      <c r="L115" t="n" s="25052">
        <v>4.0</v>
      </c>
      <c r="M115" t="n" s="25053">
        <v>4.0</v>
      </c>
      <c r="N115" t="n" s="25054">
        <v>5.0</v>
      </c>
      <c r="O115" t="n" s="25055">
        <v>3.0</v>
      </c>
      <c r="P115" s="25056">
        <f>IF(HLOOKUP("Shots",A1:CV300,115,FALSE)=0,0,HLOOKUP("SIB",A1:CV300,115,FALSE)/HLOOKUP("Shots",A1:CV300,115,FALSE))</f>
      </c>
      <c r="Q115" t="n" s="25057">
        <v>1.0</v>
      </c>
      <c r="R115" s="25058">
        <f>IF(HLOOKUP("Shots",A1:CV300,115,FALSE)=0,0,HLOOKUP("S6YD",A1:CV300,115,FALSE)/HLOOKUP("Shots",A1:CV300,115,FALSE))</f>
      </c>
      <c r="S115" t="n" s="25059">
        <v>2.0</v>
      </c>
      <c r="T115" s="25060">
        <f>IF(HLOOKUP("Shots",A1:CV300,115,FALSE)=0,0,HLOOKUP("Headers",A1:CV300,115,FALSE)/HLOOKUP("Shots",A1:CV300,115,FALSE))</f>
      </c>
      <c r="U115" t="n" s="25061">
        <v>0.0</v>
      </c>
      <c r="V115" s="25062">
        <f>IF(HLOOKUP("Shots",A1:CV300,115,FALSE)=0,0,HLOOKUP("SOT",A1:CV300,115,FALSE)/HLOOKUP("Shots",A1:CV300,115,FALSE))</f>
      </c>
      <c r="W115" s="25063">
        <f>IF(HLOOKUP("Shots",A1:CV300,115,FALSE)=0,0,HLOOKUP("Gs",A1:CV300,115,FALSE)/HLOOKUP("Shots",A1:CV300,115,FALSE))</f>
      </c>
      <c r="X115" t="n" s="25064">
        <v>0.0</v>
      </c>
      <c r="Y115" t="n" s="25065">
        <v>1.0</v>
      </c>
      <c r="Z115" t="n" s="25066">
        <v>3.0</v>
      </c>
      <c r="AA115" s="25067">
        <f>IF(HLOOKUP("KP",A1:CV300,115,FALSE)=0,0,HLOOKUP("As",A1:CV300,115,FALSE)/HLOOKUP("KP",A1:CV300,115,FALSE))</f>
      </c>
      <c r="AB115" s="25068"/>
      <c r="AC115" t="n" s="25069">
        <v>0.0</v>
      </c>
      <c r="AD115" t="n" s="25070">
        <v>1.0</v>
      </c>
      <c r="AE115" t="n" s="25071">
        <v>0.0</v>
      </c>
      <c r="AF115" t="n" s="25072">
        <v>0.0</v>
      </c>
      <c r="AG115" s="25073">
        <f>IF(HLOOKUP("BC",A1:CV300,115,FALSE)=0,0,HLOOKUP("Gs - BC",A1:CV300,115,FALSE)/HLOOKUP("BC",A1:CV300,115,FALSE))</f>
      </c>
      <c r="AH115" s="25074">
        <f>HLOOKUP("BC",A1:CV300,115,FALSE) - HLOOKUP("BC Miss",A1:CV300,115,FALSE)</f>
      </c>
      <c r="AI115" s="25075">
        <f>IF(HLOOKUP("Gs",A1:CV300,115,FALSE)=0,0,HLOOKUP("Gs - BC",A1:CV300,115,FALSE)/HLOOKUP("Gs",A1:CV300,115,FALSE))</f>
      </c>
      <c r="AJ115" t="n" s="25076">
        <v>0.0</v>
      </c>
      <c r="AK115" t="n" s="25077">
        <v>0.0</v>
      </c>
      <c r="AL115" s="25078">
        <f>HLOOKUP("BC",A1:CV300,115,FALSE) - (HLOOKUP("PK Gs",A1:CV300,115,FALSE) + HLOOKUP("PK Miss",A1:CV300,115,FALSE))</f>
      </c>
      <c r="AM115" s="25079">
        <f>HLOOKUP("BC Miss",A1:CV300,115,FALSE) - HLOOKUP("PK Miss",A1:CV300,115,FALSE)</f>
      </c>
      <c r="AN115" s="25080">
        <f>IF(HLOOKUP("BC - Open",A1:CV300,115,FALSE)=0,0,HLOOKUP("BC - Open Miss",A1:CV300,115,FALSE)/HLOOKUP("BC - Open",A1:CV300,115,FALSE))</f>
      </c>
      <c r="AO115" t="n" s="25081">
        <v>0.0</v>
      </c>
      <c r="AP115" s="25082">
        <f>IF(HLOOKUP("Gs",A1:CV300,115,FALSE)=0,0,HLOOKUP("GIB",A1:CV300,115,FALSE)/HLOOKUP("Gs",A1:CV300,115,FALSE))</f>
      </c>
      <c r="AQ115" t="n" s="25083">
        <v>0.0</v>
      </c>
      <c r="AR115" s="25084">
        <f>IF(HLOOKUP("Gs",A1:CV300,115,FALSE)=0,0,HLOOKUP("Gs - Open",A1:CV300,115,FALSE)/HLOOKUP("Gs",A1:CV300,115,FALSE))</f>
      </c>
      <c r="AS115" t="n" s="25085">
        <v>0.35</v>
      </c>
      <c r="AT115" t="n" s="25086">
        <v>0.37</v>
      </c>
      <c r="AU115" s="25087">
        <f>IF(HLOOKUP("Mins",A1:CV300,115,FALSE)=0,0,HLOOKUP("Pts",A1:CV300,115,FALSE)/HLOOKUP("Mins",A1:CV300,115,FALSE)* 90)</f>
      </c>
      <c r="AV115" s="25088">
        <f>IF(HLOOKUP("Apps",A1:CV300,115,FALSE)=0,0,HLOOKUP("Pts",A1:CV300,115,FALSE)/HLOOKUP("Apps",A1:CV300,115,FALSE)* 1)</f>
      </c>
      <c r="AW115" s="25089">
        <f>IF(HLOOKUP("Mins",A1:CV300,115,FALSE)=0,0,HLOOKUP("Gs",A1:CV300,115,FALSE)/HLOOKUP("Mins",A1:CV300,115,FALSE)* 90)</f>
      </c>
      <c r="AX115" s="25090">
        <f>IF(HLOOKUP("Mins",A1:CV300,115,FALSE)=0,0,HLOOKUP("Bonus",A1:CV300,115,FALSE)/HLOOKUP("Mins",A1:CV300,115,FALSE)* 90)</f>
      </c>
      <c r="AY115" s="25091">
        <f>IF(HLOOKUP("Mins",A1:CV300,115,FALSE)=0,0,HLOOKUP("BPS",A1:CV300,115,FALSE)/HLOOKUP("Mins",A1:CV300,115,FALSE)* 90)</f>
      </c>
      <c r="AZ115" s="25092">
        <f>IF(HLOOKUP("Mins",A1:CV300,115,FALSE)=0,0,HLOOKUP("Base BPS",A1:CV300,115,FALSE)/HLOOKUP("Mins",A1:CV300,115,FALSE)* 90)</f>
      </c>
      <c r="BA115" s="25093">
        <f>IF(HLOOKUP("Mins",A1:CV300,115,FALSE)=0,0,HLOOKUP("PenTchs",A1:CV300,115,FALSE)/HLOOKUP("Mins",A1:CV300,115,FALSE)* 90)</f>
      </c>
      <c r="BB115" s="25094">
        <f>IF(HLOOKUP("Mins",A1:CV300,115,FALSE)=0,0,HLOOKUP("Shots",A1:CV300,115,FALSE)/HLOOKUP("Mins",A1:CV300,115,FALSE)* 90)</f>
      </c>
      <c r="BC115" s="25095">
        <f>IF(HLOOKUP("Mins",A1:CV300,115,FALSE)=0,0,HLOOKUP("SIB",A1:CV300,115,FALSE)/HLOOKUP("Mins",A1:CV300,115,FALSE)* 90)</f>
      </c>
      <c r="BD115" s="25096">
        <f>IF(HLOOKUP("Mins",A1:CV300,115,FALSE)=0,0,HLOOKUP("S6YD",A1:CV300,115,FALSE)/HLOOKUP("Mins",A1:CV300,115,FALSE)* 90)</f>
      </c>
      <c r="BE115" s="25097">
        <f>IF(HLOOKUP("Mins",A1:CV300,115,FALSE)=0,0,HLOOKUP("Headers",A1:CV300,115,FALSE)/HLOOKUP("Mins",A1:CV300,115,FALSE)* 90)</f>
      </c>
      <c r="BF115" s="25098">
        <f>IF(HLOOKUP("Mins",A1:CV300,115,FALSE)=0,0,HLOOKUP("SOT",A1:CV300,115,FALSE)/HLOOKUP("Mins",A1:CV300,115,FALSE)* 90)</f>
      </c>
      <c r="BG115" s="25099">
        <f>IF(HLOOKUP("Mins",A1:CV300,115,FALSE)=0,0,HLOOKUP("As",A1:CV300,115,FALSE)/HLOOKUP("Mins",A1:CV300,115,FALSE)* 90)</f>
      </c>
      <c r="BH115" s="25100">
        <f>IF(HLOOKUP("Mins",A1:CV300,115,FALSE)=0,0,HLOOKUP("FPL As",A1:CV300,115,FALSE)/HLOOKUP("Mins",A1:CV300,115,FALSE)* 90)</f>
      </c>
      <c r="BI115" s="25101">
        <f>IF(HLOOKUP("Mins",A1:CV300,115,FALSE)=0,0,HLOOKUP("BC Created",A1:CV300,115,FALSE)/HLOOKUP("Mins",A1:CV300,115,FALSE)* 90)</f>
      </c>
      <c r="BJ115" s="25102">
        <f>IF(HLOOKUP("Mins",A1:CV300,115,FALSE)=0,0,HLOOKUP("KP",A1:CV300,115,FALSE)/HLOOKUP("Mins",A1:CV300,115,FALSE)* 90)</f>
      </c>
      <c r="BK115" s="25103">
        <f>IF(HLOOKUP("Mins",A1:CV300,115,FALSE)=0,0,HLOOKUP("BC",A1:CV300,115,FALSE)/HLOOKUP("Mins",A1:CV300,115,FALSE)* 90)</f>
      </c>
      <c r="BL115" s="25104">
        <f>IF(HLOOKUP("Mins",A1:CV300,115,FALSE)=0,0,HLOOKUP("BC Miss",A1:CV300,115,FALSE)/HLOOKUP("Mins",A1:CV300,115,FALSE)* 90)</f>
      </c>
      <c r="BM115" s="25105">
        <f>IF(HLOOKUP("Mins",A1:CV300,115,FALSE)=0,0,HLOOKUP("Gs - BC",A1:CV300,115,FALSE)/HLOOKUP("Mins",A1:CV300,115,FALSE)* 90)</f>
      </c>
      <c r="BN115" s="25106">
        <f>IF(HLOOKUP("Mins",A1:CV300,115,FALSE)=0,0,HLOOKUP("GIB",A1:CV300,115,FALSE)/HLOOKUP("Mins",A1:CV300,115,FALSE)* 90)</f>
      </c>
      <c r="BO115" s="25107">
        <f>IF(HLOOKUP("Mins",A1:CV300,115,FALSE)=0,0,HLOOKUP("Gs - Open",A1:CV300,115,FALSE)/HLOOKUP("Mins",A1:CV300,115,FALSE)* 90)</f>
      </c>
      <c r="BP115" s="25108">
        <f>IF(HLOOKUP("Mins",A1:CV300,115,FALSE)=0,0,HLOOKUP("ICT Index",A1:CV300,115,FALSE)/HLOOKUP("Mins",A1:CV300,115,FALSE)* 90)</f>
      </c>
      <c r="BQ115" s="25109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</c>
      <c r="BR115" s="25110">
        <f>0.0885*HLOOKUP("KP/90",A1:CV300,115,FALSE)</f>
      </c>
      <c r="BS115" s="25111">
        <f>5*HLOOKUP("xG/90",A1:CV300,115,FALSE)+3*HLOOKUP("xA/90",A1:CV300,115,FALSE)</f>
      </c>
      <c r="BT115" s="25112">
        <f>HLOOKUP("xPts/90",A1:CV300,115,FALSE)-(5*0.75*(HLOOKUP("PK Gs",A1:CV300,115,FALSE)+HLOOKUP("PK Miss",A1:CV300,115,FALSE))*90/HLOOKUP("Mins",A1:CV300,115,FALSE))</f>
      </c>
      <c r="BU115" s="25113">
        <f>IF(HLOOKUP("Mins",A1:CV300,115,FALSE)=0,0,HLOOKUP("fsXG",A1:CV300,115,FALSE)/HLOOKUP("Mins",A1:CV300,115,FALSE)* 90)</f>
      </c>
      <c r="BV115" s="25114">
        <f>IF(HLOOKUP("Mins",A1:CV300,115,FALSE)=0,0,HLOOKUP("fsXA",A1:CV300,115,FALSE)/HLOOKUP("Mins",A1:CV300,115,FALSE)* 90)</f>
      </c>
      <c r="BW115" s="25115">
        <f>5*HLOOKUP("fsXG/90",A1:CV300,115,FALSE)+3*HLOOKUP("fsXA/90",A1:CV300,115,FALSE)</f>
      </c>
      <c r="BX115" t="n" s="25116">
        <v>0.040350668132305145</v>
      </c>
      <c r="BY115" t="n" s="25117">
        <v>0.06931354105472565</v>
      </c>
      <c r="BZ115" s="25118">
        <f>5*HLOOKUP("uXG/90",A1:CV300,115,FALSE)+3*HLOOKUP("uXA/90",A1:CV300,115,FALSE)</f>
      </c>
    </row>
    <row r="116">
      <c r="A116" t="s" s="25119">
        <v>419</v>
      </c>
      <c r="B116" t="s" s="25120">
        <v>90</v>
      </c>
      <c r="C116" t="n" s="25121">
        <v>4.900000095367432</v>
      </c>
      <c r="D116" t="n" s="25122">
        <v>505.0</v>
      </c>
      <c r="E116" t="n" s="25123">
        <v>6.0</v>
      </c>
      <c r="F116" t="n" s="25124">
        <v>94.0</v>
      </c>
      <c r="G116" t="n" s="25125">
        <v>1.0</v>
      </c>
      <c r="H116" t="n" s="25126">
        <v>10.0</v>
      </c>
      <c r="I116" t="n" s="25127">
        <v>346.0</v>
      </c>
      <c r="J116" s="25128">
        <f>HLOOKUP("BPS",A1:CV300,116,FALSE)-((-6*HLOOKUP("OG",A1:CV300,116,FALSE))+(-6*HLOOKUP("PK Miss",A1:CV300,116,FALSE))+(9*HLOOKUP("FPL As",A1:CV300,116,FALSE))+(0*HLOOKUP("CS",A1:CV300,116,FALSE))+(18*HLOOKUP("Gs",A1:CV300,116,FALSE)))</f>
      </c>
      <c r="K116" t="n" s="25129">
        <v>0.0</v>
      </c>
      <c r="L116" t="n" s="25130">
        <v>5.0</v>
      </c>
      <c r="M116" t="n" s="25131">
        <v>22.0</v>
      </c>
      <c r="N116" t="n" s="25132">
        <v>13.0</v>
      </c>
      <c r="O116" t="n" s="25133">
        <v>9.0</v>
      </c>
      <c r="P116" s="25134">
        <f>IF(HLOOKUP("Shots",A1:CV300,116,FALSE)=0,0,HLOOKUP("SIB",A1:CV300,116,FALSE)/HLOOKUP("Shots",A1:CV300,116,FALSE))</f>
      </c>
      <c r="Q116" t="n" s="25135">
        <v>0.0</v>
      </c>
      <c r="R116" s="25136">
        <f>IF(HLOOKUP("Shots",A1:CV300,116,FALSE)=0,0,HLOOKUP("S6YD",A1:CV300,116,FALSE)/HLOOKUP("Shots",A1:CV300,116,FALSE))</f>
      </c>
      <c r="S116" t="n" s="25137">
        <v>0.0</v>
      </c>
      <c r="T116" s="25138">
        <f>IF(HLOOKUP("Shots",A1:CV300,116,FALSE)=0,0,HLOOKUP("Headers",A1:CV300,116,FALSE)/HLOOKUP("Shots",A1:CV300,116,FALSE))</f>
      </c>
      <c r="U116" t="n" s="25139">
        <v>3.0</v>
      </c>
      <c r="V116" s="25140">
        <f>IF(HLOOKUP("Shots",A1:CV300,116,FALSE)=0,0,HLOOKUP("SOT",A1:CV300,116,FALSE)/HLOOKUP("Shots",A1:CV300,116,FALSE))</f>
      </c>
      <c r="W116" s="25141">
        <f>IF(HLOOKUP("Shots",A1:CV300,116,FALSE)=0,0,HLOOKUP("Gs",A1:CV300,116,FALSE)/HLOOKUP("Shots",A1:CV300,116,FALSE))</f>
      </c>
      <c r="X116" t="n" s="25142">
        <v>0.0</v>
      </c>
      <c r="Y116" t="n" s="25143">
        <v>2.0</v>
      </c>
      <c r="Z116" t="n" s="25144">
        <v>7.0</v>
      </c>
      <c r="AA116" s="25145">
        <f>IF(HLOOKUP("KP",A1:CV300,116,FALSE)=0,0,HLOOKUP("As",A1:CV300,116,FALSE)/HLOOKUP("KP",A1:CV300,116,FALSE))</f>
      </c>
      <c r="AB116" s="25146"/>
      <c r="AC116" t="n" s="25147">
        <v>33.0</v>
      </c>
      <c r="AD116" t="n" s="25148">
        <v>0.0</v>
      </c>
      <c r="AE116" t="n" s="25149">
        <v>1.0</v>
      </c>
      <c r="AF116" t="n" s="25150">
        <v>0.0</v>
      </c>
      <c r="AG116" s="25151">
        <f>IF(HLOOKUP("BC",A1:CV300,116,FALSE)=0,0,HLOOKUP("Gs - BC",A1:CV300,116,FALSE)/HLOOKUP("BC",A1:CV300,116,FALSE))</f>
      </c>
      <c r="AH116" s="25152">
        <f>HLOOKUP("BC",A1:CV300,116,FALSE) - HLOOKUP("BC Miss",A1:CV300,116,FALSE)</f>
      </c>
      <c r="AI116" s="25153">
        <f>IF(HLOOKUP("Gs",A1:CV300,116,FALSE)=0,0,HLOOKUP("Gs - BC",A1:CV300,116,FALSE)/HLOOKUP("Gs",A1:CV300,116,FALSE))</f>
      </c>
      <c r="AJ116" t="n" s="25154">
        <v>0.0</v>
      </c>
      <c r="AK116" t="n" s="25155">
        <v>0.0</v>
      </c>
      <c r="AL116" s="25156">
        <f>HLOOKUP("BC",A1:CV300,116,FALSE) - (HLOOKUP("PK Gs",A1:CV300,116,FALSE) + HLOOKUP("PK Miss",A1:CV300,116,FALSE))</f>
      </c>
      <c r="AM116" s="25157">
        <f>HLOOKUP("BC Miss",A1:CV300,116,FALSE) - HLOOKUP("PK Miss",A1:CV300,116,FALSE)</f>
      </c>
      <c r="AN116" s="25158">
        <f>IF(HLOOKUP("BC - Open",A1:CV300,116,FALSE)=0,0,HLOOKUP("BC - Open Miss",A1:CV300,116,FALSE)/HLOOKUP("BC - Open",A1:CV300,116,FALSE))</f>
      </c>
      <c r="AO116" t="n" s="25159">
        <v>1.0</v>
      </c>
      <c r="AP116" s="25160">
        <f>IF(HLOOKUP("Gs",A1:CV300,116,FALSE)=0,0,HLOOKUP("GIB",A1:CV300,116,FALSE)/HLOOKUP("Gs",A1:CV300,116,FALSE))</f>
      </c>
      <c r="AQ116" t="n" s="25161">
        <v>1.0</v>
      </c>
      <c r="AR116" s="25162">
        <f>IF(HLOOKUP("Gs",A1:CV300,116,FALSE)=0,0,HLOOKUP("Gs - Open",A1:CV300,116,FALSE)/HLOOKUP("Gs",A1:CV300,116,FALSE))</f>
      </c>
      <c r="AS116" t="n" s="25163">
        <v>1.13</v>
      </c>
      <c r="AT116" t="n" s="25164">
        <v>0.22</v>
      </c>
      <c r="AU116" s="25165">
        <f>IF(HLOOKUP("Mins",A1:CV300,116,FALSE)=0,0,HLOOKUP("Pts",A1:CV300,116,FALSE)/HLOOKUP("Mins",A1:CV300,116,FALSE)* 90)</f>
      </c>
      <c r="AV116" s="25166">
        <f>IF(HLOOKUP("Apps",A1:CV300,116,FALSE)=0,0,HLOOKUP("Pts",A1:CV300,116,FALSE)/HLOOKUP("Apps",A1:CV300,116,FALSE)* 1)</f>
      </c>
      <c r="AW116" s="25167">
        <f>IF(HLOOKUP("Mins",A1:CV300,116,FALSE)=0,0,HLOOKUP("Gs",A1:CV300,116,FALSE)/HLOOKUP("Mins",A1:CV300,116,FALSE)* 90)</f>
      </c>
      <c r="AX116" s="25168">
        <f>IF(HLOOKUP("Mins",A1:CV300,116,FALSE)=0,0,HLOOKUP("Bonus",A1:CV300,116,FALSE)/HLOOKUP("Mins",A1:CV300,116,FALSE)* 90)</f>
      </c>
      <c r="AY116" s="25169">
        <f>IF(HLOOKUP("Mins",A1:CV300,116,FALSE)=0,0,HLOOKUP("BPS",A1:CV300,116,FALSE)/HLOOKUP("Mins",A1:CV300,116,FALSE)* 90)</f>
      </c>
      <c r="AZ116" s="25170">
        <f>IF(HLOOKUP("Mins",A1:CV300,116,FALSE)=0,0,HLOOKUP("Base BPS",A1:CV300,116,FALSE)/HLOOKUP("Mins",A1:CV300,116,FALSE)* 90)</f>
      </c>
      <c r="BA116" s="25171">
        <f>IF(HLOOKUP("Mins",A1:CV300,116,FALSE)=0,0,HLOOKUP("PenTchs",A1:CV300,116,FALSE)/HLOOKUP("Mins",A1:CV300,116,FALSE)* 90)</f>
      </c>
      <c r="BB116" s="25172">
        <f>IF(HLOOKUP("Mins",A1:CV300,116,FALSE)=0,0,HLOOKUP("Shots",A1:CV300,116,FALSE)/HLOOKUP("Mins",A1:CV300,116,FALSE)* 90)</f>
      </c>
      <c r="BC116" s="25173">
        <f>IF(HLOOKUP("Mins",A1:CV300,116,FALSE)=0,0,HLOOKUP("SIB",A1:CV300,116,FALSE)/HLOOKUP("Mins",A1:CV300,116,FALSE)* 90)</f>
      </c>
      <c r="BD116" s="25174">
        <f>IF(HLOOKUP("Mins",A1:CV300,116,FALSE)=0,0,HLOOKUP("S6YD",A1:CV300,116,FALSE)/HLOOKUP("Mins",A1:CV300,116,FALSE)* 90)</f>
      </c>
      <c r="BE116" s="25175">
        <f>IF(HLOOKUP("Mins",A1:CV300,116,FALSE)=0,0,HLOOKUP("Headers",A1:CV300,116,FALSE)/HLOOKUP("Mins",A1:CV300,116,FALSE)* 90)</f>
      </c>
      <c r="BF116" s="25176">
        <f>IF(HLOOKUP("Mins",A1:CV300,116,FALSE)=0,0,HLOOKUP("SOT",A1:CV300,116,FALSE)/HLOOKUP("Mins",A1:CV300,116,FALSE)* 90)</f>
      </c>
      <c r="BG116" s="25177">
        <f>IF(HLOOKUP("Mins",A1:CV300,116,FALSE)=0,0,HLOOKUP("As",A1:CV300,116,FALSE)/HLOOKUP("Mins",A1:CV300,116,FALSE)* 90)</f>
      </c>
      <c r="BH116" s="25178">
        <f>IF(HLOOKUP("Mins",A1:CV300,116,FALSE)=0,0,HLOOKUP("FPL As",A1:CV300,116,FALSE)/HLOOKUP("Mins",A1:CV300,116,FALSE)* 90)</f>
      </c>
      <c r="BI116" s="25179">
        <f>IF(HLOOKUP("Mins",A1:CV300,116,FALSE)=0,0,HLOOKUP("BC Created",A1:CV300,116,FALSE)/HLOOKUP("Mins",A1:CV300,116,FALSE)* 90)</f>
      </c>
      <c r="BJ116" s="25180">
        <f>IF(HLOOKUP("Mins",A1:CV300,116,FALSE)=0,0,HLOOKUP("KP",A1:CV300,116,FALSE)/HLOOKUP("Mins",A1:CV300,116,FALSE)* 90)</f>
      </c>
      <c r="BK116" s="25181">
        <f>IF(HLOOKUP("Mins",A1:CV300,116,FALSE)=0,0,HLOOKUP("BC",A1:CV300,116,FALSE)/HLOOKUP("Mins",A1:CV300,116,FALSE)* 90)</f>
      </c>
      <c r="BL116" s="25182">
        <f>IF(HLOOKUP("Mins",A1:CV300,116,FALSE)=0,0,HLOOKUP("BC Miss",A1:CV300,116,FALSE)/HLOOKUP("Mins",A1:CV300,116,FALSE)* 90)</f>
      </c>
      <c r="BM116" s="25183">
        <f>IF(HLOOKUP("Mins",A1:CV300,116,FALSE)=0,0,HLOOKUP("Gs - BC",A1:CV300,116,FALSE)/HLOOKUP("Mins",A1:CV300,116,FALSE)* 90)</f>
      </c>
      <c r="BN116" s="25184">
        <f>IF(HLOOKUP("Mins",A1:CV300,116,FALSE)=0,0,HLOOKUP("GIB",A1:CV300,116,FALSE)/HLOOKUP("Mins",A1:CV300,116,FALSE)* 90)</f>
      </c>
      <c r="BO116" s="25185">
        <f>IF(HLOOKUP("Mins",A1:CV300,116,FALSE)=0,0,HLOOKUP("Gs - Open",A1:CV300,116,FALSE)/HLOOKUP("Mins",A1:CV300,116,FALSE)* 90)</f>
      </c>
      <c r="BP116" s="25186">
        <f>IF(HLOOKUP("Mins",A1:CV300,116,FALSE)=0,0,HLOOKUP("ICT Index",A1:CV300,116,FALSE)/HLOOKUP("Mins",A1:CV300,116,FALSE)* 90)</f>
      </c>
      <c r="BQ116" s="25187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</c>
      <c r="BR116" s="25188">
        <f>0.0885*HLOOKUP("KP/90",A1:CV300,116,FALSE)</f>
      </c>
      <c r="BS116" s="25189">
        <f>5*HLOOKUP("xG/90",A1:CV300,116,FALSE)+3*HLOOKUP("xA/90",A1:CV300,116,FALSE)</f>
      </c>
      <c r="BT116" s="25190">
        <f>HLOOKUP("xPts/90",A1:CV300,116,FALSE)-(5*0.75*(HLOOKUP("PK Gs",A1:CV300,116,FALSE)+HLOOKUP("PK Miss",A1:CV300,116,FALSE))*90/HLOOKUP("Mins",A1:CV300,116,FALSE))</f>
      </c>
      <c r="BU116" s="25191">
        <f>IF(HLOOKUP("Mins",A1:CV300,116,FALSE)=0,0,HLOOKUP("fsXG",A1:CV300,116,FALSE)/HLOOKUP("Mins",A1:CV300,116,FALSE)* 90)</f>
      </c>
      <c r="BV116" s="25192">
        <f>IF(HLOOKUP("Mins",A1:CV300,116,FALSE)=0,0,HLOOKUP("fsXA",A1:CV300,116,FALSE)/HLOOKUP("Mins",A1:CV300,116,FALSE)* 90)</f>
      </c>
      <c r="BW116" s="25193">
        <f>5*HLOOKUP("fsXG/90",A1:CV300,116,FALSE)+3*HLOOKUP("fsXA/90",A1:CV300,116,FALSE)</f>
      </c>
      <c r="BX116" t="n" s="25194">
        <v>0.1899411827325821</v>
      </c>
      <c r="BY116" t="n" s="25195">
        <v>0.09271836280822754</v>
      </c>
      <c r="BZ116" s="25196">
        <f>5*HLOOKUP("uXG/90",A1:CV300,116,FALSE)+3*HLOOKUP("uXA/90",A1:CV300,116,FALSE)</f>
      </c>
    </row>
    <row r="117">
      <c r="A117" t="s" s="25197">
        <v>420</v>
      </c>
      <c r="B117" t="s" s="25198">
        <v>109</v>
      </c>
      <c r="C117" t="n" s="25199">
        <v>6.300000190734863</v>
      </c>
      <c r="D117" t="n" s="25200">
        <v>248.0</v>
      </c>
      <c r="E117" t="n" s="25201">
        <v>5.0</v>
      </c>
      <c r="F117" t="n" s="25202">
        <v>69.0</v>
      </c>
      <c r="G117" t="n" s="25203">
        <v>1.0</v>
      </c>
      <c r="H117" t="n" s="25204">
        <v>7.0</v>
      </c>
      <c r="I117" t="n" s="25205">
        <v>298.0</v>
      </c>
      <c r="J117" s="25206">
        <f>HLOOKUP("BPS",A1:CV300,117,FALSE)-((-6*HLOOKUP("OG",A1:CV300,117,FALSE))+(-6*HLOOKUP("PK Miss",A1:CV300,117,FALSE))+(9*HLOOKUP("FPL As",A1:CV300,117,FALSE))+(0*HLOOKUP("CS",A1:CV300,117,FALSE))+(18*HLOOKUP("Gs",A1:CV300,117,FALSE)))</f>
      </c>
      <c r="K117" t="n" s="25207">
        <v>1.0</v>
      </c>
      <c r="L117" t="n" s="25208">
        <v>3.0</v>
      </c>
      <c r="M117" t="n" s="25209">
        <v>5.0</v>
      </c>
      <c r="N117" t="n" s="25210">
        <v>4.0</v>
      </c>
      <c r="O117" t="n" s="25211">
        <v>1.0</v>
      </c>
      <c r="P117" s="25212">
        <f>IF(HLOOKUP("Shots",A1:CV300,117,FALSE)=0,0,HLOOKUP("SIB",A1:CV300,117,FALSE)/HLOOKUP("Shots",A1:CV300,117,FALSE))</f>
      </c>
      <c r="Q117" t="n" s="25213">
        <v>0.0</v>
      </c>
      <c r="R117" s="25214">
        <f>IF(HLOOKUP("Shots",A1:CV300,117,FALSE)=0,0,HLOOKUP("S6YD",A1:CV300,117,FALSE)/HLOOKUP("Shots",A1:CV300,117,FALSE))</f>
      </c>
      <c r="S117" t="n" s="25215">
        <v>0.0</v>
      </c>
      <c r="T117" s="25216">
        <f>IF(HLOOKUP("Shots",A1:CV300,117,FALSE)=0,0,HLOOKUP("Headers",A1:CV300,117,FALSE)/HLOOKUP("Shots",A1:CV300,117,FALSE))</f>
      </c>
      <c r="U117" t="n" s="25217">
        <v>1.0</v>
      </c>
      <c r="V117" s="25218">
        <f>IF(HLOOKUP("Shots",A1:CV300,117,FALSE)=0,0,HLOOKUP("SOT",A1:CV300,117,FALSE)/HLOOKUP("Shots",A1:CV300,117,FALSE))</f>
      </c>
      <c r="W117" s="25219">
        <f>IF(HLOOKUP("Shots",A1:CV300,117,FALSE)=0,0,HLOOKUP("Gs",A1:CV300,117,FALSE)/HLOOKUP("Shots",A1:CV300,117,FALSE))</f>
      </c>
      <c r="X117" t="n" s="25220">
        <v>0.0</v>
      </c>
      <c r="Y117" t="n" s="25221">
        <v>5.0</v>
      </c>
      <c r="Z117" t="n" s="25222">
        <v>7.0</v>
      </c>
      <c r="AA117" s="25223">
        <f>IF(HLOOKUP("KP",A1:CV300,117,FALSE)=0,0,HLOOKUP("As",A1:CV300,117,FALSE)/HLOOKUP("KP",A1:CV300,117,FALSE))</f>
      </c>
      <c r="AB117" s="25224"/>
      <c r="AC117" t="n" s="25225">
        <v>33.0</v>
      </c>
      <c r="AD117" t="n" s="25226">
        <v>2.0</v>
      </c>
      <c r="AE117" t="n" s="25227">
        <v>0.0</v>
      </c>
      <c r="AF117" t="n" s="25228">
        <v>0.0</v>
      </c>
      <c r="AG117" s="25229">
        <f>IF(HLOOKUP("BC",A1:CV300,117,FALSE)=0,0,HLOOKUP("Gs - BC",A1:CV300,117,FALSE)/HLOOKUP("BC",A1:CV300,117,FALSE))</f>
      </c>
      <c r="AH117" s="25230">
        <f>HLOOKUP("BC",A1:CV300,117,FALSE) - HLOOKUP("BC Miss",A1:CV300,117,FALSE)</f>
      </c>
      <c r="AI117" s="25231">
        <f>IF(HLOOKUP("Gs",A1:CV300,117,FALSE)=0,0,HLOOKUP("Gs - BC",A1:CV300,117,FALSE)/HLOOKUP("Gs",A1:CV300,117,FALSE))</f>
      </c>
      <c r="AJ117" t="n" s="25232">
        <v>0.0</v>
      </c>
      <c r="AK117" t="n" s="25233">
        <v>0.0</v>
      </c>
      <c r="AL117" s="25234">
        <f>HLOOKUP("BC",A1:CV300,117,FALSE) - (HLOOKUP("PK Gs",A1:CV300,117,FALSE) + HLOOKUP("PK Miss",A1:CV300,117,FALSE))</f>
      </c>
      <c r="AM117" s="25235">
        <f>HLOOKUP("BC Miss",A1:CV300,117,FALSE) - HLOOKUP("PK Miss",A1:CV300,117,FALSE)</f>
      </c>
      <c r="AN117" s="25236">
        <f>IF(HLOOKUP("BC - Open",A1:CV300,117,FALSE)=0,0,HLOOKUP("BC - Open Miss",A1:CV300,117,FALSE)/HLOOKUP("BC - Open",A1:CV300,117,FALSE))</f>
      </c>
      <c r="AO117" t="n" s="25237">
        <v>1.0</v>
      </c>
      <c r="AP117" s="25238">
        <f>IF(HLOOKUP("Gs",A1:CV300,117,FALSE)=0,0,HLOOKUP("GIB",A1:CV300,117,FALSE)/HLOOKUP("Gs",A1:CV300,117,FALSE))</f>
      </c>
      <c r="AQ117" t="n" s="25239">
        <v>1.0</v>
      </c>
      <c r="AR117" s="25240">
        <f>IF(HLOOKUP("Gs",A1:CV300,117,FALSE)=0,0,HLOOKUP("Gs - Open",A1:CV300,117,FALSE)/HLOOKUP("Gs",A1:CV300,117,FALSE))</f>
      </c>
      <c r="AS117" t="n" s="25241">
        <v>0.22</v>
      </c>
      <c r="AT117" t="n" s="25242">
        <v>0.61</v>
      </c>
      <c r="AU117" s="25243">
        <f>IF(HLOOKUP("Mins",A1:CV300,117,FALSE)=0,0,HLOOKUP("Pts",A1:CV300,117,FALSE)/HLOOKUP("Mins",A1:CV300,117,FALSE)* 90)</f>
      </c>
      <c r="AV117" s="25244">
        <f>IF(HLOOKUP("Apps",A1:CV300,117,FALSE)=0,0,HLOOKUP("Pts",A1:CV300,117,FALSE)/HLOOKUP("Apps",A1:CV300,117,FALSE)* 1)</f>
      </c>
      <c r="AW117" s="25245">
        <f>IF(HLOOKUP("Mins",A1:CV300,117,FALSE)=0,0,HLOOKUP("Gs",A1:CV300,117,FALSE)/HLOOKUP("Mins",A1:CV300,117,FALSE)* 90)</f>
      </c>
      <c r="AX117" s="25246">
        <f>IF(HLOOKUP("Mins",A1:CV300,117,FALSE)=0,0,HLOOKUP("Bonus",A1:CV300,117,FALSE)/HLOOKUP("Mins",A1:CV300,117,FALSE)* 90)</f>
      </c>
      <c r="AY117" s="25247">
        <f>IF(HLOOKUP("Mins",A1:CV300,117,FALSE)=0,0,HLOOKUP("BPS",A1:CV300,117,FALSE)/HLOOKUP("Mins",A1:CV300,117,FALSE)* 90)</f>
      </c>
      <c r="AZ117" s="25248">
        <f>IF(HLOOKUP("Mins",A1:CV300,117,FALSE)=0,0,HLOOKUP("Base BPS",A1:CV300,117,FALSE)/HLOOKUP("Mins",A1:CV300,117,FALSE)* 90)</f>
      </c>
      <c r="BA117" s="25249">
        <f>IF(HLOOKUP("Mins",A1:CV300,117,FALSE)=0,0,HLOOKUP("PenTchs",A1:CV300,117,FALSE)/HLOOKUP("Mins",A1:CV300,117,FALSE)* 90)</f>
      </c>
      <c r="BB117" s="25250">
        <f>IF(HLOOKUP("Mins",A1:CV300,117,FALSE)=0,0,HLOOKUP("Shots",A1:CV300,117,FALSE)/HLOOKUP("Mins",A1:CV300,117,FALSE)* 90)</f>
      </c>
      <c r="BC117" s="25251">
        <f>IF(HLOOKUP("Mins",A1:CV300,117,FALSE)=0,0,HLOOKUP("SIB",A1:CV300,117,FALSE)/HLOOKUP("Mins",A1:CV300,117,FALSE)* 90)</f>
      </c>
      <c r="BD117" s="25252">
        <f>IF(HLOOKUP("Mins",A1:CV300,117,FALSE)=0,0,HLOOKUP("S6YD",A1:CV300,117,FALSE)/HLOOKUP("Mins",A1:CV300,117,FALSE)* 90)</f>
      </c>
      <c r="BE117" s="25253">
        <f>IF(HLOOKUP("Mins",A1:CV300,117,FALSE)=0,0,HLOOKUP("Headers",A1:CV300,117,FALSE)/HLOOKUP("Mins",A1:CV300,117,FALSE)* 90)</f>
      </c>
      <c r="BF117" s="25254">
        <f>IF(HLOOKUP("Mins",A1:CV300,117,FALSE)=0,0,HLOOKUP("SOT",A1:CV300,117,FALSE)/HLOOKUP("Mins",A1:CV300,117,FALSE)* 90)</f>
      </c>
      <c r="BG117" s="25255">
        <f>IF(HLOOKUP("Mins",A1:CV300,117,FALSE)=0,0,HLOOKUP("As",A1:CV300,117,FALSE)/HLOOKUP("Mins",A1:CV300,117,FALSE)* 90)</f>
      </c>
      <c r="BH117" s="25256">
        <f>IF(HLOOKUP("Mins",A1:CV300,117,FALSE)=0,0,HLOOKUP("FPL As",A1:CV300,117,FALSE)/HLOOKUP("Mins",A1:CV300,117,FALSE)* 90)</f>
      </c>
      <c r="BI117" s="25257">
        <f>IF(HLOOKUP("Mins",A1:CV300,117,FALSE)=0,0,HLOOKUP("BC Created",A1:CV300,117,FALSE)/HLOOKUP("Mins",A1:CV300,117,FALSE)* 90)</f>
      </c>
      <c r="BJ117" s="25258">
        <f>IF(HLOOKUP("Mins",A1:CV300,117,FALSE)=0,0,HLOOKUP("KP",A1:CV300,117,FALSE)/HLOOKUP("Mins",A1:CV300,117,FALSE)* 90)</f>
      </c>
      <c r="BK117" s="25259">
        <f>IF(HLOOKUP("Mins",A1:CV300,117,FALSE)=0,0,HLOOKUP("BC",A1:CV300,117,FALSE)/HLOOKUP("Mins",A1:CV300,117,FALSE)* 90)</f>
      </c>
      <c r="BL117" s="25260">
        <f>IF(HLOOKUP("Mins",A1:CV300,117,FALSE)=0,0,HLOOKUP("BC Miss",A1:CV300,117,FALSE)/HLOOKUP("Mins",A1:CV300,117,FALSE)* 90)</f>
      </c>
      <c r="BM117" s="25261">
        <f>IF(HLOOKUP("Mins",A1:CV300,117,FALSE)=0,0,HLOOKUP("Gs - BC",A1:CV300,117,FALSE)/HLOOKUP("Mins",A1:CV300,117,FALSE)* 90)</f>
      </c>
      <c r="BN117" s="25262">
        <f>IF(HLOOKUP("Mins",A1:CV300,117,FALSE)=0,0,HLOOKUP("GIB",A1:CV300,117,FALSE)/HLOOKUP("Mins",A1:CV300,117,FALSE)* 90)</f>
      </c>
      <c r="BO117" s="25263">
        <f>IF(HLOOKUP("Mins",A1:CV300,117,FALSE)=0,0,HLOOKUP("Gs - Open",A1:CV300,117,FALSE)/HLOOKUP("Mins",A1:CV300,117,FALSE)* 90)</f>
      </c>
      <c r="BP117" s="25264">
        <f>IF(HLOOKUP("Mins",A1:CV300,117,FALSE)=0,0,HLOOKUP("ICT Index",A1:CV300,117,FALSE)/HLOOKUP("Mins",A1:CV300,117,FALSE)* 90)</f>
      </c>
      <c r="BQ117" s="25265">
        <f>IF(HLOOKUP("Mins",A1:CV300,117,FALSE)=0,0,(0.036*(HLOOKUP("Shots",A1:CV300,117,FALSE)-HLOOKUP("SIB",A1:CV300,117,FALSE))+0.142*(HLOOKUP("SIB",A1:CV300,117,FALSE)-(HLOOKUP("PK Gs",A1:CV300,117,FALSE)+HLOOKUP("PK Miss",A1:CV300,117,FALSE)))+0.75*(HLOOKUP("PK Gs",A1:CV300,117,FALSE)+HLOOKUP("PK Miss",A1:CV300,117,FALSE)))/HLOOKUP("Mins",A1:CV300,117,FALSE)*90)</f>
      </c>
      <c r="BR117" s="25266">
        <f>0.0885*HLOOKUP("KP/90",A1:CV300,117,FALSE)</f>
      </c>
      <c r="BS117" s="25267">
        <f>5*HLOOKUP("xG/90",A1:CV300,117,FALSE)+3*HLOOKUP("xA/90",A1:CV300,117,FALSE)</f>
      </c>
      <c r="BT117" s="25268">
        <f>HLOOKUP("xPts/90",A1:CV300,117,FALSE)-(5*0.75*(HLOOKUP("PK Gs",A1:CV300,117,FALSE)+HLOOKUP("PK Miss",A1:CV300,117,FALSE))*90/HLOOKUP("Mins",A1:CV300,117,FALSE))</f>
      </c>
      <c r="BU117" s="25269">
        <f>IF(HLOOKUP("Mins",A1:CV300,117,FALSE)=0,0,HLOOKUP("fsXG",A1:CV300,117,FALSE)/HLOOKUP("Mins",A1:CV300,117,FALSE)* 90)</f>
      </c>
      <c r="BV117" s="25270">
        <f>IF(HLOOKUP("Mins",A1:CV300,117,FALSE)=0,0,HLOOKUP("fsXA",A1:CV300,117,FALSE)/HLOOKUP("Mins",A1:CV300,117,FALSE)* 90)</f>
      </c>
      <c r="BW117" s="25271">
        <f>5*HLOOKUP("fsXG/90",A1:CV300,117,FALSE)+3*HLOOKUP("fsXA/90",A1:CV300,117,FALSE)</f>
      </c>
      <c r="BX117" t="n" s="25272">
        <v>0.07900162041187286</v>
      </c>
      <c r="BY117" t="n" s="25273">
        <v>0.26957735419273376</v>
      </c>
      <c r="BZ117" s="25274">
        <f>5*HLOOKUP("uXG/90",A1:CV300,117,FALSE)+3*HLOOKUP("uXA/90",A1:CV300,117,FALSE)</f>
      </c>
    </row>
    <row r="118">
      <c r="A118" t="s" s="25275">
        <v>421</v>
      </c>
      <c r="B118" t="s" s="25276">
        <v>85</v>
      </c>
      <c r="C118" t="n" s="25277">
        <v>5.0</v>
      </c>
      <c r="D118" t="n" s="25278">
        <v>129.0</v>
      </c>
      <c r="E118" t="n" s="25279">
        <v>2.0</v>
      </c>
      <c r="F118" t="n" s="25280">
        <v>5.0</v>
      </c>
      <c r="G118" t="n" s="25281">
        <v>0.0</v>
      </c>
      <c r="H118" t="n" s="25282">
        <v>0.0</v>
      </c>
      <c r="I118" t="n" s="25283">
        <v>16.0</v>
      </c>
      <c r="J118" s="25284">
        <f>HLOOKUP("BPS",A1:CV300,118,FALSE)-((-6*HLOOKUP("OG",A1:CV300,118,FALSE))+(-6*HLOOKUP("PK Miss",A1:CV300,118,FALSE))+(9*HLOOKUP("FPL As",A1:CV300,118,FALSE))+(0*HLOOKUP("CS",A1:CV300,118,FALSE))+(18*HLOOKUP("Gs",A1:CV300,118,FALSE)))</f>
      </c>
      <c r="K118" t="n" s="25285">
        <v>0.0</v>
      </c>
      <c r="L118" t="n" s="25286">
        <v>1.0</v>
      </c>
      <c r="M118" t="n" s="25287">
        <v>4.0</v>
      </c>
      <c r="N118" t="n" s="25288">
        <v>1.0</v>
      </c>
      <c r="O118" t="n" s="25289">
        <v>1.0</v>
      </c>
      <c r="P118" s="25290">
        <f>IF(HLOOKUP("Shots",A1:CV300,118,FALSE)=0,0,HLOOKUP("SIB",A1:CV300,118,FALSE)/HLOOKUP("Shots",A1:CV300,118,FALSE))</f>
      </c>
      <c r="Q118" t="n" s="25291">
        <v>0.0</v>
      </c>
      <c r="R118" s="25292">
        <f>IF(HLOOKUP("Shots",A1:CV300,118,FALSE)=0,0,HLOOKUP("S6YD",A1:CV300,118,FALSE)/HLOOKUP("Shots",A1:CV300,118,FALSE))</f>
      </c>
      <c r="S118" t="n" s="25293">
        <v>1.0</v>
      </c>
      <c r="T118" s="25294">
        <f>IF(HLOOKUP("Shots",A1:CV300,118,FALSE)=0,0,HLOOKUP("Headers",A1:CV300,118,FALSE)/HLOOKUP("Shots",A1:CV300,118,FALSE))</f>
      </c>
      <c r="U118" t="n" s="25295">
        <v>0.0</v>
      </c>
      <c r="V118" s="25296">
        <f>IF(HLOOKUP("Shots",A1:CV300,118,FALSE)=0,0,HLOOKUP("SOT",A1:CV300,118,FALSE)/HLOOKUP("Shots",A1:CV300,118,FALSE))</f>
      </c>
      <c r="W118" s="25297">
        <f>IF(HLOOKUP("Shots",A1:CV300,118,FALSE)=0,0,HLOOKUP("Gs",A1:CV300,118,FALSE)/HLOOKUP("Shots",A1:CV300,118,FALSE))</f>
      </c>
      <c r="X118" t="n" s="25298">
        <v>0.0</v>
      </c>
      <c r="Y118" t="n" s="25299">
        <v>0.0</v>
      </c>
      <c r="Z118" t="n" s="25300">
        <v>0.0</v>
      </c>
      <c r="AA118" s="25301">
        <f>IF(HLOOKUP("KP",A1:CV300,118,FALSE)=0,0,HLOOKUP("As",A1:CV300,118,FALSE)/HLOOKUP("KP",A1:CV300,118,FALSE))</f>
      </c>
      <c r="AB118" s="25302"/>
      <c r="AC118" t="n" s="25303">
        <v>0.0</v>
      </c>
      <c r="AD118" t="n" s="25304">
        <v>0.0</v>
      </c>
      <c r="AE118" t="n" s="25305">
        <v>0.0</v>
      </c>
      <c r="AF118" t="n" s="25306">
        <v>0.0</v>
      </c>
      <c r="AG118" s="25307">
        <f>IF(HLOOKUP("BC",A1:CV300,118,FALSE)=0,0,HLOOKUP("Gs - BC",A1:CV300,118,FALSE)/HLOOKUP("BC",A1:CV300,118,FALSE))</f>
      </c>
      <c r="AH118" s="25308">
        <f>HLOOKUP("BC",A1:CV300,118,FALSE) - HLOOKUP("BC Miss",A1:CV300,118,FALSE)</f>
      </c>
      <c r="AI118" s="25309">
        <f>IF(HLOOKUP("Gs",A1:CV300,118,FALSE)=0,0,HLOOKUP("Gs - BC",A1:CV300,118,FALSE)/HLOOKUP("Gs",A1:CV300,118,FALSE))</f>
      </c>
      <c r="AJ118" t="n" s="25310">
        <v>0.0</v>
      </c>
      <c r="AK118" t="n" s="25311">
        <v>0.0</v>
      </c>
      <c r="AL118" s="25312">
        <f>HLOOKUP("BC",A1:CV300,118,FALSE) - (HLOOKUP("PK Gs",A1:CV300,118,FALSE) + HLOOKUP("PK Miss",A1:CV300,118,FALSE))</f>
      </c>
      <c r="AM118" s="25313">
        <f>HLOOKUP("BC Miss",A1:CV300,118,FALSE) - HLOOKUP("PK Miss",A1:CV300,118,FALSE)</f>
      </c>
      <c r="AN118" s="25314">
        <f>IF(HLOOKUP("BC - Open",A1:CV300,118,FALSE)=0,0,HLOOKUP("BC - Open Miss",A1:CV300,118,FALSE)/HLOOKUP("BC - Open",A1:CV300,118,FALSE))</f>
      </c>
      <c r="AO118" t="n" s="25315">
        <v>0.0</v>
      </c>
      <c r="AP118" s="25316">
        <f>IF(HLOOKUP("Gs",A1:CV300,118,FALSE)=0,0,HLOOKUP("GIB",A1:CV300,118,FALSE)/HLOOKUP("Gs",A1:CV300,118,FALSE))</f>
      </c>
      <c r="AQ118" t="n" s="25317">
        <v>0.0</v>
      </c>
      <c r="AR118" s="25318">
        <f>IF(HLOOKUP("Gs",A1:CV300,118,FALSE)=0,0,HLOOKUP("Gs - Open",A1:CV300,118,FALSE)/HLOOKUP("Gs",A1:CV300,118,FALSE))</f>
      </c>
      <c r="AS118" t="n" s="25319">
        <v>0.09</v>
      </c>
      <c r="AT118" t="n" s="25320">
        <v>0.02</v>
      </c>
      <c r="AU118" s="25321">
        <f>IF(HLOOKUP("Mins",A1:CV300,118,FALSE)=0,0,HLOOKUP("Pts",A1:CV300,118,FALSE)/HLOOKUP("Mins",A1:CV300,118,FALSE)* 90)</f>
      </c>
      <c r="AV118" s="25322">
        <f>IF(HLOOKUP("Apps",A1:CV300,118,FALSE)=0,0,HLOOKUP("Pts",A1:CV300,118,FALSE)/HLOOKUP("Apps",A1:CV300,118,FALSE)* 1)</f>
      </c>
      <c r="AW118" s="25323">
        <f>IF(HLOOKUP("Mins",A1:CV300,118,FALSE)=0,0,HLOOKUP("Gs",A1:CV300,118,FALSE)/HLOOKUP("Mins",A1:CV300,118,FALSE)* 90)</f>
      </c>
      <c r="AX118" s="25324">
        <f>IF(HLOOKUP("Mins",A1:CV300,118,FALSE)=0,0,HLOOKUP("Bonus",A1:CV300,118,FALSE)/HLOOKUP("Mins",A1:CV300,118,FALSE)* 90)</f>
      </c>
      <c r="AY118" s="25325">
        <f>IF(HLOOKUP("Mins",A1:CV300,118,FALSE)=0,0,HLOOKUP("BPS",A1:CV300,118,FALSE)/HLOOKUP("Mins",A1:CV300,118,FALSE)* 90)</f>
      </c>
      <c r="AZ118" s="25326">
        <f>IF(HLOOKUP("Mins",A1:CV300,118,FALSE)=0,0,HLOOKUP("Base BPS",A1:CV300,118,FALSE)/HLOOKUP("Mins",A1:CV300,118,FALSE)* 90)</f>
      </c>
      <c r="BA118" s="25327">
        <f>IF(HLOOKUP("Mins",A1:CV300,118,FALSE)=0,0,HLOOKUP("PenTchs",A1:CV300,118,FALSE)/HLOOKUP("Mins",A1:CV300,118,FALSE)* 90)</f>
      </c>
      <c r="BB118" s="25328">
        <f>IF(HLOOKUP("Mins",A1:CV300,118,FALSE)=0,0,HLOOKUP("Shots",A1:CV300,118,FALSE)/HLOOKUP("Mins",A1:CV300,118,FALSE)* 90)</f>
      </c>
      <c r="BC118" s="25329">
        <f>IF(HLOOKUP("Mins",A1:CV300,118,FALSE)=0,0,HLOOKUP("SIB",A1:CV300,118,FALSE)/HLOOKUP("Mins",A1:CV300,118,FALSE)* 90)</f>
      </c>
      <c r="BD118" s="25330">
        <f>IF(HLOOKUP("Mins",A1:CV300,118,FALSE)=0,0,HLOOKUP("S6YD",A1:CV300,118,FALSE)/HLOOKUP("Mins",A1:CV300,118,FALSE)* 90)</f>
      </c>
      <c r="BE118" s="25331">
        <f>IF(HLOOKUP("Mins",A1:CV300,118,FALSE)=0,0,HLOOKUP("Headers",A1:CV300,118,FALSE)/HLOOKUP("Mins",A1:CV300,118,FALSE)* 90)</f>
      </c>
      <c r="BF118" s="25332">
        <f>IF(HLOOKUP("Mins",A1:CV300,118,FALSE)=0,0,HLOOKUP("SOT",A1:CV300,118,FALSE)/HLOOKUP("Mins",A1:CV300,118,FALSE)* 90)</f>
      </c>
      <c r="BG118" s="25333">
        <f>IF(HLOOKUP("Mins",A1:CV300,118,FALSE)=0,0,HLOOKUP("As",A1:CV300,118,FALSE)/HLOOKUP("Mins",A1:CV300,118,FALSE)* 90)</f>
      </c>
      <c r="BH118" s="25334">
        <f>IF(HLOOKUP("Mins",A1:CV300,118,FALSE)=0,0,HLOOKUP("FPL As",A1:CV300,118,FALSE)/HLOOKUP("Mins",A1:CV300,118,FALSE)* 90)</f>
      </c>
      <c r="BI118" s="25335">
        <f>IF(HLOOKUP("Mins",A1:CV300,118,FALSE)=0,0,HLOOKUP("BC Created",A1:CV300,118,FALSE)/HLOOKUP("Mins",A1:CV300,118,FALSE)* 90)</f>
      </c>
      <c r="BJ118" s="25336">
        <f>IF(HLOOKUP("Mins",A1:CV300,118,FALSE)=0,0,HLOOKUP("KP",A1:CV300,118,FALSE)/HLOOKUP("Mins",A1:CV300,118,FALSE)* 90)</f>
      </c>
      <c r="BK118" s="25337">
        <f>IF(HLOOKUP("Mins",A1:CV300,118,FALSE)=0,0,HLOOKUP("BC",A1:CV300,118,FALSE)/HLOOKUP("Mins",A1:CV300,118,FALSE)* 90)</f>
      </c>
      <c r="BL118" s="25338">
        <f>IF(HLOOKUP("Mins",A1:CV300,118,FALSE)=0,0,HLOOKUP("BC Miss",A1:CV300,118,FALSE)/HLOOKUP("Mins",A1:CV300,118,FALSE)* 90)</f>
      </c>
      <c r="BM118" s="25339">
        <f>IF(HLOOKUP("Mins",A1:CV300,118,FALSE)=0,0,HLOOKUP("Gs - BC",A1:CV300,118,FALSE)/HLOOKUP("Mins",A1:CV300,118,FALSE)* 90)</f>
      </c>
      <c r="BN118" s="25340">
        <f>IF(HLOOKUP("Mins",A1:CV300,118,FALSE)=0,0,HLOOKUP("GIB",A1:CV300,118,FALSE)/HLOOKUP("Mins",A1:CV300,118,FALSE)* 90)</f>
      </c>
      <c r="BO118" s="25341">
        <f>IF(HLOOKUP("Mins",A1:CV300,118,FALSE)=0,0,HLOOKUP("Gs - Open",A1:CV300,118,FALSE)/HLOOKUP("Mins",A1:CV300,118,FALSE)* 90)</f>
      </c>
      <c r="BP118" s="25342">
        <f>IF(HLOOKUP("Mins",A1:CV300,118,FALSE)=0,0,HLOOKUP("ICT Index",A1:CV300,118,FALSE)/HLOOKUP("Mins",A1:CV300,118,FALSE)* 90)</f>
      </c>
      <c r="BQ118" s="25343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</c>
      <c r="BR118" s="25344">
        <f>0.0885*HLOOKUP("KP/90",A1:CV300,118,FALSE)</f>
      </c>
      <c r="BS118" s="25345">
        <f>5*HLOOKUP("xG/90",A1:CV300,118,FALSE)+3*HLOOKUP("xA/90",A1:CV300,118,FALSE)</f>
      </c>
      <c r="BT118" s="25346">
        <f>HLOOKUP("xPts/90",A1:CV300,118,FALSE)-(5*0.75*(HLOOKUP("PK Gs",A1:CV300,118,FALSE)+HLOOKUP("PK Miss",A1:CV300,118,FALSE))*90/HLOOKUP("Mins",A1:CV300,118,FALSE))</f>
      </c>
      <c r="BU118" s="25347">
        <f>IF(HLOOKUP("Mins",A1:CV300,118,FALSE)=0,0,HLOOKUP("fsXG",A1:CV300,118,FALSE)/HLOOKUP("Mins",A1:CV300,118,FALSE)* 90)</f>
      </c>
      <c r="BV118" s="25348">
        <f>IF(HLOOKUP("Mins",A1:CV300,118,FALSE)=0,0,HLOOKUP("fsXA",A1:CV300,118,FALSE)/HLOOKUP("Mins",A1:CV300,118,FALSE)* 90)</f>
      </c>
      <c r="BW118" s="25349">
        <f>5*HLOOKUP("fsXG/90",A1:CV300,118,FALSE)+3*HLOOKUP("fsXA/90",A1:CV300,118,FALSE)</f>
      </c>
      <c r="BX118" t="n" s="25350">
        <v>0.0365227572619915</v>
      </c>
      <c r="BY118" t="n" s="25351">
        <v>0.0</v>
      </c>
      <c r="BZ118" s="25352">
        <f>5*HLOOKUP("uXG/90",A1:CV300,118,FALSE)+3*HLOOKUP("uXA/90",A1:CV300,118,FALSE)</f>
      </c>
    </row>
    <row r="119">
      <c r="A119" t="s" s="25353">
        <v>422</v>
      </c>
      <c r="B119" t="s" s="25354">
        <v>90</v>
      </c>
      <c r="C119" t="n" s="25355">
        <v>4.5</v>
      </c>
      <c r="D119" t="n" s="25356">
        <v>521.0</v>
      </c>
      <c r="E119" t="n" s="25357">
        <v>6.0</v>
      </c>
      <c r="F119" t="n" s="25358">
        <v>48.0</v>
      </c>
      <c r="G119" t="n" s="25359">
        <v>0.0</v>
      </c>
      <c r="H119" t="n" s="25360">
        <v>3.0</v>
      </c>
      <c r="I119" t="n" s="25361">
        <v>266.0</v>
      </c>
      <c r="J119" s="25362">
        <f>HLOOKUP("BPS",A1:CV300,119,FALSE)-((-6*HLOOKUP("OG",A1:CV300,119,FALSE))+(-6*HLOOKUP("PK Miss",A1:CV300,119,FALSE))+(9*HLOOKUP("FPL As",A1:CV300,119,FALSE))+(0*HLOOKUP("CS",A1:CV300,119,FALSE))+(18*HLOOKUP("Gs",A1:CV300,119,FALSE)))</f>
      </c>
      <c r="K119" t="n" s="25363">
        <v>0.0</v>
      </c>
      <c r="L119" t="n" s="25364">
        <v>4.0</v>
      </c>
      <c r="M119" t="n" s="25365">
        <v>2.0</v>
      </c>
      <c r="N119" t="n" s="25366">
        <v>8.0</v>
      </c>
      <c r="O119" t="n" s="25367">
        <v>0.0</v>
      </c>
      <c r="P119" s="25368">
        <f>IF(HLOOKUP("Shots",A1:CV300,119,FALSE)=0,0,HLOOKUP("SIB",A1:CV300,119,FALSE)/HLOOKUP("Shots",A1:CV300,119,FALSE))</f>
      </c>
      <c r="Q119" t="n" s="25369">
        <v>0.0</v>
      </c>
      <c r="R119" s="25370">
        <f>IF(HLOOKUP("Shots",A1:CV300,119,FALSE)=0,0,HLOOKUP("S6YD",A1:CV300,119,FALSE)/HLOOKUP("Shots",A1:CV300,119,FALSE))</f>
      </c>
      <c r="S119" t="n" s="25371">
        <v>0.0</v>
      </c>
      <c r="T119" s="25372">
        <f>IF(HLOOKUP("Shots",A1:CV300,119,FALSE)=0,0,HLOOKUP("Headers",A1:CV300,119,FALSE)/HLOOKUP("Shots",A1:CV300,119,FALSE))</f>
      </c>
      <c r="U119" t="n" s="25373">
        <v>1.0</v>
      </c>
      <c r="V119" s="25374">
        <f>IF(HLOOKUP("Shots",A1:CV300,119,FALSE)=0,0,HLOOKUP("SOT",A1:CV300,119,FALSE)/HLOOKUP("Shots",A1:CV300,119,FALSE))</f>
      </c>
      <c r="W119" s="25375">
        <f>IF(HLOOKUP("Shots",A1:CV300,119,FALSE)=0,0,HLOOKUP("Gs",A1:CV300,119,FALSE)/HLOOKUP("Shots",A1:CV300,119,FALSE))</f>
      </c>
      <c r="X119" t="n" s="25376">
        <v>0.0</v>
      </c>
      <c r="Y119" t="n" s="25377">
        <v>1.0</v>
      </c>
      <c r="Z119" t="n" s="25378">
        <v>3.0</v>
      </c>
      <c r="AA119" s="25379">
        <f>IF(HLOOKUP("KP",A1:CV300,119,FALSE)=0,0,HLOOKUP("As",A1:CV300,119,FALSE)/HLOOKUP("KP",A1:CV300,119,FALSE))</f>
      </c>
      <c r="AB119" s="25380"/>
      <c r="AC119" t="n" s="25381">
        <v>0.0</v>
      </c>
      <c r="AD119" t="n" s="25382">
        <v>0.0</v>
      </c>
      <c r="AE119" t="n" s="25383">
        <v>0.0</v>
      </c>
      <c r="AF119" t="n" s="25384">
        <v>0.0</v>
      </c>
      <c r="AG119" s="25385">
        <f>IF(HLOOKUP("BC",A1:CV300,119,FALSE)=0,0,HLOOKUP("Gs - BC",A1:CV300,119,FALSE)/HLOOKUP("BC",A1:CV300,119,FALSE))</f>
      </c>
      <c r="AH119" s="25386">
        <f>HLOOKUP("BC",A1:CV300,119,FALSE) - HLOOKUP("BC Miss",A1:CV300,119,FALSE)</f>
      </c>
      <c r="AI119" s="25387">
        <f>IF(HLOOKUP("Gs",A1:CV300,119,FALSE)=0,0,HLOOKUP("Gs - BC",A1:CV300,119,FALSE)/HLOOKUP("Gs",A1:CV300,119,FALSE))</f>
      </c>
      <c r="AJ119" t="n" s="25388">
        <v>0.0</v>
      </c>
      <c r="AK119" t="n" s="25389">
        <v>0.0</v>
      </c>
      <c r="AL119" s="25390">
        <f>HLOOKUP("BC",A1:CV300,119,FALSE) - (HLOOKUP("PK Gs",A1:CV300,119,FALSE) + HLOOKUP("PK Miss",A1:CV300,119,FALSE))</f>
      </c>
      <c r="AM119" s="25391">
        <f>HLOOKUP("BC Miss",A1:CV300,119,FALSE) - HLOOKUP("PK Miss",A1:CV300,119,FALSE)</f>
      </c>
      <c r="AN119" s="25392">
        <f>IF(HLOOKUP("BC - Open",A1:CV300,119,FALSE)=0,0,HLOOKUP("BC - Open Miss",A1:CV300,119,FALSE)/HLOOKUP("BC - Open",A1:CV300,119,FALSE))</f>
      </c>
      <c r="AO119" t="n" s="25393">
        <v>0.0</v>
      </c>
      <c r="AP119" s="25394">
        <f>IF(HLOOKUP("Gs",A1:CV300,119,FALSE)=0,0,HLOOKUP("GIB",A1:CV300,119,FALSE)/HLOOKUP("Gs",A1:CV300,119,FALSE))</f>
      </c>
      <c r="AQ119" t="n" s="25395">
        <v>0.0</v>
      </c>
      <c r="AR119" s="25396">
        <f>IF(HLOOKUP("Gs",A1:CV300,119,FALSE)=0,0,HLOOKUP("Gs - Open",A1:CV300,119,FALSE)/HLOOKUP("Gs",A1:CV300,119,FALSE))</f>
      </c>
      <c r="AS119" t="n" s="25397">
        <v>0.26</v>
      </c>
      <c r="AT119" t="n" s="25398">
        <v>0.12</v>
      </c>
      <c r="AU119" s="25399">
        <f>IF(HLOOKUP("Mins",A1:CV300,119,FALSE)=0,0,HLOOKUP("Pts",A1:CV300,119,FALSE)/HLOOKUP("Mins",A1:CV300,119,FALSE)* 90)</f>
      </c>
      <c r="AV119" s="25400">
        <f>IF(HLOOKUP("Apps",A1:CV300,119,FALSE)=0,0,HLOOKUP("Pts",A1:CV300,119,FALSE)/HLOOKUP("Apps",A1:CV300,119,FALSE)* 1)</f>
      </c>
      <c r="AW119" s="25401">
        <f>IF(HLOOKUP("Mins",A1:CV300,119,FALSE)=0,0,HLOOKUP("Gs",A1:CV300,119,FALSE)/HLOOKUP("Mins",A1:CV300,119,FALSE)* 90)</f>
      </c>
      <c r="AX119" s="25402">
        <f>IF(HLOOKUP("Mins",A1:CV300,119,FALSE)=0,0,HLOOKUP("Bonus",A1:CV300,119,FALSE)/HLOOKUP("Mins",A1:CV300,119,FALSE)* 90)</f>
      </c>
      <c r="AY119" s="25403">
        <f>IF(HLOOKUP("Mins",A1:CV300,119,FALSE)=0,0,HLOOKUP("BPS",A1:CV300,119,FALSE)/HLOOKUP("Mins",A1:CV300,119,FALSE)* 90)</f>
      </c>
      <c r="AZ119" s="25404">
        <f>IF(HLOOKUP("Mins",A1:CV300,119,FALSE)=0,0,HLOOKUP("Base BPS",A1:CV300,119,FALSE)/HLOOKUP("Mins",A1:CV300,119,FALSE)* 90)</f>
      </c>
      <c r="BA119" s="25405">
        <f>IF(HLOOKUP("Mins",A1:CV300,119,FALSE)=0,0,HLOOKUP("PenTchs",A1:CV300,119,FALSE)/HLOOKUP("Mins",A1:CV300,119,FALSE)* 90)</f>
      </c>
      <c r="BB119" s="25406">
        <f>IF(HLOOKUP("Mins",A1:CV300,119,FALSE)=0,0,HLOOKUP("Shots",A1:CV300,119,FALSE)/HLOOKUP("Mins",A1:CV300,119,FALSE)* 90)</f>
      </c>
      <c r="BC119" s="25407">
        <f>IF(HLOOKUP("Mins",A1:CV300,119,FALSE)=0,0,HLOOKUP("SIB",A1:CV300,119,FALSE)/HLOOKUP("Mins",A1:CV300,119,FALSE)* 90)</f>
      </c>
      <c r="BD119" s="25408">
        <f>IF(HLOOKUP("Mins",A1:CV300,119,FALSE)=0,0,HLOOKUP("S6YD",A1:CV300,119,FALSE)/HLOOKUP("Mins",A1:CV300,119,FALSE)* 90)</f>
      </c>
      <c r="BE119" s="25409">
        <f>IF(HLOOKUP("Mins",A1:CV300,119,FALSE)=0,0,HLOOKUP("Headers",A1:CV300,119,FALSE)/HLOOKUP("Mins",A1:CV300,119,FALSE)* 90)</f>
      </c>
      <c r="BF119" s="25410">
        <f>IF(HLOOKUP("Mins",A1:CV300,119,FALSE)=0,0,HLOOKUP("SOT",A1:CV300,119,FALSE)/HLOOKUP("Mins",A1:CV300,119,FALSE)* 90)</f>
      </c>
      <c r="BG119" s="25411">
        <f>IF(HLOOKUP("Mins",A1:CV300,119,FALSE)=0,0,HLOOKUP("As",A1:CV300,119,FALSE)/HLOOKUP("Mins",A1:CV300,119,FALSE)* 90)</f>
      </c>
      <c r="BH119" s="25412">
        <f>IF(HLOOKUP("Mins",A1:CV300,119,FALSE)=0,0,HLOOKUP("FPL As",A1:CV300,119,FALSE)/HLOOKUP("Mins",A1:CV300,119,FALSE)* 90)</f>
      </c>
      <c r="BI119" s="25413">
        <f>IF(HLOOKUP("Mins",A1:CV300,119,FALSE)=0,0,HLOOKUP("BC Created",A1:CV300,119,FALSE)/HLOOKUP("Mins",A1:CV300,119,FALSE)* 90)</f>
      </c>
      <c r="BJ119" s="25414">
        <f>IF(HLOOKUP("Mins",A1:CV300,119,FALSE)=0,0,HLOOKUP("KP",A1:CV300,119,FALSE)/HLOOKUP("Mins",A1:CV300,119,FALSE)* 90)</f>
      </c>
      <c r="BK119" s="25415">
        <f>IF(HLOOKUP("Mins",A1:CV300,119,FALSE)=0,0,HLOOKUP("BC",A1:CV300,119,FALSE)/HLOOKUP("Mins",A1:CV300,119,FALSE)* 90)</f>
      </c>
      <c r="BL119" s="25416">
        <f>IF(HLOOKUP("Mins",A1:CV300,119,FALSE)=0,0,HLOOKUP("BC Miss",A1:CV300,119,FALSE)/HLOOKUP("Mins",A1:CV300,119,FALSE)* 90)</f>
      </c>
      <c r="BM119" s="25417">
        <f>IF(HLOOKUP("Mins",A1:CV300,119,FALSE)=0,0,HLOOKUP("Gs - BC",A1:CV300,119,FALSE)/HLOOKUP("Mins",A1:CV300,119,FALSE)* 90)</f>
      </c>
      <c r="BN119" s="25418">
        <f>IF(HLOOKUP("Mins",A1:CV300,119,FALSE)=0,0,HLOOKUP("GIB",A1:CV300,119,FALSE)/HLOOKUP("Mins",A1:CV300,119,FALSE)* 90)</f>
      </c>
      <c r="BO119" s="25419">
        <f>IF(HLOOKUP("Mins",A1:CV300,119,FALSE)=0,0,HLOOKUP("Gs - Open",A1:CV300,119,FALSE)/HLOOKUP("Mins",A1:CV300,119,FALSE)* 90)</f>
      </c>
      <c r="BP119" s="25420">
        <f>IF(HLOOKUP("Mins",A1:CV300,119,FALSE)=0,0,HLOOKUP("ICT Index",A1:CV300,119,FALSE)/HLOOKUP("Mins",A1:CV300,119,FALSE)* 90)</f>
      </c>
      <c r="BQ119" s="25421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</c>
      <c r="BR119" s="25422">
        <f>0.0885*HLOOKUP("KP/90",A1:CV300,119,FALSE)</f>
      </c>
      <c r="BS119" s="25423">
        <f>5*HLOOKUP("xG/90",A1:CV300,119,FALSE)+3*HLOOKUP("xA/90",A1:CV300,119,FALSE)</f>
      </c>
      <c r="BT119" s="25424">
        <f>HLOOKUP("xPts/90",A1:CV300,119,FALSE)-(5*0.75*(HLOOKUP("PK Gs",A1:CV300,119,FALSE)+HLOOKUP("PK Miss",A1:CV300,119,FALSE))*90/HLOOKUP("Mins",A1:CV300,119,FALSE))</f>
      </c>
      <c r="BU119" s="25425">
        <f>IF(HLOOKUP("Mins",A1:CV300,119,FALSE)=0,0,HLOOKUP("fsXG",A1:CV300,119,FALSE)/HLOOKUP("Mins",A1:CV300,119,FALSE)* 90)</f>
      </c>
      <c r="BV119" s="25426">
        <f>IF(HLOOKUP("Mins",A1:CV300,119,FALSE)=0,0,HLOOKUP("fsXA",A1:CV300,119,FALSE)/HLOOKUP("Mins",A1:CV300,119,FALSE)* 90)</f>
      </c>
      <c r="BW119" s="25427">
        <f>5*HLOOKUP("fsXG/90",A1:CV300,119,FALSE)+3*HLOOKUP("fsXA/90",A1:CV300,119,FALSE)</f>
      </c>
      <c r="BX119" t="n" s="25428">
        <v>0.03260509669780731</v>
      </c>
      <c r="BY119" t="n" s="25429">
        <v>0.029295802116394043</v>
      </c>
      <c r="BZ119" s="25430">
        <f>5*HLOOKUP("uXG/90",A1:CV300,119,FALSE)+3*HLOOKUP("uXA/90",A1:CV300,119,FALSE)</f>
      </c>
    </row>
    <row r="120">
      <c r="A120" t="s" s="25431">
        <v>423</v>
      </c>
      <c r="B120" t="s" s="25432">
        <v>109</v>
      </c>
      <c r="C120" t="n" s="25433">
        <v>4.800000190734863</v>
      </c>
      <c r="D120" t="n" s="25434">
        <v>540.0</v>
      </c>
      <c r="E120" t="n" s="25435">
        <v>6.0</v>
      </c>
      <c r="F120" t="n" s="25436">
        <v>58.0</v>
      </c>
      <c r="G120" t="n" s="25437">
        <v>0.0</v>
      </c>
      <c r="H120" t="n" s="25438">
        <v>2.0</v>
      </c>
      <c r="I120" t="n" s="25439">
        <v>335.0</v>
      </c>
      <c r="J120" s="25440">
        <f>HLOOKUP("BPS",A1:CV300,120,FALSE)-((-6*HLOOKUP("OG",A1:CV300,120,FALSE))+(-6*HLOOKUP("PK Miss",A1:CV300,120,FALSE))+(9*HLOOKUP("FPL As",A1:CV300,120,FALSE))+(0*HLOOKUP("CS",A1:CV300,120,FALSE))+(18*HLOOKUP("Gs",A1:CV300,120,FALSE)))</f>
      </c>
      <c r="K120" t="n" s="25441">
        <v>1.0</v>
      </c>
      <c r="L120" t="n" s="25442">
        <v>4.0</v>
      </c>
      <c r="M120" t="n" s="25443">
        <v>5.0</v>
      </c>
      <c r="N120" t="n" s="25444">
        <v>3.0</v>
      </c>
      <c r="O120" t="n" s="25445">
        <v>2.0</v>
      </c>
      <c r="P120" s="25446">
        <f>IF(HLOOKUP("Shots",A1:CV300,120,FALSE)=0,0,HLOOKUP("SIB",A1:CV300,120,FALSE)/HLOOKUP("Shots",A1:CV300,120,FALSE))</f>
      </c>
      <c r="Q120" t="n" s="25447">
        <v>0.0</v>
      </c>
      <c r="R120" s="25448">
        <f>IF(HLOOKUP("Shots",A1:CV300,120,FALSE)=0,0,HLOOKUP("S6YD",A1:CV300,120,FALSE)/HLOOKUP("Shots",A1:CV300,120,FALSE))</f>
      </c>
      <c r="S120" t="n" s="25449">
        <v>0.0</v>
      </c>
      <c r="T120" s="25450">
        <f>IF(HLOOKUP("Shots",A1:CV300,120,FALSE)=0,0,HLOOKUP("Headers",A1:CV300,120,FALSE)/HLOOKUP("Shots",A1:CV300,120,FALSE))</f>
      </c>
      <c r="U120" t="n" s="25451">
        <v>0.0</v>
      </c>
      <c r="V120" s="25452">
        <f>IF(HLOOKUP("Shots",A1:CV300,120,FALSE)=0,0,HLOOKUP("SOT",A1:CV300,120,FALSE)/HLOOKUP("Shots",A1:CV300,120,FALSE))</f>
      </c>
      <c r="W120" s="25453">
        <f>IF(HLOOKUP("Shots",A1:CV300,120,FALSE)=0,0,HLOOKUP("Gs",A1:CV300,120,FALSE)/HLOOKUP("Shots",A1:CV300,120,FALSE))</f>
      </c>
      <c r="X120" t="n" s="25454">
        <v>1.0</v>
      </c>
      <c r="Y120" t="n" s="25455">
        <v>2.0</v>
      </c>
      <c r="Z120" t="n" s="25456">
        <v>6.0</v>
      </c>
      <c r="AA120" s="25457">
        <f>IF(HLOOKUP("KP",A1:CV300,120,FALSE)=0,0,HLOOKUP("As",A1:CV300,120,FALSE)/HLOOKUP("KP",A1:CV300,120,FALSE))</f>
      </c>
      <c r="AB120" s="25458"/>
      <c r="AC120" t="n" s="25459">
        <v>14.0</v>
      </c>
      <c r="AD120" t="n" s="25460">
        <v>1.0</v>
      </c>
      <c r="AE120" t="n" s="25461">
        <v>0.0</v>
      </c>
      <c r="AF120" t="n" s="25462">
        <v>0.0</v>
      </c>
      <c r="AG120" s="25463">
        <f>IF(HLOOKUP("BC",A1:CV300,120,FALSE)=0,0,HLOOKUP("Gs - BC",A1:CV300,120,FALSE)/HLOOKUP("BC",A1:CV300,120,FALSE))</f>
      </c>
      <c r="AH120" s="25464">
        <f>HLOOKUP("BC",A1:CV300,120,FALSE) - HLOOKUP("BC Miss",A1:CV300,120,FALSE)</f>
      </c>
      <c r="AI120" s="25465">
        <f>IF(HLOOKUP("Gs",A1:CV300,120,FALSE)=0,0,HLOOKUP("Gs - BC",A1:CV300,120,FALSE)/HLOOKUP("Gs",A1:CV300,120,FALSE))</f>
      </c>
      <c r="AJ120" t="n" s="25466">
        <v>0.0</v>
      </c>
      <c r="AK120" t="n" s="25467">
        <v>0.0</v>
      </c>
      <c r="AL120" s="25468">
        <f>HLOOKUP("BC",A1:CV300,120,FALSE) - (HLOOKUP("PK Gs",A1:CV300,120,FALSE) + HLOOKUP("PK Miss",A1:CV300,120,FALSE))</f>
      </c>
      <c r="AM120" s="25469">
        <f>HLOOKUP("BC Miss",A1:CV300,120,FALSE) - HLOOKUP("PK Miss",A1:CV300,120,FALSE)</f>
      </c>
      <c r="AN120" s="25470">
        <f>IF(HLOOKUP("BC - Open",A1:CV300,120,FALSE)=0,0,HLOOKUP("BC - Open Miss",A1:CV300,120,FALSE)/HLOOKUP("BC - Open",A1:CV300,120,FALSE))</f>
      </c>
      <c r="AO120" t="n" s="25471">
        <v>0.0</v>
      </c>
      <c r="AP120" s="25472">
        <f>IF(HLOOKUP("Gs",A1:CV300,120,FALSE)=0,0,HLOOKUP("GIB",A1:CV300,120,FALSE)/HLOOKUP("Gs",A1:CV300,120,FALSE))</f>
      </c>
      <c r="AQ120" t="n" s="25473">
        <v>0.0</v>
      </c>
      <c r="AR120" s="25474">
        <f>IF(HLOOKUP("Gs",A1:CV300,120,FALSE)=0,0,HLOOKUP("Gs - Open",A1:CV300,120,FALSE)/HLOOKUP("Gs",A1:CV300,120,FALSE))</f>
      </c>
      <c r="AS120" t="n" s="25475">
        <v>0.12</v>
      </c>
      <c r="AT120" t="n" s="25476">
        <v>0.5</v>
      </c>
      <c r="AU120" s="25477">
        <f>IF(HLOOKUP("Mins",A1:CV300,120,FALSE)=0,0,HLOOKUP("Pts",A1:CV300,120,FALSE)/HLOOKUP("Mins",A1:CV300,120,FALSE)* 90)</f>
      </c>
      <c r="AV120" s="25478">
        <f>IF(HLOOKUP("Apps",A1:CV300,120,FALSE)=0,0,HLOOKUP("Pts",A1:CV300,120,FALSE)/HLOOKUP("Apps",A1:CV300,120,FALSE)* 1)</f>
      </c>
      <c r="AW120" s="25479">
        <f>IF(HLOOKUP("Mins",A1:CV300,120,FALSE)=0,0,HLOOKUP("Gs",A1:CV300,120,FALSE)/HLOOKUP("Mins",A1:CV300,120,FALSE)* 90)</f>
      </c>
      <c r="AX120" s="25480">
        <f>IF(HLOOKUP("Mins",A1:CV300,120,FALSE)=0,0,HLOOKUP("Bonus",A1:CV300,120,FALSE)/HLOOKUP("Mins",A1:CV300,120,FALSE)* 90)</f>
      </c>
      <c r="AY120" s="25481">
        <f>IF(HLOOKUP("Mins",A1:CV300,120,FALSE)=0,0,HLOOKUP("BPS",A1:CV300,120,FALSE)/HLOOKUP("Mins",A1:CV300,120,FALSE)* 90)</f>
      </c>
      <c r="AZ120" s="25482">
        <f>IF(HLOOKUP("Mins",A1:CV300,120,FALSE)=0,0,HLOOKUP("Base BPS",A1:CV300,120,FALSE)/HLOOKUP("Mins",A1:CV300,120,FALSE)* 90)</f>
      </c>
      <c r="BA120" s="25483">
        <f>IF(HLOOKUP("Mins",A1:CV300,120,FALSE)=0,0,HLOOKUP("PenTchs",A1:CV300,120,FALSE)/HLOOKUP("Mins",A1:CV300,120,FALSE)* 90)</f>
      </c>
      <c r="BB120" s="25484">
        <f>IF(HLOOKUP("Mins",A1:CV300,120,FALSE)=0,0,HLOOKUP("Shots",A1:CV300,120,FALSE)/HLOOKUP("Mins",A1:CV300,120,FALSE)* 90)</f>
      </c>
      <c r="BC120" s="25485">
        <f>IF(HLOOKUP("Mins",A1:CV300,120,FALSE)=0,0,HLOOKUP("SIB",A1:CV300,120,FALSE)/HLOOKUP("Mins",A1:CV300,120,FALSE)* 90)</f>
      </c>
      <c r="BD120" s="25486">
        <f>IF(HLOOKUP("Mins",A1:CV300,120,FALSE)=0,0,HLOOKUP("S6YD",A1:CV300,120,FALSE)/HLOOKUP("Mins",A1:CV300,120,FALSE)* 90)</f>
      </c>
      <c r="BE120" s="25487">
        <f>IF(HLOOKUP("Mins",A1:CV300,120,FALSE)=0,0,HLOOKUP("Headers",A1:CV300,120,FALSE)/HLOOKUP("Mins",A1:CV300,120,FALSE)* 90)</f>
      </c>
      <c r="BF120" s="25488">
        <f>IF(HLOOKUP("Mins",A1:CV300,120,FALSE)=0,0,HLOOKUP("SOT",A1:CV300,120,FALSE)/HLOOKUP("Mins",A1:CV300,120,FALSE)* 90)</f>
      </c>
      <c r="BG120" s="25489">
        <f>IF(HLOOKUP("Mins",A1:CV300,120,FALSE)=0,0,HLOOKUP("As",A1:CV300,120,FALSE)/HLOOKUP("Mins",A1:CV300,120,FALSE)* 90)</f>
      </c>
      <c r="BH120" s="25490">
        <f>IF(HLOOKUP("Mins",A1:CV300,120,FALSE)=0,0,HLOOKUP("FPL As",A1:CV300,120,FALSE)/HLOOKUP("Mins",A1:CV300,120,FALSE)* 90)</f>
      </c>
      <c r="BI120" s="25491">
        <f>IF(HLOOKUP("Mins",A1:CV300,120,FALSE)=0,0,HLOOKUP("BC Created",A1:CV300,120,FALSE)/HLOOKUP("Mins",A1:CV300,120,FALSE)* 90)</f>
      </c>
      <c r="BJ120" s="25492">
        <f>IF(HLOOKUP("Mins",A1:CV300,120,FALSE)=0,0,HLOOKUP("KP",A1:CV300,120,FALSE)/HLOOKUP("Mins",A1:CV300,120,FALSE)* 90)</f>
      </c>
      <c r="BK120" s="25493">
        <f>IF(HLOOKUP("Mins",A1:CV300,120,FALSE)=0,0,HLOOKUP("BC",A1:CV300,120,FALSE)/HLOOKUP("Mins",A1:CV300,120,FALSE)* 90)</f>
      </c>
      <c r="BL120" s="25494">
        <f>IF(HLOOKUP("Mins",A1:CV300,120,FALSE)=0,0,HLOOKUP("BC Miss",A1:CV300,120,FALSE)/HLOOKUP("Mins",A1:CV300,120,FALSE)* 90)</f>
      </c>
      <c r="BM120" s="25495">
        <f>IF(HLOOKUP("Mins",A1:CV300,120,FALSE)=0,0,HLOOKUP("Gs - BC",A1:CV300,120,FALSE)/HLOOKUP("Mins",A1:CV300,120,FALSE)* 90)</f>
      </c>
      <c r="BN120" s="25496">
        <f>IF(HLOOKUP("Mins",A1:CV300,120,FALSE)=0,0,HLOOKUP("GIB",A1:CV300,120,FALSE)/HLOOKUP("Mins",A1:CV300,120,FALSE)* 90)</f>
      </c>
      <c r="BO120" s="25497">
        <f>IF(HLOOKUP("Mins",A1:CV300,120,FALSE)=0,0,HLOOKUP("Gs - Open",A1:CV300,120,FALSE)/HLOOKUP("Mins",A1:CV300,120,FALSE)* 90)</f>
      </c>
      <c r="BP120" s="25498">
        <f>IF(HLOOKUP("Mins",A1:CV300,120,FALSE)=0,0,HLOOKUP("ICT Index",A1:CV300,120,FALSE)/HLOOKUP("Mins",A1:CV300,120,FALSE)* 90)</f>
      </c>
      <c r="BQ120" s="25499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</c>
      <c r="BR120" s="25500">
        <f>0.0885*HLOOKUP("KP/90",A1:CV300,120,FALSE)</f>
      </c>
      <c r="BS120" s="25501">
        <f>5*HLOOKUP("xG/90",A1:CV300,120,FALSE)+3*HLOOKUP("xA/90",A1:CV300,120,FALSE)</f>
      </c>
      <c r="BT120" s="25502">
        <f>HLOOKUP("xPts/90",A1:CV300,120,FALSE)-(5*0.75*(HLOOKUP("PK Gs",A1:CV300,120,FALSE)+HLOOKUP("PK Miss",A1:CV300,120,FALSE))*90/HLOOKUP("Mins",A1:CV300,120,FALSE))</f>
      </c>
      <c r="BU120" s="25503">
        <f>IF(HLOOKUP("Mins",A1:CV300,120,FALSE)=0,0,HLOOKUP("fsXG",A1:CV300,120,FALSE)/HLOOKUP("Mins",A1:CV300,120,FALSE)* 90)</f>
      </c>
      <c r="BV120" s="25504">
        <f>IF(HLOOKUP("Mins",A1:CV300,120,FALSE)=0,0,HLOOKUP("fsXA",A1:CV300,120,FALSE)/HLOOKUP("Mins",A1:CV300,120,FALSE)* 90)</f>
      </c>
      <c r="BW120" s="25505">
        <f>5*HLOOKUP("fsXG/90",A1:CV300,120,FALSE)+3*HLOOKUP("fsXA/90",A1:CV300,120,FALSE)</f>
      </c>
      <c r="BX120" t="n" s="25506">
        <v>0.01875118538737297</v>
      </c>
      <c r="BY120" t="n" s="25507">
        <v>0.10474835336208344</v>
      </c>
      <c r="BZ120" s="25508">
        <f>5*HLOOKUP("uXG/90",A1:CV300,120,FALSE)+3*HLOOKUP("uXA/90",A1:CV300,120,FALSE)</f>
      </c>
    </row>
    <row r="121">
      <c r="A121" t="s" s="25509">
        <v>424</v>
      </c>
      <c r="B121" t="s" s="25510">
        <v>95</v>
      </c>
      <c r="C121" t="n" s="25511">
        <v>5.800000190734863</v>
      </c>
      <c r="D121" t="n" s="25512">
        <v>45.0</v>
      </c>
      <c r="E121" t="n" s="25513">
        <v>2.0</v>
      </c>
      <c r="F121" t="n" s="25514">
        <v>40.0</v>
      </c>
      <c r="G121" t="n" s="25515">
        <v>0.0</v>
      </c>
      <c r="H121" t="n" s="25516">
        <v>2.0</v>
      </c>
      <c r="I121" t="n" s="25517">
        <v>187.0</v>
      </c>
      <c r="J121" s="25518">
        <f>HLOOKUP("BPS",A1:CV300,121,FALSE)-((-6*HLOOKUP("OG",A1:CV300,121,FALSE))+(-6*HLOOKUP("PK Miss",A1:CV300,121,FALSE))+(9*HLOOKUP("FPL As",A1:CV300,121,FALSE))+(0*HLOOKUP("CS",A1:CV300,121,FALSE))+(18*HLOOKUP("Gs",A1:CV300,121,FALSE)))</f>
      </c>
      <c r="K121" t="n" s="25519">
        <v>0.0</v>
      </c>
      <c r="L121" t="n" s="25520">
        <v>1.0</v>
      </c>
      <c r="M121" t="n" s="25521">
        <v>0.0</v>
      </c>
      <c r="N121" t="n" s="25522">
        <v>0.0</v>
      </c>
      <c r="O121" t="n" s="25523">
        <v>0.0</v>
      </c>
      <c r="P121" s="25524">
        <f>IF(HLOOKUP("Shots",A1:CV300,121,FALSE)=0,0,HLOOKUP("SIB",A1:CV300,121,FALSE)/HLOOKUP("Shots",A1:CV300,121,FALSE))</f>
      </c>
      <c r="Q121" t="n" s="25525">
        <v>0.0</v>
      </c>
      <c r="R121" s="25526">
        <f>IF(HLOOKUP("Shots",A1:CV300,121,FALSE)=0,0,HLOOKUP("S6YD",A1:CV300,121,FALSE)/HLOOKUP("Shots",A1:CV300,121,FALSE))</f>
      </c>
      <c r="S121" t="n" s="25527">
        <v>0.0</v>
      </c>
      <c r="T121" s="25528">
        <f>IF(HLOOKUP("Shots",A1:CV300,121,FALSE)=0,0,HLOOKUP("Headers",A1:CV300,121,FALSE)/HLOOKUP("Shots",A1:CV300,121,FALSE))</f>
      </c>
      <c r="U121" t="n" s="25529">
        <v>0.0</v>
      </c>
      <c r="V121" s="25530">
        <f>IF(HLOOKUP("Shots",A1:CV300,121,FALSE)=0,0,HLOOKUP("SOT",A1:CV300,121,FALSE)/HLOOKUP("Shots",A1:CV300,121,FALSE))</f>
      </c>
      <c r="W121" s="25531">
        <f>IF(HLOOKUP("Shots",A1:CV300,121,FALSE)=0,0,HLOOKUP("Gs",A1:CV300,121,FALSE)/HLOOKUP("Shots",A1:CV300,121,FALSE))</f>
      </c>
      <c r="X121" t="n" s="25532">
        <v>1.0</v>
      </c>
      <c r="Y121" t="n" s="25533">
        <v>2.0</v>
      </c>
      <c r="Z121" t="n" s="25534">
        <v>1.0</v>
      </c>
      <c r="AA121" s="25535">
        <f>IF(HLOOKUP("KP",A1:CV300,121,FALSE)=0,0,HLOOKUP("As",A1:CV300,121,FALSE)/HLOOKUP("KP",A1:CV300,121,FALSE))</f>
      </c>
      <c r="AB121" s="25536"/>
      <c r="AC121" t="n" s="25537">
        <v>100.0</v>
      </c>
      <c r="AD121" t="n" s="25538">
        <v>1.0</v>
      </c>
      <c r="AE121" t="n" s="25539">
        <v>0.0</v>
      </c>
      <c r="AF121" t="n" s="25540">
        <v>0.0</v>
      </c>
      <c r="AG121" s="25541">
        <f>IF(HLOOKUP("BC",A1:CV300,121,FALSE)=0,0,HLOOKUP("Gs - BC",A1:CV300,121,FALSE)/HLOOKUP("BC",A1:CV300,121,FALSE))</f>
      </c>
      <c r="AH121" s="25542">
        <f>HLOOKUP("BC",A1:CV300,121,FALSE) - HLOOKUP("BC Miss",A1:CV300,121,FALSE)</f>
      </c>
      <c r="AI121" s="25543">
        <f>IF(HLOOKUP("Gs",A1:CV300,121,FALSE)=0,0,HLOOKUP("Gs - BC",A1:CV300,121,FALSE)/HLOOKUP("Gs",A1:CV300,121,FALSE))</f>
      </c>
      <c r="AJ121" t="n" s="25544">
        <v>0.0</v>
      </c>
      <c r="AK121" t="n" s="25545">
        <v>0.0</v>
      </c>
      <c r="AL121" s="25546">
        <f>HLOOKUP("BC",A1:CV300,121,FALSE) - (HLOOKUP("PK Gs",A1:CV300,121,FALSE) + HLOOKUP("PK Miss",A1:CV300,121,FALSE))</f>
      </c>
      <c r="AM121" s="25547">
        <f>HLOOKUP("BC Miss",A1:CV300,121,FALSE) - HLOOKUP("PK Miss",A1:CV300,121,FALSE)</f>
      </c>
      <c r="AN121" s="25548">
        <f>IF(HLOOKUP("BC - Open",A1:CV300,121,FALSE)=0,0,HLOOKUP("BC - Open Miss",A1:CV300,121,FALSE)/HLOOKUP("BC - Open",A1:CV300,121,FALSE))</f>
      </c>
      <c r="AO121" t="n" s="25549">
        <v>0.0</v>
      </c>
      <c r="AP121" s="25550">
        <f>IF(HLOOKUP("Gs",A1:CV300,121,FALSE)=0,0,HLOOKUP("GIB",A1:CV300,121,FALSE)/HLOOKUP("Gs",A1:CV300,121,FALSE))</f>
      </c>
      <c r="AQ121" t="n" s="25551">
        <v>0.0</v>
      </c>
      <c r="AR121" s="25552">
        <f>IF(HLOOKUP("Gs",A1:CV300,121,FALSE)=0,0,HLOOKUP("Gs - Open",A1:CV300,121,FALSE)/HLOOKUP("Gs",A1:CV300,121,FALSE))</f>
      </c>
      <c r="AS121" t="n" s="25553">
        <v>0.0</v>
      </c>
      <c r="AT121" t="n" s="25554">
        <v>0.02</v>
      </c>
      <c r="AU121" s="25555">
        <f>IF(HLOOKUP("Mins",A1:CV300,121,FALSE)=0,0,HLOOKUP("Pts",A1:CV300,121,FALSE)/HLOOKUP("Mins",A1:CV300,121,FALSE)* 90)</f>
      </c>
      <c r="AV121" s="25556">
        <f>IF(HLOOKUP("Apps",A1:CV300,121,FALSE)=0,0,HLOOKUP("Pts",A1:CV300,121,FALSE)/HLOOKUP("Apps",A1:CV300,121,FALSE)* 1)</f>
      </c>
      <c r="AW121" s="25557">
        <f>IF(HLOOKUP("Mins",A1:CV300,121,FALSE)=0,0,HLOOKUP("Gs",A1:CV300,121,FALSE)/HLOOKUP("Mins",A1:CV300,121,FALSE)* 90)</f>
      </c>
      <c r="AX121" s="25558">
        <f>IF(HLOOKUP("Mins",A1:CV300,121,FALSE)=0,0,HLOOKUP("Bonus",A1:CV300,121,FALSE)/HLOOKUP("Mins",A1:CV300,121,FALSE)* 90)</f>
      </c>
      <c r="AY121" s="25559">
        <f>IF(HLOOKUP("Mins",A1:CV300,121,FALSE)=0,0,HLOOKUP("BPS",A1:CV300,121,FALSE)/HLOOKUP("Mins",A1:CV300,121,FALSE)* 90)</f>
      </c>
      <c r="AZ121" s="25560">
        <f>IF(HLOOKUP("Mins",A1:CV300,121,FALSE)=0,0,HLOOKUP("Base BPS",A1:CV300,121,FALSE)/HLOOKUP("Mins",A1:CV300,121,FALSE)* 90)</f>
      </c>
      <c r="BA121" s="25561">
        <f>IF(HLOOKUP("Mins",A1:CV300,121,FALSE)=0,0,HLOOKUP("PenTchs",A1:CV300,121,FALSE)/HLOOKUP("Mins",A1:CV300,121,FALSE)* 90)</f>
      </c>
      <c r="BB121" s="25562">
        <f>IF(HLOOKUP("Mins",A1:CV300,121,FALSE)=0,0,HLOOKUP("Shots",A1:CV300,121,FALSE)/HLOOKUP("Mins",A1:CV300,121,FALSE)* 90)</f>
      </c>
      <c r="BC121" s="25563">
        <f>IF(HLOOKUP("Mins",A1:CV300,121,FALSE)=0,0,HLOOKUP("SIB",A1:CV300,121,FALSE)/HLOOKUP("Mins",A1:CV300,121,FALSE)* 90)</f>
      </c>
      <c r="BD121" s="25564">
        <f>IF(HLOOKUP("Mins",A1:CV300,121,FALSE)=0,0,HLOOKUP("S6YD",A1:CV300,121,FALSE)/HLOOKUP("Mins",A1:CV300,121,FALSE)* 90)</f>
      </c>
      <c r="BE121" s="25565">
        <f>IF(HLOOKUP("Mins",A1:CV300,121,FALSE)=0,0,HLOOKUP("Headers",A1:CV300,121,FALSE)/HLOOKUP("Mins",A1:CV300,121,FALSE)* 90)</f>
      </c>
      <c r="BF121" s="25566">
        <f>IF(HLOOKUP("Mins",A1:CV300,121,FALSE)=0,0,HLOOKUP("SOT",A1:CV300,121,FALSE)/HLOOKUP("Mins",A1:CV300,121,FALSE)* 90)</f>
      </c>
      <c r="BG121" s="25567">
        <f>IF(HLOOKUP("Mins",A1:CV300,121,FALSE)=0,0,HLOOKUP("As",A1:CV300,121,FALSE)/HLOOKUP("Mins",A1:CV300,121,FALSE)* 90)</f>
      </c>
      <c r="BH121" s="25568">
        <f>IF(HLOOKUP("Mins",A1:CV300,121,FALSE)=0,0,HLOOKUP("FPL As",A1:CV300,121,FALSE)/HLOOKUP("Mins",A1:CV300,121,FALSE)* 90)</f>
      </c>
      <c r="BI121" s="25569">
        <f>IF(HLOOKUP("Mins",A1:CV300,121,FALSE)=0,0,HLOOKUP("BC Created",A1:CV300,121,FALSE)/HLOOKUP("Mins",A1:CV300,121,FALSE)* 90)</f>
      </c>
      <c r="BJ121" s="25570">
        <f>IF(HLOOKUP("Mins",A1:CV300,121,FALSE)=0,0,HLOOKUP("KP",A1:CV300,121,FALSE)/HLOOKUP("Mins",A1:CV300,121,FALSE)* 90)</f>
      </c>
      <c r="BK121" s="25571">
        <f>IF(HLOOKUP("Mins",A1:CV300,121,FALSE)=0,0,HLOOKUP("BC",A1:CV300,121,FALSE)/HLOOKUP("Mins",A1:CV300,121,FALSE)* 90)</f>
      </c>
      <c r="BL121" s="25572">
        <f>IF(HLOOKUP("Mins",A1:CV300,121,FALSE)=0,0,HLOOKUP("BC Miss",A1:CV300,121,FALSE)/HLOOKUP("Mins",A1:CV300,121,FALSE)* 90)</f>
      </c>
      <c r="BM121" s="25573">
        <f>IF(HLOOKUP("Mins",A1:CV300,121,FALSE)=0,0,HLOOKUP("Gs - BC",A1:CV300,121,FALSE)/HLOOKUP("Mins",A1:CV300,121,FALSE)* 90)</f>
      </c>
      <c r="BN121" s="25574">
        <f>IF(HLOOKUP("Mins",A1:CV300,121,FALSE)=0,0,HLOOKUP("GIB",A1:CV300,121,FALSE)/HLOOKUP("Mins",A1:CV300,121,FALSE)* 90)</f>
      </c>
      <c r="BO121" s="25575">
        <f>IF(HLOOKUP("Mins",A1:CV300,121,FALSE)=0,0,HLOOKUP("Gs - Open",A1:CV300,121,FALSE)/HLOOKUP("Mins",A1:CV300,121,FALSE)* 90)</f>
      </c>
      <c r="BP121" s="25576">
        <f>IF(HLOOKUP("Mins",A1:CV300,121,FALSE)=0,0,HLOOKUP("ICT Index",A1:CV300,121,FALSE)/HLOOKUP("Mins",A1:CV300,121,FALSE)* 90)</f>
      </c>
      <c r="BQ121" s="25577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</c>
      <c r="BR121" s="25578">
        <f>0.0885*HLOOKUP("KP/90",A1:CV300,121,FALSE)</f>
      </c>
      <c r="BS121" s="25579">
        <f>5*HLOOKUP("xG/90",A1:CV300,121,FALSE)+3*HLOOKUP("xA/90",A1:CV300,121,FALSE)</f>
      </c>
      <c r="BT121" s="25580">
        <f>HLOOKUP("xPts/90",A1:CV300,121,FALSE)-(5*0.75*(HLOOKUP("PK Gs",A1:CV300,121,FALSE)+HLOOKUP("PK Miss",A1:CV300,121,FALSE))*90/HLOOKUP("Mins",A1:CV300,121,FALSE))</f>
      </c>
      <c r="BU121" s="25581">
        <f>IF(HLOOKUP("Mins",A1:CV300,121,FALSE)=0,0,HLOOKUP("fsXG",A1:CV300,121,FALSE)/HLOOKUP("Mins",A1:CV300,121,FALSE)* 90)</f>
      </c>
      <c r="BV121" s="25582">
        <f>IF(HLOOKUP("Mins",A1:CV300,121,FALSE)=0,0,HLOOKUP("fsXA",A1:CV300,121,FALSE)/HLOOKUP("Mins",A1:CV300,121,FALSE)* 90)</f>
      </c>
      <c r="BW121" s="25583">
        <f>5*HLOOKUP("fsXG/90",A1:CV300,121,FALSE)+3*HLOOKUP("fsXA/90",A1:CV300,121,FALSE)</f>
      </c>
      <c r="BX121" t="n" s="25584">
        <v>0.0</v>
      </c>
      <c r="BY121" t="n" s="25585">
        <v>0.6861989498138428</v>
      </c>
      <c r="BZ121" s="25586">
        <f>5*HLOOKUP("uXG/90",A1:CV300,121,FALSE)+3*HLOOKUP("uXA/90",A1:CV300,121,FALSE)</f>
      </c>
    </row>
    <row r="122">
      <c r="A122" t="s" s="25587">
        <v>425</v>
      </c>
      <c r="B122" t="s" s="25588">
        <v>134</v>
      </c>
      <c r="C122" t="n" s="25589">
        <v>6.199999809265137</v>
      </c>
      <c r="D122" t="n" s="25590">
        <v>415.0</v>
      </c>
      <c r="E122" t="n" s="25591">
        <v>6.0</v>
      </c>
      <c r="F122" t="n" s="25592">
        <v>51.0</v>
      </c>
      <c r="G122" t="n" s="25593">
        <v>2.0</v>
      </c>
      <c r="H122" t="n" s="25594">
        <v>2.0</v>
      </c>
      <c r="I122" t="n" s="25595">
        <v>171.0</v>
      </c>
      <c r="J122" s="25596">
        <f>HLOOKUP("BPS",A1:CV300,122,FALSE)-((-6*HLOOKUP("OG",A1:CV300,122,FALSE))+(-6*HLOOKUP("PK Miss",A1:CV300,122,FALSE))+(9*HLOOKUP("FPL As",A1:CV300,122,FALSE))+(0*HLOOKUP("CS",A1:CV300,122,FALSE))+(18*HLOOKUP("Gs",A1:CV300,122,FALSE)))</f>
      </c>
      <c r="K122" t="n" s="25597">
        <v>0.0</v>
      </c>
      <c r="L122" t="n" s="25598">
        <v>7.0</v>
      </c>
      <c r="M122" t="n" s="25599">
        <v>3.0</v>
      </c>
      <c r="N122" t="n" s="25600">
        <v>9.0</v>
      </c>
      <c r="O122" t="n" s="25601">
        <v>2.0</v>
      </c>
      <c r="P122" s="25602">
        <f>IF(HLOOKUP("Shots",A1:CV300,122,FALSE)=0,0,HLOOKUP("SIB",A1:CV300,122,FALSE)/HLOOKUP("Shots",A1:CV300,122,FALSE))</f>
      </c>
      <c r="Q122" t="n" s="25603">
        <v>0.0</v>
      </c>
      <c r="R122" s="25604">
        <f>IF(HLOOKUP("Shots",A1:CV300,122,FALSE)=0,0,HLOOKUP("S6YD",A1:CV300,122,FALSE)/HLOOKUP("Shots",A1:CV300,122,FALSE))</f>
      </c>
      <c r="S122" t="n" s="25605">
        <v>0.0</v>
      </c>
      <c r="T122" s="25606">
        <f>IF(HLOOKUP("Shots",A1:CV300,122,FALSE)=0,0,HLOOKUP("Headers",A1:CV300,122,FALSE)/HLOOKUP("Shots",A1:CV300,122,FALSE))</f>
      </c>
      <c r="U122" t="n" s="25607">
        <v>5.0</v>
      </c>
      <c r="V122" s="25608">
        <f>IF(HLOOKUP("Shots",A1:CV300,122,FALSE)=0,0,HLOOKUP("SOT",A1:CV300,122,FALSE)/HLOOKUP("Shots",A1:CV300,122,FALSE))</f>
      </c>
      <c r="W122" s="25609">
        <f>IF(HLOOKUP("Shots",A1:CV300,122,FALSE)=0,0,HLOOKUP("Gs",A1:CV300,122,FALSE)/HLOOKUP("Shots",A1:CV300,122,FALSE))</f>
      </c>
      <c r="X122" t="n" s="25610">
        <v>0.0</v>
      </c>
      <c r="Y122" t="n" s="25611">
        <v>0.0</v>
      </c>
      <c r="Z122" t="n" s="25612">
        <v>5.0</v>
      </c>
      <c r="AA122" s="25613">
        <f>IF(HLOOKUP("KP",A1:CV300,122,FALSE)=0,0,HLOOKUP("As",A1:CV300,122,FALSE)/HLOOKUP("KP",A1:CV300,122,FALSE))</f>
      </c>
      <c r="AB122" s="25614"/>
      <c r="AC122" t="n" s="25615">
        <v>25.0</v>
      </c>
      <c r="AD122" t="n" s="25616">
        <v>0.0</v>
      </c>
      <c r="AE122" t="n" s="25617">
        <v>1.0</v>
      </c>
      <c r="AF122" t="n" s="25618">
        <v>0.0</v>
      </c>
      <c r="AG122" s="25619">
        <f>IF(HLOOKUP("BC",A1:CV300,122,FALSE)=0,0,HLOOKUP("Gs - BC",A1:CV300,122,FALSE)/HLOOKUP("BC",A1:CV300,122,FALSE))</f>
      </c>
      <c r="AH122" s="25620">
        <f>HLOOKUP("BC",A1:CV300,122,FALSE) - HLOOKUP("BC Miss",A1:CV300,122,FALSE)</f>
      </c>
      <c r="AI122" s="25621">
        <f>IF(HLOOKUP("Gs",A1:CV300,122,FALSE)=0,0,HLOOKUP("Gs - BC",A1:CV300,122,FALSE)/HLOOKUP("Gs",A1:CV300,122,FALSE))</f>
      </c>
      <c r="AJ122" t="n" s="25622">
        <v>0.0</v>
      </c>
      <c r="AK122" t="n" s="25623">
        <v>0.0</v>
      </c>
      <c r="AL122" s="25624">
        <f>HLOOKUP("BC",A1:CV300,122,FALSE) - (HLOOKUP("PK Gs",A1:CV300,122,FALSE) + HLOOKUP("PK Miss",A1:CV300,122,FALSE))</f>
      </c>
      <c r="AM122" s="25625">
        <f>HLOOKUP("BC Miss",A1:CV300,122,FALSE) - HLOOKUP("PK Miss",A1:CV300,122,FALSE)</f>
      </c>
      <c r="AN122" s="25626">
        <f>IF(HLOOKUP("BC - Open",A1:CV300,122,FALSE)=0,0,HLOOKUP("BC - Open Miss",A1:CV300,122,FALSE)/HLOOKUP("BC - Open",A1:CV300,122,FALSE))</f>
      </c>
      <c r="AO122" t="n" s="25627">
        <v>1.0</v>
      </c>
      <c r="AP122" s="25628">
        <f>IF(HLOOKUP("Gs",A1:CV300,122,FALSE)=0,0,HLOOKUP("GIB",A1:CV300,122,FALSE)/HLOOKUP("Gs",A1:CV300,122,FALSE))</f>
      </c>
      <c r="AQ122" t="n" s="25629">
        <v>1.0</v>
      </c>
      <c r="AR122" s="25630">
        <f>IF(HLOOKUP("Gs",A1:CV300,122,FALSE)=0,0,HLOOKUP("Gs - Open",A1:CV300,122,FALSE)/HLOOKUP("Gs",A1:CV300,122,FALSE))</f>
      </c>
      <c r="AS122" t="n" s="25631">
        <v>0.88</v>
      </c>
      <c r="AT122" t="n" s="25632">
        <v>0.21</v>
      </c>
      <c r="AU122" s="25633">
        <f>IF(HLOOKUP("Mins",A1:CV300,122,FALSE)=0,0,HLOOKUP("Pts",A1:CV300,122,FALSE)/HLOOKUP("Mins",A1:CV300,122,FALSE)* 90)</f>
      </c>
      <c r="AV122" s="25634">
        <f>IF(HLOOKUP("Apps",A1:CV300,122,FALSE)=0,0,HLOOKUP("Pts",A1:CV300,122,FALSE)/HLOOKUP("Apps",A1:CV300,122,FALSE)* 1)</f>
      </c>
      <c r="AW122" s="25635">
        <f>IF(HLOOKUP("Mins",A1:CV300,122,FALSE)=0,0,HLOOKUP("Gs",A1:CV300,122,FALSE)/HLOOKUP("Mins",A1:CV300,122,FALSE)* 90)</f>
      </c>
      <c r="AX122" s="25636">
        <f>IF(HLOOKUP("Mins",A1:CV300,122,FALSE)=0,0,HLOOKUP("Bonus",A1:CV300,122,FALSE)/HLOOKUP("Mins",A1:CV300,122,FALSE)* 90)</f>
      </c>
      <c r="AY122" s="25637">
        <f>IF(HLOOKUP("Mins",A1:CV300,122,FALSE)=0,0,HLOOKUP("BPS",A1:CV300,122,FALSE)/HLOOKUP("Mins",A1:CV300,122,FALSE)* 90)</f>
      </c>
      <c r="AZ122" s="25638">
        <f>IF(HLOOKUP("Mins",A1:CV300,122,FALSE)=0,0,HLOOKUP("Base BPS",A1:CV300,122,FALSE)/HLOOKUP("Mins",A1:CV300,122,FALSE)* 90)</f>
      </c>
      <c r="BA122" s="25639">
        <f>IF(HLOOKUP("Mins",A1:CV300,122,FALSE)=0,0,HLOOKUP("PenTchs",A1:CV300,122,FALSE)/HLOOKUP("Mins",A1:CV300,122,FALSE)* 90)</f>
      </c>
      <c r="BB122" s="25640">
        <f>IF(HLOOKUP("Mins",A1:CV300,122,FALSE)=0,0,HLOOKUP("Shots",A1:CV300,122,FALSE)/HLOOKUP("Mins",A1:CV300,122,FALSE)* 90)</f>
      </c>
      <c r="BC122" s="25641">
        <f>IF(HLOOKUP("Mins",A1:CV300,122,FALSE)=0,0,HLOOKUP("SIB",A1:CV300,122,FALSE)/HLOOKUP("Mins",A1:CV300,122,FALSE)* 90)</f>
      </c>
      <c r="BD122" s="25642">
        <f>IF(HLOOKUP("Mins",A1:CV300,122,FALSE)=0,0,HLOOKUP("S6YD",A1:CV300,122,FALSE)/HLOOKUP("Mins",A1:CV300,122,FALSE)* 90)</f>
      </c>
      <c r="BE122" s="25643">
        <f>IF(HLOOKUP("Mins",A1:CV300,122,FALSE)=0,0,HLOOKUP("Headers",A1:CV300,122,FALSE)/HLOOKUP("Mins",A1:CV300,122,FALSE)* 90)</f>
      </c>
      <c r="BF122" s="25644">
        <f>IF(HLOOKUP("Mins",A1:CV300,122,FALSE)=0,0,HLOOKUP("SOT",A1:CV300,122,FALSE)/HLOOKUP("Mins",A1:CV300,122,FALSE)* 90)</f>
      </c>
      <c r="BG122" s="25645">
        <f>IF(HLOOKUP("Mins",A1:CV300,122,FALSE)=0,0,HLOOKUP("As",A1:CV300,122,FALSE)/HLOOKUP("Mins",A1:CV300,122,FALSE)* 90)</f>
      </c>
      <c r="BH122" s="25646">
        <f>IF(HLOOKUP("Mins",A1:CV300,122,FALSE)=0,0,HLOOKUP("FPL As",A1:CV300,122,FALSE)/HLOOKUP("Mins",A1:CV300,122,FALSE)* 90)</f>
      </c>
      <c r="BI122" s="25647">
        <f>IF(HLOOKUP("Mins",A1:CV300,122,FALSE)=0,0,HLOOKUP("BC Created",A1:CV300,122,FALSE)/HLOOKUP("Mins",A1:CV300,122,FALSE)* 90)</f>
      </c>
      <c r="BJ122" s="25648">
        <f>IF(HLOOKUP("Mins",A1:CV300,122,FALSE)=0,0,HLOOKUP("KP",A1:CV300,122,FALSE)/HLOOKUP("Mins",A1:CV300,122,FALSE)* 90)</f>
      </c>
      <c r="BK122" s="25649">
        <f>IF(HLOOKUP("Mins",A1:CV300,122,FALSE)=0,0,HLOOKUP("BC",A1:CV300,122,FALSE)/HLOOKUP("Mins",A1:CV300,122,FALSE)* 90)</f>
      </c>
      <c r="BL122" s="25650">
        <f>IF(HLOOKUP("Mins",A1:CV300,122,FALSE)=0,0,HLOOKUP("BC Miss",A1:CV300,122,FALSE)/HLOOKUP("Mins",A1:CV300,122,FALSE)* 90)</f>
      </c>
      <c r="BM122" s="25651">
        <f>IF(HLOOKUP("Mins",A1:CV300,122,FALSE)=0,0,HLOOKUP("Gs - BC",A1:CV300,122,FALSE)/HLOOKUP("Mins",A1:CV300,122,FALSE)* 90)</f>
      </c>
      <c r="BN122" s="25652">
        <f>IF(HLOOKUP("Mins",A1:CV300,122,FALSE)=0,0,HLOOKUP("GIB",A1:CV300,122,FALSE)/HLOOKUP("Mins",A1:CV300,122,FALSE)* 90)</f>
      </c>
      <c r="BO122" s="25653">
        <f>IF(HLOOKUP("Mins",A1:CV300,122,FALSE)=0,0,HLOOKUP("Gs - Open",A1:CV300,122,FALSE)/HLOOKUP("Mins",A1:CV300,122,FALSE)* 90)</f>
      </c>
      <c r="BP122" s="25654">
        <f>IF(HLOOKUP("Mins",A1:CV300,122,FALSE)=0,0,HLOOKUP("ICT Index",A1:CV300,122,FALSE)/HLOOKUP("Mins",A1:CV300,122,FALSE)* 90)</f>
      </c>
      <c r="BQ122" s="25655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</c>
      <c r="BR122" s="25656">
        <f>0.0885*HLOOKUP("KP/90",A1:CV300,122,FALSE)</f>
      </c>
      <c r="BS122" s="25657">
        <f>5*HLOOKUP("xG/90",A1:CV300,122,FALSE)+3*HLOOKUP("xA/90",A1:CV300,122,FALSE)</f>
      </c>
      <c r="BT122" s="25658">
        <f>HLOOKUP("xPts/90",A1:CV300,122,FALSE)-(5*0.75*(HLOOKUP("PK Gs",A1:CV300,122,FALSE)+HLOOKUP("PK Miss",A1:CV300,122,FALSE))*90/HLOOKUP("Mins",A1:CV300,122,FALSE))</f>
      </c>
      <c r="BU122" s="25659">
        <f>IF(HLOOKUP("Mins",A1:CV300,122,FALSE)=0,0,HLOOKUP("fsXG",A1:CV300,122,FALSE)/HLOOKUP("Mins",A1:CV300,122,FALSE)* 90)</f>
      </c>
      <c r="BV122" s="25660">
        <f>IF(HLOOKUP("Mins",A1:CV300,122,FALSE)=0,0,HLOOKUP("fsXA",A1:CV300,122,FALSE)/HLOOKUP("Mins",A1:CV300,122,FALSE)* 90)</f>
      </c>
      <c r="BW122" s="25661">
        <f>5*HLOOKUP("fsXG/90",A1:CV300,122,FALSE)+3*HLOOKUP("fsXA/90",A1:CV300,122,FALSE)</f>
      </c>
      <c r="BX122" t="n" s="25662">
        <v>0.14372898638248444</v>
      </c>
      <c r="BY122" t="n" s="25663">
        <v>0.08441595733165741</v>
      </c>
      <c r="BZ122" s="25664">
        <f>5*HLOOKUP("uXG/90",A1:CV300,122,FALSE)+3*HLOOKUP("uXA/90",A1:CV300,122,FALSE)</f>
      </c>
    </row>
    <row r="123">
      <c r="A123" t="s" s="25665">
        <v>426</v>
      </c>
      <c r="B123" t="s" s="25666">
        <v>95</v>
      </c>
      <c r="C123" t="n" s="25667">
        <v>4.900000095367432</v>
      </c>
      <c r="D123" t="n" s="25668">
        <v>32.0</v>
      </c>
      <c r="E123" t="n" s="25669">
        <v>3.0</v>
      </c>
      <c r="F123" t="n" s="25670">
        <v>3.0</v>
      </c>
      <c r="G123" t="n" s="25671">
        <v>0.0</v>
      </c>
      <c r="H123" t="n" s="25672">
        <v>0.0</v>
      </c>
      <c r="I123" t="n" s="25673">
        <v>9.0</v>
      </c>
      <c r="J123" s="25674">
        <f>HLOOKUP("BPS",A1:CV300,123,FALSE)-((-6*HLOOKUP("OG",A1:CV300,123,FALSE))+(-6*HLOOKUP("PK Miss",A1:CV300,123,FALSE))+(9*HLOOKUP("FPL As",A1:CV300,123,FALSE))+(0*HLOOKUP("CS",A1:CV300,123,FALSE))+(18*HLOOKUP("Gs",A1:CV300,123,FALSE)))</f>
      </c>
      <c r="K123" t="n" s="25675">
        <v>0.0</v>
      </c>
      <c r="L123" t="n" s="25676">
        <v>0.0</v>
      </c>
      <c r="M123" t="n" s="25677">
        <v>2.0</v>
      </c>
      <c r="N123" t="n" s="25678">
        <v>0.0</v>
      </c>
      <c r="O123" t="n" s="25679">
        <v>0.0</v>
      </c>
      <c r="P123" s="25680">
        <f>IF(HLOOKUP("Shots",A1:CV300,123,FALSE)=0,0,HLOOKUP("SIB",A1:CV300,123,FALSE)/HLOOKUP("Shots",A1:CV300,123,FALSE))</f>
      </c>
      <c r="Q123" t="n" s="25681">
        <v>0.0</v>
      </c>
      <c r="R123" s="25682">
        <f>IF(HLOOKUP("Shots",A1:CV300,123,FALSE)=0,0,HLOOKUP("S6YD",A1:CV300,123,FALSE)/HLOOKUP("Shots",A1:CV300,123,FALSE))</f>
      </c>
      <c r="S123" t="n" s="25683">
        <v>0.0</v>
      </c>
      <c r="T123" s="25684">
        <f>IF(HLOOKUP("Shots",A1:CV300,123,FALSE)=0,0,HLOOKUP("Headers",A1:CV300,123,FALSE)/HLOOKUP("Shots",A1:CV300,123,FALSE))</f>
      </c>
      <c r="U123" t="n" s="25685">
        <v>0.0</v>
      </c>
      <c r="V123" s="25686">
        <f>IF(HLOOKUP("Shots",A1:CV300,123,FALSE)=0,0,HLOOKUP("SOT",A1:CV300,123,FALSE)/HLOOKUP("Shots",A1:CV300,123,FALSE))</f>
      </c>
      <c r="W123" s="25687">
        <f>IF(HLOOKUP("Shots",A1:CV300,123,FALSE)=0,0,HLOOKUP("Gs",A1:CV300,123,FALSE)/HLOOKUP("Shots",A1:CV300,123,FALSE))</f>
      </c>
      <c r="X123" t="n" s="25688">
        <v>0.0</v>
      </c>
      <c r="Y123" t="n" s="25689">
        <v>0.0</v>
      </c>
      <c r="Z123" t="n" s="25690">
        <v>1.0</v>
      </c>
      <c r="AA123" s="25691">
        <f>IF(HLOOKUP("KP",A1:CV300,123,FALSE)=0,0,HLOOKUP("As",A1:CV300,123,FALSE)/HLOOKUP("KP",A1:CV300,123,FALSE))</f>
      </c>
      <c r="AB123" s="25692"/>
      <c r="AC123" t="n" s="25693">
        <v>0.0</v>
      </c>
      <c r="AD123" t="n" s="25694">
        <v>0.0</v>
      </c>
      <c r="AE123" t="n" s="25695">
        <v>0.0</v>
      </c>
      <c r="AF123" t="n" s="25696">
        <v>0.0</v>
      </c>
      <c r="AG123" s="25697">
        <f>IF(HLOOKUP("BC",A1:CV300,123,FALSE)=0,0,HLOOKUP("Gs - BC",A1:CV300,123,FALSE)/HLOOKUP("BC",A1:CV300,123,FALSE))</f>
      </c>
      <c r="AH123" s="25698">
        <f>HLOOKUP("BC",A1:CV300,123,FALSE) - HLOOKUP("BC Miss",A1:CV300,123,FALSE)</f>
      </c>
      <c r="AI123" s="25699">
        <f>IF(HLOOKUP("Gs",A1:CV300,123,FALSE)=0,0,HLOOKUP("Gs - BC",A1:CV300,123,FALSE)/HLOOKUP("Gs",A1:CV300,123,FALSE))</f>
      </c>
      <c r="AJ123" t="n" s="25700">
        <v>0.0</v>
      </c>
      <c r="AK123" t="n" s="25701">
        <v>0.0</v>
      </c>
      <c r="AL123" s="25702">
        <f>HLOOKUP("BC",A1:CV300,123,FALSE) - (HLOOKUP("PK Gs",A1:CV300,123,FALSE) + HLOOKUP("PK Miss",A1:CV300,123,FALSE))</f>
      </c>
      <c r="AM123" s="25703">
        <f>HLOOKUP("BC Miss",A1:CV300,123,FALSE) - HLOOKUP("PK Miss",A1:CV300,123,FALSE)</f>
      </c>
      <c r="AN123" s="25704">
        <f>IF(HLOOKUP("BC - Open",A1:CV300,123,FALSE)=0,0,HLOOKUP("BC - Open Miss",A1:CV300,123,FALSE)/HLOOKUP("BC - Open",A1:CV300,123,FALSE))</f>
      </c>
      <c r="AO123" t="n" s="25705">
        <v>0.0</v>
      </c>
      <c r="AP123" s="25706">
        <f>IF(HLOOKUP("Gs",A1:CV300,123,FALSE)=0,0,HLOOKUP("GIB",A1:CV300,123,FALSE)/HLOOKUP("Gs",A1:CV300,123,FALSE))</f>
      </c>
      <c r="AQ123" t="n" s="25707">
        <v>0.0</v>
      </c>
      <c r="AR123" s="25708">
        <f>IF(HLOOKUP("Gs",A1:CV300,123,FALSE)=0,0,HLOOKUP("Gs - Open",A1:CV300,123,FALSE)/HLOOKUP("Gs",A1:CV300,123,FALSE))</f>
      </c>
      <c r="AS123" t="n" s="25709">
        <v>0.05</v>
      </c>
      <c r="AT123" t="n" s="25710">
        <v>0.02</v>
      </c>
      <c r="AU123" s="25711">
        <f>IF(HLOOKUP("Mins",A1:CV300,123,FALSE)=0,0,HLOOKUP("Pts",A1:CV300,123,FALSE)/HLOOKUP("Mins",A1:CV300,123,FALSE)* 90)</f>
      </c>
      <c r="AV123" s="25712">
        <f>IF(HLOOKUP("Apps",A1:CV300,123,FALSE)=0,0,HLOOKUP("Pts",A1:CV300,123,FALSE)/HLOOKUP("Apps",A1:CV300,123,FALSE)* 1)</f>
      </c>
      <c r="AW123" s="25713">
        <f>IF(HLOOKUP("Mins",A1:CV300,123,FALSE)=0,0,HLOOKUP("Gs",A1:CV300,123,FALSE)/HLOOKUP("Mins",A1:CV300,123,FALSE)* 90)</f>
      </c>
      <c r="AX123" s="25714">
        <f>IF(HLOOKUP("Mins",A1:CV300,123,FALSE)=0,0,HLOOKUP("Bonus",A1:CV300,123,FALSE)/HLOOKUP("Mins",A1:CV300,123,FALSE)* 90)</f>
      </c>
      <c r="AY123" s="25715">
        <f>IF(HLOOKUP("Mins",A1:CV300,123,FALSE)=0,0,HLOOKUP("BPS",A1:CV300,123,FALSE)/HLOOKUP("Mins",A1:CV300,123,FALSE)* 90)</f>
      </c>
      <c r="AZ123" s="25716">
        <f>IF(HLOOKUP("Mins",A1:CV300,123,FALSE)=0,0,HLOOKUP("Base BPS",A1:CV300,123,FALSE)/HLOOKUP("Mins",A1:CV300,123,FALSE)* 90)</f>
      </c>
      <c r="BA123" s="25717">
        <f>IF(HLOOKUP("Mins",A1:CV300,123,FALSE)=0,0,HLOOKUP("PenTchs",A1:CV300,123,FALSE)/HLOOKUP("Mins",A1:CV300,123,FALSE)* 90)</f>
      </c>
      <c r="BB123" s="25718">
        <f>IF(HLOOKUP("Mins",A1:CV300,123,FALSE)=0,0,HLOOKUP("Shots",A1:CV300,123,FALSE)/HLOOKUP("Mins",A1:CV300,123,FALSE)* 90)</f>
      </c>
      <c r="BC123" s="25719">
        <f>IF(HLOOKUP("Mins",A1:CV300,123,FALSE)=0,0,HLOOKUP("SIB",A1:CV300,123,FALSE)/HLOOKUP("Mins",A1:CV300,123,FALSE)* 90)</f>
      </c>
      <c r="BD123" s="25720">
        <f>IF(HLOOKUP("Mins",A1:CV300,123,FALSE)=0,0,HLOOKUP("S6YD",A1:CV300,123,FALSE)/HLOOKUP("Mins",A1:CV300,123,FALSE)* 90)</f>
      </c>
      <c r="BE123" s="25721">
        <f>IF(HLOOKUP("Mins",A1:CV300,123,FALSE)=0,0,HLOOKUP("Headers",A1:CV300,123,FALSE)/HLOOKUP("Mins",A1:CV300,123,FALSE)* 90)</f>
      </c>
      <c r="BF123" s="25722">
        <f>IF(HLOOKUP("Mins",A1:CV300,123,FALSE)=0,0,HLOOKUP("SOT",A1:CV300,123,FALSE)/HLOOKUP("Mins",A1:CV300,123,FALSE)* 90)</f>
      </c>
      <c r="BG123" s="25723">
        <f>IF(HLOOKUP("Mins",A1:CV300,123,FALSE)=0,0,HLOOKUP("As",A1:CV300,123,FALSE)/HLOOKUP("Mins",A1:CV300,123,FALSE)* 90)</f>
      </c>
      <c r="BH123" s="25724">
        <f>IF(HLOOKUP("Mins",A1:CV300,123,FALSE)=0,0,HLOOKUP("FPL As",A1:CV300,123,FALSE)/HLOOKUP("Mins",A1:CV300,123,FALSE)* 90)</f>
      </c>
      <c r="BI123" s="25725">
        <f>IF(HLOOKUP("Mins",A1:CV300,123,FALSE)=0,0,HLOOKUP("BC Created",A1:CV300,123,FALSE)/HLOOKUP("Mins",A1:CV300,123,FALSE)* 90)</f>
      </c>
      <c r="BJ123" s="25726">
        <f>IF(HLOOKUP("Mins",A1:CV300,123,FALSE)=0,0,HLOOKUP("KP",A1:CV300,123,FALSE)/HLOOKUP("Mins",A1:CV300,123,FALSE)* 90)</f>
      </c>
      <c r="BK123" s="25727">
        <f>IF(HLOOKUP("Mins",A1:CV300,123,FALSE)=0,0,HLOOKUP("BC",A1:CV300,123,FALSE)/HLOOKUP("Mins",A1:CV300,123,FALSE)* 90)</f>
      </c>
      <c r="BL123" s="25728">
        <f>IF(HLOOKUP("Mins",A1:CV300,123,FALSE)=0,0,HLOOKUP("BC Miss",A1:CV300,123,FALSE)/HLOOKUP("Mins",A1:CV300,123,FALSE)* 90)</f>
      </c>
      <c r="BM123" s="25729">
        <f>IF(HLOOKUP("Mins",A1:CV300,123,FALSE)=0,0,HLOOKUP("Gs - BC",A1:CV300,123,FALSE)/HLOOKUP("Mins",A1:CV300,123,FALSE)* 90)</f>
      </c>
      <c r="BN123" s="25730">
        <f>IF(HLOOKUP("Mins",A1:CV300,123,FALSE)=0,0,HLOOKUP("GIB",A1:CV300,123,FALSE)/HLOOKUP("Mins",A1:CV300,123,FALSE)* 90)</f>
      </c>
      <c r="BO123" s="25731">
        <f>IF(HLOOKUP("Mins",A1:CV300,123,FALSE)=0,0,HLOOKUP("Gs - Open",A1:CV300,123,FALSE)/HLOOKUP("Mins",A1:CV300,123,FALSE)* 90)</f>
      </c>
      <c r="BP123" s="25732">
        <f>IF(HLOOKUP("Mins",A1:CV300,123,FALSE)=0,0,HLOOKUP("ICT Index",A1:CV300,123,FALSE)/HLOOKUP("Mins",A1:CV300,123,FALSE)* 90)</f>
      </c>
      <c r="BQ123" s="25733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</c>
      <c r="BR123" s="25734">
        <f>0.0885*HLOOKUP("KP/90",A1:CV300,123,FALSE)</f>
      </c>
      <c r="BS123" s="25735">
        <f>5*HLOOKUP("xG/90",A1:CV300,123,FALSE)+3*HLOOKUP("xA/90",A1:CV300,123,FALSE)</f>
      </c>
      <c r="BT123" s="25736">
        <f>HLOOKUP("xPts/90",A1:CV300,123,FALSE)-(5*0.75*(HLOOKUP("PK Gs",A1:CV300,123,FALSE)+HLOOKUP("PK Miss",A1:CV300,123,FALSE))*90/HLOOKUP("Mins",A1:CV300,123,FALSE))</f>
      </c>
      <c r="BU123" s="25737">
        <f>IF(HLOOKUP("Mins",A1:CV300,123,FALSE)=0,0,HLOOKUP("fsXG",A1:CV300,123,FALSE)/HLOOKUP("Mins",A1:CV300,123,FALSE)* 90)</f>
      </c>
      <c r="BV123" s="25738">
        <f>IF(HLOOKUP("Mins",A1:CV300,123,FALSE)=0,0,HLOOKUP("fsXA",A1:CV300,123,FALSE)/HLOOKUP("Mins",A1:CV300,123,FALSE)* 90)</f>
      </c>
      <c r="BW123" s="25739">
        <f>5*HLOOKUP("fsXG/90",A1:CV300,123,FALSE)+3*HLOOKUP("fsXA/90",A1:CV300,123,FALSE)</f>
      </c>
      <c r="BX123" t="n" s="25740">
        <v>0.1765788495540619</v>
      </c>
      <c r="BY123" t="n" s="25741">
        <v>0.056849636137485504</v>
      </c>
      <c r="BZ123" s="25742">
        <f>5*HLOOKUP("uXG/90",A1:CV300,123,FALSE)+3*HLOOKUP("uXA/90",A1:CV300,123,FALSE)</f>
      </c>
    </row>
    <row r="124">
      <c r="A124" t="s" s="25743">
        <v>427</v>
      </c>
      <c r="B124" t="s" s="25744">
        <v>87</v>
      </c>
      <c r="C124" t="n" s="25745">
        <v>5.699999809265137</v>
      </c>
      <c r="D124" t="n" s="25746">
        <v>87.0</v>
      </c>
      <c r="E124" t="n" s="25747">
        <v>3.0</v>
      </c>
      <c r="F124" t="n" s="25748">
        <v>50.0</v>
      </c>
      <c r="G124" t="n" s="25749">
        <v>0.0</v>
      </c>
      <c r="H124" t="n" s="25750">
        <v>6.0</v>
      </c>
      <c r="I124" t="n" s="25751">
        <v>199.0</v>
      </c>
      <c r="J124" s="25752">
        <f>HLOOKUP("BPS",A1:CV300,124,FALSE)-((-6*HLOOKUP("OG",A1:CV300,124,FALSE))+(-6*HLOOKUP("PK Miss",A1:CV300,124,FALSE))+(9*HLOOKUP("FPL As",A1:CV300,124,FALSE))+(0*HLOOKUP("CS",A1:CV300,124,FALSE))+(18*HLOOKUP("Gs",A1:CV300,124,FALSE)))</f>
      </c>
      <c r="K124" t="n" s="25753">
        <v>0.0</v>
      </c>
      <c r="L124" t="n" s="25754">
        <v>2.0</v>
      </c>
      <c r="M124" t="n" s="25755">
        <v>0.0</v>
      </c>
      <c r="N124" t="n" s="25756">
        <v>0.0</v>
      </c>
      <c r="O124" t="n" s="25757">
        <v>0.0</v>
      </c>
      <c r="P124" s="25758">
        <f>IF(HLOOKUP("Shots",A1:CV300,124,FALSE)=0,0,HLOOKUP("SIB",A1:CV300,124,FALSE)/HLOOKUP("Shots",A1:CV300,124,FALSE))</f>
      </c>
      <c r="Q124" t="n" s="25759">
        <v>0.0</v>
      </c>
      <c r="R124" s="25760">
        <f>IF(HLOOKUP("Shots",A1:CV300,124,FALSE)=0,0,HLOOKUP("S6YD",A1:CV300,124,FALSE)/HLOOKUP("Shots",A1:CV300,124,FALSE))</f>
      </c>
      <c r="S124" t="n" s="25761">
        <v>0.0</v>
      </c>
      <c r="T124" s="25762">
        <f>IF(HLOOKUP("Shots",A1:CV300,124,FALSE)=0,0,HLOOKUP("Headers",A1:CV300,124,FALSE)/HLOOKUP("Shots",A1:CV300,124,FALSE))</f>
      </c>
      <c r="U124" t="n" s="25763">
        <v>0.0</v>
      </c>
      <c r="V124" s="25764">
        <f>IF(HLOOKUP("Shots",A1:CV300,124,FALSE)=0,0,HLOOKUP("SOT",A1:CV300,124,FALSE)/HLOOKUP("Shots",A1:CV300,124,FALSE))</f>
      </c>
      <c r="W124" s="25765">
        <f>IF(HLOOKUP("Shots",A1:CV300,124,FALSE)=0,0,HLOOKUP("Gs",A1:CV300,124,FALSE)/HLOOKUP("Shots",A1:CV300,124,FALSE))</f>
      </c>
      <c r="X124" t="n" s="25766">
        <v>0.0</v>
      </c>
      <c r="Y124" t="n" s="25767">
        <v>2.0</v>
      </c>
      <c r="Z124" t="n" s="25768">
        <v>2.0</v>
      </c>
      <c r="AA124" s="25769">
        <f>IF(HLOOKUP("KP",A1:CV300,124,FALSE)=0,0,HLOOKUP("As",A1:CV300,124,FALSE)/HLOOKUP("KP",A1:CV300,124,FALSE))</f>
      </c>
      <c r="AB124" s="25770"/>
      <c r="AC124" t="n" s="25771">
        <v>0.0</v>
      </c>
      <c r="AD124" t="n" s="25772">
        <v>0.0</v>
      </c>
      <c r="AE124" t="n" s="25773">
        <v>0.0</v>
      </c>
      <c r="AF124" t="n" s="25774">
        <v>0.0</v>
      </c>
      <c r="AG124" s="25775">
        <f>IF(HLOOKUP("BC",A1:CV300,124,FALSE)=0,0,HLOOKUP("Gs - BC",A1:CV300,124,FALSE)/HLOOKUP("BC",A1:CV300,124,FALSE))</f>
      </c>
      <c r="AH124" s="25776">
        <f>HLOOKUP("BC",A1:CV300,124,FALSE) - HLOOKUP("BC Miss",A1:CV300,124,FALSE)</f>
      </c>
      <c r="AI124" s="25777">
        <f>IF(HLOOKUP("Gs",A1:CV300,124,FALSE)=0,0,HLOOKUP("Gs - BC",A1:CV300,124,FALSE)/HLOOKUP("Gs",A1:CV300,124,FALSE))</f>
      </c>
      <c r="AJ124" t="n" s="25778">
        <v>0.0</v>
      </c>
      <c r="AK124" t="n" s="25779">
        <v>0.0</v>
      </c>
      <c r="AL124" s="25780">
        <f>HLOOKUP("BC",A1:CV300,124,FALSE) - (HLOOKUP("PK Gs",A1:CV300,124,FALSE) + HLOOKUP("PK Miss",A1:CV300,124,FALSE))</f>
      </c>
      <c r="AM124" s="25781">
        <f>HLOOKUP("BC Miss",A1:CV300,124,FALSE) - HLOOKUP("PK Miss",A1:CV300,124,FALSE)</f>
      </c>
      <c r="AN124" s="25782">
        <f>IF(HLOOKUP("BC - Open",A1:CV300,124,FALSE)=0,0,HLOOKUP("BC - Open Miss",A1:CV300,124,FALSE)/HLOOKUP("BC - Open",A1:CV300,124,FALSE))</f>
      </c>
      <c r="AO124" t="n" s="25783">
        <v>0.0</v>
      </c>
      <c r="AP124" s="25784">
        <f>IF(HLOOKUP("Gs",A1:CV300,124,FALSE)=0,0,HLOOKUP("GIB",A1:CV300,124,FALSE)/HLOOKUP("Gs",A1:CV300,124,FALSE))</f>
      </c>
      <c r="AQ124" t="n" s="25785">
        <v>0.0</v>
      </c>
      <c r="AR124" s="25786">
        <f>IF(HLOOKUP("Gs",A1:CV300,124,FALSE)=0,0,HLOOKUP("Gs - Open",A1:CV300,124,FALSE)/HLOOKUP("Gs",A1:CV300,124,FALSE))</f>
      </c>
      <c r="AS124" t="n" s="25787">
        <v>0.0</v>
      </c>
      <c r="AT124" t="n" s="25788">
        <v>0.04</v>
      </c>
      <c r="AU124" s="25789">
        <f>IF(HLOOKUP("Mins",A1:CV300,124,FALSE)=0,0,HLOOKUP("Pts",A1:CV300,124,FALSE)/HLOOKUP("Mins",A1:CV300,124,FALSE)* 90)</f>
      </c>
      <c r="AV124" s="25790">
        <f>IF(HLOOKUP("Apps",A1:CV300,124,FALSE)=0,0,HLOOKUP("Pts",A1:CV300,124,FALSE)/HLOOKUP("Apps",A1:CV300,124,FALSE)* 1)</f>
      </c>
      <c r="AW124" s="25791">
        <f>IF(HLOOKUP("Mins",A1:CV300,124,FALSE)=0,0,HLOOKUP("Gs",A1:CV300,124,FALSE)/HLOOKUP("Mins",A1:CV300,124,FALSE)* 90)</f>
      </c>
      <c r="AX124" s="25792">
        <f>IF(HLOOKUP("Mins",A1:CV300,124,FALSE)=0,0,HLOOKUP("Bonus",A1:CV300,124,FALSE)/HLOOKUP("Mins",A1:CV300,124,FALSE)* 90)</f>
      </c>
      <c r="AY124" s="25793">
        <f>IF(HLOOKUP("Mins",A1:CV300,124,FALSE)=0,0,HLOOKUP("BPS",A1:CV300,124,FALSE)/HLOOKUP("Mins",A1:CV300,124,FALSE)* 90)</f>
      </c>
      <c r="AZ124" s="25794">
        <f>IF(HLOOKUP("Mins",A1:CV300,124,FALSE)=0,0,HLOOKUP("Base BPS",A1:CV300,124,FALSE)/HLOOKUP("Mins",A1:CV300,124,FALSE)* 90)</f>
      </c>
      <c r="BA124" s="25795">
        <f>IF(HLOOKUP("Mins",A1:CV300,124,FALSE)=0,0,HLOOKUP("PenTchs",A1:CV300,124,FALSE)/HLOOKUP("Mins",A1:CV300,124,FALSE)* 90)</f>
      </c>
      <c r="BB124" s="25796">
        <f>IF(HLOOKUP("Mins",A1:CV300,124,FALSE)=0,0,HLOOKUP("Shots",A1:CV300,124,FALSE)/HLOOKUP("Mins",A1:CV300,124,FALSE)* 90)</f>
      </c>
      <c r="BC124" s="25797">
        <f>IF(HLOOKUP("Mins",A1:CV300,124,FALSE)=0,0,HLOOKUP("SIB",A1:CV300,124,FALSE)/HLOOKUP("Mins",A1:CV300,124,FALSE)* 90)</f>
      </c>
      <c r="BD124" s="25798">
        <f>IF(HLOOKUP("Mins",A1:CV300,124,FALSE)=0,0,HLOOKUP("S6YD",A1:CV300,124,FALSE)/HLOOKUP("Mins",A1:CV300,124,FALSE)* 90)</f>
      </c>
      <c r="BE124" s="25799">
        <f>IF(HLOOKUP("Mins",A1:CV300,124,FALSE)=0,0,HLOOKUP("Headers",A1:CV300,124,FALSE)/HLOOKUP("Mins",A1:CV300,124,FALSE)* 90)</f>
      </c>
      <c r="BF124" s="25800">
        <f>IF(HLOOKUP("Mins",A1:CV300,124,FALSE)=0,0,HLOOKUP("SOT",A1:CV300,124,FALSE)/HLOOKUP("Mins",A1:CV300,124,FALSE)* 90)</f>
      </c>
      <c r="BG124" s="25801">
        <f>IF(HLOOKUP("Mins",A1:CV300,124,FALSE)=0,0,HLOOKUP("As",A1:CV300,124,FALSE)/HLOOKUP("Mins",A1:CV300,124,FALSE)* 90)</f>
      </c>
      <c r="BH124" s="25802">
        <f>IF(HLOOKUP("Mins",A1:CV300,124,FALSE)=0,0,HLOOKUP("FPL As",A1:CV300,124,FALSE)/HLOOKUP("Mins",A1:CV300,124,FALSE)* 90)</f>
      </c>
      <c r="BI124" s="25803">
        <f>IF(HLOOKUP("Mins",A1:CV300,124,FALSE)=0,0,HLOOKUP("BC Created",A1:CV300,124,FALSE)/HLOOKUP("Mins",A1:CV300,124,FALSE)* 90)</f>
      </c>
      <c r="BJ124" s="25804">
        <f>IF(HLOOKUP("Mins",A1:CV300,124,FALSE)=0,0,HLOOKUP("KP",A1:CV300,124,FALSE)/HLOOKUP("Mins",A1:CV300,124,FALSE)* 90)</f>
      </c>
      <c r="BK124" s="25805">
        <f>IF(HLOOKUP("Mins",A1:CV300,124,FALSE)=0,0,HLOOKUP("BC",A1:CV300,124,FALSE)/HLOOKUP("Mins",A1:CV300,124,FALSE)* 90)</f>
      </c>
      <c r="BL124" s="25806">
        <f>IF(HLOOKUP("Mins",A1:CV300,124,FALSE)=0,0,HLOOKUP("BC Miss",A1:CV300,124,FALSE)/HLOOKUP("Mins",A1:CV300,124,FALSE)* 90)</f>
      </c>
      <c r="BM124" s="25807">
        <f>IF(HLOOKUP("Mins",A1:CV300,124,FALSE)=0,0,HLOOKUP("Gs - BC",A1:CV300,124,FALSE)/HLOOKUP("Mins",A1:CV300,124,FALSE)* 90)</f>
      </c>
      <c r="BN124" s="25808">
        <f>IF(HLOOKUP("Mins",A1:CV300,124,FALSE)=0,0,HLOOKUP("GIB",A1:CV300,124,FALSE)/HLOOKUP("Mins",A1:CV300,124,FALSE)* 90)</f>
      </c>
      <c r="BO124" s="25809">
        <f>IF(HLOOKUP("Mins",A1:CV300,124,FALSE)=0,0,HLOOKUP("Gs - Open",A1:CV300,124,FALSE)/HLOOKUP("Mins",A1:CV300,124,FALSE)* 90)</f>
      </c>
      <c r="BP124" s="25810">
        <f>IF(HLOOKUP("Mins",A1:CV300,124,FALSE)=0,0,HLOOKUP("ICT Index",A1:CV300,124,FALSE)/HLOOKUP("Mins",A1:CV300,124,FALSE)* 90)</f>
      </c>
      <c r="BQ124" s="25811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</c>
      <c r="BR124" s="25812">
        <f>0.0885*HLOOKUP("KP/90",A1:CV300,124,FALSE)</f>
      </c>
      <c r="BS124" s="25813">
        <f>5*HLOOKUP("xG/90",A1:CV300,124,FALSE)+3*HLOOKUP("xA/90",A1:CV300,124,FALSE)</f>
      </c>
      <c r="BT124" s="25814">
        <f>HLOOKUP("xPts/90",A1:CV300,124,FALSE)-(5*0.75*(HLOOKUP("PK Gs",A1:CV300,124,FALSE)+HLOOKUP("PK Miss",A1:CV300,124,FALSE))*90/HLOOKUP("Mins",A1:CV300,124,FALSE))</f>
      </c>
      <c r="BU124" s="25815">
        <f>IF(HLOOKUP("Mins",A1:CV300,124,FALSE)=0,0,HLOOKUP("fsXG",A1:CV300,124,FALSE)/HLOOKUP("Mins",A1:CV300,124,FALSE)* 90)</f>
      </c>
      <c r="BV124" s="25816">
        <f>IF(HLOOKUP("Mins",A1:CV300,124,FALSE)=0,0,HLOOKUP("fsXA",A1:CV300,124,FALSE)/HLOOKUP("Mins",A1:CV300,124,FALSE)* 90)</f>
      </c>
      <c r="BW124" s="25817">
        <f>5*HLOOKUP("fsXG/90",A1:CV300,124,FALSE)+3*HLOOKUP("fsXA/90",A1:CV300,124,FALSE)</f>
      </c>
      <c r="BX124" t="n" s="25818">
        <v>0.0</v>
      </c>
      <c r="BY124" t="n" s="25819">
        <v>0.09940562397241592</v>
      </c>
      <c r="BZ124" s="25820">
        <f>5*HLOOKUP("uXG/90",A1:CV300,124,FALSE)+3*HLOOKUP("uXA/90",A1:CV300,124,FALSE)</f>
      </c>
    </row>
    <row r="125">
      <c r="A125" t="s" s="25821">
        <v>428</v>
      </c>
      <c r="B125" t="s" s="25822">
        <v>114</v>
      </c>
      <c r="C125" t="n" s="25823">
        <v>6.900000095367432</v>
      </c>
      <c r="D125" t="n" s="25824">
        <v>209.0</v>
      </c>
      <c r="E125" t="n" s="25825">
        <v>3.0</v>
      </c>
      <c r="F125" t="n" s="25826">
        <v>31.0</v>
      </c>
      <c r="G125" t="n" s="25827">
        <v>0.0</v>
      </c>
      <c r="H125" t="n" s="25828">
        <v>0.0</v>
      </c>
      <c r="I125" t="n" s="25829">
        <v>72.0</v>
      </c>
      <c r="J125" s="25830">
        <f>HLOOKUP("BPS",A1:CV300,125,FALSE)-((-6*HLOOKUP("OG",A1:CV300,125,FALSE))+(-6*HLOOKUP("PK Miss",A1:CV300,125,FALSE))+(9*HLOOKUP("FPL As",A1:CV300,125,FALSE))+(0*HLOOKUP("CS",A1:CV300,125,FALSE))+(18*HLOOKUP("Gs",A1:CV300,125,FALSE)))</f>
      </c>
      <c r="K125" t="n" s="25831">
        <v>0.0</v>
      </c>
      <c r="L125" t="n" s="25832">
        <v>2.0</v>
      </c>
      <c r="M125" t="n" s="25833">
        <v>13.0</v>
      </c>
      <c r="N125" t="n" s="25834">
        <v>10.0</v>
      </c>
      <c r="O125" t="n" s="25835">
        <v>8.0</v>
      </c>
      <c r="P125" s="25836">
        <f>IF(HLOOKUP("Shots",A1:CV300,125,FALSE)=0,0,HLOOKUP("SIB",A1:CV300,125,FALSE)/HLOOKUP("Shots",A1:CV300,125,FALSE))</f>
      </c>
      <c r="Q125" t="n" s="25837">
        <v>1.0</v>
      </c>
      <c r="R125" s="25838">
        <f>IF(HLOOKUP("Shots",A1:CV300,125,FALSE)=0,0,HLOOKUP("S6YD",A1:CV300,125,FALSE)/HLOOKUP("Shots",A1:CV300,125,FALSE))</f>
      </c>
      <c r="S125" t="n" s="25839">
        <v>1.0</v>
      </c>
      <c r="T125" s="25840">
        <f>IF(HLOOKUP("Shots",A1:CV300,125,FALSE)=0,0,HLOOKUP("Headers",A1:CV300,125,FALSE)/HLOOKUP("Shots",A1:CV300,125,FALSE))</f>
      </c>
      <c r="U125" t="n" s="25841">
        <v>3.0</v>
      </c>
      <c r="V125" s="25842">
        <f>IF(HLOOKUP("Shots",A1:CV300,125,FALSE)=0,0,HLOOKUP("SOT",A1:CV300,125,FALSE)/HLOOKUP("Shots",A1:CV300,125,FALSE))</f>
      </c>
      <c r="W125" s="25843">
        <f>IF(HLOOKUP("Shots",A1:CV300,125,FALSE)=0,0,HLOOKUP("Gs",A1:CV300,125,FALSE)/HLOOKUP("Shots",A1:CV300,125,FALSE))</f>
      </c>
      <c r="X125" t="n" s="25844">
        <v>0.0</v>
      </c>
      <c r="Y125" t="n" s="25845">
        <v>2.0</v>
      </c>
      <c r="Z125" t="n" s="25846">
        <v>0.0</v>
      </c>
      <c r="AA125" s="25847">
        <f>IF(HLOOKUP("KP",A1:CV300,125,FALSE)=0,0,HLOOKUP("As",A1:CV300,125,FALSE)/HLOOKUP("KP",A1:CV300,125,FALSE))</f>
      </c>
      <c r="AB125" s="25848"/>
      <c r="AC125" t="n" s="25849">
        <v>0.0</v>
      </c>
      <c r="AD125" t="n" s="25850">
        <v>0.0</v>
      </c>
      <c r="AE125" t="n" s="25851">
        <v>0.0</v>
      </c>
      <c r="AF125" t="n" s="25852">
        <v>0.0</v>
      </c>
      <c r="AG125" s="25853">
        <f>IF(HLOOKUP("BC",A1:CV300,125,FALSE)=0,0,HLOOKUP("Gs - BC",A1:CV300,125,FALSE)/HLOOKUP("BC",A1:CV300,125,FALSE))</f>
      </c>
      <c r="AH125" s="25854">
        <f>HLOOKUP("BC",A1:CV300,125,FALSE) - HLOOKUP("BC Miss",A1:CV300,125,FALSE)</f>
      </c>
      <c r="AI125" s="25855">
        <f>IF(HLOOKUP("Gs",A1:CV300,125,FALSE)=0,0,HLOOKUP("Gs - BC",A1:CV300,125,FALSE)/HLOOKUP("Gs",A1:CV300,125,FALSE))</f>
      </c>
      <c r="AJ125" t="n" s="25856">
        <v>0.0</v>
      </c>
      <c r="AK125" t="n" s="25857">
        <v>0.0</v>
      </c>
      <c r="AL125" s="25858">
        <f>HLOOKUP("BC",A1:CV300,125,FALSE) - (HLOOKUP("PK Gs",A1:CV300,125,FALSE) + HLOOKUP("PK Miss",A1:CV300,125,FALSE))</f>
      </c>
      <c r="AM125" s="25859">
        <f>HLOOKUP("BC Miss",A1:CV300,125,FALSE) - HLOOKUP("PK Miss",A1:CV300,125,FALSE)</f>
      </c>
      <c r="AN125" s="25860">
        <f>IF(HLOOKUP("BC - Open",A1:CV300,125,FALSE)=0,0,HLOOKUP("BC - Open Miss",A1:CV300,125,FALSE)/HLOOKUP("BC - Open",A1:CV300,125,FALSE))</f>
      </c>
      <c r="AO125" t="n" s="25861">
        <v>0.0</v>
      </c>
      <c r="AP125" s="25862">
        <f>IF(HLOOKUP("Gs",A1:CV300,125,FALSE)=0,0,HLOOKUP("GIB",A1:CV300,125,FALSE)/HLOOKUP("Gs",A1:CV300,125,FALSE))</f>
      </c>
      <c r="AQ125" t="n" s="25863">
        <v>0.0</v>
      </c>
      <c r="AR125" s="25864">
        <f>IF(HLOOKUP("Gs",A1:CV300,125,FALSE)=0,0,HLOOKUP("Gs - Open",A1:CV300,125,FALSE)/HLOOKUP("Gs",A1:CV300,125,FALSE))</f>
      </c>
      <c r="AS125" t="n" s="25865">
        <v>1.13</v>
      </c>
      <c r="AT125" t="n" s="25866">
        <v>0.03</v>
      </c>
      <c r="AU125" s="25867">
        <f>IF(HLOOKUP("Mins",A1:CV300,125,FALSE)=0,0,HLOOKUP("Pts",A1:CV300,125,FALSE)/HLOOKUP("Mins",A1:CV300,125,FALSE)* 90)</f>
      </c>
      <c r="AV125" s="25868">
        <f>IF(HLOOKUP("Apps",A1:CV300,125,FALSE)=0,0,HLOOKUP("Pts",A1:CV300,125,FALSE)/HLOOKUP("Apps",A1:CV300,125,FALSE)* 1)</f>
      </c>
      <c r="AW125" s="25869">
        <f>IF(HLOOKUP("Mins",A1:CV300,125,FALSE)=0,0,HLOOKUP("Gs",A1:CV300,125,FALSE)/HLOOKUP("Mins",A1:CV300,125,FALSE)* 90)</f>
      </c>
      <c r="AX125" s="25870">
        <f>IF(HLOOKUP("Mins",A1:CV300,125,FALSE)=0,0,HLOOKUP("Bonus",A1:CV300,125,FALSE)/HLOOKUP("Mins",A1:CV300,125,FALSE)* 90)</f>
      </c>
      <c r="AY125" s="25871">
        <f>IF(HLOOKUP("Mins",A1:CV300,125,FALSE)=0,0,HLOOKUP("BPS",A1:CV300,125,FALSE)/HLOOKUP("Mins",A1:CV300,125,FALSE)* 90)</f>
      </c>
      <c r="AZ125" s="25872">
        <f>IF(HLOOKUP("Mins",A1:CV300,125,FALSE)=0,0,HLOOKUP("Base BPS",A1:CV300,125,FALSE)/HLOOKUP("Mins",A1:CV300,125,FALSE)* 90)</f>
      </c>
      <c r="BA125" s="25873">
        <f>IF(HLOOKUP("Mins",A1:CV300,125,FALSE)=0,0,HLOOKUP("PenTchs",A1:CV300,125,FALSE)/HLOOKUP("Mins",A1:CV300,125,FALSE)* 90)</f>
      </c>
      <c r="BB125" s="25874">
        <f>IF(HLOOKUP("Mins",A1:CV300,125,FALSE)=0,0,HLOOKUP("Shots",A1:CV300,125,FALSE)/HLOOKUP("Mins",A1:CV300,125,FALSE)* 90)</f>
      </c>
      <c r="BC125" s="25875">
        <f>IF(HLOOKUP("Mins",A1:CV300,125,FALSE)=0,0,HLOOKUP("SIB",A1:CV300,125,FALSE)/HLOOKUP("Mins",A1:CV300,125,FALSE)* 90)</f>
      </c>
      <c r="BD125" s="25876">
        <f>IF(HLOOKUP("Mins",A1:CV300,125,FALSE)=0,0,HLOOKUP("S6YD",A1:CV300,125,FALSE)/HLOOKUP("Mins",A1:CV300,125,FALSE)* 90)</f>
      </c>
      <c r="BE125" s="25877">
        <f>IF(HLOOKUP("Mins",A1:CV300,125,FALSE)=0,0,HLOOKUP("Headers",A1:CV300,125,FALSE)/HLOOKUP("Mins",A1:CV300,125,FALSE)* 90)</f>
      </c>
      <c r="BF125" s="25878">
        <f>IF(HLOOKUP("Mins",A1:CV300,125,FALSE)=0,0,HLOOKUP("SOT",A1:CV300,125,FALSE)/HLOOKUP("Mins",A1:CV300,125,FALSE)* 90)</f>
      </c>
      <c r="BG125" s="25879">
        <f>IF(HLOOKUP("Mins",A1:CV300,125,FALSE)=0,0,HLOOKUP("As",A1:CV300,125,FALSE)/HLOOKUP("Mins",A1:CV300,125,FALSE)* 90)</f>
      </c>
      <c r="BH125" s="25880">
        <f>IF(HLOOKUP("Mins",A1:CV300,125,FALSE)=0,0,HLOOKUP("FPL As",A1:CV300,125,FALSE)/HLOOKUP("Mins",A1:CV300,125,FALSE)* 90)</f>
      </c>
      <c r="BI125" s="25881">
        <f>IF(HLOOKUP("Mins",A1:CV300,125,FALSE)=0,0,HLOOKUP("BC Created",A1:CV300,125,FALSE)/HLOOKUP("Mins",A1:CV300,125,FALSE)* 90)</f>
      </c>
      <c r="BJ125" s="25882">
        <f>IF(HLOOKUP("Mins",A1:CV300,125,FALSE)=0,0,HLOOKUP("KP",A1:CV300,125,FALSE)/HLOOKUP("Mins",A1:CV300,125,FALSE)* 90)</f>
      </c>
      <c r="BK125" s="25883">
        <f>IF(HLOOKUP("Mins",A1:CV300,125,FALSE)=0,0,HLOOKUP("BC",A1:CV300,125,FALSE)/HLOOKUP("Mins",A1:CV300,125,FALSE)* 90)</f>
      </c>
      <c r="BL125" s="25884">
        <f>IF(HLOOKUP("Mins",A1:CV300,125,FALSE)=0,0,HLOOKUP("BC Miss",A1:CV300,125,FALSE)/HLOOKUP("Mins",A1:CV300,125,FALSE)* 90)</f>
      </c>
      <c r="BM125" s="25885">
        <f>IF(HLOOKUP("Mins",A1:CV300,125,FALSE)=0,0,HLOOKUP("Gs - BC",A1:CV300,125,FALSE)/HLOOKUP("Mins",A1:CV300,125,FALSE)* 90)</f>
      </c>
      <c r="BN125" s="25886">
        <f>IF(HLOOKUP("Mins",A1:CV300,125,FALSE)=0,0,HLOOKUP("GIB",A1:CV300,125,FALSE)/HLOOKUP("Mins",A1:CV300,125,FALSE)* 90)</f>
      </c>
      <c r="BO125" s="25887">
        <f>IF(HLOOKUP("Mins",A1:CV300,125,FALSE)=0,0,HLOOKUP("Gs - Open",A1:CV300,125,FALSE)/HLOOKUP("Mins",A1:CV300,125,FALSE)* 90)</f>
      </c>
      <c r="BP125" s="25888">
        <f>IF(HLOOKUP("Mins",A1:CV300,125,FALSE)=0,0,HLOOKUP("ICT Index",A1:CV300,125,FALSE)/HLOOKUP("Mins",A1:CV300,125,FALSE)* 90)</f>
      </c>
      <c r="BQ125" s="25889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</c>
      <c r="BR125" s="25890">
        <f>0.0885*HLOOKUP("KP/90",A1:CV300,125,FALSE)</f>
      </c>
      <c r="BS125" s="25891">
        <f>5*HLOOKUP("xG/90",A1:CV300,125,FALSE)+3*HLOOKUP("xA/90",A1:CV300,125,FALSE)</f>
      </c>
      <c r="BT125" s="25892">
        <f>HLOOKUP("xPts/90",A1:CV300,125,FALSE)-(5*0.75*(HLOOKUP("PK Gs",A1:CV300,125,FALSE)+HLOOKUP("PK Miss",A1:CV300,125,FALSE))*90/HLOOKUP("Mins",A1:CV300,125,FALSE))</f>
      </c>
      <c r="BU125" s="25893">
        <f>IF(HLOOKUP("Mins",A1:CV300,125,FALSE)=0,0,HLOOKUP("fsXG",A1:CV300,125,FALSE)/HLOOKUP("Mins",A1:CV300,125,FALSE)* 90)</f>
      </c>
      <c r="BV125" s="25894">
        <f>IF(HLOOKUP("Mins",A1:CV300,125,FALSE)=0,0,HLOOKUP("fsXA",A1:CV300,125,FALSE)/HLOOKUP("Mins",A1:CV300,125,FALSE)* 90)</f>
      </c>
      <c r="BW125" s="25895">
        <f>5*HLOOKUP("fsXG/90",A1:CV300,125,FALSE)+3*HLOOKUP("fsXA/90",A1:CV300,125,FALSE)</f>
      </c>
      <c r="BX125" t="n" s="25896">
        <v>0.3234877586364746</v>
      </c>
      <c r="BY125" t="n" s="25897">
        <v>0.0</v>
      </c>
      <c r="BZ125" s="25898">
        <f>5*HLOOKUP("uXG/90",A1:CV300,125,FALSE)+3*HLOOKUP("uXA/90",A1:CV300,125,FALSE)</f>
      </c>
    </row>
    <row r="126">
      <c r="A126" t="s" s="25899">
        <v>429</v>
      </c>
      <c r="B126" t="s" s="25900">
        <v>107</v>
      </c>
      <c r="C126" t="n" s="25901">
        <v>4.900000095367432</v>
      </c>
      <c r="D126" t="n" s="25902">
        <v>303.0</v>
      </c>
      <c r="E126" t="n" s="25903">
        <v>6.0</v>
      </c>
      <c r="F126" t="n" s="25904">
        <v>64.0</v>
      </c>
      <c r="G126" t="n" s="25905">
        <v>0.0</v>
      </c>
      <c r="H126" t="n" s="25906">
        <v>4.0</v>
      </c>
      <c r="I126" t="n" s="25907">
        <v>219.0</v>
      </c>
      <c r="J126" s="25908">
        <f>HLOOKUP("BPS",A1:CV300,126,FALSE)-((-6*HLOOKUP("OG",A1:CV300,126,FALSE))+(-6*HLOOKUP("PK Miss",A1:CV300,126,FALSE))+(9*HLOOKUP("FPL As",A1:CV300,126,FALSE))+(0*HLOOKUP("CS",A1:CV300,126,FALSE))+(18*HLOOKUP("Gs",A1:CV300,126,FALSE)))</f>
      </c>
      <c r="K126" t="n" s="25909">
        <v>0.0</v>
      </c>
      <c r="L126" t="n" s="25910">
        <v>6.0</v>
      </c>
      <c r="M126" t="n" s="25911">
        <v>9.0</v>
      </c>
      <c r="N126" t="n" s="25912">
        <v>1.0</v>
      </c>
      <c r="O126" t="n" s="25913">
        <v>1.0</v>
      </c>
      <c r="P126" s="25914">
        <f>IF(HLOOKUP("Shots",A1:CV300,126,FALSE)=0,0,HLOOKUP("SIB",A1:CV300,126,FALSE)/HLOOKUP("Shots",A1:CV300,126,FALSE))</f>
      </c>
      <c r="Q126" t="n" s="25915">
        <v>0.0</v>
      </c>
      <c r="R126" s="25916">
        <f>IF(HLOOKUP("Shots",A1:CV300,126,FALSE)=0,0,HLOOKUP("S6YD",A1:CV300,126,FALSE)/HLOOKUP("Shots",A1:CV300,126,FALSE))</f>
      </c>
      <c r="S126" t="n" s="25917">
        <v>0.0</v>
      </c>
      <c r="T126" s="25918">
        <f>IF(HLOOKUP("Shots",A1:CV300,126,FALSE)=0,0,HLOOKUP("Headers",A1:CV300,126,FALSE)/HLOOKUP("Shots",A1:CV300,126,FALSE))</f>
      </c>
      <c r="U126" t="n" s="25919">
        <v>1.0</v>
      </c>
      <c r="V126" s="25920">
        <f>IF(HLOOKUP("Shots",A1:CV300,126,FALSE)=0,0,HLOOKUP("SOT",A1:CV300,126,FALSE)/HLOOKUP("Shots",A1:CV300,126,FALSE))</f>
      </c>
      <c r="W126" s="25921">
        <f>IF(HLOOKUP("Shots",A1:CV300,126,FALSE)=0,0,HLOOKUP("Gs",A1:CV300,126,FALSE)/HLOOKUP("Shots",A1:CV300,126,FALSE))</f>
      </c>
      <c r="X126" t="n" s="25922">
        <v>1.0</v>
      </c>
      <c r="Y126" t="n" s="25923">
        <v>2.0</v>
      </c>
      <c r="Z126" t="n" s="25924">
        <v>3.0</v>
      </c>
      <c r="AA126" s="25925">
        <f>IF(HLOOKUP("KP",A1:CV300,126,FALSE)=0,0,HLOOKUP("As",A1:CV300,126,FALSE)/HLOOKUP("KP",A1:CV300,126,FALSE))</f>
      </c>
      <c r="AB126" s="25926"/>
      <c r="AC126" t="n" s="25927">
        <v>25.0</v>
      </c>
      <c r="AD126" t="n" s="25928">
        <v>0.0</v>
      </c>
      <c r="AE126" t="n" s="25929">
        <v>0.0</v>
      </c>
      <c r="AF126" t="n" s="25930">
        <v>0.0</v>
      </c>
      <c r="AG126" s="25931">
        <f>IF(HLOOKUP("BC",A1:CV300,126,FALSE)=0,0,HLOOKUP("Gs - BC",A1:CV300,126,FALSE)/HLOOKUP("BC",A1:CV300,126,FALSE))</f>
      </c>
      <c r="AH126" s="25932">
        <f>HLOOKUP("BC",A1:CV300,126,FALSE) - HLOOKUP("BC Miss",A1:CV300,126,FALSE)</f>
      </c>
      <c r="AI126" s="25933">
        <f>IF(HLOOKUP("Gs",A1:CV300,126,FALSE)=0,0,HLOOKUP("Gs - BC",A1:CV300,126,FALSE)/HLOOKUP("Gs",A1:CV300,126,FALSE))</f>
      </c>
      <c r="AJ126" t="n" s="25934">
        <v>0.0</v>
      </c>
      <c r="AK126" t="n" s="25935">
        <v>0.0</v>
      </c>
      <c r="AL126" s="25936">
        <f>HLOOKUP("BC",A1:CV300,126,FALSE) - (HLOOKUP("PK Gs",A1:CV300,126,FALSE) + HLOOKUP("PK Miss",A1:CV300,126,FALSE))</f>
      </c>
      <c r="AM126" s="25937">
        <f>HLOOKUP("BC Miss",A1:CV300,126,FALSE) - HLOOKUP("PK Miss",A1:CV300,126,FALSE)</f>
      </c>
      <c r="AN126" s="25938">
        <f>IF(HLOOKUP("BC - Open",A1:CV300,126,FALSE)=0,0,HLOOKUP("BC - Open Miss",A1:CV300,126,FALSE)/HLOOKUP("BC - Open",A1:CV300,126,FALSE))</f>
      </c>
      <c r="AO126" t="n" s="25939">
        <v>0.0</v>
      </c>
      <c r="AP126" s="25940">
        <f>IF(HLOOKUP("Gs",A1:CV300,126,FALSE)=0,0,HLOOKUP("GIB",A1:CV300,126,FALSE)/HLOOKUP("Gs",A1:CV300,126,FALSE))</f>
      </c>
      <c r="AQ126" t="n" s="25941">
        <v>0.0</v>
      </c>
      <c r="AR126" s="25942">
        <f>IF(HLOOKUP("Gs",A1:CV300,126,FALSE)=0,0,HLOOKUP("Gs - Open",A1:CV300,126,FALSE)/HLOOKUP("Gs",A1:CV300,126,FALSE))</f>
      </c>
      <c r="AS126" t="n" s="25943">
        <v>0.07</v>
      </c>
      <c r="AT126" t="n" s="25944">
        <v>0.3</v>
      </c>
      <c r="AU126" s="25945">
        <f>IF(HLOOKUP("Mins",A1:CV300,126,FALSE)=0,0,HLOOKUP("Pts",A1:CV300,126,FALSE)/HLOOKUP("Mins",A1:CV300,126,FALSE)* 90)</f>
      </c>
      <c r="AV126" s="25946">
        <f>IF(HLOOKUP("Apps",A1:CV300,126,FALSE)=0,0,HLOOKUP("Pts",A1:CV300,126,FALSE)/HLOOKUP("Apps",A1:CV300,126,FALSE)* 1)</f>
      </c>
      <c r="AW126" s="25947">
        <f>IF(HLOOKUP("Mins",A1:CV300,126,FALSE)=0,0,HLOOKUP("Gs",A1:CV300,126,FALSE)/HLOOKUP("Mins",A1:CV300,126,FALSE)* 90)</f>
      </c>
      <c r="AX126" s="25948">
        <f>IF(HLOOKUP("Mins",A1:CV300,126,FALSE)=0,0,HLOOKUP("Bonus",A1:CV300,126,FALSE)/HLOOKUP("Mins",A1:CV300,126,FALSE)* 90)</f>
      </c>
      <c r="AY126" s="25949">
        <f>IF(HLOOKUP("Mins",A1:CV300,126,FALSE)=0,0,HLOOKUP("BPS",A1:CV300,126,FALSE)/HLOOKUP("Mins",A1:CV300,126,FALSE)* 90)</f>
      </c>
      <c r="AZ126" s="25950">
        <f>IF(HLOOKUP("Mins",A1:CV300,126,FALSE)=0,0,HLOOKUP("Base BPS",A1:CV300,126,FALSE)/HLOOKUP("Mins",A1:CV300,126,FALSE)* 90)</f>
      </c>
      <c r="BA126" s="25951">
        <f>IF(HLOOKUP("Mins",A1:CV300,126,FALSE)=0,0,HLOOKUP("PenTchs",A1:CV300,126,FALSE)/HLOOKUP("Mins",A1:CV300,126,FALSE)* 90)</f>
      </c>
      <c r="BB126" s="25952">
        <f>IF(HLOOKUP("Mins",A1:CV300,126,FALSE)=0,0,HLOOKUP("Shots",A1:CV300,126,FALSE)/HLOOKUP("Mins",A1:CV300,126,FALSE)* 90)</f>
      </c>
      <c r="BC126" s="25953">
        <f>IF(HLOOKUP("Mins",A1:CV300,126,FALSE)=0,0,HLOOKUP("SIB",A1:CV300,126,FALSE)/HLOOKUP("Mins",A1:CV300,126,FALSE)* 90)</f>
      </c>
      <c r="BD126" s="25954">
        <f>IF(HLOOKUP("Mins",A1:CV300,126,FALSE)=0,0,HLOOKUP("S6YD",A1:CV300,126,FALSE)/HLOOKUP("Mins",A1:CV300,126,FALSE)* 90)</f>
      </c>
      <c r="BE126" s="25955">
        <f>IF(HLOOKUP("Mins",A1:CV300,126,FALSE)=0,0,HLOOKUP("Headers",A1:CV300,126,FALSE)/HLOOKUP("Mins",A1:CV300,126,FALSE)* 90)</f>
      </c>
      <c r="BF126" s="25956">
        <f>IF(HLOOKUP("Mins",A1:CV300,126,FALSE)=0,0,HLOOKUP("SOT",A1:CV300,126,FALSE)/HLOOKUP("Mins",A1:CV300,126,FALSE)* 90)</f>
      </c>
      <c r="BG126" s="25957">
        <f>IF(HLOOKUP("Mins",A1:CV300,126,FALSE)=0,0,HLOOKUP("As",A1:CV300,126,FALSE)/HLOOKUP("Mins",A1:CV300,126,FALSE)* 90)</f>
      </c>
      <c r="BH126" s="25958">
        <f>IF(HLOOKUP("Mins",A1:CV300,126,FALSE)=0,0,HLOOKUP("FPL As",A1:CV300,126,FALSE)/HLOOKUP("Mins",A1:CV300,126,FALSE)* 90)</f>
      </c>
      <c r="BI126" s="25959">
        <f>IF(HLOOKUP("Mins",A1:CV300,126,FALSE)=0,0,HLOOKUP("BC Created",A1:CV300,126,FALSE)/HLOOKUP("Mins",A1:CV300,126,FALSE)* 90)</f>
      </c>
      <c r="BJ126" s="25960">
        <f>IF(HLOOKUP("Mins",A1:CV300,126,FALSE)=0,0,HLOOKUP("KP",A1:CV300,126,FALSE)/HLOOKUP("Mins",A1:CV300,126,FALSE)* 90)</f>
      </c>
      <c r="BK126" s="25961">
        <f>IF(HLOOKUP("Mins",A1:CV300,126,FALSE)=0,0,HLOOKUP("BC",A1:CV300,126,FALSE)/HLOOKUP("Mins",A1:CV300,126,FALSE)* 90)</f>
      </c>
      <c r="BL126" s="25962">
        <f>IF(HLOOKUP("Mins",A1:CV300,126,FALSE)=0,0,HLOOKUP("BC Miss",A1:CV300,126,FALSE)/HLOOKUP("Mins",A1:CV300,126,FALSE)* 90)</f>
      </c>
      <c r="BM126" s="25963">
        <f>IF(HLOOKUP("Mins",A1:CV300,126,FALSE)=0,0,HLOOKUP("Gs - BC",A1:CV300,126,FALSE)/HLOOKUP("Mins",A1:CV300,126,FALSE)* 90)</f>
      </c>
      <c r="BN126" s="25964">
        <f>IF(HLOOKUP("Mins",A1:CV300,126,FALSE)=0,0,HLOOKUP("GIB",A1:CV300,126,FALSE)/HLOOKUP("Mins",A1:CV300,126,FALSE)* 90)</f>
      </c>
      <c r="BO126" s="25965">
        <f>IF(HLOOKUP("Mins",A1:CV300,126,FALSE)=0,0,HLOOKUP("Gs - Open",A1:CV300,126,FALSE)/HLOOKUP("Mins",A1:CV300,126,FALSE)* 90)</f>
      </c>
      <c r="BP126" s="25966">
        <f>IF(HLOOKUP("Mins",A1:CV300,126,FALSE)=0,0,HLOOKUP("ICT Index",A1:CV300,126,FALSE)/HLOOKUP("Mins",A1:CV300,126,FALSE)* 90)</f>
      </c>
      <c r="BQ126" s="25967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</c>
      <c r="BR126" s="25968">
        <f>0.0885*HLOOKUP("KP/90",A1:CV300,126,FALSE)</f>
      </c>
      <c r="BS126" s="25969">
        <f>5*HLOOKUP("xG/90",A1:CV300,126,FALSE)+3*HLOOKUP("xA/90",A1:CV300,126,FALSE)</f>
      </c>
      <c r="BT126" s="25970">
        <f>HLOOKUP("xPts/90",A1:CV300,126,FALSE)-(5*0.75*(HLOOKUP("PK Gs",A1:CV300,126,FALSE)+HLOOKUP("PK Miss",A1:CV300,126,FALSE))*90/HLOOKUP("Mins",A1:CV300,126,FALSE))</f>
      </c>
      <c r="BU126" s="25971">
        <f>IF(HLOOKUP("Mins",A1:CV300,126,FALSE)=0,0,HLOOKUP("fsXG",A1:CV300,126,FALSE)/HLOOKUP("Mins",A1:CV300,126,FALSE)* 90)</f>
      </c>
      <c r="BV126" s="25972">
        <f>IF(HLOOKUP("Mins",A1:CV300,126,FALSE)=0,0,HLOOKUP("fsXA",A1:CV300,126,FALSE)/HLOOKUP("Mins",A1:CV300,126,FALSE)* 90)</f>
      </c>
      <c r="BW126" s="25973">
        <f>5*HLOOKUP("fsXG/90",A1:CV300,126,FALSE)+3*HLOOKUP("fsXA/90",A1:CV300,126,FALSE)</f>
      </c>
      <c r="BX126" t="n" s="25974">
        <v>0.018206438049674034</v>
      </c>
      <c r="BY126" t="n" s="25975">
        <v>0.06655312329530716</v>
      </c>
      <c r="BZ126" s="25976">
        <f>5*HLOOKUP("uXG/90",A1:CV300,126,FALSE)+3*HLOOKUP("uXA/90",A1:CV300,126,FALSE)</f>
      </c>
    </row>
    <row r="127">
      <c r="A127" t="s" s="25977">
        <v>430</v>
      </c>
      <c r="B127" t="s" s="25978">
        <v>105</v>
      </c>
      <c r="C127" t="n" s="25979">
        <v>5.099999904632568</v>
      </c>
      <c r="D127" t="n" s="25980">
        <v>115.0</v>
      </c>
      <c r="E127" t="n" s="25981">
        <v>3.0</v>
      </c>
      <c r="F127" t="n" s="25982">
        <v>17.0</v>
      </c>
      <c r="G127" t="n" s="25983">
        <v>0.0</v>
      </c>
      <c r="H127" t="n" s="25984">
        <v>0.0</v>
      </c>
      <c r="I127" t="n" s="25985">
        <v>71.0</v>
      </c>
      <c r="J127" s="25986">
        <f>HLOOKUP("BPS",A1:CV300,127,FALSE)-((-6*HLOOKUP("OG",A1:CV300,127,FALSE))+(-6*HLOOKUP("PK Miss",A1:CV300,127,FALSE))+(9*HLOOKUP("FPL As",A1:CV300,127,FALSE))+(0*HLOOKUP("CS",A1:CV300,127,FALSE))+(18*HLOOKUP("Gs",A1:CV300,127,FALSE)))</f>
      </c>
      <c r="K127" t="n" s="25987">
        <v>0.0</v>
      </c>
      <c r="L127" t="n" s="25988">
        <v>0.0</v>
      </c>
      <c r="M127" t="n" s="25989">
        <v>5.0</v>
      </c>
      <c r="N127" t="n" s="25990">
        <v>2.0</v>
      </c>
      <c r="O127" t="n" s="25991">
        <v>1.0</v>
      </c>
      <c r="P127" s="25992">
        <f>IF(HLOOKUP("Shots",A1:CV300,127,FALSE)=0,0,HLOOKUP("SIB",A1:CV300,127,FALSE)/HLOOKUP("Shots",A1:CV300,127,FALSE))</f>
      </c>
      <c r="Q127" t="n" s="25993">
        <v>0.0</v>
      </c>
      <c r="R127" s="25994">
        <f>IF(HLOOKUP("Shots",A1:CV300,127,FALSE)=0,0,HLOOKUP("S6YD",A1:CV300,127,FALSE)/HLOOKUP("Shots",A1:CV300,127,FALSE))</f>
      </c>
      <c r="S127" t="n" s="25995">
        <v>0.0</v>
      </c>
      <c r="T127" s="25996">
        <f>IF(HLOOKUP("Shots",A1:CV300,127,FALSE)=0,0,HLOOKUP("Headers",A1:CV300,127,FALSE)/HLOOKUP("Shots",A1:CV300,127,FALSE))</f>
      </c>
      <c r="U127" t="n" s="25997">
        <v>1.0</v>
      </c>
      <c r="V127" s="25998">
        <f>IF(HLOOKUP("Shots",A1:CV300,127,FALSE)=0,0,HLOOKUP("SOT",A1:CV300,127,FALSE)/HLOOKUP("Shots",A1:CV300,127,FALSE))</f>
      </c>
      <c r="W127" s="25999">
        <f>IF(HLOOKUP("Shots",A1:CV300,127,FALSE)=0,0,HLOOKUP("Gs",A1:CV300,127,FALSE)/HLOOKUP("Shots",A1:CV300,127,FALSE))</f>
      </c>
      <c r="X127" t="n" s="26000">
        <v>0.0</v>
      </c>
      <c r="Y127" t="n" s="26001">
        <v>1.0</v>
      </c>
      <c r="Z127" t="n" s="26002">
        <v>3.0</v>
      </c>
      <c r="AA127" s="26003">
        <f>IF(HLOOKUP("KP",A1:CV300,127,FALSE)=0,0,HLOOKUP("As",A1:CV300,127,FALSE)/HLOOKUP("KP",A1:CV300,127,FALSE))</f>
      </c>
      <c r="AB127" s="26004"/>
      <c r="AC127" t="n" s="26005">
        <v>0.0</v>
      </c>
      <c r="AD127" t="n" s="26006">
        <v>0.0</v>
      </c>
      <c r="AE127" t="n" s="26007">
        <v>0.0</v>
      </c>
      <c r="AF127" t="n" s="26008">
        <v>0.0</v>
      </c>
      <c r="AG127" s="26009">
        <f>IF(HLOOKUP("BC",A1:CV300,127,FALSE)=0,0,HLOOKUP("Gs - BC",A1:CV300,127,FALSE)/HLOOKUP("BC",A1:CV300,127,FALSE))</f>
      </c>
      <c r="AH127" s="26010">
        <f>HLOOKUP("BC",A1:CV300,127,FALSE) - HLOOKUP("BC Miss",A1:CV300,127,FALSE)</f>
      </c>
      <c r="AI127" s="26011">
        <f>IF(HLOOKUP("Gs",A1:CV300,127,FALSE)=0,0,HLOOKUP("Gs - BC",A1:CV300,127,FALSE)/HLOOKUP("Gs",A1:CV300,127,FALSE))</f>
      </c>
      <c r="AJ127" t="n" s="26012">
        <v>0.0</v>
      </c>
      <c r="AK127" t="n" s="26013">
        <v>0.0</v>
      </c>
      <c r="AL127" s="26014">
        <f>HLOOKUP("BC",A1:CV300,127,FALSE) - (HLOOKUP("PK Gs",A1:CV300,127,FALSE) + HLOOKUP("PK Miss",A1:CV300,127,FALSE))</f>
      </c>
      <c r="AM127" s="26015">
        <f>HLOOKUP("BC Miss",A1:CV300,127,FALSE) - HLOOKUP("PK Miss",A1:CV300,127,FALSE)</f>
      </c>
      <c r="AN127" s="26016">
        <f>IF(HLOOKUP("BC - Open",A1:CV300,127,FALSE)=0,0,HLOOKUP("BC - Open Miss",A1:CV300,127,FALSE)/HLOOKUP("BC - Open",A1:CV300,127,FALSE))</f>
      </c>
      <c r="AO127" t="n" s="26017">
        <v>0.0</v>
      </c>
      <c r="AP127" s="26018">
        <f>IF(HLOOKUP("Gs",A1:CV300,127,FALSE)=0,0,HLOOKUP("GIB",A1:CV300,127,FALSE)/HLOOKUP("Gs",A1:CV300,127,FALSE))</f>
      </c>
      <c r="AQ127" t="n" s="26019">
        <v>0.0</v>
      </c>
      <c r="AR127" s="26020">
        <f>IF(HLOOKUP("Gs",A1:CV300,127,FALSE)=0,0,HLOOKUP("Gs - Open",A1:CV300,127,FALSE)/HLOOKUP("Gs",A1:CV300,127,FALSE))</f>
      </c>
      <c r="AS127" t="n" s="26021">
        <v>0.08</v>
      </c>
      <c r="AT127" t="n" s="26022">
        <v>0.2</v>
      </c>
      <c r="AU127" s="26023">
        <f>IF(HLOOKUP("Mins",A1:CV300,127,FALSE)=0,0,HLOOKUP("Pts",A1:CV300,127,FALSE)/HLOOKUP("Mins",A1:CV300,127,FALSE)* 90)</f>
      </c>
      <c r="AV127" s="26024">
        <f>IF(HLOOKUP("Apps",A1:CV300,127,FALSE)=0,0,HLOOKUP("Pts",A1:CV300,127,FALSE)/HLOOKUP("Apps",A1:CV300,127,FALSE)* 1)</f>
      </c>
      <c r="AW127" s="26025">
        <f>IF(HLOOKUP("Mins",A1:CV300,127,FALSE)=0,0,HLOOKUP("Gs",A1:CV300,127,FALSE)/HLOOKUP("Mins",A1:CV300,127,FALSE)* 90)</f>
      </c>
      <c r="AX127" s="26026">
        <f>IF(HLOOKUP("Mins",A1:CV300,127,FALSE)=0,0,HLOOKUP("Bonus",A1:CV300,127,FALSE)/HLOOKUP("Mins",A1:CV300,127,FALSE)* 90)</f>
      </c>
      <c r="AY127" s="26027">
        <f>IF(HLOOKUP("Mins",A1:CV300,127,FALSE)=0,0,HLOOKUP("BPS",A1:CV300,127,FALSE)/HLOOKUP("Mins",A1:CV300,127,FALSE)* 90)</f>
      </c>
      <c r="AZ127" s="26028">
        <f>IF(HLOOKUP("Mins",A1:CV300,127,FALSE)=0,0,HLOOKUP("Base BPS",A1:CV300,127,FALSE)/HLOOKUP("Mins",A1:CV300,127,FALSE)* 90)</f>
      </c>
      <c r="BA127" s="26029">
        <f>IF(HLOOKUP("Mins",A1:CV300,127,FALSE)=0,0,HLOOKUP("PenTchs",A1:CV300,127,FALSE)/HLOOKUP("Mins",A1:CV300,127,FALSE)* 90)</f>
      </c>
      <c r="BB127" s="26030">
        <f>IF(HLOOKUP("Mins",A1:CV300,127,FALSE)=0,0,HLOOKUP("Shots",A1:CV300,127,FALSE)/HLOOKUP("Mins",A1:CV300,127,FALSE)* 90)</f>
      </c>
      <c r="BC127" s="26031">
        <f>IF(HLOOKUP("Mins",A1:CV300,127,FALSE)=0,0,HLOOKUP("SIB",A1:CV300,127,FALSE)/HLOOKUP("Mins",A1:CV300,127,FALSE)* 90)</f>
      </c>
      <c r="BD127" s="26032">
        <f>IF(HLOOKUP("Mins",A1:CV300,127,FALSE)=0,0,HLOOKUP("S6YD",A1:CV300,127,FALSE)/HLOOKUP("Mins",A1:CV300,127,FALSE)* 90)</f>
      </c>
      <c r="BE127" s="26033">
        <f>IF(HLOOKUP("Mins",A1:CV300,127,FALSE)=0,0,HLOOKUP("Headers",A1:CV300,127,FALSE)/HLOOKUP("Mins",A1:CV300,127,FALSE)* 90)</f>
      </c>
      <c r="BF127" s="26034">
        <f>IF(HLOOKUP("Mins",A1:CV300,127,FALSE)=0,0,HLOOKUP("SOT",A1:CV300,127,FALSE)/HLOOKUP("Mins",A1:CV300,127,FALSE)* 90)</f>
      </c>
      <c r="BG127" s="26035">
        <f>IF(HLOOKUP("Mins",A1:CV300,127,FALSE)=0,0,HLOOKUP("As",A1:CV300,127,FALSE)/HLOOKUP("Mins",A1:CV300,127,FALSE)* 90)</f>
      </c>
      <c r="BH127" s="26036">
        <f>IF(HLOOKUP("Mins",A1:CV300,127,FALSE)=0,0,HLOOKUP("FPL As",A1:CV300,127,FALSE)/HLOOKUP("Mins",A1:CV300,127,FALSE)* 90)</f>
      </c>
      <c r="BI127" s="26037">
        <f>IF(HLOOKUP("Mins",A1:CV300,127,FALSE)=0,0,HLOOKUP("BC Created",A1:CV300,127,FALSE)/HLOOKUP("Mins",A1:CV300,127,FALSE)* 90)</f>
      </c>
      <c r="BJ127" s="26038">
        <f>IF(HLOOKUP("Mins",A1:CV300,127,FALSE)=0,0,HLOOKUP("KP",A1:CV300,127,FALSE)/HLOOKUP("Mins",A1:CV300,127,FALSE)* 90)</f>
      </c>
      <c r="BK127" s="26039">
        <f>IF(HLOOKUP("Mins",A1:CV300,127,FALSE)=0,0,HLOOKUP("BC",A1:CV300,127,FALSE)/HLOOKUP("Mins",A1:CV300,127,FALSE)* 90)</f>
      </c>
      <c r="BL127" s="26040">
        <f>IF(HLOOKUP("Mins",A1:CV300,127,FALSE)=0,0,HLOOKUP("BC Miss",A1:CV300,127,FALSE)/HLOOKUP("Mins",A1:CV300,127,FALSE)* 90)</f>
      </c>
      <c r="BM127" s="26041">
        <f>IF(HLOOKUP("Mins",A1:CV300,127,FALSE)=0,0,HLOOKUP("Gs - BC",A1:CV300,127,FALSE)/HLOOKUP("Mins",A1:CV300,127,FALSE)* 90)</f>
      </c>
      <c r="BN127" s="26042">
        <f>IF(HLOOKUP("Mins",A1:CV300,127,FALSE)=0,0,HLOOKUP("GIB",A1:CV300,127,FALSE)/HLOOKUP("Mins",A1:CV300,127,FALSE)* 90)</f>
      </c>
      <c r="BO127" s="26043">
        <f>IF(HLOOKUP("Mins",A1:CV300,127,FALSE)=0,0,HLOOKUP("Gs - Open",A1:CV300,127,FALSE)/HLOOKUP("Mins",A1:CV300,127,FALSE)* 90)</f>
      </c>
      <c r="BP127" s="26044">
        <f>IF(HLOOKUP("Mins",A1:CV300,127,FALSE)=0,0,HLOOKUP("ICT Index",A1:CV300,127,FALSE)/HLOOKUP("Mins",A1:CV300,127,FALSE)* 90)</f>
      </c>
      <c r="BQ127" s="26045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</c>
      <c r="BR127" s="26046">
        <f>0.0885*HLOOKUP("KP/90",A1:CV300,127,FALSE)</f>
      </c>
      <c r="BS127" s="26047">
        <f>5*HLOOKUP("xG/90",A1:CV300,127,FALSE)+3*HLOOKUP("xA/90",A1:CV300,127,FALSE)</f>
      </c>
      <c r="BT127" s="26048">
        <f>HLOOKUP("xPts/90",A1:CV300,127,FALSE)-(5*0.75*(HLOOKUP("PK Gs",A1:CV300,127,FALSE)+HLOOKUP("PK Miss",A1:CV300,127,FALSE))*90/HLOOKUP("Mins",A1:CV300,127,FALSE))</f>
      </c>
      <c r="BU127" s="26049">
        <f>IF(HLOOKUP("Mins",A1:CV300,127,FALSE)=0,0,HLOOKUP("fsXG",A1:CV300,127,FALSE)/HLOOKUP("Mins",A1:CV300,127,FALSE)* 90)</f>
      </c>
      <c r="BV127" s="26050">
        <f>IF(HLOOKUP("Mins",A1:CV300,127,FALSE)=0,0,HLOOKUP("fsXA",A1:CV300,127,FALSE)/HLOOKUP("Mins",A1:CV300,127,FALSE)* 90)</f>
      </c>
      <c r="BW127" s="26051">
        <f>5*HLOOKUP("fsXG/90",A1:CV300,127,FALSE)+3*HLOOKUP("fsXA/90",A1:CV300,127,FALSE)</f>
      </c>
      <c r="BX127" t="n" s="26052">
        <v>0.09686759114265442</v>
      </c>
      <c r="BY127" t="n" s="26053">
        <v>0.19051018357276917</v>
      </c>
      <c r="BZ127" s="26054">
        <f>5*HLOOKUP("uXG/90",A1:CV300,127,FALSE)+3*HLOOKUP("uXA/90",A1:CV300,127,FALSE)</f>
      </c>
    </row>
    <row r="128">
      <c r="A128" t="s" s="26055">
        <v>431</v>
      </c>
      <c r="B128" t="s" s="26056">
        <v>102</v>
      </c>
      <c r="C128" t="n" s="26057">
        <v>4.300000190734863</v>
      </c>
      <c r="D128" t="n" s="26058">
        <v>433.0</v>
      </c>
      <c r="E128" t="n" s="26059">
        <v>6.0</v>
      </c>
      <c r="F128" t="n" s="26060">
        <v>55.0</v>
      </c>
      <c r="G128" t="n" s="26061">
        <v>1.0</v>
      </c>
      <c r="H128" t="n" s="26062">
        <v>2.0</v>
      </c>
      <c r="I128" t="n" s="26063">
        <v>239.0</v>
      </c>
      <c r="J128" s="26064">
        <f>HLOOKUP("BPS",A1:CV300,128,FALSE)-((-6*HLOOKUP("OG",A1:CV300,128,FALSE))+(-6*HLOOKUP("PK Miss",A1:CV300,128,FALSE))+(9*HLOOKUP("FPL As",A1:CV300,128,FALSE))+(0*HLOOKUP("CS",A1:CV300,128,FALSE))+(18*HLOOKUP("Gs",A1:CV300,128,FALSE)))</f>
      </c>
      <c r="K128" t="n" s="26065">
        <v>0.0</v>
      </c>
      <c r="L128" t="n" s="26066">
        <v>5.0</v>
      </c>
      <c r="M128" t="n" s="26067">
        <v>8.0</v>
      </c>
      <c r="N128" t="n" s="26068">
        <v>5.0</v>
      </c>
      <c r="O128" t="n" s="26069">
        <v>2.0</v>
      </c>
      <c r="P128" s="26070">
        <f>IF(HLOOKUP("Shots",A1:CV300,128,FALSE)=0,0,HLOOKUP("SIB",A1:CV300,128,FALSE)/HLOOKUP("Shots",A1:CV300,128,FALSE))</f>
      </c>
      <c r="Q128" t="n" s="26071">
        <v>0.0</v>
      </c>
      <c r="R128" s="26072">
        <f>IF(HLOOKUP("Shots",A1:CV300,128,FALSE)=0,0,HLOOKUP("S6YD",A1:CV300,128,FALSE)/HLOOKUP("Shots",A1:CV300,128,FALSE))</f>
      </c>
      <c r="S128" t="n" s="26073">
        <v>2.0</v>
      </c>
      <c r="T128" s="26074">
        <f>IF(HLOOKUP("Shots",A1:CV300,128,FALSE)=0,0,HLOOKUP("Headers",A1:CV300,128,FALSE)/HLOOKUP("Shots",A1:CV300,128,FALSE))</f>
      </c>
      <c r="U128" t="n" s="26075">
        <v>1.0</v>
      </c>
      <c r="V128" s="26076">
        <f>IF(HLOOKUP("Shots",A1:CV300,128,FALSE)=0,0,HLOOKUP("SOT",A1:CV300,128,FALSE)/HLOOKUP("Shots",A1:CV300,128,FALSE))</f>
      </c>
      <c r="W128" s="26077">
        <f>IF(HLOOKUP("Shots",A1:CV300,128,FALSE)=0,0,HLOOKUP("Gs",A1:CV300,128,FALSE)/HLOOKUP("Shots",A1:CV300,128,FALSE))</f>
      </c>
      <c r="X128" t="n" s="26078">
        <v>0.0</v>
      </c>
      <c r="Y128" t="n" s="26079">
        <v>3.0</v>
      </c>
      <c r="Z128" t="n" s="26080">
        <v>1.0</v>
      </c>
      <c r="AA128" s="26081">
        <f>IF(HLOOKUP("KP",A1:CV300,128,FALSE)=0,0,HLOOKUP("As",A1:CV300,128,FALSE)/HLOOKUP("KP",A1:CV300,128,FALSE))</f>
      </c>
      <c r="AB128" s="26082"/>
      <c r="AC128" t="n" s="26083">
        <v>50.0</v>
      </c>
      <c r="AD128" t="n" s="26084">
        <v>0.0</v>
      </c>
      <c r="AE128" t="n" s="26085">
        <v>1.0</v>
      </c>
      <c r="AF128" t="n" s="26086">
        <v>0.0</v>
      </c>
      <c r="AG128" s="26087">
        <f>IF(HLOOKUP("BC",A1:CV300,128,FALSE)=0,0,HLOOKUP("Gs - BC",A1:CV300,128,FALSE)/HLOOKUP("BC",A1:CV300,128,FALSE))</f>
      </c>
      <c r="AH128" s="26088">
        <f>HLOOKUP("BC",A1:CV300,128,FALSE) - HLOOKUP("BC Miss",A1:CV300,128,FALSE)</f>
      </c>
      <c r="AI128" s="26089">
        <f>IF(HLOOKUP("Gs",A1:CV300,128,FALSE)=0,0,HLOOKUP("Gs - BC",A1:CV300,128,FALSE)/HLOOKUP("Gs",A1:CV300,128,FALSE))</f>
      </c>
      <c r="AJ128" t="n" s="26090">
        <v>0.0</v>
      </c>
      <c r="AK128" t="n" s="26091">
        <v>0.0</v>
      </c>
      <c r="AL128" s="26092">
        <f>HLOOKUP("BC",A1:CV300,128,FALSE) - (HLOOKUP("PK Gs",A1:CV300,128,FALSE) + HLOOKUP("PK Miss",A1:CV300,128,FALSE))</f>
      </c>
      <c r="AM128" s="26093">
        <f>HLOOKUP("BC Miss",A1:CV300,128,FALSE) - HLOOKUP("PK Miss",A1:CV300,128,FALSE)</f>
      </c>
      <c r="AN128" s="26094">
        <f>IF(HLOOKUP("BC - Open",A1:CV300,128,FALSE)=0,0,HLOOKUP("BC - Open Miss",A1:CV300,128,FALSE)/HLOOKUP("BC - Open",A1:CV300,128,FALSE))</f>
      </c>
      <c r="AO128" t="n" s="26095">
        <v>1.0</v>
      </c>
      <c r="AP128" s="26096">
        <f>IF(HLOOKUP("Gs",A1:CV300,128,FALSE)=0,0,HLOOKUP("GIB",A1:CV300,128,FALSE)/HLOOKUP("Gs",A1:CV300,128,FALSE))</f>
      </c>
      <c r="AQ128" t="n" s="26097">
        <v>0.0</v>
      </c>
      <c r="AR128" s="26098">
        <f>IF(HLOOKUP("Gs",A1:CV300,128,FALSE)=0,0,HLOOKUP("Gs - Open",A1:CV300,128,FALSE)/HLOOKUP("Gs",A1:CV300,128,FALSE))</f>
      </c>
      <c r="AS128" t="n" s="26099">
        <v>0.29</v>
      </c>
      <c r="AT128" t="n" s="26100">
        <v>0.13</v>
      </c>
      <c r="AU128" s="26101">
        <f>IF(HLOOKUP("Mins",A1:CV300,128,FALSE)=0,0,HLOOKUP("Pts",A1:CV300,128,FALSE)/HLOOKUP("Mins",A1:CV300,128,FALSE)* 90)</f>
      </c>
      <c r="AV128" s="26102">
        <f>IF(HLOOKUP("Apps",A1:CV300,128,FALSE)=0,0,HLOOKUP("Pts",A1:CV300,128,FALSE)/HLOOKUP("Apps",A1:CV300,128,FALSE)* 1)</f>
      </c>
      <c r="AW128" s="26103">
        <f>IF(HLOOKUP("Mins",A1:CV300,128,FALSE)=0,0,HLOOKUP("Gs",A1:CV300,128,FALSE)/HLOOKUP("Mins",A1:CV300,128,FALSE)* 90)</f>
      </c>
      <c r="AX128" s="26104">
        <f>IF(HLOOKUP("Mins",A1:CV300,128,FALSE)=0,0,HLOOKUP("Bonus",A1:CV300,128,FALSE)/HLOOKUP("Mins",A1:CV300,128,FALSE)* 90)</f>
      </c>
      <c r="AY128" s="26105">
        <f>IF(HLOOKUP("Mins",A1:CV300,128,FALSE)=0,0,HLOOKUP("BPS",A1:CV300,128,FALSE)/HLOOKUP("Mins",A1:CV300,128,FALSE)* 90)</f>
      </c>
      <c r="AZ128" s="26106">
        <f>IF(HLOOKUP("Mins",A1:CV300,128,FALSE)=0,0,HLOOKUP("Base BPS",A1:CV300,128,FALSE)/HLOOKUP("Mins",A1:CV300,128,FALSE)* 90)</f>
      </c>
      <c r="BA128" s="26107">
        <f>IF(HLOOKUP("Mins",A1:CV300,128,FALSE)=0,0,HLOOKUP("PenTchs",A1:CV300,128,FALSE)/HLOOKUP("Mins",A1:CV300,128,FALSE)* 90)</f>
      </c>
      <c r="BB128" s="26108">
        <f>IF(HLOOKUP("Mins",A1:CV300,128,FALSE)=0,0,HLOOKUP("Shots",A1:CV300,128,FALSE)/HLOOKUP("Mins",A1:CV300,128,FALSE)* 90)</f>
      </c>
      <c r="BC128" s="26109">
        <f>IF(HLOOKUP("Mins",A1:CV300,128,FALSE)=0,0,HLOOKUP("SIB",A1:CV300,128,FALSE)/HLOOKUP("Mins",A1:CV300,128,FALSE)* 90)</f>
      </c>
      <c r="BD128" s="26110">
        <f>IF(HLOOKUP("Mins",A1:CV300,128,FALSE)=0,0,HLOOKUP("S6YD",A1:CV300,128,FALSE)/HLOOKUP("Mins",A1:CV300,128,FALSE)* 90)</f>
      </c>
      <c r="BE128" s="26111">
        <f>IF(HLOOKUP("Mins",A1:CV300,128,FALSE)=0,0,HLOOKUP("Headers",A1:CV300,128,FALSE)/HLOOKUP("Mins",A1:CV300,128,FALSE)* 90)</f>
      </c>
      <c r="BF128" s="26112">
        <f>IF(HLOOKUP("Mins",A1:CV300,128,FALSE)=0,0,HLOOKUP("SOT",A1:CV300,128,FALSE)/HLOOKUP("Mins",A1:CV300,128,FALSE)* 90)</f>
      </c>
      <c r="BG128" s="26113">
        <f>IF(HLOOKUP("Mins",A1:CV300,128,FALSE)=0,0,HLOOKUP("As",A1:CV300,128,FALSE)/HLOOKUP("Mins",A1:CV300,128,FALSE)* 90)</f>
      </c>
      <c r="BH128" s="26114">
        <f>IF(HLOOKUP("Mins",A1:CV300,128,FALSE)=0,0,HLOOKUP("FPL As",A1:CV300,128,FALSE)/HLOOKUP("Mins",A1:CV300,128,FALSE)* 90)</f>
      </c>
      <c r="BI128" s="26115">
        <f>IF(HLOOKUP("Mins",A1:CV300,128,FALSE)=0,0,HLOOKUP("BC Created",A1:CV300,128,FALSE)/HLOOKUP("Mins",A1:CV300,128,FALSE)* 90)</f>
      </c>
      <c r="BJ128" s="26116">
        <f>IF(HLOOKUP("Mins",A1:CV300,128,FALSE)=0,0,HLOOKUP("KP",A1:CV300,128,FALSE)/HLOOKUP("Mins",A1:CV300,128,FALSE)* 90)</f>
      </c>
      <c r="BK128" s="26117">
        <f>IF(HLOOKUP("Mins",A1:CV300,128,FALSE)=0,0,HLOOKUP("BC",A1:CV300,128,FALSE)/HLOOKUP("Mins",A1:CV300,128,FALSE)* 90)</f>
      </c>
      <c r="BL128" s="26118">
        <f>IF(HLOOKUP("Mins",A1:CV300,128,FALSE)=0,0,HLOOKUP("BC Miss",A1:CV300,128,FALSE)/HLOOKUP("Mins",A1:CV300,128,FALSE)* 90)</f>
      </c>
      <c r="BM128" s="26119">
        <f>IF(HLOOKUP("Mins",A1:CV300,128,FALSE)=0,0,HLOOKUP("Gs - BC",A1:CV300,128,FALSE)/HLOOKUP("Mins",A1:CV300,128,FALSE)* 90)</f>
      </c>
      <c r="BN128" s="26120">
        <f>IF(HLOOKUP("Mins",A1:CV300,128,FALSE)=0,0,HLOOKUP("GIB",A1:CV300,128,FALSE)/HLOOKUP("Mins",A1:CV300,128,FALSE)* 90)</f>
      </c>
      <c r="BO128" s="26121">
        <f>IF(HLOOKUP("Mins",A1:CV300,128,FALSE)=0,0,HLOOKUP("Gs - Open",A1:CV300,128,FALSE)/HLOOKUP("Mins",A1:CV300,128,FALSE)* 90)</f>
      </c>
      <c r="BP128" s="26122">
        <f>IF(HLOOKUP("Mins",A1:CV300,128,FALSE)=0,0,HLOOKUP("ICT Index",A1:CV300,128,FALSE)/HLOOKUP("Mins",A1:CV300,128,FALSE)* 90)</f>
      </c>
      <c r="BQ128" s="26123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</c>
      <c r="BR128" s="26124">
        <f>0.0885*HLOOKUP("KP/90",A1:CV300,128,FALSE)</f>
      </c>
      <c r="BS128" s="26125">
        <f>5*HLOOKUP("xG/90",A1:CV300,128,FALSE)+3*HLOOKUP("xA/90",A1:CV300,128,FALSE)</f>
      </c>
      <c r="BT128" s="26126">
        <f>HLOOKUP("xPts/90",A1:CV300,128,FALSE)-(5*0.75*(HLOOKUP("PK Gs",A1:CV300,128,FALSE)+HLOOKUP("PK Miss",A1:CV300,128,FALSE))*90/HLOOKUP("Mins",A1:CV300,128,FALSE))</f>
      </c>
      <c r="BU128" s="26127">
        <f>IF(HLOOKUP("Mins",A1:CV300,128,FALSE)=0,0,HLOOKUP("fsXG",A1:CV300,128,FALSE)/HLOOKUP("Mins",A1:CV300,128,FALSE)* 90)</f>
      </c>
      <c r="BV128" s="26128">
        <f>IF(HLOOKUP("Mins",A1:CV300,128,FALSE)=0,0,HLOOKUP("fsXA",A1:CV300,128,FALSE)/HLOOKUP("Mins",A1:CV300,128,FALSE)* 90)</f>
      </c>
      <c r="BW128" s="26129">
        <f>5*HLOOKUP("fsXG/90",A1:CV300,128,FALSE)+3*HLOOKUP("fsXA/90",A1:CV300,128,FALSE)</f>
      </c>
      <c r="BX128" t="n" s="26130">
        <v>0.09934621304273605</v>
      </c>
      <c r="BY128" t="n" s="26131">
        <v>0.024556035175919533</v>
      </c>
      <c r="BZ128" s="26132">
        <f>5*HLOOKUP("uXG/90",A1:CV300,128,FALSE)+3*HLOOKUP("uXA/90",A1:CV300,128,FALSE)</f>
      </c>
    </row>
    <row r="129">
      <c r="A129" t="s" s="26133">
        <v>432</v>
      </c>
      <c r="B129" t="s" s="26134">
        <v>87</v>
      </c>
      <c r="C129" t="n" s="26135">
        <v>5.5</v>
      </c>
      <c r="D129" t="n" s="26136">
        <v>398.0</v>
      </c>
      <c r="E129" t="n" s="26137">
        <v>5.0</v>
      </c>
      <c r="F129" t="n" s="26138">
        <v>77.0</v>
      </c>
      <c r="G129" t="n" s="26139">
        <v>1.0</v>
      </c>
      <c r="H129" t="n" s="26140">
        <v>0.0</v>
      </c>
      <c r="I129" t="n" s="26141">
        <v>230.0</v>
      </c>
      <c r="J129" s="26142">
        <f>HLOOKUP("BPS",A1:CV300,129,FALSE)-((-6*HLOOKUP("OG",A1:CV300,129,FALSE))+(-6*HLOOKUP("PK Miss",A1:CV300,129,FALSE))+(9*HLOOKUP("FPL As",A1:CV300,129,FALSE))+(0*HLOOKUP("CS",A1:CV300,129,FALSE))+(18*HLOOKUP("Gs",A1:CV300,129,FALSE)))</f>
      </c>
      <c r="K129" t="n" s="26143">
        <v>0.0</v>
      </c>
      <c r="L129" t="n" s="26144">
        <v>4.0</v>
      </c>
      <c r="M129" t="n" s="26145">
        <v>17.0</v>
      </c>
      <c r="N129" t="n" s="26146">
        <v>12.0</v>
      </c>
      <c r="O129" t="n" s="26147">
        <v>10.0</v>
      </c>
      <c r="P129" s="26148">
        <f>IF(HLOOKUP("Shots",A1:CV300,129,FALSE)=0,0,HLOOKUP("SIB",A1:CV300,129,FALSE)/HLOOKUP("Shots",A1:CV300,129,FALSE))</f>
      </c>
      <c r="Q129" t="n" s="26149">
        <v>1.0</v>
      </c>
      <c r="R129" s="26150">
        <f>IF(HLOOKUP("Shots",A1:CV300,129,FALSE)=0,0,HLOOKUP("S6YD",A1:CV300,129,FALSE)/HLOOKUP("Shots",A1:CV300,129,FALSE))</f>
      </c>
      <c r="S129" t="n" s="26151">
        <v>5.0</v>
      </c>
      <c r="T129" s="26152">
        <f>IF(HLOOKUP("Shots",A1:CV300,129,FALSE)=0,0,HLOOKUP("Headers",A1:CV300,129,FALSE)/HLOOKUP("Shots",A1:CV300,129,FALSE))</f>
      </c>
      <c r="U129" t="n" s="26153">
        <v>4.0</v>
      </c>
      <c r="V129" s="26154">
        <f>IF(HLOOKUP("Shots",A1:CV300,129,FALSE)=0,0,HLOOKUP("SOT",A1:CV300,129,FALSE)/HLOOKUP("Shots",A1:CV300,129,FALSE))</f>
      </c>
      <c r="W129" s="26155">
        <f>IF(HLOOKUP("Shots",A1:CV300,129,FALSE)=0,0,HLOOKUP("Gs",A1:CV300,129,FALSE)/HLOOKUP("Shots",A1:CV300,129,FALSE))</f>
      </c>
      <c r="X129" t="n" s="26156">
        <v>0.0</v>
      </c>
      <c r="Y129" t="n" s="26157">
        <v>5.0</v>
      </c>
      <c r="Z129" t="n" s="26158">
        <v>6.0</v>
      </c>
      <c r="AA129" s="26159">
        <f>IF(HLOOKUP("KP",A1:CV300,129,FALSE)=0,0,HLOOKUP("As",A1:CV300,129,FALSE)/HLOOKUP("KP",A1:CV300,129,FALSE))</f>
      </c>
      <c r="AB129" s="26160"/>
      <c r="AC129" t="n" s="26161">
        <v>33.0</v>
      </c>
      <c r="AD129" t="n" s="26162">
        <v>0.0</v>
      </c>
      <c r="AE129" t="n" s="26163">
        <v>2.0</v>
      </c>
      <c r="AF129" t="n" s="26164">
        <v>1.0</v>
      </c>
      <c r="AG129" s="26165">
        <f>IF(HLOOKUP("BC",A1:CV300,129,FALSE)=0,0,HLOOKUP("Gs - BC",A1:CV300,129,FALSE)/HLOOKUP("BC",A1:CV300,129,FALSE))</f>
      </c>
      <c r="AH129" s="26166">
        <f>HLOOKUP("BC",A1:CV300,129,FALSE) - HLOOKUP("BC Miss",A1:CV300,129,FALSE)</f>
      </c>
      <c r="AI129" s="26167">
        <f>IF(HLOOKUP("Gs",A1:CV300,129,FALSE)=0,0,HLOOKUP("Gs - BC",A1:CV300,129,FALSE)/HLOOKUP("Gs",A1:CV300,129,FALSE))</f>
      </c>
      <c r="AJ129" t="n" s="26168">
        <v>1.0</v>
      </c>
      <c r="AK129" t="n" s="26169">
        <v>0.0</v>
      </c>
      <c r="AL129" s="26170">
        <f>HLOOKUP("BC",A1:CV300,129,FALSE) - (HLOOKUP("PK Gs",A1:CV300,129,FALSE) + HLOOKUP("PK Miss",A1:CV300,129,FALSE))</f>
      </c>
      <c r="AM129" s="26171">
        <f>HLOOKUP("BC Miss",A1:CV300,129,FALSE) - HLOOKUP("PK Miss",A1:CV300,129,FALSE)</f>
      </c>
      <c r="AN129" s="26172">
        <f>IF(HLOOKUP("BC - Open",A1:CV300,129,FALSE)=0,0,HLOOKUP("BC - Open Miss",A1:CV300,129,FALSE)/HLOOKUP("BC - Open",A1:CV300,129,FALSE))</f>
      </c>
      <c r="AO129" t="n" s="26173">
        <v>1.0</v>
      </c>
      <c r="AP129" s="26174">
        <f>IF(HLOOKUP("Gs",A1:CV300,129,FALSE)=0,0,HLOOKUP("GIB",A1:CV300,129,FALSE)/HLOOKUP("Gs",A1:CV300,129,FALSE))</f>
      </c>
      <c r="AQ129" t="n" s="26175">
        <v>0.0</v>
      </c>
      <c r="AR129" s="26176">
        <f>IF(HLOOKUP("Gs",A1:CV300,129,FALSE)=0,0,HLOOKUP("Gs - Open",A1:CV300,129,FALSE)/HLOOKUP("Gs",A1:CV300,129,FALSE))</f>
      </c>
      <c r="AS129" t="n" s="26177">
        <v>1.52</v>
      </c>
      <c r="AT129" t="n" s="26178">
        <v>0.2</v>
      </c>
      <c r="AU129" s="26179">
        <f>IF(HLOOKUP("Mins",A1:CV300,129,FALSE)=0,0,HLOOKUP("Pts",A1:CV300,129,FALSE)/HLOOKUP("Mins",A1:CV300,129,FALSE)* 90)</f>
      </c>
      <c r="AV129" s="26180">
        <f>IF(HLOOKUP("Apps",A1:CV300,129,FALSE)=0,0,HLOOKUP("Pts",A1:CV300,129,FALSE)/HLOOKUP("Apps",A1:CV300,129,FALSE)* 1)</f>
      </c>
      <c r="AW129" s="26181">
        <f>IF(HLOOKUP("Mins",A1:CV300,129,FALSE)=0,0,HLOOKUP("Gs",A1:CV300,129,FALSE)/HLOOKUP("Mins",A1:CV300,129,FALSE)* 90)</f>
      </c>
      <c r="AX129" s="26182">
        <f>IF(HLOOKUP("Mins",A1:CV300,129,FALSE)=0,0,HLOOKUP("Bonus",A1:CV300,129,FALSE)/HLOOKUP("Mins",A1:CV300,129,FALSE)* 90)</f>
      </c>
      <c r="AY129" s="26183">
        <f>IF(HLOOKUP("Mins",A1:CV300,129,FALSE)=0,0,HLOOKUP("BPS",A1:CV300,129,FALSE)/HLOOKUP("Mins",A1:CV300,129,FALSE)* 90)</f>
      </c>
      <c r="AZ129" s="26184">
        <f>IF(HLOOKUP("Mins",A1:CV300,129,FALSE)=0,0,HLOOKUP("Base BPS",A1:CV300,129,FALSE)/HLOOKUP("Mins",A1:CV300,129,FALSE)* 90)</f>
      </c>
      <c r="BA129" s="26185">
        <f>IF(HLOOKUP("Mins",A1:CV300,129,FALSE)=0,0,HLOOKUP("PenTchs",A1:CV300,129,FALSE)/HLOOKUP("Mins",A1:CV300,129,FALSE)* 90)</f>
      </c>
      <c r="BB129" s="26186">
        <f>IF(HLOOKUP("Mins",A1:CV300,129,FALSE)=0,0,HLOOKUP("Shots",A1:CV300,129,FALSE)/HLOOKUP("Mins",A1:CV300,129,FALSE)* 90)</f>
      </c>
      <c r="BC129" s="26187">
        <f>IF(HLOOKUP("Mins",A1:CV300,129,FALSE)=0,0,HLOOKUP("SIB",A1:CV300,129,FALSE)/HLOOKUP("Mins",A1:CV300,129,FALSE)* 90)</f>
      </c>
      <c r="BD129" s="26188">
        <f>IF(HLOOKUP("Mins",A1:CV300,129,FALSE)=0,0,HLOOKUP("S6YD",A1:CV300,129,FALSE)/HLOOKUP("Mins",A1:CV300,129,FALSE)* 90)</f>
      </c>
      <c r="BE129" s="26189">
        <f>IF(HLOOKUP("Mins",A1:CV300,129,FALSE)=0,0,HLOOKUP("Headers",A1:CV300,129,FALSE)/HLOOKUP("Mins",A1:CV300,129,FALSE)* 90)</f>
      </c>
      <c r="BF129" s="26190">
        <f>IF(HLOOKUP("Mins",A1:CV300,129,FALSE)=0,0,HLOOKUP("SOT",A1:CV300,129,FALSE)/HLOOKUP("Mins",A1:CV300,129,FALSE)* 90)</f>
      </c>
      <c r="BG129" s="26191">
        <f>IF(HLOOKUP("Mins",A1:CV300,129,FALSE)=0,0,HLOOKUP("As",A1:CV300,129,FALSE)/HLOOKUP("Mins",A1:CV300,129,FALSE)* 90)</f>
      </c>
      <c r="BH129" s="26192">
        <f>IF(HLOOKUP("Mins",A1:CV300,129,FALSE)=0,0,HLOOKUP("FPL As",A1:CV300,129,FALSE)/HLOOKUP("Mins",A1:CV300,129,FALSE)* 90)</f>
      </c>
      <c r="BI129" s="26193">
        <f>IF(HLOOKUP("Mins",A1:CV300,129,FALSE)=0,0,HLOOKUP("BC Created",A1:CV300,129,FALSE)/HLOOKUP("Mins",A1:CV300,129,FALSE)* 90)</f>
      </c>
      <c r="BJ129" s="26194">
        <f>IF(HLOOKUP("Mins",A1:CV300,129,FALSE)=0,0,HLOOKUP("KP",A1:CV300,129,FALSE)/HLOOKUP("Mins",A1:CV300,129,FALSE)* 90)</f>
      </c>
      <c r="BK129" s="26195">
        <f>IF(HLOOKUP("Mins",A1:CV300,129,FALSE)=0,0,HLOOKUP("BC",A1:CV300,129,FALSE)/HLOOKUP("Mins",A1:CV300,129,FALSE)* 90)</f>
      </c>
      <c r="BL129" s="26196">
        <f>IF(HLOOKUP("Mins",A1:CV300,129,FALSE)=0,0,HLOOKUP("BC Miss",A1:CV300,129,FALSE)/HLOOKUP("Mins",A1:CV300,129,FALSE)* 90)</f>
      </c>
      <c r="BM129" s="26197">
        <f>IF(HLOOKUP("Mins",A1:CV300,129,FALSE)=0,0,HLOOKUP("Gs - BC",A1:CV300,129,FALSE)/HLOOKUP("Mins",A1:CV300,129,FALSE)* 90)</f>
      </c>
      <c r="BN129" s="26198">
        <f>IF(HLOOKUP("Mins",A1:CV300,129,FALSE)=0,0,HLOOKUP("GIB",A1:CV300,129,FALSE)/HLOOKUP("Mins",A1:CV300,129,FALSE)* 90)</f>
      </c>
      <c r="BO129" s="26199">
        <f>IF(HLOOKUP("Mins",A1:CV300,129,FALSE)=0,0,HLOOKUP("Gs - Open",A1:CV300,129,FALSE)/HLOOKUP("Mins",A1:CV300,129,FALSE)* 90)</f>
      </c>
      <c r="BP129" s="26200">
        <f>IF(HLOOKUP("Mins",A1:CV300,129,FALSE)=0,0,HLOOKUP("ICT Index",A1:CV300,129,FALSE)/HLOOKUP("Mins",A1:CV300,129,FALSE)* 90)</f>
      </c>
      <c r="BQ129" s="26201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</c>
      <c r="BR129" s="26202">
        <f>0.0885*HLOOKUP("KP/90",A1:CV300,129,FALSE)</f>
      </c>
      <c r="BS129" s="26203">
        <f>5*HLOOKUP("xG/90",A1:CV300,129,FALSE)+3*HLOOKUP("xA/90",A1:CV300,129,FALSE)</f>
      </c>
      <c r="BT129" s="26204">
        <f>HLOOKUP("xPts/90",A1:CV300,129,FALSE)-(5*0.75*(HLOOKUP("PK Gs",A1:CV300,129,FALSE)+HLOOKUP("PK Miss",A1:CV300,129,FALSE))*90/HLOOKUP("Mins",A1:CV300,129,FALSE))</f>
      </c>
      <c r="BU129" s="26205">
        <f>IF(HLOOKUP("Mins",A1:CV300,129,FALSE)=0,0,HLOOKUP("fsXG",A1:CV300,129,FALSE)/HLOOKUP("Mins",A1:CV300,129,FALSE)* 90)</f>
      </c>
      <c r="BV129" s="26206">
        <f>IF(HLOOKUP("Mins",A1:CV300,129,FALSE)=0,0,HLOOKUP("fsXA",A1:CV300,129,FALSE)/HLOOKUP("Mins",A1:CV300,129,FALSE)* 90)</f>
      </c>
      <c r="BW129" s="26207">
        <f>5*HLOOKUP("fsXG/90",A1:CV300,129,FALSE)+3*HLOOKUP("fsXA/90",A1:CV300,129,FALSE)</f>
      </c>
      <c r="BX129" t="n" s="26208">
        <v>0.30171868205070496</v>
      </c>
      <c r="BY129" t="n" s="26209">
        <v>0.06975957751274109</v>
      </c>
      <c r="BZ129" s="26210">
        <f>5*HLOOKUP("uXG/90",A1:CV300,129,FALSE)+3*HLOOKUP("uXA/90",A1:CV300,129,FALSE)</f>
      </c>
    </row>
    <row r="130">
      <c r="A130" t="s" s="26211">
        <v>433</v>
      </c>
      <c r="B130" t="s" s="26212">
        <v>122</v>
      </c>
      <c r="C130" t="n" s="26213">
        <v>6.300000190734863</v>
      </c>
      <c r="D130" t="n" s="26214">
        <v>81.0</v>
      </c>
      <c r="E130" t="n" s="26215">
        <v>3.0</v>
      </c>
      <c r="F130" t="n" s="26216">
        <v>25.0</v>
      </c>
      <c r="G130" t="n" s="26217">
        <v>0.0</v>
      </c>
      <c r="H130" t="n" s="26218">
        <v>0.0</v>
      </c>
      <c r="I130" t="n" s="26219">
        <v>73.0</v>
      </c>
      <c r="J130" s="26220">
        <f>HLOOKUP("BPS",A1:CV300,130,FALSE)-((-6*HLOOKUP("OG",A1:CV300,130,FALSE))+(-6*HLOOKUP("PK Miss",A1:CV300,130,FALSE))+(9*HLOOKUP("FPL As",A1:CV300,130,FALSE))+(0*HLOOKUP("CS",A1:CV300,130,FALSE))+(18*HLOOKUP("Gs",A1:CV300,130,FALSE)))</f>
      </c>
      <c r="K130" t="n" s="26221">
        <v>0.0</v>
      </c>
      <c r="L130" t="n" s="26222">
        <v>1.0</v>
      </c>
      <c r="M130" t="n" s="26223">
        <v>4.0</v>
      </c>
      <c r="N130" t="n" s="26224">
        <v>4.0</v>
      </c>
      <c r="O130" t="n" s="26225">
        <v>2.0</v>
      </c>
      <c r="P130" s="26226">
        <f>IF(HLOOKUP("Shots",A1:CV300,130,FALSE)=0,0,HLOOKUP("SIB",A1:CV300,130,FALSE)/HLOOKUP("Shots",A1:CV300,130,FALSE))</f>
      </c>
      <c r="Q130" t="n" s="26227">
        <v>0.0</v>
      </c>
      <c r="R130" s="26228">
        <f>IF(HLOOKUP("Shots",A1:CV300,130,FALSE)=0,0,HLOOKUP("S6YD",A1:CV300,130,FALSE)/HLOOKUP("Shots",A1:CV300,130,FALSE))</f>
      </c>
      <c r="S130" t="n" s="26229">
        <v>0.0</v>
      </c>
      <c r="T130" s="26230">
        <f>IF(HLOOKUP("Shots",A1:CV300,130,FALSE)=0,0,HLOOKUP("Headers",A1:CV300,130,FALSE)/HLOOKUP("Shots",A1:CV300,130,FALSE))</f>
      </c>
      <c r="U130" t="n" s="26231">
        <v>1.0</v>
      </c>
      <c r="V130" s="26232">
        <f>IF(HLOOKUP("Shots",A1:CV300,130,FALSE)=0,0,HLOOKUP("SOT",A1:CV300,130,FALSE)/HLOOKUP("Shots",A1:CV300,130,FALSE))</f>
      </c>
      <c r="W130" s="26233">
        <f>IF(HLOOKUP("Shots",A1:CV300,130,FALSE)=0,0,HLOOKUP("Gs",A1:CV300,130,FALSE)/HLOOKUP("Shots",A1:CV300,130,FALSE))</f>
      </c>
      <c r="X130" t="n" s="26234">
        <v>0.0</v>
      </c>
      <c r="Y130" t="n" s="26235">
        <v>0.0</v>
      </c>
      <c r="Z130" t="n" s="26236">
        <v>1.0</v>
      </c>
      <c r="AA130" s="26237">
        <f>IF(HLOOKUP("KP",A1:CV300,130,FALSE)=0,0,HLOOKUP("As",A1:CV300,130,FALSE)/HLOOKUP("KP",A1:CV300,130,FALSE))</f>
      </c>
      <c r="AB130" s="26238"/>
      <c r="AC130" t="n" s="26239">
        <v>0.0</v>
      </c>
      <c r="AD130" t="n" s="26240">
        <v>0.0</v>
      </c>
      <c r="AE130" t="n" s="26241">
        <v>0.0</v>
      </c>
      <c r="AF130" t="n" s="26242">
        <v>0.0</v>
      </c>
      <c r="AG130" s="26243">
        <f>IF(HLOOKUP("BC",A1:CV300,130,FALSE)=0,0,HLOOKUP("Gs - BC",A1:CV300,130,FALSE)/HLOOKUP("BC",A1:CV300,130,FALSE))</f>
      </c>
      <c r="AH130" s="26244">
        <f>HLOOKUP("BC",A1:CV300,130,FALSE) - HLOOKUP("BC Miss",A1:CV300,130,FALSE)</f>
      </c>
      <c r="AI130" s="26245">
        <f>IF(HLOOKUP("Gs",A1:CV300,130,FALSE)=0,0,HLOOKUP("Gs - BC",A1:CV300,130,FALSE)/HLOOKUP("Gs",A1:CV300,130,FALSE))</f>
      </c>
      <c r="AJ130" t="n" s="26246">
        <v>0.0</v>
      </c>
      <c r="AK130" t="n" s="26247">
        <v>0.0</v>
      </c>
      <c r="AL130" s="26248">
        <f>HLOOKUP("BC",A1:CV300,130,FALSE) - (HLOOKUP("PK Gs",A1:CV300,130,FALSE) + HLOOKUP("PK Miss",A1:CV300,130,FALSE))</f>
      </c>
      <c r="AM130" s="26249">
        <f>HLOOKUP("BC Miss",A1:CV300,130,FALSE) - HLOOKUP("PK Miss",A1:CV300,130,FALSE)</f>
      </c>
      <c r="AN130" s="26250">
        <f>IF(HLOOKUP("BC - Open",A1:CV300,130,FALSE)=0,0,HLOOKUP("BC - Open Miss",A1:CV300,130,FALSE)/HLOOKUP("BC - Open",A1:CV300,130,FALSE))</f>
      </c>
      <c r="AO130" t="n" s="26251">
        <v>0.0</v>
      </c>
      <c r="AP130" s="26252">
        <f>IF(HLOOKUP("Gs",A1:CV300,130,FALSE)=0,0,HLOOKUP("GIB",A1:CV300,130,FALSE)/HLOOKUP("Gs",A1:CV300,130,FALSE))</f>
      </c>
      <c r="AQ130" t="n" s="26253">
        <v>0.0</v>
      </c>
      <c r="AR130" s="26254">
        <f>IF(HLOOKUP("Gs",A1:CV300,130,FALSE)=0,0,HLOOKUP("Gs - Open",A1:CV300,130,FALSE)/HLOOKUP("Gs",A1:CV300,130,FALSE))</f>
      </c>
      <c r="AS130" t="n" s="26255">
        <v>0.18</v>
      </c>
      <c r="AT130" t="n" s="26256">
        <v>0.05</v>
      </c>
      <c r="AU130" s="26257">
        <f>IF(HLOOKUP("Mins",A1:CV300,130,FALSE)=0,0,HLOOKUP("Pts",A1:CV300,130,FALSE)/HLOOKUP("Mins",A1:CV300,130,FALSE)* 90)</f>
      </c>
      <c r="AV130" s="26258">
        <f>IF(HLOOKUP("Apps",A1:CV300,130,FALSE)=0,0,HLOOKUP("Pts",A1:CV300,130,FALSE)/HLOOKUP("Apps",A1:CV300,130,FALSE)* 1)</f>
      </c>
      <c r="AW130" s="26259">
        <f>IF(HLOOKUP("Mins",A1:CV300,130,FALSE)=0,0,HLOOKUP("Gs",A1:CV300,130,FALSE)/HLOOKUP("Mins",A1:CV300,130,FALSE)* 90)</f>
      </c>
      <c r="AX130" s="26260">
        <f>IF(HLOOKUP("Mins",A1:CV300,130,FALSE)=0,0,HLOOKUP("Bonus",A1:CV300,130,FALSE)/HLOOKUP("Mins",A1:CV300,130,FALSE)* 90)</f>
      </c>
      <c r="AY130" s="26261">
        <f>IF(HLOOKUP("Mins",A1:CV300,130,FALSE)=0,0,HLOOKUP("BPS",A1:CV300,130,FALSE)/HLOOKUP("Mins",A1:CV300,130,FALSE)* 90)</f>
      </c>
      <c r="AZ130" s="26262">
        <f>IF(HLOOKUP("Mins",A1:CV300,130,FALSE)=0,0,HLOOKUP("Base BPS",A1:CV300,130,FALSE)/HLOOKUP("Mins",A1:CV300,130,FALSE)* 90)</f>
      </c>
      <c r="BA130" s="26263">
        <f>IF(HLOOKUP("Mins",A1:CV300,130,FALSE)=0,0,HLOOKUP("PenTchs",A1:CV300,130,FALSE)/HLOOKUP("Mins",A1:CV300,130,FALSE)* 90)</f>
      </c>
      <c r="BB130" s="26264">
        <f>IF(HLOOKUP("Mins",A1:CV300,130,FALSE)=0,0,HLOOKUP("Shots",A1:CV300,130,FALSE)/HLOOKUP("Mins",A1:CV300,130,FALSE)* 90)</f>
      </c>
      <c r="BC130" s="26265">
        <f>IF(HLOOKUP("Mins",A1:CV300,130,FALSE)=0,0,HLOOKUP("SIB",A1:CV300,130,FALSE)/HLOOKUP("Mins",A1:CV300,130,FALSE)* 90)</f>
      </c>
      <c r="BD130" s="26266">
        <f>IF(HLOOKUP("Mins",A1:CV300,130,FALSE)=0,0,HLOOKUP("S6YD",A1:CV300,130,FALSE)/HLOOKUP("Mins",A1:CV300,130,FALSE)* 90)</f>
      </c>
      <c r="BE130" s="26267">
        <f>IF(HLOOKUP("Mins",A1:CV300,130,FALSE)=0,0,HLOOKUP("Headers",A1:CV300,130,FALSE)/HLOOKUP("Mins",A1:CV300,130,FALSE)* 90)</f>
      </c>
      <c r="BF130" s="26268">
        <f>IF(HLOOKUP("Mins",A1:CV300,130,FALSE)=0,0,HLOOKUP("SOT",A1:CV300,130,FALSE)/HLOOKUP("Mins",A1:CV300,130,FALSE)* 90)</f>
      </c>
      <c r="BG130" s="26269">
        <f>IF(HLOOKUP("Mins",A1:CV300,130,FALSE)=0,0,HLOOKUP("As",A1:CV300,130,FALSE)/HLOOKUP("Mins",A1:CV300,130,FALSE)* 90)</f>
      </c>
      <c r="BH130" s="26270">
        <f>IF(HLOOKUP("Mins",A1:CV300,130,FALSE)=0,0,HLOOKUP("FPL As",A1:CV300,130,FALSE)/HLOOKUP("Mins",A1:CV300,130,FALSE)* 90)</f>
      </c>
      <c r="BI130" s="26271">
        <f>IF(HLOOKUP("Mins",A1:CV300,130,FALSE)=0,0,HLOOKUP("BC Created",A1:CV300,130,FALSE)/HLOOKUP("Mins",A1:CV300,130,FALSE)* 90)</f>
      </c>
      <c r="BJ130" s="26272">
        <f>IF(HLOOKUP("Mins",A1:CV300,130,FALSE)=0,0,HLOOKUP("KP",A1:CV300,130,FALSE)/HLOOKUP("Mins",A1:CV300,130,FALSE)* 90)</f>
      </c>
      <c r="BK130" s="26273">
        <f>IF(HLOOKUP("Mins",A1:CV300,130,FALSE)=0,0,HLOOKUP("BC",A1:CV300,130,FALSE)/HLOOKUP("Mins",A1:CV300,130,FALSE)* 90)</f>
      </c>
      <c r="BL130" s="26274">
        <f>IF(HLOOKUP("Mins",A1:CV300,130,FALSE)=0,0,HLOOKUP("BC Miss",A1:CV300,130,FALSE)/HLOOKUP("Mins",A1:CV300,130,FALSE)* 90)</f>
      </c>
      <c r="BM130" s="26275">
        <f>IF(HLOOKUP("Mins",A1:CV300,130,FALSE)=0,0,HLOOKUP("Gs - BC",A1:CV300,130,FALSE)/HLOOKUP("Mins",A1:CV300,130,FALSE)* 90)</f>
      </c>
      <c r="BN130" s="26276">
        <f>IF(HLOOKUP("Mins",A1:CV300,130,FALSE)=0,0,HLOOKUP("GIB",A1:CV300,130,FALSE)/HLOOKUP("Mins",A1:CV300,130,FALSE)* 90)</f>
      </c>
      <c r="BO130" s="26277">
        <f>IF(HLOOKUP("Mins",A1:CV300,130,FALSE)=0,0,HLOOKUP("Gs - Open",A1:CV300,130,FALSE)/HLOOKUP("Mins",A1:CV300,130,FALSE)* 90)</f>
      </c>
      <c r="BP130" s="26278">
        <f>IF(HLOOKUP("Mins",A1:CV300,130,FALSE)=0,0,HLOOKUP("ICT Index",A1:CV300,130,FALSE)/HLOOKUP("Mins",A1:CV300,130,FALSE)* 90)</f>
      </c>
      <c r="BQ130" s="26279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</c>
      <c r="BR130" s="26280">
        <f>0.0885*HLOOKUP("KP/90",A1:CV300,130,FALSE)</f>
      </c>
      <c r="BS130" s="26281">
        <f>5*HLOOKUP("xG/90",A1:CV300,130,FALSE)+3*HLOOKUP("xA/90",A1:CV300,130,FALSE)</f>
      </c>
      <c r="BT130" s="26282">
        <f>HLOOKUP("xPts/90",A1:CV300,130,FALSE)-(5*0.75*(HLOOKUP("PK Gs",A1:CV300,130,FALSE)+HLOOKUP("PK Miss",A1:CV300,130,FALSE))*90/HLOOKUP("Mins",A1:CV300,130,FALSE))</f>
      </c>
      <c r="BU130" s="26283">
        <f>IF(HLOOKUP("Mins",A1:CV300,130,FALSE)=0,0,HLOOKUP("fsXG",A1:CV300,130,FALSE)/HLOOKUP("Mins",A1:CV300,130,FALSE)* 90)</f>
      </c>
      <c r="BV130" s="26284">
        <f>IF(HLOOKUP("Mins",A1:CV300,130,FALSE)=0,0,HLOOKUP("fsXA",A1:CV300,130,FALSE)/HLOOKUP("Mins",A1:CV300,130,FALSE)* 90)</f>
      </c>
      <c r="BW130" s="26285">
        <f>5*HLOOKUP("fsXG/90",A1:CV300,130,FALSE)+3*HLOOKUP("fsXA/90",A1:CV300,130,FALSE)</f>
      </c>
      <c r="BX130" t="n" s="26286">
        <v>0.2216813862323761</v>
      </c>
      <c r="BY130" t="n" s="26287">
        <v>0.017815882340073586</v>
      </c>
      <c r="BZ130" s="26288">
        <f>5*HLOOKUP("uXG/90",A1:CV300,130,FALSE)+3*HLOOKUP("uXA/90",A1:CV300,130,FALSE)</f>
      </c>
    </row>
    <row r="131">
      <c r="A131" t="s" s="26289">
        <v>434</v>
      </c>
      <c r="B131" t="s" s="26290">
        <v>105</v>
      </c>
      <c r="C131" t="n" s="26291">
        <v>5.199999809265137</v>
      </c>
      <c r="D131" t="n" s="26292">
        <v>300.0</v>
      </c>
      <c r="E131" t="n" s="26293">
        <v>5.0</v>
      </c>
      <c r="F131" t="n" s="26294">
        <v>47.0</v>
      </c>
      <c r="G131" t="n" s="26295">
        <v>0.0</v>
      </c>
      <c r="H131" t="n" s="26296">
        <v>4.0</v>
      </c>
      <c r="I131" t="n" s="26297">
        <v>287.0</v>
      </c>
      <c r="J131" s="26298">
        <f>HLOOKUP("BPS",A1:CV300,131,FALSE)-((-6*HLOOKUP("OG",A1:CV300,131,FALSE))+(-6*HLOOKUP("PK Miss",A1:CV300,131,FALSE))+(9*HLOOKUP("FPL As",A1:CV300,131,FALSE))+(0*HLOOKUP("CS",A1:CV300,131,FALSE))+(18*HLOOKUP("Gs",A1:CV300,131,FALSE)))</f>
      </c>
      <c r="K131" t="n" s="26299">
        <v>0.0</v>
      </c>
      <c r="L131" t="n" s="26300">
        <v>3.0</v>
      </c>
      <c r="M131" t="n" s="26301">
        <v>8.0</v>
      </c>
      <c r="N131" t="n" s="26302">
        <v>4.0</v>
      </c>
      <c r="O131" t="n" s="26303">
        <v>2.0</v>
      </c>
      <c r="P131" s="26304">
        <f>IF(HLOOKUP("Shots",A1:CV300,131,FALSE)=0,0,HLOOKUP("SIB",A1:CV300,131,FALSE)/HLOOKUP("Shots",A1:CV300,131,FALSE))</f>
      </c>
      <c r="Q131" t="n" s="26305">
        <v>0.0</v>
      </c>
      <c r="R131" s="26306">
        <f>IF(HLOOKUP("Shots",A1:CV300,131,FALSE)=0,0,HLOOKUP("S6YD",A1:CV300,131,FALSE)/HLOOKUP("Shots",A1:CV300,131,FALSE))</f>
      </c>
      <c r="S131" t="n" s="26307">
        <v>0.0</v>
      </c>
      <c r="T131" s="26308">
        <f>IF(HLOOKUP("Shots",A1:CV300,131,FALSE)=0,0,HLOOKUP("Headers",A1:CV300,131,FALSE)/HLOOKUP("Shots",A1:CV300,131,FALSE))</f>
      </c>
      <c r="U131" t="n" s="26309">
        <v>2.0</v>
      </c>
      <c r="V131" s="26310">
        <f>IF(HLOOKUP("Shots",A1:CV300,131,FALSE)=0,0,HLOOKUP("SOT",A1:CV300,131,FALSE)/HLOOKUP("Shots",A1:CV300,131,FALSE))</f>
      </c>
      <c r="W131" s="26311">
        <f>IF(HLOOKUP("Shots",A1:CV300,131,FALSE)=0,0,HLOOKUP("Gs",A1:CV300,131,FALSE)/HLOOKUP("Shots",A1:CV300,131,FALSE))</f>
      </c>
      <c r="X131" t="n" s="26312">
        <v>1.0</v>
      </c>
      <c r="Y131" t="n" s="26313">
        <v>1.0</v>
      </c>
      <c r="Z131" t="n" s="26314">
        <v>6.0</v>
      </c>
      <c r="AA131" s="26315">
        <f>IF(HLOOKUP("KP",A1:CV300,131,FALSE)=0,0,HLOOKUP("As",A1:CV300,131,FALSE)/HLOOKUP("KP",A1:CV300,131,FALSE))</f>
      </c>
      <c r="AB131" s="26316"/>
      <c r="AC131" t="n" s="26317">
        <v>20.0</v>
      </c>
      <c r="AD131" t="n" s="26318">
        <v>1.0</v>
      </c>
      <c r="AE131" t="n" s="26319">
        <v>2.0</v>
      </c>
      <c r="AF131" t="n" s="26320">
        <v>2.0</v>
      </c>
      <c r="AG131" s="26321">
        <f>IF(HLOOKUP("BC",A1:CV300,131,FALSE)=0,0,HLOOKUP("Gs - BC",A1:CV300,131,FALSE)/HLOOKUP("BC",A1:CV300,131,FALSE))</f>
      </c>
      <c r="AH131" s="26322">
        <f>HLOOKUP("BC",A1:CV300,131,FALSE) - HLOOKUP("BC Miss",A1:CV300,131,FALSE)</f>
      </c>
      <c r="AI131" s="26323">
        <f>IF(HLOOKUP("Gs",A1:CV300,131,FALSE)=0,0,HLOOKUP("Gs - BC",A1:CV300,131,FALSE)/HLOOKUP("Gs",A1:CV300,131,FALSE))</f>
      </c>
      <c r="AJ131" t="n" s="26324">
        <v>0.0</v>
      </c>
      <c r="AK131" t="n" s="26325">
        <v>1.0</v>
      </c>
      <c r="AL131" s="26326">
        <f>HLOOKUP("BC",A1:CV300,131,FALSE) - (HLOOKUP("PK Gs",A1:CV300,131,FALSE) + HLOOKUP("PK Miss",A1:CV300,131,FALSE))</f>
      </c>
      <c r="AM131" s="26327">
        <f>HLOOKUP("BC Miss",A1:CV300,131,FALSE) - HLOOKUP("PK Miss",A1:CV300,131,FALSE)</f>
      </c>
      <c r="AN131" s="26328">
        <f>IF(HLOOKUP("BC - Open",A1:CV300,131,FALSE)=0,0,HLOOKUP("BC - Open Miss",A1:CV300,131,FALSE)/HLOOKUP("BC - Open",A1:CV300,131,FALSE))</f>
      </c>
      <c r="AO131" t="n" s="26329">
        <v>0.0</v>
      </c>
      <c r="AP131" s="26330">
        <f>IF(HLOOKUP("Gs",A1:CV300,131,FALSE)=0,0,HLOOKUP("GIB",A1:CV300,131,FALSE)/HLOOKUP("Gs",A1:CV300,131,FALSE))</f>
      </c>
      <c r="AQ131" t="n" s="26331">
        <v>0.0</v>
      </c>
      <c r="AR131" s="26332">
        <f>IF(HLOOKUP("Gs",A1:CV300,131,FALSE)=0,0,HLOOKUP("Gs - Open",A1:CV300,131,FALSE)/HLOOKUP("Gs",A1:CV300,131,FALSE))</f>
      </c>
      <c r="AS131" t="n" s="26333">
        <v>1.0</v>
      </c>
      <c r="AT131" t="n" s="26334">
        <v>0.82</v>
      </c>
      <c r="AU131" s="26335">
        <f>IF(HLOOKUP("Mins",A1:CV300,131,FALSE)=0,0,HLOOKUP("Pts",A1:CV300,131,FALSE)/HLOOKUP("Mins",A1:CV300,131,FALSE)* 90)</f>
      </c>
      <c r="AV131" s="26336">
        <f>IF(HLOOKUP("Apps",A1:CV300,131,FALSE)=0,0,HLOOKUP("Pts",A1:CV300,131,FALSE)/HLOOKUP("Apps",A1:CV300,131,FALSE)* 1)</f>
      </c>
      <c r="AW131" s="26337">
        <f>IF(HLOOKUP("Mins",A1:CV300,131,FALSE)=0,0,HLOOKUP("Gs",A1:CV300,131,FALSE)/HLOOKUP("Mins",A1:CV300,131,FALSE)* 90)</f>
      </c>
      <c r="AX131" s="26338">
        <f>IF(HLOOKUP("Mins",A1:CV300,131,FALSE)=0,0,HLOOKUP("Bonus",A1:CV300,131,FALSE)/HLOOKUP("Mins",A1:CV300,131,FALSE)* 90)</f>
      </c>
      <c r="AY131" s="26339">
        <f>IF(HLOOKUP("Mins",A1:CV300,131,FALSE)=0,0,HLOOKUP("BPS",A1:CV300,131,FALSE)/HLOOKUP("Mins",A1:CV300,131,FALSE)* 90)</f>
      </c>
      <c r="AZ131" s="26340">
        <f>IF(HLOOKUP("Mins",A1:CV300,131,FALSE)=0,0,HLOOKUP("Base BPS",A1:CV300,131,FALSE)/HLOOKUP("Mins",A1:CV300,131,FALSE)* 90)</f>
      </c>
      <c r="BA131" s="26341">
        <f>IF(HLOOKUP("Mins",A1:CV300,131,FALSE)=0,0,HLOOKUP("PenTchs",A1:CV300,131,FALSE)/HLOOKUP("Mins",A1:CV300,131,FALSE)* 90)</f>
      </c>
      <c r="BB131" s="26342">
        <f>IF(HLOOKUP("Mins",A1:CV300,131,FALSE)=0,0,HLOOKUP("Shots",A1:CV300,131,FALSE)/HLOOKUP("Mins",A1:CV300,131,FALSE)* 90)</f>
      </c>
      <c r="BC131" s="26343">
        <f>IF(HLOOKUP("Mins",A1:CV300,131,FALSE)=0,0,HLOOKUP("SIB",A1:CV300,131,FALSE)/HLOOKUP("Mins",A1:CV300,131,FALSE)* 90)</f>
      </c>
      <c r="BD131" s="26344">
        <f>IF(HLOOKUP("Mins",A1:CV300,131,FALSE)=0,0,HLOOKUP("S6YD",A1:CV300,131,FALSE)/HLOOKUP("Mins",A1:CV300,131,FALSE)* 90)</f>
      </c>
      <c r="BE131" s="26345">
        <f>IF(HLOOKUP("Mins",A1:CV300,131,FALSE)=0,0,HLOOKUP("Headers",A1:CV300,131,FALSE)/HLOOKUP("Mins",A1:CV300,131,FALSE)* 90)</f>
      </c>
      <c r="BF131" s="26346">
        <f>IF(HLOOKUP("Mins",A1:CV300,131,FALSE)=0,0,HLOOKUP("SOT",A1:CV300,131,FALSE)/HLOOKUP("Mins",A1:CV300,131,FALSE)* 90)</f>
      </c>
      <c r="BG131" s="26347">
        <f>IF(HLOOKUP("Mins",A1:CV300,131,FALSE)=0,0,HLOOKUP("As",A1:CV300,131,FALSE)/HLOOKUP("Mins",A1:CV300,131,FALSE)* 90)</f>
      </c>
      <c r="BH131" s="26348">
        <f>IF(HLOOKUP("Mins",A1:CV300,131,FALSE)=0,0,HLOOKUP("FPL As",A1:CV300,131,FALSE)/HLOOKUP("Mins",A1:CV300,131,FALSE)* 90)</f>
      </c>
      <c r="BI131" s="26349">
        <f>IF(HLOOKUP("Mins",A1:CV300,131,FALSE)=0,0,HLOOKUP("BC Created",A1:CV300,131,FALSE)/HLOOKUP("Mins",A1:CV300,131,FALSE)* 90)</f>
      </c>
      <c r="BJ131" s="26350">
        <f>IF(HLOOKUP("Mins",A1:CV300,131,FALSE)=0,0,HLOOKUP("KP",A1:CV300,131,FALSE)/HLOOKUP("Mins",A1:CV300,131,FALSE)* 90)</f>
      </c>
      <c r="BK131" s="26351">
        <f>IF(HLOOKUP("Mins",A1:CV300,131,FALSE)=0,0,HLOOKUP("BC",A1:CV300,131,FALSE)/HLOOKUP("Mins",A1:CV300,131,FALSE)* 90)</f>
      </c>
      <c r="BL131" s="26352">
        <f>IF(HLOOKUP("Mins",A1:CV300,131,FALSE)=0,0,HLOOKUP("BC Miss",A1:CV300,131,FALSE)/HLOOKUP("Mins",A1:CV300,131,FALSE)* 90)</f>
      </c>
      <c r="BM131" s="26353">
        <f>IF(HLOOKUP("Mins",A1:CV300,131,FALSE)=0,0,HLOOKUP("Gs - BC",A1:CV300,131,FALSE)/HLOOKUP("Mins",A1:CV300,131,FALSE)* 90)</f>
      </c>
      <c r="BN131" s="26354">
        <f>IF(HLOOKUP("Mins",A1:CV300,131,FALSE)=0,0,HLOOKUP("GIB",A1:CV300,131,FALSE)/HLOOKUP("Mins",A1:CV300,131,FALSE)* 90)</f>
      </c>
      <c r="BO131" s="26355">
        <f>IF(HLOOKUP("Mins",A1:CV300,131,FALSE)=0,0,HLOOKUP("Gs - Open",A1:CV300,131,FALSE)/HLOOKUP("Mins",A1:CV300,131,FALSE)* 90)</f>
      </c>
      <c r="BP131" s="26356">
        <f>IF(HLOOKUP("Mins",A1:CV300,131,FALSE)=0,0,HLOOKUP("ICT Index",A1:CV300,131,FALSE)/HLOOKUP("Mins",A1:CV300,131,FALSE)* 90)</f>
      </c>
      <c r="BQ131" s="26357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</c>
      <c r="BR131" s="26358">
        <f>0.0885*HLOOKUP("KP/90",A1:CV300,131,FALSE)</f>
      </c>
      <c r="BS131" s="26359">
        <f>5*HLOOKUP("xG/90",A1:CV300,131,FALSE)+3*HLOOKUP("xA/90",A1:CV300,131,FALSE)</f>
      </c>
      <c r="BT131" s="26360">
        <f>HLOOKUP("xPts/90",A1:CV300,131,FALSE)-(5*0.75*(HLOOKUP("PK Gs",A1:CV300,131,FALSE)+HLOOKUP("PK Miss",A1:CV300,131,FALSE))*90/HLOOKUP("Mins",A1:CV300,131,FALSE))</f>
      </c>
      <c r="BU131" s="26361">
        <f>IF(HLOOKUP("Mins",A1:CV300,131,FALSE)=0,0,HLOOKUP("fsXG",A1:CV300,131,FALSE)/HLOOKUP("Mins",A1:CV300,131,FALSE)* 90)</f>
      </c>
      <c r="BV131" s="26362">
        <f>IF(HLOOKUP("Mins",A1:CV300,131,FALSE)=0,0,HLOOKUP("fsXA",A1:CV300,131,FALSE)/HLOOKUP("Mins",A1:CV300,131,FALSE)* 90)</f>
      </c>
      <c r="BW131" s="26363">
        <f>5*HLOOKUP("fsXG/90",A1:CV300,131,FALSE)+3*HLOOKUP("fsXA/90",A1:CV300,131,FALSE)</f>
      </c>
      <c r="BX131" t="n" s="26364">
        <v>0.4139938950538635</v>
      </c>
      <c r="BY131" t="n" s="26365">
        <v>0.2100943773984909</v>
      </c>
      <c r="BZ131" s="26366">
        <f>5*HLOOKUP("uXG/90",A1:CV300,131,FALSE)+3*HLOOKUP("uXA/90",A1:CV300,131,FALSE)</f>
      </c>
    </row>
    <row r="132">
      <c r="A132" t="s" s="26367">
        <v>435</v>
      </c>
      <c r="B132" t="s" s="26368">
        <v>107</v>
      </c>
      <c r="C132" t="n" s="26369">
        <v>5.199999809265137</v>
      </c>
      <c r="D132" t="n" s="26370">
        <v>535.0</v>
      </c>
      <c r="E132" t="n" s="26371">
        <v>6.0</v>
      </c>
      <c r="F132" t="n" s="26372">
        <v>64.0</v>
      </c>
      <c r="G132" t="n" s="26373">
        <v>0.0</v>
      </c>
      <c r="H132" t="n" s="26374">
        <v>2.0</v>
      </c>
      <c r="I132" t="n" s="26375">
        <v>302.0</v>
      </c>
      <c r="J132" s="26376">
        <f>HLOOKUP("BPS",A1:CV300,132,FALSE)-((-6*HLOOKUP("OG",A1:CV300,132,FALSE))+(-6*HLOOKUP("PK Miss",A1:CV300,132,FALSE))+(9*HLOOKUP("FPL As",A1:CV300,132,FALSE))+(0*HLOOKUP("CS",A1:CV300,132,FALSE))+(18*HLOOKUP("Gs",A1:CV300,132,FALSE)))</f>
      </c>
      <c r="K132" t="n" s="26377">
        <v>0.0</v>
      </c>
      <c r="L132" t="n" s="26378">
        <v>7.0</v>
      </c>
      <c r="M132" t="n" s="26379">
        <v>16.0</v>
      </c>
      <c r="N132" t="n" s="26380">
        <v>6.0</v>
      </c>
      <c r="O132" t="n" s="26381">
        <v>4.0</v>
      </c>
      <c r="P132" s="26382">
        <f>IF(HLOOKUP("Shots",A1:CV300,132,FALSE)=0,0,HLOOKUP("SIB",A1:CV300,132,FALSE)/HLOOKUP("Shots",A1:CV300,132,FALSE))</f>
      </c>
      <c r="Q132" t="n" s="26383">
        <v>0.0</v>
      </c>
      <c r="R132" s="26384">
        <f>IF(HLOOKUP("Shots",A1:CV300,132,FALSE)=0,0,HLOOKUP("S6YD",A1:CV300,132,FALSE)/HLOOKUP("Shots",A1:CV300,132,FALSE))</f>
      </c>
      <c r="S132" t="n" s="26385">
        <v>0.0</v>
      </c>
      <c r="T132" s="26386">
        <f>IF(HLOOKUP("Shots",A1:CV300,132,FALSE)=0,0,HLOOKUP("Headers",A1:CV300,132,FALSE)/HLOOKUP("Shots",A1:CV300,132,FALSE))</f>
      </c>
      <c r="U132" t="n" s="26387">
        <v>2.0</v>
      </c>
      <c r="V132" s="26388">
        <f>IF(HLOOKUP("Shots",A1:CV300,132,FALSE)=0,0,HLOOKUP("SOT",A1:CV300,132,FALSE)/HLOOKUP("Shots",A1:CV300,132,FALSE))</f>
      </c>
      <c r="W132" s="26389">
        <f>IF(HLOOKUP("Shots",A1:CV300,132,FALSE)=0,0,HLOOKUP("Gs",A1:CV300,132,FALSE)/HLOOKUP("Shots",A1:CV300,132,FALSE))</f>
      </c>
      <c r="X132" t="n" s="26390">
        <v>0.0</v>
      </c>
      <c r="Y132" t="n" s="26391">
        <v>3.0</v>
      </c>
      <c r="Z132" t="n" s="26392">
        <v>4.0</v>
      </c>
      <c r="AA132" s="26393">
        <f>IF(HLOOKUP("KP",A1:CV300,132,FALSE)=0,0,HLOOKUP("As",A1:CV300,132,FALSE)/HLOOKUP("KP",A1:CV300,132,FALSE))</f>
      </c>
      <c r="AB132" s="26394"/>
      <c r="AC132" t="n" s="26395">
        <v>0.0</v>
      </c>
      <c r="AD132" t="n" s="26396">
        <v>1.0</v>
      </c>
      <c r="AE132" t="n" s="26397">
        <v>1.0</v>
      </c>
      <c r="AF132" t="n" s="26398">
        <v>1.0</v>
      </c>
      <c r="AG132" s="26399">
        <f>IF(HLOOKUP("BC",A1:CV300,132,FALSE)=0,0,HLOOKUP("Gs - BC",A1:CV300,132,FALSE)/HLOOKUP("BC",A1:CV300,132,FALSE))</f>
      </c>
      <c r="AH132" s="26400">
        <f>HLOOKUP("BC",A1:CV300,132,FALSE) - HLOOKUP("BC Miss",A1:CV300,132,FALSE)</f>
      </c>
      <c r="AI132" s="26401">
        <f>IF(HLOOKUP("Gs",A1:CV300,132,FALSE)=0,0,HLOOKUP("Gs - BC",A1:CV300,132,FALSE)/HLOOKUP("Gs",A1:CV300,132,FALSE))</f>
      </c>
      <c r="AJ132" t="n" s="26402">
        <v>0.0</v>
      </c>
      <c r="AK132" t="n" s="26403">
        <v>0.0</v>
      </c>
      <c r="AL132" s="26404">
        <f>HLOOKUP("BC",A1:CV300,132,FALSE) - (HLOOKUP("PK Gs",A1:CV300,132,FALSE) + HLOOKUP("PK Miss",A1:CV300,132,FALSE))</f>
      </c>
      <c r="AM132" s="26405">
        <f>HLOOKUP("BC Miss",A1:CV300,132,FALSE) - HLOOKUP("PK Miss",A1:CV300,132,FALSE)</f>
      </c>
      <c r="AN132" s="26406">
        <f>IF(HLOOKUP("BC - Open",A1:CV300,132,FALSE)=0,0,HLOOKUP("BC - Open Miss",A1:CV300,132,FALSE)/HLOOKUP("BC - Open",A1:CV300,132,FALSE))</f>
      </c>
      <c r="AO132" t="n" s="26407">
        <v>0.0</v>
      </c>
      <c r="AP132" s="26408">
        <f>IF(HLOOKUP("Gs",A1:CV300,132,FALSE)=0,0,HLOOKUP("GIB",A1:CV300,132,FALSE)/HLOOKUP("Gs",A1:CV300,132,FALSE))</f>
      </c>
      <c r="AQ132" t="n" s="26409">
        <v>0.0</v>
      </c>
      <c r="AR132" s="26410">
        <f>IF(HLOOKUP("Gs",A1:CV300,132,FALSE)=0,0,HLOOKUP("Gs - Open",A1:CV300,132,FALSE)/HLOOKUP("Gs",A1:CV300,132,FALSE))</f>
      </c>
      <c r="AS132" t="n" s="26411">
        <v>0.33</v>
      </c>
      <c r="AT132" t="n" s="26412">
        <v>0.33</v>
      </c>
      <c r="AU132" s="26413">
        <f>IF(HLOOKUP("Mins",A1:CV300,132,FALSE)=0,0,HLOOKUP("Pts",A1:CV300,132,FALSE)/HLOOKUP("Mins",A1:CV300,132,FALSE)* 90)</f>
      </c>
      <c r="AV132" s="26414">
        <f>IF(HLOOKUP("Apps",A1:CV300,132,FALSE)=0,0,HLOOKUP("Pts",A1:CV300,132,FALSE)/HLOOKUP("Apps",A1:CV300,132,FALSE)* 1)</f>
      </c>
      <c r="AW132" s="26415">
        <f>IF(HLOOKUP("Mins",A1:CV300,132,FALSE)=0,0,HLOOKUP("Gs",A1:CV300,132,FALSE)/HLOOKUP("Mins",A1:CV300,132,FALSE)* 90)</f>
      </c>
      <c r="AX132" s="26416">
        <f>IF(HLOOKUP("Mins",A1:CV300,132,FALSE)=0,0,HLOOKUP("Bonus",A1:CV300,132,FALSE)/HLOOKUP("Mins",A1:CV300,132,FALSE)* 90)</f>
      </c>
      <c r="AY132" s="26417">
        <f>IF(HLOOKUP("Mins",A1:CV300,132,FALSE)=0,0,HLOOKUP("BPS",A1:CV300,132,FALSE)/HLOOKUP("Mins",A1:CV300,132,FALSE)* 90)</f>
      </c>
      <c r="AZ132" s="26418">
        <f>IF(HLOOKUP("Mins",A1:CV300,132,FALSE)=0,0,HLOOKUP("Base BPS",A1:CV300,132,FALSE)/HLOOKUP("Mins",A1:CV300,132,FALSE)* 90)</f>
      </c>
      <c r="BA132" s="26419">
        <f>IF(HLOOKUP("Mins",A1:CV300,132,FALSE)=0,0,HLOOKUP("PenTchs",A1:CV300,132,FALSE)/HLOOKUP("Mins",A1:CV300,132,FALSE)* 90)</f>
      </c>
      <c r="BB132" s="26420">
        <f>IF(HLOOKUP("Mins",A1:CV300,132,FALSE)=0,0,HLOOKUP("Shots",A1:CV300,132,FALSE)/HLOOKUP("Mins",A1:CV300,132,FALSE)* 90)</f>
      </c>
      <c r="BC132" s="26421">
        <f>IF(HLOOKUP("Mins",A1:CV300,132,FALSE)=0,0,HLOOKUP("SIB",A1:CV300,132,FALSE)/HLOOKUP("Mins",A1:CV300,132,FALSE)* 90)</f>
      </c>
      <c r="BD132" s="26422">
        <f>IF(HLOOKUP("Mins",A1:CV300,132,FALSE)=0,0,HLOOKUP("S6YD",A1:CV300,132,FALSE)/HLOOKUP("Mins",A1:CV300,132,FALSE)* 90)</f>
      </c>
      <c r="BE132" s="26423">
        <f>IF(HLOOKUP("Mins",A1:CV300,132,FALSE)=0,0,HLOOKUP("Headers",A1:CV300,132,FALSE)/HLOOKUP("Mins",A1:CV300,132,FALSE)* 90)</f>
      </c>
      <c r="BF132" s="26424">
        <f>IF(HLOOKUP("Mins",A1:CV300,132,FALSE)=0,0,HLOOKUP("SOT",A1:CV300,132,FALSE)/HLOOKUP("Mins",A1:CV300,132,FALSE)* 90)</f>
      </c>
      <c r="BG132" s="26425">
        <f>IF(HLOOKUP("Mins",A1:CV300,132,FALSE)=0,0,HLOOKUP("As",A1:CV300,132,FALSE)/HLOOKUP("Mins",A1:CV300,132,FALSE)* 90)</f>
      </c>
      <c r="BH132" s="26426">
        <f>IF(HLOOKUP("Mins",A1:CV300,132,FALSE)=0,0,HLOOKUP("FPL As",A1:CV300,132,FALSE)/HLOOKUP("Mins",A1:CV300,132,FALSE)* 90)</f>
      </c>
      <c r="BI132" s="26427">
        <f>IF(HLOOKUP("Mins",A1:CV300,132,FALSE)=0,0,HLOOKUP("BC Created",A1:CV300,132,FALSE)/HLOOKUP("Mins",A1:CV300,132,FALSE)* 90)</f>
      </c>
      <c r="BJ132" s="26428">
        <f>IF(HLOOKUP("Mins",A1:CV300,132,FALSE)=0,0,HLOOKUP("KP",A1:CV300,132,FALSE)/HLOOKUP("Mins",A1:CV300,132,FALSE)* 90)</f>
      </c>
      <c r="BK132" s="26429">
        <f>IF(HLOOKUP("Mins",A1:CV300,132,FALSE)=0,0,HLOOKUP("BC",A1:CV300,132,FALSE)/HLOOKUP("Mins",A1:CV300,132,FALSE)* 90)</f>
      </c>
      <c r="BL132" s="26430">
        <f>IF(HLOOKUP("Mins",A1:CV300,132,FALSE)=0,0,HLOOKUP("BC Miss",A1:CV300,132,FALSE)/HLOOKUP("Mins",A1:CV300,132,FALSE)* 90)</f>
      </c>
      <c r="BM132" s="26431">
        <f>IF(HLOOKUP("Mins",A1:CV300,132,FALSE)=0,0,HLOOKUP("Gs - BC",A1:CV300,132,FALSE)/HLOOKUP("Mins",A1:CV300,132,FALSE)* 90)</f>
      </c>
      <c r="BN132" s="26432">
        <f>IF(HLOOKUP("Mins",A1:CV300,132,FALSE)=0,0,HLOOKUP("GIB",A1:CV300,132,FALSE)/HLOOKUP("Mins",A1:CV300,132,FALSE)* 90)</f>
      </c>
      <c r="BO132" s="26433">
        <f>IF(HLOOKUP("Mins",A1:CV300,132,FALSE)=0,0,HLOOKUP("Gs - Open",A1:CV300,132,FALSE)/HLOOKUP("Mins",A1:CV300,132,FALSE)* 90)</f>
      </c>
      <c r="BP132" s="26434">
        <f>IF(HLOOKUP("Mins",A1:CV300,132,FALSE)=0,0,HLOOKUP("ICT Index",A1:CV300,132,FALSE)/HLOOKUP("Mins",A1:CV300,132,FALSE)* 90)</f>
      </c>
      <c r="BQ132" s="26435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</c>
      <c r="BR132" s="26436">
        <f>0.0885*HLOOKUP("KP/90",A1:CV300,132,FALSE)</f>
      </c>
      <c r="BS132" s="26437">
        <f>5*HLOOKUP("xG/90",A1:CV300,132,FALSE)+3*HLOOKUP("xA/90",A1:CV300,132,FALSE)</f>
      </c>
      <c r="BT132" s="26438">
        <f>HLOOKUP("xPts/90",A1:CV300,132,FALSE)-(5*0.75*(HLOOKUP("PK Gs",A1:CV300,132,FALSE)+HLOOKUP("PK Miss",A1:CV300,132,FALSE))*90/HLOOKUP("Mins",A1:CV300,132,FALSE))</f>
      </c>
      <c r="BU132" s="26439">
        <f>IF(HLOOKUP("Mins",A1:CV300,132,FALSE)=0,0,HLOOKUP("fsXG",A1:CV300,132,FALSE)/HLOOKUP("Mins",A1:CV300,132,FALSE)* 90)</f>
      </c>
      <c r="BV132" s="26440">
        <f>IF(HLOOKUP("Mins",A1:CV300,132,FALSE)=0,0,HLOOKUP("fsXA",A1:CV300,132,FALSE)/HLOOKUP("Mins",A1:CV300,132,FALSE)* 90)</f>
      </c>
      <c r="BW132" s="26441">
        <f>5*HLOOKUP("fsXG/90",A1:CV300,132,FALSE)+3*HLOOKUP("fsXA/90",A1:CV300,132,FALSE)</f>
      </c>
      <c r="BX132" t="n" s="26442">
        <v>0.10381197929382324</v>
      </c>
      <c r="BY132" t="n" s="26443">
        <v>0.09119591116905212</v>
      </c>
      <c r="BZ132" s="26444">
        <f>5*HLOOKUP("uXG/90",A1:CV300,132,FALSE)+3*HLOOKUP("uXA/90",A1:CV300,132,FALSE)</f>
      </c>
    </row>
    <row r="133">
      <c r="A133" t="s" s="26445">
        <v>436</v>
      </c>
      <c r="B133" t="s" s="26446">
        <v>95</v>
      </c>
      <c r="C133" t="n" s="26447">
        <v>10.0</v>
      </c>
      <c r="D133" t="n" s="26448">
        <v>450.0</v>
      </c>
      <c r="E133" t="n" s="26449">
        <v>5.0</v>
      </c>
      <c r="F133" t="n" s="26450">
        <v>122.0</v>
      </c>
      <c r="G133" t="n" s="26451">
        <v>4.0</v>
      </c>
      <c r="H133" t="n" s="26452">
        <v>13.0</v>
      </c>
      <c r="I133" t="n" s="26453">
        <v>395.0</v>
      </c>
      <c r="J133" s="26454">
        <f>HLOOKUP("BPS",A1:CV300,133,FALSE)-((-6*HLOOKUP("OG",A1:CV300,133,FALSE))+(-6*HLOOKUP("PK Miss",A1:CV300,133,FALSE))+(9*HLOOKUP("FPL As",A1:CV300,133,FALSE))+(0*HLOOKUP("CS",A1:CV300,133,FALSE))+(18*HLOOKUP("Gs",A1:CV300,133,FALSE)))</f>
      </c>
      <c r="K133" t="n" s="26455">
        <v>0.0</v>
      </c>
      <c r="L133" t="n" s="26456">
        <v>4.0</v>
      </c>
      <c r="M133" t="n" s="26457">
        <v>30.0</v>
      </c>
      <c r="N133" t="n" s="26458">
        <v>22.0</v>
      </c>
      <c r="O133" t="n" s="26459">
        <v>18.0</v>
      </c>
      <c r="P133" s="26460">
        <f>IF(HLOOKUP("Shots",A1:CV300,133,FALSE)=0,0,HLOOKUP("SIB",A1:CV300,133,FALSE)/HLOOKUP("Shots",A1:CV300,133,FALSE))</f>
      </c>
      <c r="Q133" t="n" s="26461">
        <v>2.0</v>
      </c>
      <c r="R133" s="26462">
        <f>IF(HLOOKUP("Shots",A1:CV300,133,FALSE)=0,0,HLOOKUP("S6YD",A1:CV300,133,FALSE)/HLOOKUP("Shots",A1:CV300,133,FALSE))</f>
      </c>
      <c r="S133" t="n" s="26463">
        <v>1.0</v>
      </c>
      <c r="T133" s="26464">
        <f>IF(HLOOKUP("Shots",A1:CV300,133,FALSE)=0,0,HLOOKUP("Headers",A1:CV300,133,FALSE)/HLOOKUP("Shots",A1:CV300,133,FALSE))</f>
      </c>
      <c r="U133" t="n" s="26465">
        <v>12.0</v>
      </c>
      <c r="V133" s="26466">
        <f>IF(HLOOKUP("Shots",A1:CV300,133,FALSE)=0,0,HLOOKUP("SOT",A1:CV300,133,FALSE)/HLOOKUP("Shots",A1:CV300,133,FALSE))</f>
      </c>
      <c r="W133" s="26467">
        <f>IF(HLOOKUP("Shots",A1:CV300,133,FALSE)=0,0,HLOOKUP("Gs",A1:CV300,133,FALSE)/HLOOKUP("Shots",A1:CV300,133,FALSE))</f>
      </c>
      <c r="X133" t="n" s="26468">
        <v>0.0</v>
      </c>
      <c r="Y133" t="n" s="26469">
        <v>9.0</v>
      </c>
      <c r="Z133" t="n" s="26470">
        <v>5.0</v>
      </c>
      <c r="AA133" s="26471">
        <f>IF(HLOOKUP("KP",A1:CV300,133,FALSE)=0,0,HLOOKUP("As",A1:CV300,133,FALSE)/HLOOKUP("KP",A1:CV300,133,FALSE))</f>
      </c>
      <c r="AB133" s="26472"/>
      <c r="AC133" t="n" s="26473">
        <v>57.0</v>
      </c>
      <c r="AD133" t="n" s="26474">
        <v>2.0</v>
      </c>
      <c r="AE133" t="n" s="26475">
        <v>6.0</v>
      </c>
      <c r="AF133" t="n" s="26476">
        <v>2.0</v>
      </c>
      <c r="AG133" s="26477">
        <f>IF(HLOOKUP("BC",A1:CV300,133,FALSE)=0,0,HLOOKUP("Gs - BC",A1:CV300,133,FALSE)/HLOOKUP("BC",A1:CV300,133,FALSE))</f>
      </c>
      <c r="AH133" s="26478">
        <f>HLOOKUP("BC",A1:CV300,133,FALSE) - HLOOKUP("BC Miss",A1:CV300,133,FALSE)</f>
      </c>
      <c r="AI133" s="26479">
        <f>IF(HLOOKUP("Gs",A1:CV300,133,FALSE)=0,0,HLOOKUP("Gs - BC",A1:CV300,133,FALSE)/HLOOKUP("Gs",A1:CV300,133,FALSE))</f>
      </c>
      <c r="AJ133" t="n" s="26480">
        <v>0.0</v>
      </c>
      <c r="AK133" t="n" s="26481">
        <v>1.0</v>
      </c>
      <c r="AL133" s="26482">
        <f>HLOOKUP("BC",A1:CV300,133,FALSE) - (HLOOKUP("PK Gs",A1:CV300,133,FALSE) + HLOOKUP("PK Miss",A1:CV300,133,FALSE))</f>
      </c>
      <c r="AM133" s="26483">
        <f>HLOOKUP("BC Miss",A1:CV300,133,FALSE) - HLOOKUP("PK Miss",A1:CV300,133,FALSE)</f>
      </c>
      <c r="AN133" s="26484">
        <f>IF(HLOOKUP("BC - Open",A1:CV300,133,FALSE)=0,0,HLOOKUP("BC - Open Miss",A1:CV300,133,FALSE)/HLOOKUP("BC - Open",A1:CV300,133,FALSE))</f>
      </c>
      <c r="AO133" t="n" s="26485">
        <v>4.0</v>
      </c>
      <c r="AP133" s="26486">
        <f>IF(HLOOKUP("Gs",A1:CV300,133,FALSE)=0,0,HLOOKUP("GIB",A1:CV300,133,FALSE)/HLOOKUP("Gs",A1:CV300,133,FALSE))</f>
      </c>
      <c r="AQ133" t="n" s="26487">
        <v>3.0</v>
      </c>
      <c r="AR133" s="26488">
        <f>IF(HLOOKUP("Gs",A1:CV300,133,FALSE)=0,0,HLOOKUP("Gs - Open",A1:CV300,133,FALSE)/HLOOKUP("Gs",A1:CV300,133,FALSE))</f>
      </c>
      <c r="AS133" t="n" s="26489">
        <v>3.44</v>
      </c>
      <c r="AT133" t="n" s="26490">
        <v>0.45</v>
      </c>
      <c r="AU133" s="26491">
        <f>IF(HLOOKUP("Mins",A1:CV300,133,FALSE)=0,0,HLOOKUP("Pts",A1:CV300,133,FALSE)/HLOOKUP("Mins",A1:CV300,133,FALSE)* 90)</f>
      </c>
      <c r="AV133" s="26492">
        <f>IF(HLOOKUP("Apps",A1:CV300,133,FALSE)=0,0,HLOOKUP("Pts",A1:CV300,133,FALSE)/HLOOKUP("Apps",A1:CV300,133,FALSE)* 1)</f>
      </c>
      <c r="AW133" s="26493">
        <f>IF(HLOOKUP("Mins",A1:CV300,133,FALSE)=0,0,HLOOKUP("Gs",A1:CV300,133,FALSE)/HLOOKUP("Mins",A1:CV300,133,FALSE)* 90)</f>
      </c>
      <c r="AX133" s="26494">
        <f>IF(HLOOKUP("Mins",A1:CV300,133,FALSE)=0,0,HLOOKUP("Bonus",A1:CV300,133,FALSE)/HLOOKUP("Mins",A1:CV300,133,FALSE)* 90)</f>
      </c>
      <c r="AY133" s="26495">
        <f>IF(HLOOKUP("Mins",A1:CV300,133,FALSE)=0,0,HLOOKUP("BPS",A1:CV300,133,FALSE)/HLOOKUP("Mins",A1:CV300,133,FALSE)* 90)</f>
      </c>
      <c r="AZ133" s="26496">
        <f>IF(HLOOKUP("Mins",A1:CV300,133,FALSE)=0,0,HLOOKUP("Base BPS",A1:CV300,133,FALSE)/HLOOKUP("Mins",A1:CV300,133,FALSE)* 90)</f>
      </c>
      <c r="BA133" s="26497">
        <f>IF(HLOOKUP("Mins",A1:CV300,133,FALSE)=0,0,HLOOKUP("PenTchs",A1:CV300,133,FALSE)/HLOOKUP("Mins",A1:CV300,133,FALSE)* 90)</f>
      </c>
      <c r="BB133" s="26498">
        <f>IF(HLOOKUP("Mins",A1:CV300,133,FALSE)=0,0,HLOOKUP("Shots",A1:CV300,133,FALSE)/HLOOKUP("Mins",A1:CV300,133,FALSE)* 90)</f>
      </c>
      <c r="BC133" s="26499">
        <f>IF(HLOOKUP("Mins",A1:CV300,133,FALSE)=0,0,HLOOKUP("SIB",A1:CV300,133,FALSE)/HLOOKUP("Mins",A1:CV300,133,FALSE)* 90)</f>
      </c>
      <c r="BD133" s="26500">
        <f>IF(HLOOKUP("Mins",A1:CV300,133,FALSE)=0,0,HLOOKUP("S6YD",A1:CV300,133,FALSE)/HLOOKUP("Mins",A1:CV300,133,FALSE)* 90)</f>
      </c>
      <c r="BE133" s="26501">
        <f>IF(HLOOKUP("Mins",A1:CV300,133,FALSE)=0,0,HLOOKUP("Headers",A1:CV300,133,FALSE)/HLOOKUP("Mins",A1:CV300,133,FALSE)* 90)</f>
      </c>
      <c r="BF133" s="26502">
        <f>IF(HLOOKUP("Mins",A1:CV300,133,FALSE)=0,0,HLOOKUP("SOT",A1:CV300,133,FALSE)/HLOOKUP("Mins",A1:CV300,133,FALSE)* 90)</f>
      </c>
      <c r="BG133" s="26503">
        <f>IF(HLOOKUP("Mins",A1:CV300,133,FALSE)=0,0,HLOOKUP("As",A1:CV300,133,FALSE)/HLOOKUP("Mins",A1:CV300,133,FALSE)* 90)</f>
      </c>
      <c r="BH133" s="26504">
        <f>IF(HLOOKUP("Mins",A1:CV300,133,FALSE)=0,0,HLOOKUP("FPL As",A1:CV300,133,FALSE)/HLOOKUP("Mins",A1:CV300,133,FALSE)* 90)</f>
      </c>
      <c r="BI133" s="26505">
        <f>IF(HLOOKUP("Mins",A1:CV300,133,FALSE)=0,0,HLOOKUP("BC Created",A1:CV300,133,FALSE)/HLOOKUP("Mins",A1:CV300,133,FALSE)* 90)</f>
      </c>
      <c r="BJ133" s="26506">
        <f>IF(HLOOKUP("Mins",A1:CV300,133,FALSE)=0,0,HLOOKUP("KP",A1:CV300,133,FALSE)/HLOOKUP("Mins",A1:CV300,133,FALSE)* 90)</f>
      </c>
      <c r="BK133" s="26507">
        <f>IF(HLOOKUP("Mins",A1:CV300,133,FALSE)=0,0,HLOOKUP("BC",A1:CV300,133,FALSE)/HLOOKUP("Mins",A1:CV300,133,FALSE)* 90)</f>
      </c>
      <c r="BL133" s="26508">
        <f>IF(HLOOKUP("Mins",A1:CV300,133,FALSE)=0,0,HLOOKUP("BC Miss",A1:CV300,133,FALSE)/HLOOKUP("Mins",A1:CV300,133,FALSE)* 90)</f>
      </c>
      <c r="BM133" s="26509">
        <f>IF(HLOOKUP("Mins",A1:CV300,133,FALSE)=0,0,HLOOKUP("Gs - BC",A1:CV300,133,FALSE)/HLOOKUP("Mins",A1:CV300,133,FALSE)* 90)</f>
      </c>
      <c r="BN133" s="26510">
        <f>IF(HLOOKUP("Mins",A1:CV300,133,FALSE)=0,0,HLOOKUP("GIB",A1:CV300,133,FALSE)/HLOOKUP("Mins",A1:CV300,133,FALSE)* 90)</f>
      </c>
      <c r="BO133" s="26511">
        <f>IF(HLOOKUP("Mins",A1:CV300,133,FALSE)=0,0,HLOOKUP("Gs - Open",A1:CV300,133,FALSE)/HLOOKUP("Mins",A1:CV300,133,FALSE)* 90)</f>
      </c>
      <c r="BP133" s="26512">
        <f>IF(HLOOKUP("Mins",A1:CV300,133,FALSE)=0,0,HLOOKUP("ICT Index",A1:CV300,133,FALSE)/HLOOKUP("Mins",A1:CV300,133,FALSE)* 90)</f>
      </c>
      <c r="BQ133" s="26513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</c>
      <c r="BR133" s="26514">
        <f>0.0885*HLOOKUP("KP/90",A1:CV300,133,FALSE)</f>
      </c>
      <c r="BS133" s="26515">
        <f>5*HLOOKUP("xG/90",A1:CV300,133,FALSE)+3*HLOOKUP("xA/90",A1:CV300,133,FALSE)</f>
      </c>
      <c r="BT133" s="26516">
        <f>HLOOKUP("xPts/90",A1:CV300,133,FALSE)-(5*0.75*(HLOOKUP("PK Gs",A1:CV300,133,FALSE)+HLOOKUP("PK Miss",A1:CV300,133,FALSE))*90/HLOOKUP("Mins",A1:CV300,133,FALSE))</f>
      </c>
      <c r="BU133" s="26517">
        <f>IF(HLOOKUP("Mins",A1:CV300,133,FALSE)=0,0,HLOOKUP("fsXG",A1:CV300,133,FALSE)/HLOOKUP("Mins",A1:CV300,133,FALSE)* 90)</f>
      </c>
      <c r="BV133" s="26518">
        <f>IF(HLOOKUP("Mins",A1:CV300,133,FALSE)=0,0,HLOOKUP("fsXA",A1:CV300,133,FALSE)/HLOOKUP("Mins",A1:CV300,133,FALSE)* 90)</f>
      </c>
      <c r="BW133" s="26519">
        <f>5*HLOOKUP("fsXG/90",A1:CV300,133,FALSE)+3*HLOOKUP("fsXA/90",A1:CV300,133,FALSE)</f>
      </c>
      <c r="BX133" t="n" s="26520">
        <v>0.7968152165412903</v>
      </c>
      <c r="BY133" t="n" s="26521">
        <v>0.18928112089633942</v>
      </c>
      <c r="BZ133" s="26522">
        <f>5*HLOOKUP("uXG/90",A1:CV300,133,FALSE)+3*HLOOKUP("uXA/90",A1:CV300,133,FALSE)</f>
      </c>
    </row>
    <row r="134">
      <c r="A134" t="s" s="26523">
        <v>437</v>
      </c>
      <c r="B134" t="s" s="26524">
        <v>97</v>
      </c>
      <c r="C134" t="n" s="26525">
        <v>6.0</v>
      </c>
      <c r="D134" t="n" s="26526">
        <v>540.0</v>
      </c>
      <c r="E134" t="n" s="26527">
        <v>6.0</v>
      </c>
      <c r="F134" t="n" s="26528">
        <v>78.0</v>
      </c>
      <c r="G134" t="n" s="26529">
        <v>0.0</v>
      </c>
      <c r="H134" t="n" s="26530">
        <v>1.0</v>
      </c>
      <c r="I134" t="n" s="26531">
        <v>344.0</v>
      </c>
      <c r="J134" s="26532">
        <f>HLOOKUP("BPS",A1:CV300,134,FALSE)-((-6*HLOOKUP("OG",A1:CV300,134,FALSE))+(-6*HLOOKUP("PK Miss",A1:CV300,134,FALSE))+(9*HLOOKUP("FPL As",A1:CV300,134,FALSE))+(0*HLOOKUP("CS",A1:CV300,134,FALSE))+(18*HLOOKUP("Gs",A1:CV300,134,FALSE)))</f>
      </c>
      <c r="K134" t="n" s="26533">
        <v>0.0</v>
      </c>
      <c r="L134" t="n" s="26534">
        <v>10.0</v>
      </c>
      <c r="M134" t="n" s="26535">
        <v>7.0</v>
      </c>
      <c r="N134" t="n" s="26536">
        <v>8.0</v>
      </c>
      <c r="O134" t="n" s="26537">
        <v>1.0</v>
      </c>
      <c r="P134" s="26538">
        <f>IF(HLOOKUP("Shots",A1:CV300,134,FALSE)=0,0,HLOOKUP("SIB",A1:CV300,134,FALSE)/HLOOKUP("Shots",A1:CV300,134,FALSE))</f>
      </c>
      <c r="Q134" t="n" s="26539">
        <v>0.0</v>
      </c>
      <c r="R134" s="26540">
        <f>IF(HLOOKUP("Shots",A1:CV300,134,FALSE)=0,0,HLOOKUP("S6YD",A1:CV300,134,FALSE)/HLOOKUP("Shots",A1:CV300,134,FALSE))</f>
      </c>
      <c r="S134" t="n" s="26541">
        <v>0.0</v>
      </c>
      <c r="T134" s="26542">
        <f>IF(HLOOKUP("Shots",A1:CV300,134,FALSE)=0,0,HLOOKUP("Headers",A1:CV300,134,FALSE)/HLOOKUP("Shots",A1:CV300,134,FALSE))</f>
      </c>
      <c r="U134" t="n" s="26543">
        <v>1.0</v>
      </c>
      <c r="V134" s="26544">
        <f>IF(HLOOKUP("Shots",A1:CV300,134,FALSE)=0,0,HLOOKUP("SOT",A1:CV300,134,FALSE)/HLOOKUP("Shots",A1:CV300,134,FALSE))</f>
      </c>
      <c r="W134" s="26545">
        <f>IF(HLOOKUP("Shots",A1:CV300,134,FALSE)=0,0,HLOOKUP("Gs",A1:CV300,134,FALSE)/HLOOKUP("Shots",A1:CV300,134,FALSE))</f>
      </c>
      <c r="X134" t="n" s="26546">
        <v>0.0</v>
      </c>
      <c r="Y134" t="n" s="26547">
        <v>5.0</v>
      </c>
      <c r="Z134" t="n" s="26548">
        <v>10.0</v>
      </c>
      <c r="AA134" s="26549">
        <f>IF(HLOOKUP("KP",A1:CV300,134,FALSE)=0,0,HLOOKUP("As",A1:CV300,134,FALSE)/HLOOKUP("KP",A1:CV300,134,FALSE))</f>
      </c>
      <c r="AB134" s="26550"/>
      <c r="AC134" t="n" s="26551">
        <v>0.0</v>
      </c>
      <c r="AD134" t="n" s="26552">
        <v>4.0</v>
      </c>
      <c r="AE134" t="n" s="26553">
        <v>0.0</v>
      </c>
      <c r="AF134" t="n" s="26554">
        <v>0.0</v>
      </c>
      <c r="AG134" s="26555">
        <f>IF(HLOOKUP("BC",A1:CV300,134,FALSE)=0,0,HLOOKUP("Gs - BC",A1:CV300,134,FALSE)/HLOOKUP("BC",A1:CV300,134,FALSE))</f>
      </c>
      <c r="AH134" s="26556">
        <f>HLOOKUP("BC",A1:CV300,134,FALSE) - HLOOKUP("BC Miss",A1:CV300,134,FALSE)</f>
      </c>
      <c r="AI134" s="26557">
        <f>IF(HLOOKUP("Gs",A1:CV300,134,FALSE)=0,0,HLOOKUP("Gs - BC",A1:CV300,134,FALSE)/HLOOKUP("Gs",A1:CV300,134,FALSE))</f>
      </c>
      <c r="AJ134" t="n" s="26558">
        <v>0.0</v>
      </c>
      <c r="AK134" t="n" s="26559">
        <v>0.0</v>
      </c>
      <c r="AL134" s="26560">
        <f>HLOOKUP("BC",A1:CV300,134,FALSE) - (HLOOKUP("PK Gs",A1:CV300,134,FALSE) + HLOOKUP("PK Miss",A1:CV300,134,FALSE))</f>
      </c>
      <c r="AM134" s="26561">
        <f>HLOOKUP("BC Miss",A1:CV300,134,FALSE) - HLOOKUP("PK Miss",A1:CV300,134,FALSE)</f>
      </c>
      <c r="AN134" s="26562">
        <f>IF(HLOOKUP("BC - Open",A1:CV300,134,FALSE)=0,0,HLOOKUP("BC - Open Miss",A1:CV300,134,FALSE)/HLOOKUP("BC - Open",A1:CV300,134,FALSE))</f>
      </c>
      <c r="AO134" t="n" s="26563">
        <v>0.0</v>
      </c>
      <c r="AP134" s="26564">
        <f>IF(HLOOKUP("Gs",A1:CV300,134,FALSE)=0,0,HLOOKUP("GIB",A1:CV300,134,FALSE)/HLOOKUP("Gs",A1:CV300,134,FALSE))</f>
      </c>
      <c r="AQ134" t="n" s="26565">
        <v>0.0</v>
      </c>
      <c r="AR134" s="26566">
        <f>IF(HLOOKUP("Gs",A1:CV300,134,FALSE)=0,0,HLOOKUP("Gs - Open",A1:CV300,134,FALSE)/HLOOKUP("Gs",A1:CV300,134,FALSE))</f>
      </c>
      <c r="AS134" t="n" s="26567">
        <v>0.38</v>
      </c>
      <c r="AT134" t="n" s="26568">
        <v>1.54</v>
      </c>
      <c r="AU134" s="26569">
        <f>IF(HLOOKUP("Mins",A1:CV300,134,FALSE)=0,0,HLOOKUP("Pts",A1:CV300,134,FALSE)/HLOOKUP("Mins",A1:CV300,134,FALSE)* 90)</f>
      </c>
      <c r="AV134" s="26570">
        <f>IF(HLOOKUP("Apps",A1:CV300,134,FALSE)=0,0,HLOOKUP("Pts",A1:CV300,134,FALSE)/HLOOKUP("Apps",A1:CV300,134,FALSE)* 1)</f>
      </c>
      <c r="AW134" s="26571">
        <f>IF(HLOOKUP("Mins",A1:CV300,134,FALSE)=0,0,HLOOKUP("Gs",A1:CV300,134,FALSE)/HLOOKUP("Mins",A1:CV300,134,FALSE)* 90)</f>
      </c>
      <c r="AX134" s="26572">
        <f>IF(HLOOKUP("Mins",A1:CV300,134,FALSE)=0,0,HLOOKUP("Bonus",A1:CV300,134,FALSE)/HLOOKUP("Mins",A1:CV300,134,FALSE)* 90)</f>
      </c>
      <c r="AY134" s="26573">
        <f>IF(HLOOKUP("Mins",A1:CV300,134,FALSE)=0,0,HLOOKUP("BPS",A1:CV300,134,FALSE)/HLOOKUP("Mins",A1:CV300,134,FALSE)* 90)</f>
      </c>
      <c r="AZ134" s="26574">
        <f>IF(HLOOKUP("Mins",A1:CV300,134,FALSE)=0,0,HLOOKUP("Base BPS",A1:CV300,134,FALSE)/HLOOKUP("Mins",A1:CV300,134,FALSE)* 90)</f>
      </c>
      <c r="BA134" s="26575">
        <f>IF(HLOOKUP("Mins",A1:CV300,134,FALSE)=0,0,HLOOKUP("PenTchs",A1:CV300,134,FALSE)/HLOOKUP("Mins",A1:CV300,134,FALSE)* 90)</f>
      </c>
      <c r="BB134" s="26576">
        <f>IF(HLOOKUP("Mins",A1:CV300,134,FALSE)=0,0,HLOOKUP("Shots",A1:CV300,134,FALSE)/HLOOKUP("Mins",A1:CV300,134,FALSE)* 90)</f>
      </c>
      <c r="BC134" s="26577">
        <f>IF(HLOOKUP("Mins",A1:CV300,134,FALSE)=0,0,HLOOKUP("SIB",A1:CV300,134,FALSE)/HLOOKUP("Mins",A1:CV300,134,FALSE)* 90)</f>
      </c>
      <c r="BD134" s="26578">
        <f>IF(HLOOKUP("Mins",A1:CV300,134,FALSE)=0,0,HLOOKUP("S6YD",A1:CV300,134,FALSE)/HLOOKUP("Mins",A1:CV300,134,FALSE)* 90)</f>
      </c>
      <c r="BE134" s="26579">
        <f>IF(HLOOKUP("Mins",A1:CV300,134,FALSE)=0,0,HLOOKUP("Headers",A1:CV300,134,FALSE)/HLOOKUP("Mins",A1:CV300,134,FALSE)* 90)</f>
      </c>
      <c r="BF134" s="26580">
        <f>IF(HLOOKUP("Mins",A1:CV300,134,FALSE)=0,0,HLOOKUP("SOT",A1:CV300,134,FALSE)/HLOOKUP("Mins",A1:CV300,134,FALSE)* 90)</f>
      </c>
      <c r="BG134" s="26581">
        <f>IF(HLOOKUP("Mins",A1:CV300,134,FALSE)=0,0,HLOOKUP("As",A1:CV300,134,FALSE)/HLOOKUP("Mins",A1:CV300,134,FALSE)* 90)</f>
      </c>
      <c r="BH134" s="26582">
        <f>IF(HLOOKUP("Mins",A1:CV300,134,FALSE)=0,0,HLOOKUP("FPL As",A1:CV300,134,FALSE)/HLOOKUP("Mins",A1:CV300,134,FALSE)* 90)</f>
      </c>
      <c r="BI134" s="26583">
        <f>IF(HLOOKUP("Mins",A1:CV300,134,FALSE)=0,0,HLOOKUP("BC Created",A1:CV300,134,FALSE)/HLOOKUP("Mins",A1:CV300,134,FALSE)* 90)</f>
      </c>
      <c r="BJ134" s="26584">
        <f>IF(HLOOKUP("Mins",A1:CV300,134,FALSE)=0,0,HLOOKUP("KP",A1:CV300,134,FALSE)/HLOOKUP("Mins",A1:CV300,134,FALSE)* 90)</f>
      </c>
      <c r="BK134" s="26585">
        <f>IF(HLOOKUP("Mins",A1:CV300,134,FALSE)=0,0,HLOOKUP("BC",A1:CV300,134,FALSE)/HLOOKUP("Mins",A1:CV300,134,FALSE)* 90)</f>
      </c>
      <c r="BL134" s="26586">
        <f>IF(HLOOKUP("Mins",A1:CV300,134,FALSE)=0,0,HLOOKUP("BC Miss",A1:CV300,134,FALSE)/HLOOKUP("Mins",A1:CV300,134,FALSE)* 90)</f>
      </c>
      <c r="BM134" s="26587">
        <f>IF(HLOOKUP("Mins",A1:CV300,134,FALSE)=0,0,HLOOKUP("Gs - BC",A1:CV300,134,FALSE)/HLOOKUP("Mins",A1:CV300,134,FALSE)* 90)</f>
      </c>
      <c r="BN134" s="26588">
        <f>IF(HLOOKUP("Mins",A1:CV300,134,FALSE)=0,0,HLOOKUP("GIB",A1:CV300,134,FALSE)/HLOOKUP("Mins",A1:CV300,134,FALSE)* 90)</f>
      </c>
      <c r="BO134" s="26589">
        <f>IF(HLOOKUP("Mins",A1:CV300,134,FALSE)=0,0,HLOOKUP("Gs - Open",A1:CV300,134,FALSE)/HLOOKUP("Mins",A1:CV300,134,FALSE)* 90)</f>
      </c>
      <c r="BP134" s="26590">
        <f>IF(HLOOKUP("Mins",A1:CV300,134,FALSE)=0,0,HLOOKUP("ICT Index",A1:CV300,134,FALSE)/HLOOKUP("Mins",A1:CV300,134,FALSE)* 90)</f>
      </c>
      <c r="BQ134" s="26591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</c>
      <c r="BR134" s="26592">
        <f>0.0885*HLOOKUP("KP/90",A1:CV300,134,FALSE)</f>
      </c>
      <c r="BS134" s="26593">
        <f>5*HLOOKUP("xG/90",A1:CV300,134,FALSE)+3*HLOOKUP("xA/90",A1:CV300,134,FALSE)</f>
      </c>
      <c r="BT134" s="26594">
        <f>HLOOKUP("xPts/90",A1:CV300,134,FALSE)-(5*0.75*(HLOOKUP("PK Gs",A1:CV300,134,FALSE)+HLOOKUP("PK Miss",A1:CV300,134,FALSE))*90/HLOOKUP("Mins",A1:CV300,134,FALSE))</f>
      </c>
      <c r="BU134" s="26595">
        <f>IF(HLOOKUP("Mins",A1:CV300,134,FALSE)=0,0,HLOOKUP("fsXG",A1:CV300,134,FALSE)/HLOOKUP("Mins",A1:CV300,134,FALSE)* 90)</f>
      </c>
      <c r="BV134" s="26596">
        <f>IF(HLOOKUP("Mins",A1:CV300,134,FALSE)=0,0,HLOOKUP("fsXA",A1:CV300,134,FALSE)/HLOOKUP("Mins",A1:CV300,134,FALSE)* 90)</f>
      </c>
      <c r="BW134" s="26597">
        <f>5*HLOOKUP("fsXG/90",A1:CV300,134,FALSE)+3*HLOOKUP("fsXA/90",A1:CV300,134,FALSE)</f>
      </c>
      <c r="BX134" t="n" s="26598">
        <v>0.052653029561042786</v>
      </c>
      <c r="BY134" t="n" s="26599">
        <v>0.30518731474876404</v>
      </c>
      <c r="BZ134" s="26600">
        <f>5*HLOOKUP("uXG/90",A1:CV300,134,FALSE)+3*HLOOKUP("uXA/90",A1:CV300,134,FALSE)</f>
      </c>
    </row>
    <row r="135">
      <c r="A135" t="s" s="26601">
        <v>438</v>
      </c>
      <c r="B135" t="s" s="26602">
        <v>122</v>
      </c>
      <c r="C135" t="n" s="26603">
        <v>5.900000095367432</v>
      </c>
      <c r="D135" t="n" s="26604">
        <v>416.0</v>
      </c>
      <c r="E135" t="n" s="26605">
        <v>6.0</v>
      </c>
      <c r="F135" t="n" s="26606">
        <v>83.0</v>
      </c>
      <c r="G135" t="n" s="26607">
        <v>0.0</v>
      </c>
      <c r="H135" t="n" s="26608">
        <v>2.0</v>
      </c>
      <c r="I135" t="n" s="26609">
        <v>283.0</v>
      </c>
      <c r="J135" s="26610">
        <f>HLOOKUP("BPS",A1:CV300,135,FALSE)-((-6*HLOOKUP("OG",A1:CV300,135,FALSE))+(-6*HLOOKUP("PK Miss",A1:CV300,135,FALSE))+(9*HLOOKUP("FPL As",A1:CV300,135,FALSE))+(0*HLOOKUP("CS",A1:CV300,135,FALSE))+(18*HLOOKUP("Gs",A1:CV300,135,FALSE)))</f>
      </c>
      <c r="K135" t="n" s="26611">
        <v>0.0</v>
      </c>
      <c r="L135" t="n" s="26612">
        <v>5.0</v>
      </c>
      <c r="M135" t="n" s="26613">
        <v>14.0</v>
      </c>
      <c r="N135" t="n" s="26614">
        <v>3.0</v>
      </c>
      <c r="O135" t="n" s="26615">
        <v>3.0</v>
      </c>
      <c r="P135" s="26616">
        <f>IF(HLOOKUP("Shots",A1:CV300,135,FALSE)=0,0,HLOOKUP("SIB",A1:CV300,135,FALSE)/HLOOKUP("Shots",A1:CV300,135,FALSE))</f>
      </c>
      <c r="Q135" t="n" s="26617">
        <v>1.0</v>
      </c>
      <c r="R135" s="26618">
        <f>IF(HLOOKUP("Shots",A1:CV300,135,FALSE)=0,0,HLOOKUP("S6YD",A1:CV300,135,FALSE)/HLOOKUP("Shots",A1:CV300,135,FALSE))</f>
      </c>
      <c r="S135" t="n" s="26619">
        <v>1.0</v>
      </c>
      <c r="T135" s="26620">
        <f>IF(HLOOKUP("Shots",A1:CV300,135,FALSE)=0,0,HLOOKUP("Headers",A1:CV300,135,FALSE)/HLOOKUP("Shots",A1:CV300,135,FALSE))</f>
      </c>
      <c r="U135" t="n" s="26621">
        <v>1.0</v>
      </c>
      <c r="V135" s="26622">
        <f>IF(HLOOKUP("Shots",A1:CV300,135,FALSE)=0,0,HLOOKUP("SOT",A1:CV300,135,FALSE)/HLOOKUP("Shots",A1:CV300,135,FALSE))</f>
      </c>
      <c r="W135" s="26623">
        <f>IF(HLOOKUP("Shots",A1:CV300,135,FALSE)=0,0,HLOOKUP("Gs",A1:CV300,135,FALSE)/HLOOKUP("Shots",A1:CV300,135,FALSE))</f>
      </c>
      <c r="X135" t="n" s="26624">
        <v>0.0</v>
      </c>
      <c r="Y135" t="n" s="26625">
        <v>6.0</v>
      </c>
      <c r="Z135" t="n" s="26626">
        <v>1.0</v>
      </c>
      <c r="AA135" s="26627">
        <f>IF(HLOOKUP("KP",A1:CV300,135,FALSE)=0,0,HLOOKUP("As",A1:CV300,135,FALSE)/HLOOKUP("KP",A1:CV300,135,FALSE))</f>
      </c>
      <c r="AB135" s="26628"/>
      <c r="AC135" t="n" s="26629">
        <v>0.0</v>
      </c>
      <c r="AD135" t="n" s="26630">
        <v>0.0</v>
      </c>
      <c r="AE135" t="n" s="26631">
        <v>0.0</v>
      </c>
      <c r="AF135" t="n" s="26632">
        <v>0.0</v>
      </c>
      <c r="AG135" s="26633">
        <f>IF(HLOOKUP("BC",A1:CV300,135,FALSE)=0,0,HLOOKUP("Gs - BC",A1:CV300,135,FALSE)/HLOOKUP("BC",A1:CV300,135,FALSE))</f>
      </c>
      <c r="AH135" s="26634">
        <f>HLOOKUP("BC",A1:CV300,135,FALSE) - HLOOKUP("BC Miss",A1:CV300,135,FALSE)</f>
      </c>
      <c r="AI135" s="26635">
        <f>IF(HLOOKUP("Gs",A1:CV300,135,FALSE)=0,0,HLOOKUP("Gs - BC",A1:CV300,135,FALSE)/HLOOKUP("Gs",A1:CV300,135,FALSE))</f>
      </c>
      <c r="AJ135" t="n" s="26636">
        <v>0.0</v>
      </c>
      <c r="AK135" t="n" s="26637">
        <v>0.0</v>
      </c>
      <c r="AL135" s="26638">
        <f>HLOOKUP("BC",A1:CV300,135,FALSE) - (HLOOKUP("PK Gs",A1:CV300,135,FALSE) + HLOOKUP("PK Miss",A1:CV300,135,FALSE))</f>
      </c>
      <c r="AM135" s="26639">
        <f>HLOOKUP("BC Miss",A1:CV300,135,FALSE) - HLOOKUP("PK Miss",A1:CV300,135,FALSE)</f>
      </c>
      <c r="AN135" s="26640">
        <f>IF(HLOOKUP("BC - Open",A1:CV300,135,FALSE)=0,0,HLOOKUP("BC - Open Miss",A1:CV300,135,FALSE)/HLOOKUP("BC - Open",A1:CV300,135,FALSE))</f>
      </c>
      <c r="AO135" t="n" s="26641">
        <v>0.0</v>
      </c>
      <c r="AP135" s="26642">
        <f>IF(HLOOKUP("Gs",A1:CV300,135,FALSE)=0,0,HLOOKUP("GIB",A1:CV300,135,FALSE)/HLOOKUP("Gs",A1:CV300,135,FALSE))</f>
      </c>
      <c r="AQ135" t="n" s="26643">
        <v>0.0</v>
      </c>
      <c r="AR135" s="26644">
        <f>IF(HLOOKUP("Gs",A1:CV300,135,FALSE)=0,0,HLOOKUP("Gs - Open",A1:CV300,135,FALSE)/HLOOKUP("Gs",A1:CV300,135,FALSE))</f>
      </c>
      <c r="AS135" t="n" s="26645">
        <v>0.28</v>
      </c>
      <c r="AT135" t="n" s="26646">
        <v>0.19</v>
      </c>
      <c r="AU135" s="26647">
        <f>IF(HLOOKUP("Mins",A1:CV300,135,FALSE)=0,0,HLOOKUP("Pts",A1:CV300,135,FALSE)/HLOOKUP("Mins",A1:CV300,135,FALSE)* 90)</f>
      </c>
      <c r="AV135" s="26648">
        <f>IF(HLOOKUP("Apps",A1:CV300,135,FALSE)=0,0,HLOOKUP("Pts",A1:CV300,135,FALSE)/HLOOKUP("Apps",A1:CV300,135,FALSE)* 1)</f>
      </c>
      <c r="AW135" s="26649">
        <f>IF(HLOOKUP("Mins",A1:CV300,135,FALSE)=0,0,HLOOKUP("Gs",A1:CV300,135,FALSE)/HLOOKUP("Mins",A1:CV300,135,FALSE)* 90)</f>
      </c>
      <c r="AX135" s="26650">
        <f>IF(HLOOKUP("Mins",A1:CV300,135,FALSE)=0,0,HLOOKUP("Bonus",A1:CV300,135,FALSE)/HLOOKUP("Mins",A1:CV300,135,FALSE)* 90)</f>
      </c>
      <c r="AY135" s="26651">
        <f>IF(HLOOKUP("Mins",A1:CV300,135,FALSE)=0,0,HLOOKUP("BPS",A1:CV300,135,FALSE)/HLOOKUP("Mins",A1:CV300,135,FALSE)* 90)</f>
      </c>
      <c r="AZ135" s="26652">
        <f>IF(HLOOKUP("Mins",A1:CV300,135,FALSE)=0,0,HLOOKUP("Base BPS",A1:CV300,135,FALSE)/HLOOKUP("Mins",A1:CV300,135,FALSE)* 90)</f>
      </c>
      <c r="BA135" s="26653">
        <f>IF(HLOOKUP("Mins",A1:CV300,135,FALSE)=0,0,HLOOKUP("PenTchs",A1:CV300,135,FALSE)/HLOOKUP("Mins",A1:CV300,135,FALSE)* 90)</f>
      </c>
      <c r="BB135" s="26654">
        <f>IF(HLOOKUP("Mins",A1:CV300,135,FALSE)=0,0,HLOOKUP("Shots",A1:CV300,135,FALSE)/HLOOKUP("Mins",A1:CV300,135,FALSE)* 90)</f>
      </c>
      <c r="BC135" s="26655">
        <f>IF(HLOOKUP("Mins",A1:CV300,135,FALSE)=0,0,HLOOKUP("SIB",A1:CV300,135,FALSE)/HLOOKUP("Mins",A1:CV300,135,FALSE)* 90)</f>
      </c>
      <c r="BD135" s="26656">
        <f>IF(HLOOKUP("Mins",A1:CV300,135,FALSE)=0,0,HLOOKUP("S6YD",A1:CV300,135,FALSE)/HLOOKUP("Mins",A1:CV300,135,FALSE)* 90)</f>
      </c>
      <c r="BE135" s="26657">
        <f>IF(HLOOKUP("Mins",A1:CV300,135,FALSE)=0,0,HLOOKUP("Headers",A1:CV300,135,FALSE)/HLOOKUP("Mins",A1:CV300,135,FALSE)* 90)</f>
      </c>
      <c r="BF135" s="26658">
        <f>IF(HLOOKUP("Mins",A1:CV300,135,FALSE)=0,0,HLOOKUP("SOT",A1:CV300,135,FALSE)/HLOOKUP("Mins",A1:CV300,135,FALSE)* 90)</f>
      </c>
      <c r="BG135" s="26659">
        <f>IF(HLOOKUP("Mins",A1:CV300,135,FALSE)=0,0,HLOOKUP("As",A1:CV300,135,FALSE)/HLOOKUP("Mins",A1:CV300,135,FALSE)* 90)</f>
      </c>
      <c r="BH135" s="26660">
        <f>IF(HLOOKUP("Mins",A1:CV300,135,FALSE)=0,0,HLOOKUP("FPL As",A1:CV300,135,FALSE)/HLOOKUP("Mins",A1:CV300,135,FALSE)* 90)</f>
      </c>
      <c r="BI135" s="26661">
        <f>IF(HLOOKUP("Mins",A1:CV300,135,FALSE)=0,0,HLOOKUP("BC Created",A1:CV300,135,FALSE)/HLOOKUP("Mins",A1:CV300,135,FALSE)* 90)</f>
      </c>
      <c r="BJ135" s="26662">
        <f>IF(HLOOKUP("Mins",A1:CV300,135,FALSE)=0,0,HLOOKUP("KP",A1:CV300,135,FALSE)/HLOOKUP("Mins",A1:CV300,135,FALSE)* 90)</f>
      </c>
      <c r="BK135" s="26663">
        <f>IF(HLOOKUP("Mins",A1:CV300,135,FALSE)=0,0,HLOOKUP("BC",A1:CV300,135,FALSE)/HLOOKUP("Mins",A1:CV300,135,FALSE)* 90)</f>
      </c>
      <c r="BL135" s="26664">
        <f>IF(HLOOKUP("Mins",A1:CV300,135,FALSE)=0,0,HLOOKUP("BC Miss",A1:CV300,135,FALSE)/HLOOKUP("Mins",A1:CV300,135,FALSE)* 90)</f>
      </c>
      <c r="BM135" s="26665">
        <f>IF(HLOOKUP("Mins",A1:CV300,135,FALSE)=0,0,HLOOKUP("Gs - BC",A1:CV300,135,FALSE)/HLOOKUP("Mins",A1:CV300,135,FALSE)* 90)</f>
      </c>
      <c r="BN135" s="26666">
        <f>IF(HLOOKUP("Mins",A1:CV300,135,FALSE)=0,0,HLOOKUP("GIB",A1:CV300,135,FALSE)/HLOOKUP("Mins",A1:CV300,135,FALSE)* 90)</f>
      </c>
      <c r="BO135" s="26667">
        <f>IF(HLOOKUP("Mins",A1:CV300,135,FALSE)=0,0,HLOOKUP("Gs - Open",A1:CV300,135,FALSE)/HLOOKUP("Mins",A1:CV300,135,FALSE)* 90)</f>
      </c>
      <c r="BP135" s="26668">
        <f>IF(HLOOKUP("Mins",A1:CV300,135,FALSE)=0,0,HLOOKUP("ICT Index",A1:CV300,135,FALSE)/HLOOKUP("Mins",A1:CV300,135,FALSE)* 90)</f>
      </c>
      <c r="BQ135" s="26669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</c>
      <c r="BR135" s="26670">
        <f>0.0885*HLOOKUP("KP/90",A1:CV300,135,FALSE)</f>
      </c>
      <c r="BS135" s="26671">
        <f>5*HLOOKUP("xG/90",A1:CV300,135,FALSE)+3*HLOOKUP("xA/90",A1:CV300,135,FALSE)</f>
      </c>
      <c r="BT135" s="26672">
        <f>HLOOKUP("xPts/90",A1:CV300,135,FALSE)-(5*0.75*(HLOOKUP("PK Gs",A1:CV300,135,FALSE)+HLOOKUP("PK Miss",A1:CV300,135,FALSE))*90/HLOOKUP("Mins",A1:CV300,135,FALSE))</f>
      </c>
      <c r="BU135" s="26673">
        <f>IF(HLOOKUP("Mins",A1:CV300,135,FALSE)=0,0,HLOOKUP("fsXG",A1:CV300,135,FALSE)/HLOOKUP("Mins",A1:CV300,135,FALSE)* 90)</f>
      </c>
      <c r="BV135" s="26674">
        <f>IF(HLOOKUP("Mins",A1:CV300,135,FALSE)=0,0,HLOOKUP("fsXA",A1:CV300,135,FALSE)/HLOOKUP("Mins",A1:CV300,135,FALSE)* 90)</f>
      </c>
      <c r="BW135" s="26675">
        <f>5*HLOOKUP("fsXG/90",A1:CV300,135,FALSE)+3*HLOOKUP("fsXA/90",A1:CV300,135,FALSE)</f>
      </c>
      <c r="BX135" t="n" s="26676">
        <v>0.07632517069578171</v>
      </c>
      <c r="BY135" t="n" s="26677">
        <v>0.008096326142549515</v>
      </c>
      <c r="BZ135" s="26678">
        <f>5*HLOOKUP("uXG/90",A1:CV300,135,FALSE)+3*HLOOKUP("uXA/90",A1:CV300,135,FALSE)</f>
      </c>
    </row>
    <row r="136">
      <c r="A136" t="s" s="26679">
        <v>439</v>
      </c>
      <c r="B136" t="s" s="26680">
        <v>95</v>
      </c>
      <c r="C136" t="n" s="26681">
        <v>5.199999809265137</v>
      </c>
      <c r="D136" t="n" s="26682">
        <v>416.0</v>
      </c>
      <c r="E136" t="n" s="26683">
        <v>5.0</v>
      </c>
      <c r="F136" t="n" s="26684">
        <v>33.0</v>
      </c>
      <c r="G136" t="n" s="26685">
        <v>0.0</v>
      </c>
      <c r="H136" t="n" s="26686">
        <v>0.0</v>
      </c>
      <c r="I136" t="n" s="26687">
        <v>242.0</v>
      </c>
      <c r="J136" s="26688">
        <f>HLOOKUP("BPS",A1:CV300,136,FALSE)-((-6*HLOOKUP("OG",A1:CV300,136,FALSE))+(-6*HLOOKUP("PK Miss",A1:CV300,136,FALSE))+(9*HLOOKUP("FPL As",A1:CV300,136,FALSE))+(0*HLOOKUP("CS",A1:CV300,136,FALSE))+(18*HLOOKUP("Gs",A1:CV300,136,FALSE)))</f>
      </c>
      <c r="K136" t="n" s="26689">
        <v>0.0</v>
      </c>
      <c r="L136" t="n" s="26690">
        <v>3.0</v>
      </c>
      <c r="M136" t="n" s="26691">
        <v>0.0</v>
      </c>
      <c r="N136" t="n" s="26692">
        <v>1.0</v>
      </c>
      <c r="O136" t="n" s="26693">
        <v>0.0</v>
      </c>
      <c r="P136" s="26694">
        <f>IF(HLOOKUP("Shots",A1:CV300,136,FALSE)=0,0,HLOOKUP("SIB",A1:CV300,136,FALSE)/HLOOKUP("Shots",A1:CV300,136,FALSE))</f>
      </c>
      <c r="Q136" t="n" s="26695">
        <v>0.0</v>
      </c>
      <c r="R136" s="26696">
        <f>IF(HLOOKUP("Shots",A1:CV300,136,FALSE)=0,0,HLOOKUP("S6YD",A1:CV300,136,FALSE)/HLOOKUP("Shots",A1:CV300,136,FALSE))</f>
      </c>
      <c r="S136" t="n" s="26697">
        <v>0.0</v>
      </c>
      <c r="T136" s="26698">
        <f>IF(HLOOKUP("Shots",A1:CV300,136,FALSE)=0,0,HLOOKUP("Headers",A1:CV300,136,FALSE)/HLOOKUP("Shots",A1:CV300,136,FALSE))</f>
      </c>
      <c r="U136" t="n" s="26699">
        <v>0.0</v>
      </c>
      <c r="V136" s="26700">
        <f>IF(HLOOKUP("Shots",A1:CV300,136,FALSE)=0,0,HLOOKUP("SOT",A1:CV300,136,FALSE)/HLOOKUP("Shots",A1:CV300,136,FALSE))</f>
      </c>
      <c r="W136" s="26701">
        <f>IF(HLOOKUP("Shots",A1:CV300,136,FALSE)=0,0,HLOOKUP("Gs",A1:CV300,136,FALSE)/HLOOKUP("Shots",A1:CV300,136,FALSE))</f>
      </c>
      <c r="X136" t="n" s="26702">
        <v>0.0</v>
      </c>
      <c r="Y136" t="n" s="26703">
        <v>0.0</v>
      </c>
      <c r="Z136" t="n" s="26704">
        <v>3.0</v>
      </c>
      <c r="AA136" s="26705">
        <f>IF(HLOOKUP("KP",A1:CV300,136,FALSE)=0,0,HLOOKUP("As",A1:CV300,136,FALSE)/HLOOKUP("KP",A1:CV300,136,FALSE))</f>
      </c>
      <c r="AB136" s="26706"/>
      <c r="AC136" t="n" s="26707">
        <v>0.0</v>
      </c>
      <c r="AD136" t="n" s="26708">
        <v>0.0</v>
      </c>
      <c r="AE136" t="n" s="26709">
        <v>0.0</v>
      </c>
      <c r="AF136" t="n" s="26710">
        <v>0.0</v>
      </c>
      <c r="AG136" s="26711">
        <f>IF(HLOOKUP("BC",A1:CV300,136,FALSE)=0,0,HLOOKUP("Gs - BC",A1:CV300,136,FALSE)/HLOOKUP("BC",A1:CV300,136,FALSE))</f>
      </c>
      <c r="AH136" s="26712">
        <f>HLOOKUP("BC",A1:CV300,136,FALSE) - HLOOKUP("BC Miss",A1:CV300,136,FALSE)</f>
      </c>
      <c r="AI136" s="26713">
        <f>IF(HLOOKUP("Gs",A1:CV300,136,FALSE)=0,0,HLOOKUP("Gs - BC",A1:CV300,136,FALSE)/HLOOKUP("Gs",A1:CV300,136,FALSE))</f>
      </c>
      <c r="AJ136" t="n" s="26714">
        <v>0.0</v>
      </c>
      <c r="AK136" t="n" s="26715">
        <v>0.0</v>
      </c>
      <c r="AL136" s="26716">
        <f>HLOOKUP("BC",A1:CV300,136,FALSE) - (HLOOKUP("PK Gs",A1:CV300,136,FALSE) + HLOOKUP("PK Miss",A1:CV300,136,FALSE))</f>
      </c>
      <c r="AM136" s="26717">
        <f>HLOOKUP("BC Miss",A1:CV300,136,FALSE) - HLOOKUP("PK Miss",A1:CV300,136,FALSE)</f>
      </c>
      <c r="AN136" s="26718">
        <f>IF(HLOOKUP("BC - Open",A1:CV300,136,FALSE)=0,0,HLOOKUP("BC - Open Miss",A1:CV300,136,FALSE)/HLOOKUP("BC - Open",A1:CV300,136,FALSE))</f>
      </c>
      <c r="AO136" t="n" s="26719">
        <v>0.0</v>
      </c>
      <c r="AP136" s="26720">
        <f>IF(HLOOKUP("Gs",A1:CV300,136,FALSE)=0,0,HLOOKUP("GIB",A1:CV300,136,FALSE)/HLOOKUP("Gs",A1:CV300,136,FALSE))</f>
      </c>
      <c r="AQ136" t="n" s="26721">
        <v>0.0</v>
      </c>
      <c r="AR136" s="26722">
        <f>IF(HLOOKUP("Gs",A1:CV300,136,FALSE)=0,0,HLOOKUP("Gs - Open",A1:CV300,136,FALSE)/HLOOKUP("Gs",A1:CV300,136,FALSE))</f>
      </c>
      <c r="AS136" t="n" s="26723">
        <v>0.02</v>
      </c>
      <c r="AT136" t="n" s="26724">
        <v>0.28</v>
      </c>
      <c r="AU136" s="26725">
        <f>IF(HLOOKUP("Mins",A1:CV300,136,FALSE)=0,0,HLOOKUP("Pts",A1:CV300,136,FALSE)/HLOOKUP("Mins",A1:CV300,136,FALSE)* 90)</f>
      </c>
      <c r="AV136" s="26726">
        <f>IF(HLOOKUP("Apps",A1:CV300,136,FALSE)=0,0,HLOOKUP("Pts",A1:CV300,136,FALSE)/HLOOKUP("Apps",A1:CV300,136,FALSE)* 1)</f>
      </c>
      <c r="AW136" s="26727">
        <f>IF(HLOOKUP("Mins",A1:CV300,136,FALSE)=0,0,HLOOKUP("Gs",A1:CV300,136,FALSE)/HLOOKUP("Mins",A1:CV300,136,FALSE)* 90)</f>
      </c>
      <c r="AX136" s="26728">
        <f>IF(HLOOKUP("Mins",A1:CV300,136,FALSE)=0,0,HLOOKUP("Bonus",A1:CV300,136,FALSE)/HLOOKUP("Mins",A1:CV300,136,FALSE)* 90)</f>
      </c>
      <c r="AY136" s="26729">
        <f>IF(HLOOKUP("Mins",A1:CV300,136,FALSE)=0,0,HLOOKUP("BPS",A1:CV300,136,FALSE)/HLOOKUP("Mins",A1:CV300,136,FALSE)* 90)</f>
      </c>
      <c r="AZ136" s="26730">
        <f>IF(HLOOKUP("Mins",A1:CV300,136,FALSE)=0,0,HLOOKUP("Base BPS",A1:CV300,136,FALSE)/HLOOKUP("Mins",A1:CV300,136,FALSE)* 90)</f>
      </c>
      <c r="BA136" s="26731">
        <f>IF(HLOOKUP("Mins",A1:CV300,136,FALSE)=0,0,HLOOKUP("PenTchs",A1:CV300,136,FALSE)/HLOOKUP("Mins",A1:CV300,136,FALSE)* 90)</f>
      </c>
      <c r="BB136" s="26732">
        <f>IF(HLOOKUP("Mins",A1:CV300,136,FALSE)=0,0,HLOOKUP("Shots",A1:CV300,136,FALSE)/HLOOKUP("Mins",A1:CV300,136,FALSE)* 90)</f>
      </c>
      <c r="BC136" s="26733">
        <f>IF(HLOOKUP("Mins",A1:CV300,136,FALSE)=0,0,HLOOKUP("SIB",A1:CV300,136,FALSE)/HLOOKUP("Mins",A1:CV300,136,FALSE)* 90)</f>
      </c>
      <c r="BD136" s="26734">
        <f>IF(HLOOKUP("Mins",A1:CV300,136,FALSE)=0,0,HLOOKUP("S6YD",A1:CV300,136,FALSE)/HLOOKUP("Mins",A1:CV300,136,FALSE)* 90)</f>
      </c>
      <c r="BE136" s="26735">
        <f>IF(HLOOKUP("Mins",A1:CV300,136,FALSE)=0,0,HLOOKUP("Headers",A1:CV300,136,FALSE)/HLOOKUP("Mins",A1:CV300,136,FALSE)* 90)</f>
      </c>
      <c r="BF136" s="26736">
        <f>IF(HLOOKUP("Mins",A1:CV300,136,FALSE)=0,0,HLOOKUP("SOT",A1:CV300,136,FALSE)/HLOOKUP("Mins",A1:CV300,136,FALSE)* 90)</f>
      </c>
      <c r="BG136" s="26737">
        <f>IF(HLOOKUP("Mins",A1:CV300,136,FALSE)=0,0,HLOOKUP("As",A1:CV300,136,FALSE)/HLOOKUP("Mins",A1:CV300,136,FALSE)* 90)</f>
      </c>
      <c r="BH136" s="26738">
        <f>IF(HLOOKUP("Mins",A1:CV300,136,FALSE)=0,0,HLOOKUP("FPL As",A1:CV300,136,FALSE)/HLOOKUP("Mins",A1:CV300,136,FALSE)* 90)</f>
      </c>
      <c r="BI136" s="26739">
        <f>IF(HLOOKUP("Mins",A1:CV300,136,FALSE)=0,0,HLOOKUP("BC Created",A1:CV300,136,FALSE)/HLOOKUP("Mins",A1:CV300,136,FALSE)* 90)</f>
      </c>
      <c r="BJ136" s="26740">
        <f>IF(HLOOKUP("Mins",A1:CV300,136,FALSE)=0,0,HLOOKUP("KP",A1:CV300,136,FALSE)/HLOOKUP("Mins",A1:CV300,136,FALSE)* 90)</f>
      </c>
      <c r="BK136" s="26741">
        <f>IF(HLOOKUP("Mins",A1:CV300,136,FALSE)=0,0,HLOOKUP("BC",A1:CV300,136,FALSE)/HLOOKUP("Mins",A1:CV300,136,FALSE)* 90)</f>
      </c>
      <c r="BL136" s="26742">
        <f>IF(HLOOKUP("Mins",A1:CV300,136,FALSE)=0,0,HLOOKUP("BC Miss",A1:CV300,136,FALSE)/HLOOKUP("Mins",A1:CV300,136,FALSE)* 90)</f>
      </c>
      <c r="BM136" s="26743">
        <f>IF(HLOOKUP("Mins",A1:CV300,136,FALSE)=0,0,HLOOKUP("Gs - BC",A1:CV300,136,FALSE)/HLOOKUP("Mins",A1:CV300,136,FALSE)* 90)</f>
      </c>
      <c r="BN136" s="26744">
        <f>IF(HLOOKUP("Mins",A1:CV300,136,FALSE)=0,0,HLOOKUP("GIB",A1:CV300,136,FALSE)/HLOOKUP("Mins",A1:CV300,136,FALSE)* 90)</f>
      </c>
      <c r="BO136" s="26745">
        <f>IF(HLOOKUP("Mins",A1:CV300,136,FALSE)=0,0,HLOOKUP("Gs - Open",A1:CV300,136,FALSE)/HLOOKUP("Mins",A1:CV300,136,FALSE)* 90)</f>
      </c>
      <c r="BP136" s="26746">
        <f>IF(HLOOKUP("Mins",A1:CV300,136,FALSE)=0,0,HLOOKUP("ICT Index",A1:CV300,136,FALSE)/HLOOKUP("Mins",A1:CV300,136,FALSE)* 90)</f>
      </c>
      <c r="BQ136" s="26747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</c>
      <c r="BR136" s="26748">
        <f>0.0885*HLOOKUP("KP/90",A1:CV300,136,FALSE)</f>
      </c>
      <c r="BS136" s="26749">
        <f>5*HLOOKUP("xG/90",A1:CV300,136,FALSE)+3*HLOOKUP("xA/90",A1:CV300,136,FALSE)</f>
      </c>
      <c r="BT136" s="26750">
        <f>HLOOKUP("xPts/90",A1:CV300,136,FALSE)-(5*0.75*(HLOOKUP("PK Gs",A1:CV300,136,FALSE)+HLOOKUP("PK Miss",A1:CV300,136,FALSE))*90/HLOOKUP("Mins",A1:CV300,136,FALSE))</f>
      </c>
      <c r="BU136" s="26751">
        <f>IF(HLOOKUP("Mins",A1:CV300,136,FALSE)=0,0,HLOOKUP("fsXG",A1:CV300,136,FALSE)/HLOOKUP("Mins",A1:CV300,136,FALSE)* 90)</f>
      </c>
      <c r="BV136" s="26752">
        <f>IF(HLOOKUP("Mins",A1:CV300,136,FALSE)=0,0,HLOOKUP("fsXA",A1:CV300,136,FALSE)/HLOOKUP("Mins",A1:CV300,136,FALSE)* 90)</f>
      </c>
      <c r="BW136" s="26753">
        <f>5*HLOOKUP("fsXG/90",A1:CV300,136,FALSE)+3*HLOOKUP("fsXA/90",A1:CV300,136,FALSE)</f>
      </c>
      <c r="BX136" t="n" s="26754">
        <v>0.0033559962175786495</v>
      </c>
      <c r="BY136" t="n" s="26755">
        <v>0.054923076182603836</v>
      </c>
      <c r="BZ136" s="26756">
        <f>5*HLOOKUP("uXG/90",A1:CV300,136,FALSE)+3*HLOOKUP("uXA/90",A1:CV300,136,FALSE)</f>
      </c>
    </row>
    <row r="137">
      <c r="A137" t="s" s="26757">
        <v>440</v>
      </c>
      <c r="B137" t="s" s="26758">
        <v>116</v>
      </c>
      <c r="C137" t="n" s="26759">
        <v>4.400000095367432</v>
      </c>
      <c r="D137" t="n" s="26760">
        <v>4.0</v>
      </c>
      <c r="E137" t="n" s="26761">
        <v>1.0</v>
      </c>
      <c r="F137" t="n" s="26762">
        <v>4.0</v>
      </c>
      <c r="G137" t="n" s="26763">
        <v>0.0</v>
      </c>
      <c r="H137" t="n" s="26764">
        <v>0.0</v>
      </c>
      <c r="I137" t="n" s="26765">
        <v>10.0</v>
      </c>
      <c r="J137" s="26766">
        <f>HLOOKUP("BPS",A1:CV300,137,FALSE)-((-6*HLOOKUP("OG",A1:CV300,137,FALSE))+(-6*HLOOKUP("PK Miss",A1:CV300,137,FALSE))+(9*HLOOKUP("FPL As",A1:CV300,137,FALSE))+(0*HLOOKUP("CS",A1:CV300,137,FALSE))+(18*HLOOKUP("Gs",A1:CV300,137,FALSE)))</f>
      </c>
      <c r="K137" t="n" s="26767">
        <v>0.0</v>
      </c>
      <c r="L137" t="n" s="26768">
        <v>0.0</v>
      </c>
      <c r="M137" t="n" s="26769">
        <v>0.0</v>
      </c>
      <c r="N137" t="n" s="26770">
        <v>0.0</v>
      </c>
      <c r="O137" t="n" s="26771">
        <v>0.0</v>
      </c>
      <c r="P137" s="26772">
        <f>IF(HLOOKUP("Shots",A1:CV300,137,FALSE)=0,0,HLOOKUP("SIB",A1:CV300,137,FALSE)/HLOOKUP("Shots",A1:CV300,137,FALSE))</f>
      </c>
      <c r="Q137" t="n" s="26773">
        <v>0.0</v>
      </c>
      <c r="R137" s="26774">
        <f>IF(HLOOKUP("Shots",A1:CV300,137,FALSE)=0,0,HLOOKUP("S6YD",A1:CV300,137,FALSE)/HLOOKUP("Shots",A1:CV300,137,FALSE))</f>
      </c>
      <c r="S137" t="n" s="26775">
        <v>0.0</v>
      </c>
      <c r="T137" s="26776">
        <f>IF(HLOOKUP("Shots",A1:CV300,137,FALSE)=0,0,HLOOKUP("Headers",A1:CV300,137,FALSE)/HLOOKUP("Shots",A1:CV300,137,FALSE))</f>
      </c>
      <c r="U137" t="n" s="26777">
        <v>0.0</v>
      </c>
      <c r="V137" s="26778">
        <f>IF(HLOOKUP("Shots",A1:CV300,137,FALSE)=0,0,HLOOKUP("SOT",A1:CV300,137,FALSE)/HLOOKUP("Shots",A1:CV300,137,FALSE))</f>
      </c>
      <c r="W137" s="26779">
        <f>IF(HLOOKUP("Shots",A1:CV300,137,FALSE)=0,0,HLOOKUP("Gs",A1:CV300,137,FALSE)/HLOOKUP("Shots",A1:CV300,137,FALSE))</f>
      </c>
      <c r="X137" t="n" s="26780">
        <v>0.0</v>
      </c>
      <c r="Y137" t="n" s="26781">
        <v>0.0</v>
      </c>
      <c r="Z137" t="n" s="26782">
        <v>0.0</v>
      </c>
      <c r="AA137" s="26783">
        <f>IF(HLOOKUP("KP",A1:CV300,137,FALSE)=0,0,HLOOKUP("As",A1:CV300,137,FALSE)/HLOOKUP("KP",A1:CV300,137,FALSE))</f>
      </c>
      <c r="AB137" s="26784"/>
      <c r="AC137" t="n" s="26785">
        <v>0.0</v>
      </c>
      <c r="AD137" t="n" s="26786">
        <v>0.0</v>
      </c>
      <c r="AE137" t="n" s="26787">
        <v>0.0</v>
      </c>
      <c r="AF137" t="n" s="26788">
        <v>0.0</v>
      </c>
      <c r="AG137" s="26789">
        <f>IF(HLOOKUP("BC",A1:CV300,137,FALSE)=0,0,HLOOKUP("Gs - BC",A1:CV300,137,FALSE)/HLOOKUP("BC",A1:CV300,137,FALSE))</f>
      </c>
      <c r="AH137" s="26790">
        <f>HLOOKUP("BC",A1:CV300,137,FALSE) - HLOOKUP("BC Miss",A1:CV300,137,FALSE)</f>
      </c>
      <c r="AI137" s="26791">
        <f>IF(HLOOKUP("Gs",A1:CV300,137,FALSE)=0,0,HLOOKUP("Gs - BC",A1:CV300,137,FALSE)/HLOOKUP("Gs",A1:CV300,137,FALSE))</f>
      </c>
      <c r="AJ137" t="n" s="26792">
        <v>0.0</v>
      </c>
      <c r="AK137" t="n" s="26793">
        <v>0.0</v>
      </c>
      <c r="AL137" s="26794">
        <f>HLOOKUP("BC",A1:CV300,137,FALSE) - (HLOOKUP("PK Gs",A1:CV300,137,FALSE) + HLOOKUP("PK Miss",A1:CV300,137,FALSE))</f>
      </c>
      <c r="AM137" s="26795">
        <f>HLOOKUP("BC Miss",A1:CV300,137,FALSE) - HLOOKUP("PK Miss",A1:CV300,137,FALSE)</f>
      </c>
      <c r="AN137" s="26796">
        <f>IF(HLOOKUP("BC - Open",A1:CV300,137,FALSE)=0,0,HLOOKUP("BC - Open Miss",A1:CV300,137,FALSE)/HLOOKUP("BC - Open",A1:CV300,137,FALSE))</f>
      </c>
      <c r="AO137" t="n" s="26797">
        <v>0.0</v>
      </c>
      <c r="AP137" s="26798">
        <f>IF(HLOOKUP("Gs",A1:CV300,137,FALSE)=0,0,HLOOKUP("GIB",A1:CV300,137,FALSE)/HLOOKUP("Gs",A1:CV300,137,FALSE))</f>
      </c>
      <c r="AQ137" t="n" s="26799">
        <v>0.0</v>
      </c>
      <c r="AR137" s="26800">
        <f>IF(HLOOKUP("Gs",A1:CV300,137,FALSE)=0,0,HLOOKUP("Gs - Open",A1:CV300,137,FALSE)/HLOOKUP("Gs",A1:CV300,137,FALSE))</f>
      </c>
      <c r="AS137" t="n" s="26801">
        <v>0.0</v>
      </c>
      <c r="AT137" t="n" s="26802">
        <v>0.02</v>
      </c>
      <c r="AU137" s="26803">
        <f>IF(HLOOKUP("Mins",A1:CV300,137,FALSE)=0,0,HLOOKUP("Pts",A1:CV300,137,FALSE)/HLOOKUP("Mins",A1:CV300,137,FALSE)* 90)</f>
      </c>
      <c r="AV137" s="26804">
        <f>IF(HLOOKUP("Apps",A1:CV300,137,FALSE)=0,0,HLOOKUP("Pts",A1:CV300,137,FALSE)/HLOOKUP("Apps",A1:CV300,137,FALSE)* 1)</f>
      </c>
      <c r="AW137" s="26805">
        <f>IF(HLOOKUP("Mins",A1:CV300,137,FALSE)=0,0,HLOOKUP("Gs",A1:CV300,137,FALSE)/HLOOKUP("Mins",A1:CV300,137,FALSE)* 90)</f>
      </c>
      <c r="AX137" s="26806">
        <f>IF(HLOOKUP("Mins",A1:CV300,137,FALSE)=0,0,HLOOKUP("Bonus",A1:CV300,137,FALSE)/HLOOKUP("Mins",A1:CV300,137,FALSE)* 90)</f>
      </c>
      <c r="AY137" s="26807">
        <f>IF(HLOOKUP("Mins",A1:CV300,137,FALSE)=0,0,HLOOKUP("BPS",A1:CV300,137,FALSE)/HLOOKUP("Mins",A1:CV300,137,FALSE)* 90)</f>
      </c>
      <c r="AZ137" s="26808">
        <f>IF(HLOOKUP("Mins",A1:CV300,137,FALSE)=0,0,HLOOKUP("Base BPS",A1:CV300,137,FALSE)/HLOOKUP("Mins",A1:CV300,137,FALSE)* 90)</f>
      </c>
      <c r="BA137" s="26809">
        <f>IF(HLOOKUP("Mins",A1:CV300,137,FALSE)=0,0,HLOOKUP("PenTchs",A1:CV300,137,FALSE)/HLOOKUP("Mins",A1:CV300,137,FALSE)* 90)</f>
      </c>
      <c r="BB137" s="26810">
        <f>IF(HLOOKUP("Mins",A1:CV300,137,FALSE)=0,0,HLOOKUP("Shots",A1:CV300,137,FALSE)/HLOOKUP("Mins",A1:CV300,137,FALSE)* 90)</f>
      </c>
      <c r="BC137" s="26811">
        <f>IF(HLOOKUP("Mins",A1:CV300,137,FALSE)=0,0,HLOOKUP("SIB",A1:CV300,137,FALSE)/HLOOKUP("Mins",A1:CV300,137,FALSE)* 90)</f>
      </c>
      <c r="BD137" s="26812">
        <f>IF(HLOOKUP("Mins",A1:CV300,137,FALSE)=0,0,HLOOKUP("S6YD",A1:CV300,137,FALSE)/HLOOKUP("Mins",A1:CV300,137,FALSE)* 90)</f>
      </c>
      <c r="BE137" s="26813">
        <f>IF(HLOOKUP("Mins",A1:CV300,137,FALSE)=0,0,HLOOKUP("Headers",A1:CV300,137,FALSE)/HLOOKUP("Mins",A1:CV300,137,FALSE)* 90)</f>
      </c>
      <c r="BF137" s="26814">
        <f>IF(HLOOKUP("Mins",A1:CV300,137,FALSE)=0,0,HLOOKUP("SOT",A1:CV300,137,FALSE)/HLOOKUP("Mins",A1:CV300,137,FALSE)* 90)</f>
      </c>
      <c r="BG137" s="26815">
        <f>IF(HLOOKUP("Mins",A1:CV300,137,FALSE)=0,0,HLOOKUP("As",A1:CV300,137,FALSE)/HLOOKUP("Mins",A1:CV300,137,FALSE)* 90)</f>
      </c>
      <c r="BH137" s="26816">
        <f>IF(HLOOKUP("Mins",A1:CV300,137,FALSE)=0,0,HLOOKUP("FPL As",A1:CV300,137,FALSE)/HLOOKUP("Mins",A1:CV300,137,FALSE)* 90)</f>
      </c>
      <c r="BI137" s="26817">
        <f>IF(HLOOKUP("Mins",A1:CV300,137,FALSE)=0,0,HLOOKUP("BC Created",A1:CV300,137,FALSE)/HLOOKUP("Mins",A1:CV300,137,FALSE)* 90)</f>
      </c>
      <c r="BJ137" s="26818">
        <f>IF(HLOOKUP("Mins",A1:CV300,137,FALSE)=0,0,HLOOKUP("KP",A1:CV300,137,FALSE)/HLOOKUP("Mins",A1:CV300,137,FALSE)* 90)</f>
      </c>
      <c r="BK137" s="26819">
        <f>IF(HLOOKUP("Mins",A1:CV300,137,FALSE)=0,0,HLOOKUP("BC",A1:CV300,137,FALSE)/HLOOKUP("Mins",A1:CV300,137,FALSE)* 90)</f>
      </c>
      <c r="BL137" s="26820">
        <f>IF(HLOOKUP("Mins",A1:CV300,137,FALSE)=0,0,HLOOKUP("BC Miss",A1:CV300,137,FALSE)/HLOOKUP("Mins",A1:CV300,137,FALSE)* 90)</f>
      </c>
      <c r="BM137" s="26821">
        <f>IF(HLOOKUP("Mins",A1:CV300,137,FALSE)=0,0,HLOOKUP("Gs - BC",A1:CV300,137,FALSE)/HLOOKUP("Mins",A1:CV300,137,FALSE)* 90)</f>
      </c>
      <c r="BN137" s="26822">
        <f>IF(HLOOKUP("Mins",A1:CV300,137,FALSE)=0,0,HLOOKUP("GIB",A1:CV300,137,FALSE)/HLOOKUP("Mins",A1:CV300,137,FALSE)* 90)</f>
      </c>
      <c r="BO137" s="26823">
        <f>IF(HLOOKUP("Mins",A1:CV300,137,FALSE)=0,0,HLOOKUP("Gs - Open",A1:CV300,137,FALSE)/HLOOKUP("Mins",A1:CV300,137,FALSE)* 90)</f>
      </c>
      <c r="BP137" s="26824">
        <f>IF(HLOOKUP("Mins",A1:CV300,137,FALSE)=0,0,HLOOKUP("ICT Index",A1:CV300,137,FALSE)/HLOOKUP("Mins",A1:CV300,137,FALSE)* 90)</f>
      </c>
      <c r="BQ137" s="26825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</c>
      <c r="BR137" s="26826">
        <f>0.0885*HLOOKUP("KP/90",A1:CV300,137,FALSE)</f>
      </c>
      <c r="BS137" s="26827">
        <f>5*HLOOKUP("xG/90",A1:CV300,137,FALSE)+3*HLOOKUP("xA/90",A1:CV300,137,FALSE)</f>
      </c>
      <c r="BT137" s="26828">
        <f>HLOOKUP("xPts/90",A1:CV300,137,FALSE)-(5*0.75*(HLOOKUP("PK Gs",A1:CV300,137,FALSE)+HLOOKUP("PK Miss",A1:CV300,137,FALSE))*90/HLOOKUP("Mins",A1:CV300,137,FALSE))</f>
      </c>
      <c r="BU137" s="26829">
        <f>IF(HLOOKUP("Mins",A1:CV300,137,FALSE)=0,0,HLOOKUP("fsXG",A1:CV300,137,FALSE)/HLOOKUP("Mins",A1:CV300,137,FALSE)* 90)</f>
      </c>
      <c r="BV137" s="26830">
        <f>IF(HLOOKUP("Mins",A1:CV300,137,FALSE)=0,0,HLOOKUP("fsXA",A1:CV300,137,FALSE)/HLOOKUP("Mins",A1:CV300,137,FALSE)* 90)</f>
      </c>
      <c r="BW137" s="26831">
        <f>5*HLOOKUP("fsXG/90",A1:CV300,137,FALSE)+3*HLOOKUP("fsXA/90",A1:CV300,137,FALSE)</f>
      </c>
      <c r="BX137" t="n" s="26832">
        <v>0.0</v>
      </c>
      <c r="BY137" t="n" s="26833">
        <v>0.0</v>
      </c>
      <c r="BZ137" s="26834">
        <f>5*HLOOKUP("uXG/90",A1:CV300,137,FALSE)+3*HLOOKUP("uXA/90",A1:CV300,137,FALSE)</f>
      </c>
    </row>
    <row r="138">
      <c r="A138" t="s" s="26835">
        <v>441</v>
      </c>
      <c r="B138" t="s" s="26836">
        <v>109</v>
      </c>
      <c r="C138" t="n" s="26837">
        <v>5.800000190734863</v>
      </c>
      <c r="D138" t="n" s="26838">
        <v>161.0</v>
      </c>
      <c r="E138" t="n" s="26839">
        <v>4.0</v>
      </c>
      <c r="F138" t="n" s="26840">
        <v>24.0</v>
      </c>
      <c r="G138" t="n" s="26841">
        <v>1.0</v>
      </c>
      <c r="H138" t="n" s="26842">
        <v>2.0</v>
      </c>
      <c r="I138" t="n" s="26843">
        <v>75.0</v>
      </c>
      <c r="J138" s="26844">
        <f>HLOOKUP("BPS",A1:CV300,138,FALSE)-((-6*HLOOKUP("OG",A1:CV300,138,FALSE))+(-6*HLOOKUP("PK Miss",A1:CV300,138,FALSE))+(9*HLOOKUP("FPL As",A1:CV300,138,FALSE))+(0*HLOOKUP("CS",A1:CV300,138,FALSE))+(18*HLOOKUP("Gs",A1:CV300,138,FALSE)))</f>
      </c>
      <c r="K138" t="n" s="26845">
        <v>0.0</v>
      </c>
      <c r="L138" t="n" s="26846">
        <v>1.0</v>
      </c>
      <c r="M138" t="n" s="26847">
        <v>5.0</v>
      </c>
      <c r="N138" t="n" s="26848">
        <v>6.0</v>
      </c>
      <c r="O138" t="n" s="26849">
        <v>3.0</v>
      </c>
      <c r="P138" s="26850">
        <f>IF(HLOOKUP("Shots",A1:CV300,138,FALSE)=0,0,HLOOKUP("SIB",A1:CV300,138,FALSE)/HLOOKUP("Shots",A1:CV300,138,FALSE))</f>
      </c>
      <c r="Q138" t="n" s="26851">
        <v>0.0</v>
      </c>
      <c r="R138" s="26852">
        <f>IF(HLOOKUP("Shots",A1:CV300,138,FALSE)=0,0,HLOOKUP("S6YD",A1:CV300,138,FALSE)/HLOOKUP("Shots",A1:CV300,138,FALSE))</f>
      </c>
      <c r="S138" t="n" s="26853">
        <v>0.0</v>
      </c>
      <c r="T138" s="26854">
        <f>IF(HLOOKUP("Shots",A1:CV300,138,FALSE)=0,0,HLOOKUP("Headers",A1:CV300,138,FALSE)/HLOOKUP("Shots",A1:CV300,138,FALSE))</f>
      </c>
      <c r="U138" t="n" s="26855">
        <v>1.0</v>
      </c>
      <c r="V138" s="26856">
        <f>IF(HLOOKUP("Shots",A1:CV300,138,FALSE)=0,0,HLOOKUP("SOT",A1:CV300,138,FALSE)/HLOOKUP("Shots",A1:CV300,138,FALSE))</f>
      </c>
      <c r="W138" s="26857">
        <f>IF(HLOOKUP("Shots",A1:CV300,138,FALSE)=0,0,HLOOKUP("Gs",A1:CV300,138,FALSE)/HLOOKUP("Shots",A1:CV300,138,FALSE))</f>
      </c>
      <c r="X138" t="n" s="26858">
        <v>0.0</v>
      </c>
      <c r="Y138" t="n" s="26859">
        <v>1.0</v>
      </c>
      <c r="Z138" t="n" s="26860">
        <v>4.0</v>
      </c>
      <c r="AA138" s="26861">
        <f>IF(HLOOKUP("KP",A1:CV300,138,FALSE)=0,0,HLOOKUP("As",A1:CV300,138,FALSE)/HLOOKUP("KP",A1:CV300,138,FALSE))</f>
      </c>
      <c r="AB138" s="26862"/>
      <c r="AC138" t="n" s="26863">
        <v>100.0</v>
      </c>
      <c r="AD138" t="n" s="26864">
        <v>2.0</v>
      </c>
      <c r="AE138" t="n" s="26865">
        <v>0.0</v>
      </c>
      <c r="AF138" t="n" s="26866">
        <v>0.0</v>
      </c>
      <c r="AG138" s="26867">
        <f>IF(HLOOKUP("BC",A1:CV300,138,FALSE)=0,0,HLOOKUP("Gs - BC",A1:CV300,138,FALSE)/HLOOKUP("BC",A1:CV300,138,FALSE))</f>
      </c>
      <c r="AH138" s="26868">
        <f>HLOOKUP("BC",A1:CV300,138,FALSE) - HLOOKUP("BC Miss",A1:CV300,138,FALSE)</f>
      </c>
      <c r="AI138" s="26869">
        <f>IF(HLOOKUP("Gs",A1:CV300,138,FALSE)=0,0,HLOOKUP("Gs - BC",A1:CV300,138,FALSE)/HLOOKUP("Gs",A1:CV300,138,FALSE))</f>
      </c>
      <c r="AJ138" t="n" s="26870">
        <v>0.0</v>
      </c>
      <c r="AK138" t="n" s="26871">
        <v>0.0</v>
      </c>
      <c r="AL138" s="26872">
        <f>HLOOKUP("BC",A1:CV300,138,FALSE) - (HLOOKUP("PK Gs",A1:CV300,138,FALSE) + HLOOKUP("PK Miss",A1:CV300,138,FALSE))</f>
      </c>
      <c r="AM138" s="26873">
        <f>HLOOKUP("BC Miss",A1:CV300,138,FALSE) - HLOOKUP("PK Miss",A1:CV300,138,FALSE)</f>
      </c>
      <c r="AN138" s="26874">
        <f>IF(HLOOKUP("BC - Open",A1:CV300,138,FALSE)=0,0,HLOOKUP("BC - Open Miss",A1:CV300,138,FALSE)/HLOOKUP("BC - Open",A1:CV300,138,FALSE))</f>
      </c>
      <c r="AO138" t="n" s="26875">
        <v>1.0</v>
      </c>
      <c r="AP138" s="26876">
        <f>IF(HLOOKUP("Gs",A1:CV300,138,FALSE)=0,0,HLOOKUP("GIB",A1:CV300,138,FALSE)/HLOOKUP("Gs",A1:CV300,138,FALSE))</f>
      </c>
      <c r="AQ138" t="n" s="26877">
        <v>0.0</v>
      </c>
      <c r="AR138" s="26878">
        <f>IF(HLOOKUP("Gs",A1:CV300,138,FALSE)=0,0,HLOOKUP("Gs - Open",A1:CV300,138,FALSE)/HLOOKUP("Gs",A1:CV300,138,FALSE))</f>
      </c>
      <c r="AS138" t="n" s="26879">
        <v>0.33</v>
      </c>
      <c r="AT138" t="n" s="26880">
        <v>0.33</v>
      </c>
      <c r="AU138" s="26881">
        <f>IF(HLOOKUP("Mins",A1:CV300,138,FALSE)=0,0,HLOOKUP("Pts",A1:CV300,138,FALSE)/HLOOKUP("Mins",A1:CV300,138,FALSE)* 90)</f>
      </c>
      <c r="AV138" s="26882">
        <f>IF(HLOOKUP("Apps",A1:CV300,138,FALSE)=0,0,HLOOKUP("Pts",A1:CV300,138,FALSE)/HLOOKUP("Apps",A1:CV300,138,FALSE)* 1)</f>
      </c>
      <c r="AW138" s="26883">
        <f>IF(HLOOKUP("Mins",A1:CV300,138,FALSE)=0,0,HLOOKUP("Gs",A1:CV300,138,FALSE)/HLOOKUP("Mins",A1:CV300,138,FALSE)* 90)</f>
      </c>
      <c r="AX138" s="26884">
        <f>IF(HLOOKUP("Mins",A1:CV300,138,FALSE)=0,0,HLOOKUP("Bonus",A1:CV300,138,FALSE)/HLOOKUP("Mins",A1:CV300,138,FALSE)* 90)</f>
      </c>
      <c r="AY138" s="26885">
        <f>IF(HLOOKUP("Mins",A1:CV300,138,FALSE)=0,0,HLOOKUP("BPS",A1:CV300,138,FALSE)/HLOOKUP("Mins",A1:CV300,138,FALSE)* 90)</f>
      </c>
      <c r="AZ138" s="26886">
        <f>IF(HLOOKUP("Mins",A1:CV300,138,FALSE)=0,0,HLOOKUP("Base BPS",A1:CV300,138,FALSE)/HLOOKUP("Mins",A1:CV300,138,FALSE)* 90)</f>
      </c>
      <c r="BA138" s="26887">
        <f>IF(HLOOKUP("Mins",A1:CV300,138,FALSE)=0,0,HLOOKUP("PenTchs",A1:CV300,138,FALSE)/HLOOKUP("Mins",A1:CV300,138,FALSE)* 90)</f>
      </c>
      <c r="BB138" s="26888">
        <f>IF(HLOOKUP("Mins",A1:CV300,138,FALSE)=0,0,HLOOKUP("Shots",A1:CV300,138,FALSE)/HLOOKUP("Mins",A1:CV300,138,FALSE)* 90)</f>
      </c>
      <c r="BC138" s="26889">
        <f>IF(HLOOKUP("Mins",A1:CV300,138,FALSE)=0,0,HLOOKUP("SIB",A1:CV300,138,FALSE)/HLOOKUP("Mins",A1:CV300,138,FALSE)* 90)</f>
      </c>
      <c r="BD138" s="26890">
        <f>IF(HLOOKUP("Mins",A1:CV300,138,FALSE)=0,0,HLOOKUP("S6YD",A1:CV300,138,FALSE)/HLOOKUP("Mins",A1:CV300,138,FALSE)* 90)</f>
      </c>
      <c r="BE138" s="26891">
        <f>IF(HLOOKUP("Mins",A1:CV300,138,FALSE)=0,0,HLOOKUP("Headers",A1:CV300,138,FALSE)/HLOOKUP("Mins",A1:CV300,138,FALSE)* 90)</f>
      </c>
      <c r="BF138" s="26892">
        <f>IF(HLOOKUP("Mins",A1:CV300,138,FALSE)=0,0,HLOOKUP("SOT",A1:CV300,138,FALSE)/HLOOKUP("Mins",A1:CV300,138,FALSE)* 90)</f>
      </c>
      <c r="BG138" s="26893">
        <f>IF(HLOOKUP("Mins",A1:CV300,138,FALSE)=0,0,HLOOKUP("As",A1:CV300,138,FALSE)/HLOOKUP("Mins",A1:CV300,138,FALSE)* 90)</f>
      </c>
      <c r="BH138" s="26894">
        <f>IF(HLOOKUP("Mins",A1:CV300,138,FALSE)=0,0,HLOOKUP("FPL As",A1:CV300,138,FALSE)/HLOOKUP("Mins",A1:CV300,138,FALSE)* 90)</f>
      </c>
      <c r="BI138" s="26895">
        <f>IF(HLOOKUP("Mins",A1:CV300,138,FALSE)=0,0,HLOOKUP("BC Created",A1:CV300,138,FALSE)/HLOOKUP("Mins",A1:CV300,138,FALSE)* 90)</f>
      </c>
      <c r="BJ138" s="26896">
        <f>IF(HLOOKUP("Mins",A1:CV300,138,FALSE)=0,0,HLOOKUP("KP",A1:CV300,138,FALSE)/HLOOKUP("Mins",A1:CV300,138,FALSE)* 90)</f>
      </c>
      <c r="BK138" s="26897">
        <f>IF(HLOOKUP("Mins",A1:CV300,138,FALSE)=0,0,HLOOKUP("BC",A1:CV300,138,FALSE)/HLOOKUP("Mins",A1:CV300,138,FALSE)* 90)</f>
      </c>
      <c r="BL138" s="26898">
        <f>IF(HLOOKUP("Mins",A1:CV300,138,FALSE)=0,0,HLOOKUP("BC Miss",A1:CV300,138,FALSE)/HLOOKUP("Mins",A1:CV300,138,FALSE)* 90)</f>
      </c>
      <c r="BM138" s="26899">
        <f>IF(HLOOKUP("Mins",A1:CV300,138,FALSE)=0,0,HLOOKUP("Gs - BC",A1:CV300,138,FALSE)/HLOOKUP("Mins",A1:CV300,138,FALSE)* 90)</f>
      </c>
      <c r="BN138" s="26900">
        <f>IF(HLOOKUP("Mins",A1:CV300,138,FALSE)=0,0,HLOOKUP("GIB",A1:CV300,138,FALSE)/HLOOKUP("Mins",A1:CV300,138,FALSE)* 90)</f>
      </c>
      <c r="BO138" s="26901">
        <f>IF(HLOOKUP("Mins",A1:CV300,138,FALSE)=0,0,HLOOKUP("Gs - Open",A1:CV300,138,FALSE)/HLOOKUP("Mins",A1:CV300,138,FALSE)* 90)</f>
      </c>
      <c r="BP138" s="26902">
        <f>IF(HLOOKUP("Mins",A1:CV300,138,FALSE)=0,0,HLOOKUP("ICT Index",A1:CV300,138,FALSE)/HLOOKUP("Mins",A1:CV300,138,FALSE)* 90)</f>
      </c>
      <c r="BQ138" s="26903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</c>
      <c r="BR138" s="26904">
        <f>0.0885*HLOOKUP("KP/90",A1:CV300,138,FALSE)</f>
      </c>
      <c r="BS138" s="26905">
        <f>5*HLOOKUP("xG/90",A1:CV300,138,FALSE)+3*HLOOKUP("xA/90",A1:CV300,138,FALSE)</f>
      </c>
      <c r="BT138" s="26906">
        <f>HLOOKUP("xPts/90",A1:CV300,138,FALSE)-(5*0.75*(HLOOKUP("PK Gs",A1:CV300,138,FALSE)+HLOOKUP("PK Miss",A1:CV300,138,FALSE))*90/HLOOKUP("Mins",A1:CV300,138,FALSE))</f>
      </c>
      <c r="BU138" s="26907">
        <f>IF(HLOOKUP("Mins",A1:CV300,138,FALSE)=0,0,HLOOKUP("fsXG",A1:CV300,138,FALSE)/HLOOKUP("Mins",A1:CV300,138,FALSE)* 90)</f>
      </c>
      <c r="BV138" s="26908">
        <f>IF(HLOOKUP("Mins",A1:CV300,138,FALSE)=0,0,HLOOKUP("fsXA",A1:CV300,138,FALSE)/HLOOKUP("Mins",A1:CV300,138,FALSE)* 90)</f>
      </c>
      <c r="BW138" s="26909">
        <f>5*HLOOKUP("fsXG/90",A1:CV300,138,FALSE)+3*HLOOKUP("fsXA/90",A1:CV300,138,FALSE)</f>
      </c>
      <c r="BX138" t="n" s="26910">
        <v>0.1622881442308426</v>
      </c>
      <c r="BY138" t="n" s="26911">
        <v>0.5587264895439148</v>
      </c>
      <c r="BZ138" s="26912">
        <f>5*HLOOKUP("uXG/90",A1:CV300,138,FALSE)+3*HLOOKUP("uXA/90",A1:CV300,138,FALSE)</f>
      </c>
    </row>
    <row r="139">
      <c r="A139" t="s" s="26913">
        <v>442</v>
      </c>
      <c r="B139" t="s" s="26914">
        <v>116</v>
      </c>
      <c r="C139" t="n" s="26915">
        <v>4.400000095367432</v>
      </c>
      <c r="D139" t="n" s="26916">
        <v>391.0</v>
      </c>
      <c r="E139" t="n" s="26917">
        <v>5.0</v>
      </c>
      <c r="F139" t="n" s="26918">
        <v>27.0</v>
      </c>
      <c r="G139" t="n" s="26919">
        <v>0.0</v>
      </c>
      <c r="H139" t="n" s="26920">
        <v>2.0</v>
      </c>
      <c r="I139" t="n" s="26921">
        <v>104.0</v>
      </c>
      <c r="J139" s="26922">
        <f>HLOOKUP("BPS",A1:CV300,139,FALSE)-((-6*HLOOKUP("OG",A1:CV300,139,FALSE))+(-6*HLOOKUP("PK Miss",A1:CV300,139,FALSE))+(9*HLOOKUP("FPL As",A1:CV300,139,FALSE))+(0*HLOOKUP("CS",A1:CV300,139,FALSE))+(18*HLOOKUP("Gs",A1:CV300,139,FALSE)))</f>
      </c>
      <c r="K139" t="n" s="26923">
        <v>0.0</v>
      </c>
      <c r="L139" t="n" s="26924">
        <v>2.0</v>
      </c>
      <c r="M139" t="n" s="26925">
        <v>1.0</v>
      </c>
      <c r="N139" t="n" s="26926">
        <v>4.0</v>
      </c>
      <c r="O139" t="n" s="26927">
        <v>0.0</v>
      </c>
      <c r="P139" s="26928">
        <f>IF(HLOOKUP("Shots",A1:CV300,139,FALSE)=0,0,HLOOKUP("SIB",A1:CV300,139,FALSE)/HLOOKUP("Shots",A1:CV300,139,FALSE))</f>
      </c>
      <c r="Q139" t="n" s="26929">
        <v>0.0</v>
      </c>
      <c r="R139" s="26930">
        <f>IF(HLOOKUP("Shots",A1:CV300,139,FALSE)=0,0,HLOOKUP("S6YD",A1:CV300,139,FALSE)/HLOOKUP("Shots",A1:CV300,139,FALSE))</f>
      </c>
      <c r="S139" t="n" s="26931">
        <v>0.0</v>
      </c>
      <c r="T139" s="26932">
        <f>IF(HLOOKUP("Shots",A1:CV300,139,FALSE)=0,0,HLOOKUP("Headers",A1:CV300,139,FALSE)/HLOOKUP("Shots",A1:CV300,139,FALSE))</f>
      </c>
      <c r="U139" t="n" s="26933">
        <v>0.0</v>
      </c>
      <c r="V139" s="26934">
        <f>IF(HLOOKUP("Shots",A1:CV300,139,FALSE)=0,0,HLOOKUP("SOT",A1:CV300,139,FALSE)/HLOOKUP("Shots",A1:CV300,139,FALSE))</f>
      </c>
      <c r="W139" s="26935">
        <f>IF(HLOOKUP("Shots",A1:CV300,139,FALSE)=0,0,HLOOKUP("Gs",A1:CV300,139,FALSE)/HLOOKUP("Shots",A1:CV300,139,FALSE))</f>
      </c>
      <c r="X139" t="n" s="26936">
        <v>0.0</v>
      </c>
      <c r="Y139" t="n" s="26937">
        <v>1.0</v>
      </c>
      <c r="Z139" t="n" s="26938">
        <v>3.0</v>
      </c>
      <c r="AA139" s="26939">
        <f>IF(HLOOKUP("KP",A1:CV300,139,FALSE)=0,0,HLOOKUP("As",A1:CV300,139,FALSE)/HLOOKUP("KP",A1:CV300,139,FALSE))</f>
      </c>
      <c r="AB139" s="26940"/>
      <c r="AC139" t="n" s="26941">
        <v>0.0</v>
      </c>
      <c r="AD139" t="n" s="26942">
        <v>1.0</v>
      </c>
      <c r="AE139" t="n" s="26943">
        <v>0.0</v>
      </c>
      <c r="AF139" t="n" s="26944">
        <v>0.0</v>
      </c>
      <c r="AG139" s="26945">
        <f>IF(HLOOKUP("BC",A1:CV300,139,FALSE)=0,0,HLOOKUP("Gs - BC",A1:CV300,139,FALSE)/HLOOKUP("BC",A1:CV300,139,FALSE))</f>
      </c>
      <c r="AH139" s="26946">
        <f>HLOOKUP("BC",A1:CV300,139,FALSE) - HLOOKUP("BC Miss",A1:CV300,139,FALSE)</f>
      </c>
      <c r="AI139" s="26947">
        <f>IF(HLOOKUP("Gs",A1:CV300,139,FALSE)=0,0,HLOOKUP("Gs - BC",A1:CV300,139,FALSE)/HLOOKUP("Gs",A1:CV300,139,FALSE))</f>
      </c>
      <c r="AJ139" t="n" s="26948">
        <v>0.0</v>
      </c>
      <c r="AK139" t="n" s="26949">
        <v>0.0</v>
      </c>
      <c r="AL139" s="26950">
        <f>HLOOKUP("BC",A1:CV300,139,FALSE) - (HLOOKUP("PK Gs",A1:CV300,139,FALSE) + HLOOKUP("PK Miss",A1:CV300,139,FALSE))</f>
      </c>
      <c r="AM139" s="26951">
        <f>HLOOKUP("BC Miss",A1:CV300,139,FALSE) - HLOOKUP("PK Miss",A1:CV300,139,FALSE)</f>
      </c>
      <c r="AN139" s="26952">
        <f>IF(HLOOKUP("BC - Open",A1:CV300,139,FALSE)=0,0,HLOOKUP("BC - Open Miss",A1:CV300,139,FALSE)/HLOOKUP("BC - Open",A1:CV300,139,FALSE))</f>
      </c>
      <c r="AO139" t="n" s="26953">
        <v>0.0</v>
      </c>
      <c r="AP139" s="26954">
        <f>IF(HLOOKUP("Gs",A1:CV300,139,FALSE)=0,0,HLOOKUP("GIB",A1:CV300,139,FALSE)/HLOOKUP("Gs",A1:CV300,139,FALSE))</f>
      </c>
      <c r="AQ139" t="n" s="26955">
        <v>0.0</v>
      </c>
      <c r="AR139" s="26956">
        <f>IF(HLOOKUP("Gs",A1:CV300,139,FALSE)=0,0,HLOOKUP("Gs - Open",A1:CV300,139,FALSE)/HLOOKUP("Gs",A1:CV300,139,FALSE))</f>
      </c>
      <c r="AS139" t="n" s="26957">
        <v>0.17</v>
      </c>
      <c r="AT139" t="n" s="26958">
        <v>0.34</v>
      </c>
      <c r="AU139" s="26959">
        <f>IF(HLOOKUP("Mins",A1:CV300,139,FALSE)=0,0,HLOOKUP("Pts",A1:CV300,139,FALSE)/HLOOKUP("Mins",A1:CV300,139,FALSE)* 90)</f>
      </c>
      <c r="AV139" s="26960">
        <f>IF(HLOOKUP("Apps",A1:CV300,139,FALSE)=0,0,HLOOKUP("Pts",A1:CV300,139,FALSE)/HLOOKUP("Apps",A1:CV300,139,FALSE)* 1)</f>
      </c>
      <c r="AW139" s="26961">
        <f>IF(HLOOKUP("Mins",A1:CV300,139,FALSE)=0,0,HLOOKUP("Gs",A1:CV300,139,FALSE)/HLOOKUP("Mins",A1:CV300,139,FALSE)* 90)</f>
      </c>
      <c r="AX139" s="26962">
        <f>IF(HLOOKUP("Mins",A1:CV300,139,FALSE)=0,0,HLOOKUP("Bonus",A1:CV300,139,FALSE)/HLOOKUP("Mins",A1:CV300,139,FALSE)* 90)</f>
      </c>
      <c r="AY139" s="26963">
        <f>IF(HLOOKUP("Mins",A1:CV300,139,FALSE)=0,0,HLOOKUP("BPS",A1:CV300,139,FALSE)/HLOOKUP("Mins",A1:CV300,139,FALSE)* 90)</f>
      </c>
      <c r="AZ139" s="26964">
        <f>IF(HLOOKUP("Mins",A1:CV300,139,FALSE)=0,0,HLOOKUP("Base BPS",A1:CV300,139,FALSE)/HLOOKUP("Mins",A1:CV300,139,FALSE)* 90)</f>
      </c>
      <c r="BA139" s="26965">
        <f>IF(HLOOKUP("Mins",A1:CV300,139,FALSE)=0,0,HLOOKUP("PenTchs",A1:CV300,139,FALSE)/HLOOKUP("Mins",A1:CV300,139,FALSE)* 90)</f>
      </c>
      <c r="BB139" s="26966">
        <f>IF(HLOOKUP("Mins",A1:CV300,139,FALSE)=0,0,HLOOKUP("Shots",A1:CV300,139,FALSE)/HLOOKUP("Mins",A1:CV300,139,FALSE)* 90)</f>
      </c>
      <c r="BC139" s="26967">
        <f>IF(HLOOKUP("Mins",A1:CV300,139,FALSE)=0,0,HLOOKUP("SIB",A1:CV300,139,FALSE)/HLOOKUP("Mins",A1:CV300,139,FALSE)* 90)</f>
      </c>
      <c r="BD139" s="26968">
        <f>IF(HLOOKUP("Mins",A1:CV300,139,FALSE)=0,0,HLOOKUP("S6YD",A1:CV300,139,FALSE)/HLOOKUP("Mins",A1:CV300,139,FALSE)* 90)</f>
      </c>
      <c r="BE139" s="26969">
        <f>IF(HLOOKUP("Mins",A1:CV300,139,FALSE)=0,0,HLOOKUP("Headers",A1:CV300,139,FALSE)/HLOOKUP("Mins",A1:CV300,139,FALSE)* 90)</f>
      </c>
      <c r="BF139" s="26970">
        <f>IF(HLOOKUP("Mins",A1:CV300,139,FALSE)=0,0,HLOOKUP("SOT",A1:CV300,139,FALSE)/HLOOKUP("Mins",A1:CV300,139,FALSE)* 90)</f>
      </c>
      <c r="BG139" s="26971">
        <f>IF(HLOOKUP("Mins",A1:CV300,139,FALSE)=0,0,HLOOKUP("As",A1:CV300,139,FALSE)/HLOOKUP("Mins",A1:CV300,139,FALSE)* 90)</f>
      </c>
      <c r="BH139" s="26972">
        <f>IF(HLOOKUP("Mins",A1:CV300,139,FALSE)=0,0,HLOOKUP("FPL As",A1:CV300,139,FALSE)/HLOOKUP("Mins",A1:CV300,139,FALSE)* 90)</f>
      </c>
      <c r="BI139" s="26973">
        <f>IF(HLOOKUP("Mins",A1:CV300,139,FALSE)=0,0,HLOOKUP("BC Created",A1:CV300,139,FALSE)/HLOOKUP("Mins",A1:CV300,139,FALSE)* 90)</f>
      </c>
      <c r="BJ139" s="26974">
        <f>IF(HLOOKUP("Mins",A1:CV300,139,FALSE)=0,0,HLOOKUP("KP",A1:CV300,139,FALSE)/HLOOKUP("Mins",A1:CV300,139,FALSE)* 90)</f>
      </c>
      <c r="BK139" s="26975">
        <f>IF(HLOOKUP("Mins",A1:CV300,139,FALSE)=0,0,HLOOKUP("BC",A1:CV300,139,FALSE)/HLOOKUP("Mins",A1:CV300,139,FALSE)* 90)</f>
      </c>
      <c r="BL139" s="26976">
        <f>IF(HLOOKUP("Mins",A1:CV300,139,FALSE)=0,0,HLOOKUP("BC Miss",A1:CV300,139,FALSE)/HLOOKUP("Mins",A1:CV300,139,FALSE)* 90)</f>
      </c>
      <c r="BM139" s="26977">
        <f>IF(HLOOKUP("Mins",A1:CV300,139,FALSE)=0,0,HLOOKUP("Gs - BC",A1:CV300,139,FALSE)/HLOOKUP("Mins",A1:CV300,139,FALSE)* 90)</f>
      </c>
      <c r="BN139" s="26978">
        <f>IF(HLOOKUP("Mins",A1:CV300,139,FALSE)=0,0,HLOOKUP("GIB",A1:CV300,139,FALSE)/HLOOKUP("Mins",A1:CV300,139,FALSE)* 90)</f>
      </c>
      <c r="BO139" s="26979">
        <f>IF(HLOOKUP("Mins",A1:CV300,139,FALSE)=0,0,HLOOKUP("Gs - Open",A1:CV300,139,FALSE)/HLOOKUP("Mins",A1:CV300,139,FALSE)* 90)</f>
      </c>
      <c r="BP139" s="26980">
        <f>IF(HLOOKUP("Mins",A1:CV300,139,FALSE)=0,0,HLOOKUP("ICT Index",A1:CV300,139,FALSE)/HLOOKUP("Mins",A1:CV300,139,FALSE)* 90)</f>
      </c>
      <c r="BQ139" s="26981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</c>
      <c r="BR139" s="26982">
        <f>0.0885*HLOOKUP("KP/90",A1:CV300,139,FALSE)</f>
      </c>
      <c r="BS139" s="26983">
        <f>5*HLOOKUP("xG/90",A1:CV300,139,FALSE)+3*HLOOKUP("xA/90",A1:CV300,139,FALSE)</f>
      </c>
      <c r="BT139" s="26984">
        <f>HLOOKUP("xPts/90",A1:CV300,139,FALSE)-(5*0.75*(HLOOKUP("PK Gs",A1:CV300,139,FALSE)+HLOOKUP("PK Miss",A1:CV300,139,FALSE))*90/HLOOKUP("Mins",A1:CV300,139,FALSE))</f>
      </c>
      <c r="BU139" s="26985">
        <f>IF(HLOOKUP("Mins",A1:CV300,139,FALSE)=0,0,HLOOKUP("fsXG",A1:CV300,139,FALSE)/HLOOKUP("Mins",A1:CV300,139,FALSE)* 90)</f>
      </c>
      <c r="BV139" s="26986">
        <f>IF(HLOOKUP("Mins",A1:CV300,139,FALSE)=0,0,HLOOKUP("fsXA",A1:CV300,139,FALSE)/HLOOKUP("Mins",A1:CV300,139,FALSE)* 90)</f>
      </c>
      <c r="BW139" s="26987">
        <f>5*HLOOKUP("fsXG/90",A1:CV300,139,FALSE)+3*HLOOKUP("fsXA/90",A1:CV300,139,FALSE)</f>
      </c>
      <c r="BX139" t="n" s="26988">
        <v>0.033591125160455704</v>
      </c>
      <c r="BY139" t="n" s="26989">
        <v>0.04096502065658569</v>
      </c>
      <c r="BZ139" s="26990">
        <f>5*HLOOKUP("uXG/90",A1:CV300,139,FALSE)+3*HLOOKUP("uXA/90",A1:CV300,139,FALSE)</f>
      </c>
    </row>
    <row r="140">
      <c r="A140" t="s" s="26991">
        <v>443</v>
      </c>
      <c r="B140" t="s" s="26992">
        <v>107</v>
      </c>
      <c r="C140" t="n" s="26993">
        <v>4.300000190734863</v>
      </c>
      <c r="D140" t="n" s="26994">
        <v>508.0</v>
      </c>
      <c r="E140" t="n" s="26995">
        <v>6.0</v>
      </c>
      <c r="F140" t="n" s="26996">
        <v>25.0</v>
      </c>
      <c r="G140" t="n" s="26997">
        <v>0.0</v>
      </c>
      <c r="H140" t="n" s="26998">
        <v>0.0</v>
      </c>
      <c r="I140" t="n" s="26999">
        <v>117.0</v>
      </c>
      <c r="J140" s="27000">
        <f>HLOOKUP("BPS",A1:CV300,140,FALSE)-((-6*HLOOKUP("OG",A1:CV300,140,FALSE))+(-6*HLOOKUP("PK Miss",A1:CV300,140,FALSE))+(9*HLOOKUP("FPL As",A1:CV300,140,FALSE))+(0*HLOOKUP("CS",A1:CV300,140,FALSE))+(18*HLOOKUP("Gs",A1:CV300,140,FALSE)))</f>
      </c>
      <c r="K140" t="n" s="27001">
        <v>0.0</v>
      </c>
      <c r="L140" t="n" s="27002">
        <v>0.0</v>
      </c>
      <c r="M140" t="n" s="27003">
        <v>8.0</v>
      </c>
      <c r="N140" t="n" s="27004">
        <v>4.0</v>
      </c>
      <c r="O140" t="n" s="27005">
        <v>2.0</v>
      </c>
      <c r="P140" s="27006">
        <f>IF(HLOOKUP("Shots",A1:CV300,140,FALSE)=0,0,HLOOKUP("SIB",A1:CV300,140,FALSE)/HLOOKUP("Shots",A1:CV300,140,FALSE))</f>
      </c>
      <c r="Q140" t="n" s="27007">
        <v>0.0</v>
      </c>
      <c r="R140" s="27008">
        <f>IF(HLOOKUP("Shots",A1:CV300,140,FALSE)=0,0,HLOOKUP("S6YD",A1:CV300,140,FALSE)/HLOOKUP("Shots",A1:CV300,140,FALSE))</f>
      </c>
      <c r="S140" t="n" s="27009">
        <v>0.0</v>
      </c>
      <c r="T140" s="27010">
        <f>IF(HLOOKUP("Shots",A1:CV300,140,FALSE)=0,0,HLOOKUP("Headers",A1:CV300,140,FALSE)/HLOOKUP("Shots",A1:CV300,140,FALSE))</f>
      </c>
      <c r="U140" t="n" s="27011">
        <v>0.0</v>
      </c>
      <c r="V140" s="27012">
        <f>IF(HLOOKUP("Shots",A1:CV300,140,FALSE)=0,0,HLOOKUP("SOT",A1:CV300,140,FALSE)/HLOOKUP("Shots",A1:CV300,140,FALSE))</f>
      </c>
      <c r="W140" s="27013">
        <f>IF(HLOOKUP("Shots",A1:CV300,140,FALSE)=0,0,HLOOKUP("Gs",A1:CV300,140,FALSE)/HLOOKUP("Shots",A1:CV300,140,FALSE))</f>
      </c>
      <c r="X140" t="n" s="27014">
        <v>0.0</v>
      </c>
      <c r="Y140" t="n" s="27015">
        <v>0.0</v>
      </c>
      <c r="Z140" t="n" s="27016">
        <v>4.0</v>
      </c>
      <c r="AA140" s="27017">
        <f>IF(HLOOKUP("KP",A1:CV300,140,FALSE)=0,0,HLOOKUP("As",A1:CV300,140,FALSE)/HLOOKUP("KP",A1:CV300,140,FALSE))</f>
      </c>
      <c r="AB140" s="27018"/>
      <c r="AC140" t="n" s="27019">
        <v>0.0</v>
      </c>
      <c r="AD140" t="n" s="27020">
        <v>0.0</v>
      </c>
      <c r="AE140" t="n" s="27021">
        <v>0.0</v>
      </c>
      <c r="AF140" t="n" s="27022">
        <v>0.0</v>
      </c>
      <c r="AG140" s="27023">
        <f>IF(HLOOKUP("BC",A1:CV300,140,FALSE)=0,0,HLOOKUP("Gs - BC",A1:CV300,140,FALSE)/HLOOKUP("BC",A1:CV300,140,FALSE))</f>
      </c>
      <c r="AH140" s="27024">
        <f>HLOOKUP("BC",A1:CV300,140,FALSE) - HLOOKUP("BC Miss",A1:CV300,140,FALSE)</f>
      </c>
      <c r="AI140" s="27025">
        <f>IF(HLOOKUP("Gs",A1:CV300,140,FALSE)=0,0,HLOOKUP("Gs - BC",A1:CV300,140,FALSE)/HLOOKUP("Gs",A1:CV300,140,FALSE))</f>
      </c>
      <c r="AJ140" t="n" s="27026">
        <v>0.0</v>
      </c>
      <c r="AK140" t="n" s="27027">
        <v>0.0</v>
      </c>
      <c r="AL140" s="27028">
        <f>HLOOKUP("BC",A1:CV300,140,FALSE) - (HLOOKUP("PK Gs",A1:CV300,140,FALSE) + HLOOKUP("PK Miss",A1:CV300,140,FALSE))</f>
      </c>
      <c r="AM140" s="27029">
        <f>HLOOKUP("BC Miss",A1:CV300,140,FALSE) - HLOOKUP("PK Miss",A1:CV300,140,FALSE)</f>
      </c>
      <c r="AN140" s="27030">
        <f>IF(HLOOKUP("BC - Open",A1:CV300,140,FALSE)=0,0,HLOOKUP("BC - Open Miss",A1:CV300,140,FALSE)/HLOOKUP("BC - Open",A1:CV300,140,FALSE))</f>
      </c>
      <c r="AO140" t="n" s="27031">
        <v>0.0</v>
      </c>
      <c r="AP140" s="27032">
        <f>IF(HLOOKUP("Gs",A1:CV300,140,FALSE)=0,0,HLOOKUP("GIB",A1:CV300,140,FALSE)/HLOOKUP("Gs",A1:CV300,140,FALSE))</f>
      </c>
      <c r="AQ140" t="n" s="27033">
        <v>0.0</v>
      </c>
      <c r="AR140" s="27034">
        <f>IF(HLOOKUP("Gs",A1:CV300,140,FALSE)=0,0,HLOOKUP("Gs - Open",A1:CV300,140,FALSE)/HLOOKUP("Gs",A1:CV300,140,FALSE))</f>
      </c>
      <c r="AS140" t="n" s="27035">
        <v>0.14</v>
      </c>
      <c r="AT140" t="n" s="27036">
        <v>0.28</v>
      </c>
      <c r="AU140" s="27037">
        <f>IF(HLOOKUP("Mins",A1:CV300,140,FALSE)=0,0,HLOOKUP("Pts",A1:CV300,140,FALSE)/HLOOKUP("Mins",A1:CV300,140,FALSE)* 90)</f>
      </c>
      <c r="AV140" s="27038">
        <f>IF(HLOOKUP("Apps",A1:CV300,140,FALSE)=0,0,HLOOKUP("Pts",A1:CV300,140,FALSE)/HLOOKUP("Apps",A1:CV300,140,FALSE)* 1)</f>
      </c>
      <c r="AW140" s="27039">
        <f>IF(HLOOKUP("Mins",A1:CV300,140,FALSE)=0,0,HLOOKUP("Gs",A1:CV300,140,FALSE)/HLOOKUP("Mins",A1:CV300,140,FALSE)* 90)</f>
      </c>
      <c r="AX140" s="27040">
        <f>IF(HLOOKUP("Mins",A1:CV300,140,FALSE)=0,0,HLOOKUP("Bonus",A1:CV300,140,FALSE)/HLOOKUP("Mins",A1:CV300,140,FALSE)* 90)</f>
      </c>
      <c r="AY140" s="27041">
        <f>IF(HLOOKUP("Mins",A1:CV300,140,FALSE)=0,0,HLOOKUP("BPS",A1:CV300,140,FALSE)/HLOOKUP("Mins",A1:CV300,140,FALSE)* 90)</f>
      </c>
      <c r="AZ140" s="27042">
        <f>IF(HLOOKUP("Mins",A1:CV300,140,FALSE)=0,0,HLOOKUP("Base BPS",A1:CV300,140,FALSE)/HLOOKUP("Mins",A1:CV300,140,FALSE)* 90)</f>
      </c>
      <c r="BA140" s="27043">
        <f>IF(HLOOKUP("Mins",A1:CV300,140,FALSE)=0,0,HLOOKUP("PenTchs",A1:CV300,140,FALSE)/HLOOKUP("Mins",A1:CV300,140,FALSE)* 90)</f>
      </c>
      <c r="BB140" s="27044">
        <f>IF(HLOOKUP("Mins",A1:CV300,140,FALSE)=0,0,HLOOKUP("Shots",A1:CV300,140,FALSE)/HLOOKUP("Mins",A1:CV300,140,FALSE)* 90)</f>
      </c>
      <c r="BC140" s="27045">
        <f>IF(HLOOKUP("Mins",A1:CV300,140,FALSE)=0,0,HLOOKUP("SIB",A1:CV300,140,FALSE)/HLOOKUP("Mins",A1:CV300,140,FALSE)* 90)</f>
      </c>
      <c r="BD140" s="27046">
        <f>IF(HLOOKUP("Mins",A1:CV300,140,FALSE)=0,0,HLOOKUP("S6YD",A1:CV300,140,FALSE)/HLOOKUP("Mins",A1:CV300,140,FALSE)* 90)</f>
      </c>
      <c r="BE140" s="27047">
        <f>IF(HLOOKUP("Mins",A1:CV300,140,FALSE)=0,0,HLOOKUP("Headers",A1:CV300,140,FALSE)/HLOOKUP("Mins",A1:CV300,140,FALSE)* 90)</f>
      </c>
      <c r="BF140" s="27048">
        <f>IF(HLOOKUP("Mins",A1:CV300,140,FALSE)=0,0,HLOOKUP("SOT",A1:CV300,140,FALSE)/HLOOKUP("Mins",A1:CV300,140,FALSE)* 90)</f>
      </c>
      <c r="BG140" s="27049">
        <f>IF(HLOOKUP("Mins",A1:CV300,140,FALSE)=0,0,HLOOKUP("As",A1:CV300,140,FALSE)/HLOOKUP("Mins",A1:CV300,140,FALSE)* 90)</f>
      </c>
      <c r="BH140" s="27050">
        <f>IF(HLOOKUP("Mins",A1:CV300,140,FALSE)=0,0,HLOOKUP("FPL As",A1:CV300,140,FALSE)/HLOOKUP("Mins",A1:CV300,140,FALSE)* 90)</f>
      </c>
      <c r="BI140" s="27051">
        <f>IF(HLOOKUP("Mins",A1:CV300,140,FALSE)=0,0,HLOOKUP("BC Created",A1:CV300,140,FALSE)/HLOOKUP("Mins",A1:CV300,140,FALSE)* 90)</f>
      </c>
      <c r="BJ140" s="27052">
        <f>IF(HLOOKUP("Mins",A1:CV300,140,FALSE)=0,0,HLOOKUP("KP",A1:CV300,140,FALSE)/HLOOKUP("Mins",A1:CV300,140,FALSE)* 90)</f>
      </c>
      <c r="BK140" s="27053">
        <f>IF(HLOOKUP("Mins",A1:CV300,140,FALSE)=0,0,HLOOKUP("BC",A1:CV300,140,FALSE)/HLOOKUP("Mins",A1:CV300,140,FALSE)* 90)</f>
      </c>
      <c r="BL140" s="27054">
        <f>IF(HLOOKUP("Mins",A1:CV300,140,FALSE)=0,0,HLOOKUP("BC Miss",A1:CV300,140,FALSE)/HLOOKUP("Mins",A1:CV300,140,FALSE)* 90)</f>
      </c>
      <c r="BM140" s="27055">
        <f>IF(HLOOKUP("Mins",A1:CV300,140,FALSE)=0,0,HLOOKUP("Gs - BC",A1:CV300,140,FALSE)/HLOOKUP("Mins",A1:CV300,140,FALSE)* 90)</f>
      </c>
      <c r="BN140" s="27056">
        <f>IF(HLOOKUP("Mins",A1:CV300,140,FALSE)=0,0,HLOOKUP("GIB",A1:CV300,140,FALSE)/HLOOKUP("Mins",A1:CV300,140,FALSE)* 90)</f>
      </c>
      <c r="BO140" s="27057">
        <f>IF(HLOOKUP("Mins",A1:CV300,140,FALSE)=0,0,HLOOKUP("Gs - Open",A1:CV300,140,FALSE)/HLOOKUP("Mins",A1:CV300,140,FALSE)* 90)</f>
      </c>
      <c r="BP140" s="27058">
        <f>IF(HLOOKUP("Mins",A1:CV300,140,FALSE)=0,0,HLOOKUP("ICT Index",A1:CV300,140,FALSE)/HLOOKUP("Mins",A1:CV300,140,FALSE)* 90)</f>
      </c>
      <c r="BQ140" s="27059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</c>
      <c r="BR140" s="27060">
        <f>0.0885*HLOOKUP("KP/90",A1:CV300,140,FALSE)</f>
      </c>
      <c r="BS140" s="27061">
        <f>5*HLOOKUP("xG/90",A1:CV300,140,FALSE)+3*HLOOKUP("xA/90",A1:CV300,140,FALSE)</f>
      </c>
      <c r="BT140" s="27062">
        <f>HLOOKUP("xPts/90",A1:CV300,140,FALSE)-(5*0.75*(HLOOKUP("PK Gs",A1:CV300,140,FALSE)+HLOOKUP("PK Miss",A1:CV300,140,FALSE))*90/HLOOKUP("Mins",A1:CV300,140,FALSE))</f>
      </c>
      <c r="BU140" s="27063">
        <f>IF(HLOOKUP("Mins",A1:CV300,140,FALSE)=0,0,HLOOKUP("fsXG",A1:CV300,140,FALSE)/HLOOKUP("Mins",A1:CV300,140,FALSE)* 90)</f>
      </c>
      <c r="BV140" s="27064">
        <f>IF(HLOOKUP("Mins",A1:CV300,140,FALSE)=0,0,HLOOKUP("fsXA",A1:CV300,140,FALSE)/HLOOKUP("Mins",A1:CV300,140,FALSE)* 90)</f>
      </c>
      <c r="BW140" s="27065">
        <f>5*HLOOKUP("fsXG/90",A1:CV300,140,FALSE)+3*HLOOKUP("fsXA/90",A1:CV300,140,FALSE)</f>
      </c>
      <c r="BX140" t="n" s="27066">
        <v>0.021081943064928055</v>
      </c>
      <c r="BY140" t="n" s="27067">
        <v>0.043101780116558075</v>
      </c>
      <c r="BZ140" s="27068">
        <f>5*HLOOKUP("uXG/90",A1:CV300,140,FALSE)+3*HLOOKUP("uXA/90",A1:CV300,140,FALSE)</f>
      </c>
    </row>
    <row r="141">
      <c r="A141" t="s" s="27069">
        <v>444</v>
      </c>
      <c r="B141" t="s" s="27070">
        <v>105</v>
      </c>
      <c r="C141" t="n" s="27071">
        <v>8.600000381469727</v>
      </c>
      <c r="D141" t="n" s="27072">
        <v>358.0</v>
      </c>
      <c r="E141" t="n" s="27073">
        <v>5.0</v>
      </c>
      <c r="F141" t="n" s="27074">
        <v>112.0</v>
      </c>
      <c r="G141" t="n" s="27075">
        <v>2.0</v>
      </c>
      <c r="H141" t="n" s="27076">
        <v>12.0</v>
      </c>
      <c r="I141" t="n" s="27077">
        <v>441.0</v>
      </c>
      <c r="J141" s="27078">
        <f>HLOOKUP("BPS",A1:CV300,141,FALSE)-((-6*HLOOKUP("OG",A1:CV300,141,FALSE))+(-6*HLOOKUP("PK Miss",A1:CV300,141,FALSE))+(9*HLOOKUP("FPL As",A1:CV300,141,FALSE))+(0*HLOOKUP("CS",A1:CV300,141,FALSE))+(18*HLOOKUP("Gs",A1:CV300,141,FALSE)))</f>
      </c>
      <c r="K141" t="n" s="27079">
        <v>0.0</v>
      </c>
      <c r="L141" t="n" s="27080">
        <v>5.0</v>
      </c>
      <c r="M141" t="n" s="27081">
        <v>35.0</v>
      </c>
      <c r="N141" t="n" s="27082">
        <v>12.0</v>
      </c>
      <c r="O141" t="n" s="27083">
        <v>10.0</v>
      </c>
      <c r="P141" s="27084">
        <f>IF(HLOOKUP("Shots",A1:CV300,141,FALSE)=0,0,HLOOKUP("SIB",A1:CV300,141,FALSE)/HLOOKUP("Shots",A1:CV300,141,FALSE))</f>
      </c>
      <c r="Q141" t="n" s="27085">
        <v>0.0</v>
      </c>
      <c r="R141" s="27086">
        <f>IF(HLOOKUP("Shots",A1:CV300,141,FALSE)=0,0,HLOOKUP("S6YD",A1:CV300,141,FALSE)/HLOOKUP("Shots",A1:CV300,141,FALSE))</f>
      </c>
      <c r="S141" t="n" s="27087">
        <v>0.0</v>
      </c>
      <c r="T141" s="27088">
        <f>IF(HLOOKUP("Shots",A1:CV300,141,FALSE)=0,0,HLOOKUP("Headers",A1:CV300,141,FALSE)/HLOOKUP("Shots",A1:CV300,141,FALSE))</f>
      </c>
      <c r="U141" t="n" s="27089">
        <v>3.0</v>
      </c>
      <c r="V141" s="27090">
        <f>IF(HLOOKUP("Shots",A1:CV300,141,FALSE)=0,0,HLOOKUP("SOT",A1:CV300,141,FALSE)/HLOOKUP("Shots",A1:CV300,141,FALSE))</f>
      </c>
      <c r="W141" s="27091">
        <f>IF(HLOOKUP("Shots",A1:CV300,141,FALSE)=0,0,HLOOKUP("Gs",A1:CV300,141,FALSE)/HLOOKUP("Shots",A1:CV300,141,FALSE))</f>
      </c>
      <c r="X141" t="n" s="27092">
        <v>2.0</v>
      </c>
      <c r="Y141" t="n" s="27093">
        <v>9.0</v>
      </c>
      <c r="Z141" t="n" s="27094">
        <v>10.0</v>
      </c>
      <c r="AA141" s="27095">
        <f>IF(HLOOKUP("KP",A1:CV300,141,FALSE)=0,0,HLOOKUP("As",A1:CV300,141,FALSE)/HLOOKUP("KP",A1:CV300,141,FALSE))</f>
      </c>
      <c r="AB141" s="27096"/>
      <c r="AC141" t="n" s="27097">
        <v>36.0</v>
      </c>
      <c r="AD141" t="n" s="27098">
        <v>4.0</v>
      </c>
      <c r="AE141" t="n" s="27099">
        <v>1.0</v>
      </c>
      <c r="AF141" t="n" s="27100">
        <v>0.0</v>
      </c>
      <c r="AG141" s="27101">
        <f>IF(HLOOKUP("BC",A1:CV300,141,FALSE)=0,0,HLOOKUP("Gs - BC",A1:CV300,141,FALSE)/HLOOKUP("BC",A1:CV300,141,FALSE))</f>
      </c>
      <c r="AH141" s="27102">
        <f>HLOOKUP("BC",A1:CV300,141,FALSE) - HLOOKUP("BC Miss",A1:CV300,141,FALSE)</f>
      </c>
      <c r="AI141" s="27103">
        <f>IF(HLOOKUP("Gs",A1:CV300,141,FALSE)=0,0,HLOOKUP("Gs - BC",A1:CV300,141,FALSE)/HLOOKUP("Gs",A1:CV300,141,FALSE))</f>
      </c>
      <c r="AJ141" t="n" s="27104">
        <v>0.0</v>
      </c>
      <c r="AK141" t="n" s="27105">
        <v>0.0</v>
      </c>
      <c r="AL141" s="27106">
        <f>HLOOKUP("BC",A1:CV300,141,FALSE) - (HLOOKUP("PK Gs",A1:CV300,141,FALSE) + HLOOKUP("PK Miss",A1:CV300,141,FALSE))</f>
      </c>
      <c r="AM141" s="27107">
        <f>HLOOKUP("BC Miss",A1:CV300,141,FALSE) - HLOOKUP("PK Miss",A1:CV300,141,FALSE)</f>
      </c>
      <c r="AN141" s="27108">
        <f>IF(HLOOKUP("BC - Open",A1:CV300,141,FALSE)=0,0,HLOOKUP("BC - Open Miss",A1:CV300,141,FALSE)/HLOOKUP("BC - Open",A1:CV300,141,FALSE))</f>
      </c>
      <c r="AO141" t="n" s="27109">
        <v>2.0</v>
      </c>
      <c r="AP141" s="27110">
        <f>IF(HLOOKUP("Gs",A1:CV300,141,FALSE)=0,0,HLOOKUP("GIB",A1:CV300,141,FALSE)/HLOOKUP("Gs",A1:CV300,141,FALSE))</f>
      </c>
      <c r="AQ141" t="n" s="27111">
        <v>2.0</v>
      </c>
      <c r="AR141" s="27112">
        <f>IF(HLOOKUP("Gs",A1:CV300,141,FALSE)=0,0,HLOOKUP("Gs - Open",A1:CV300,141,FALSE)/HLOOKUP("Gs",A1:CV300,141,FALSE))</f>
      </c>
      <c r="AS141" t="n" s="27113">
        <v>1.13</v>
      </c>
      <c r="AT141" t="n" s="27114">
        <v>0.91</v>
      </c>
      <c r="AU141" s="27115">
        <f>IF(HLOOKUP("Mins",A1:CV300,141,FALSE)=0,0,HLOOKUP("Pts",A1:CV300,141,FALSE)/HLOOKUP("Mins",A1:CV300,141,FALSE)* 90)</f>
      </c>
      <c r="AV141" s="27116">
        <f>IF(HLOOKUP("Apps",A1:CV300,141,FALSE)=0,0,HLOOKUP("Pts",A1:CV300,141,FALSE)/HLOOKUP("Apps",A1:CV300,141,FALSE)* 1)</f>
      </c>
      <c r="AW141" s="27117">
        <f>IF(HLOOKUP("Mins",A1:CV300,141,FALSE)=0,0,HLOOKUP("Gs",A1:CV300,141,FALSE)/HLOOKUP("Mins",A1:CV300,141,FALSE)* 90)</f>
      </c>
      <c r="AX141" s="27118">
        <f>IF(HLOOKUP("Mins",A1:CV300,141,FALSE)=0,0,HLOOKUP("Bonus",A1:CV300,141,FALSE)/HLOOKUP("Mins",A1:CV300,141,FALSE)* 90)</f>
      </c>
      <c r="AY141" s="27119">
        <f>IF(HLOOKUP("Mins",A1:CV300,141,FALSE)=0,0,HLOOKUP("BPS",A1:CV300,141,FALSE)/HLOOKUP("Mins",A1:CV300,141,FALSE)* 90)</f>
      </c>
      <c r="AZ141" s="27120">
        <f>IF(HLOOKUP("Mins",A1:CV300,141,FALSE)=0,0,HLOOKUP("Base BPS",A1:CV300,141,FALSE)/HLOOKUP("Mins",A1:CV300,141,FALSE)* 90)</f>
      </c>
      <c r="BA141" s="27121">
        <f>IF(HLOOKUP("Mins",A1:CV300,141,FALSE)=0,0,HLOOKUP("PenTchs",A1:CV300,141,FALSE)/HLOOKUP("Mins",A1:CV300,141,FALSE)* 90)</f>
      </c>
      <c r="BB141" s="27122">
        <f>IF(HLOOKUP("Mins",A1:CV300,141,FALSE)=0,0,HLOOKUP("Shots",A1:CV300,141,FALSE)/HLOOKUP("Mins",A1:CV300,141,FALSE)* 90)</f>
      </c>
      <c r="BC141" s="27123">
        <f>IF(HLOOKUP("Mins",A1:CV300,141,FALSE)=0,0,HLOOKUP("SIB",A1:CV300,141,FALSE)/HLOOKUP("Mins",A1:CV300,141,FALSE)* 90)</f>
      </c>
      <c r="BD141" s="27124">
        <f>IF(HLOOKUP("Mins",A1:CV300,141,FALSE)=0,0,HLOOKUP("S6YD",A1:CV300,141,FALSE)/HLOOKUP("Mins",A1:CV300,141,FALSE)* 90)</f>
      </c>
      <c r="BE141" s="27125">
        <f>IF(HLOOKUP("Mins",A1:CV300,141,FALSE)=0,0,HLOOKUP("Headers",A1:CV300,141,FALSE)/HLOOKUP("Mins",A1:CV300,141,FALSE)* 90)</f>
      </c>
      <c r="BF141" s="27126">
        <f>IF(HLOOKUP("Mins",A1:CV300,141,FALSE)=0,0,HLOOKUP("SOT",A1:CV300,141,FALSE)/HLOOKUP("Mins",A1:CV300,141,FALSE)* 90)</f>
      </c>
      <c r="BG141" s="27127">
        <f>IF(HLOOKUP("Mins",A1:CV300,141,FALSE)=0,0,HLOOKUP("As",A1:CV300,141,FALSE)/HLOOKUP("Mins",A1:CV300,141,FALSE)* 90)</f>
      </c>
      <c r="BH141" s="27128">
        <f>IF(HLOOKUP("Mins",A1:CV300,141,FALSE)=0,0,HLOOKUP("FPL As",A1:CV300,141,FALSE)/HLOOKUP("Mins",A1:CV300,141,FALSE)* 90)</f>
      </c>
      <c r="BI141" s="27129">
        <f>IF(HLOOKUP("Mins",A1:CV300,141,FALSE)=0,0,HLOOKUP("BC Created",A1:CV300,141,FALSE)/HLOOKUP("Mins",A1:CV300,141,FALSE)* 90)</f>
      </c>
      <c r="BJ141" s="27130">
        <f>IF(HLOOKUP("Mins",A1:CV300,141,FALSE)=0,0,HLOOKUP("KP",A1:CV300,141,FALSE)/HLOOKUP("Mins",A1:CV300,141,FALSE)* 90)</f>
      </c>
      <c r="BK141" s="27131">
        <f>IF(HLOOKUP("Mins",A1:CV300,141,FALSE)=0,0,HLOOKUP("BC",A1:CV300,141,FALSE)/HLOOKUP("Mins",A1:CV300,141,FALSE)* 90)</f>
      </c>
      <c r="BL141" s="27132">
        <f>IF(HLOOKUP("Mins",A1:CV300,141,FALSE)=0,0,HLOOKUP("BC Miss",A1:CV300,141,FALSE)/HLOOKUP("Mins",A1:CV300,141,FALSE)* 90)</f>
      </c>
      <c r="BM141" s="27133">
        <f>IF(HLOOKUP("Mins",A1:CV300,141,FALSE)=0,0,HLOOKUP("Gs - BC",A1:CV300,141,FALSE)/HLOOKUP("Mins",A1:CV300,141,FALSE)* 90)</f>
      </c>
      <c r="BN141" s="27134">
        <f>IF(HLOOKUP("Mins",A1:CV300,141,FALSE)=0,0,HLOOKUP("GIB",A1:CV300,141,FALSE)/HLOOKUP("Mins",A1:CV300,141,FALSE)* 90)</f>
      </c>
      <c r="BO141" s="27135">
        <f>IF(HLOOKUP("Mins",A1:CV300,141,FALSE)=0,0,HLOOKUP("Gs - Open",A1:CV300,141,FALSE)/HLOOKUP("Mins",A1:CV300,141,FALSE)* 90)</f>
      </c>
      <c r="BP141" s="27136">
        <f>IF(HLOOKUP("Mins",A1:CV300,141,FALSE)=0,0,HLOOKUP("ICT Index",A1:CV300,141,FALSE)/HLOOKUP("Mins",A1:CV300,141,FALSE)* 90)</f>
      </c>
      <c r="BQ141" s="27137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</c>
      <c r="BR141" s="27138">
        <f>0.0885*HLOOKUP("KP/90",A1:CV300,141,FALSE)</f>
      </c>
      <c r="BS141" s="27139">
        <f>5*HLOOKUP("xG/90",A1:CV300,141,FALSE)+3*HLOOKUP("xA/90",A1:CV300,141,FALSE)</f>
      </c>
      <c r="BT141" s="27140">
        <f>HLOOKUP("xPts/90",A1:CV300,141,FALSE)-(5*0.75*(HLOOKUP("PK Gs",A1:CV300,141,FALSE)+HLOOKUP("PK Miss",A1:CV300,141,FALSE))*90/HLOOKUP("Mins",A1:CV300,141,FALSE))</f>
      </c>
      <c r="BU141" s="27141">
        <f>IF(HLOOKUP("Mins",A1:CV300,141,FALSE)=0,0,HLOOKUP("fsXG",A1:CV300,141,FALSE)/HLOOKUP("Mins",A1:CV300,141,FALSE)* 90)</f>
      </c>
      <c r="BV141" s="27142">
        <f>IF(HLOOKUP("Mins",A1:CV300,141,FALSE)=0,0,HLOOKUP("fsXA",A1:CV300,141,FALSE)/HLOOKUP("Mins",A1:CV300,141,FALSE)* 90)</f>
      </c>
      <c r="BW141" s="27143">
        <f>5*HLOOKUP("fsXG/90",A1:CV300,141,FALSE)+3*HLOOKUP("fsXA/90",A1:CV300,141,FALSE)</f>
      </c>
      <c r="BX141" t="n" s="27144">
        <v>0.34971046447753906</v>
      </c>
      <c r="BY141" t="n" s="27145">
        <v>0.5116873383522034</v>
      </c>
      <c r="BZ141" s="27146">
        <f>5*HLOOKUP("uXG/90",A1:CV300,141,FALSE)+3*HLOOKUP("uXA/90",A1:CV300,141,FALSE)</f>
      </c>
    </row>
    <row r="142">
      <c r="A142" t="s" s="27147">
        <v>445</v>
      </c>
      <c r="B142" t="s" s="27148">
        <v>149</v>
      </c>
      <c r="C142" t="n" s="27149">
        <v>6.900000095367432</v>
      </c>
      <c r="D142" t="n" s="27150">
        <v>66.0</v>
      </c>
      <c r="E142" t="n" s="27151">
        <v>1.0</v>
      </c>
      <c r="F142" t="n" s="27152">
        <v>70.0</v>
      </c>
      <c r="G142" t="n" s="27153">
        <v>0.0</v>
      </c>
      <c r="H142" t="n" s="27154">
        <v>5.0</v>
      </c>
      <c r="I142" t="n" s="27155">
        <v>217.0</v>
      </c>
      <c r="J142" s="27156">
        <f>HLOOKUP("BPS",A1:CV300,142,FALSE)-((-6*HLOOKUP("OG",A1:CV300,142,FALSE))+(-6*HLOOKUP("PK Miss",A1:CV300,142,FALSE))+(9*HLOOKUP("FPL As",A1:CV300,142,FALSE))+(0*HLOOKUP("CS",A1:CV300,142,FALSE))+(18*HLOOKUP("Gs",A1:CV300,142,FALSE)))</f>
      </c>
      <c r="K142" t="n" s="27157">
        <v>0.0</v>
      </c>
      <c r="L142" t="n" s="27158">
        <v>3.0</v>
      </c>
      <c r="M142" t="n" s="27159">
        <v>6.0</v>
      </c>
      <c r="N142" t="n" s="27160">
        <v>5.0</v>
      </c>
      <c r="O142" t="n" s="27161">
        <v>4.0</v>
      </c>
      <c r="P142" s="27162">
        <f>IF(HLOOKUP("Shots",A1:CV300,142,FALSE)=0,0,HLOOKUP("SIB",A1:CV300,142,FALSE)/HLOOKUP("Shots",A1:CV300,142,FALSE))</f>
      </c>
      <c r="Q142" t="n" s="27163">
        <v>0.0</v>
      </c>
      <c r="R142" s="27164">
        <f>IF(HLOOKUP("Shots",A1:CV300,142,FALSE)=0,0,HLOOKUP("S6YD",A1:CV300,142,FALSE)/HLOOKUP("Shots",A1:CV300,142,FALSE))</f>
      </c>
      <c r="S142" t="n" s="27165">
        <v>0.0</v>
      </c>
      <c r="T142" s="27166">
        <f>IF(HLOOKUP("Shots",A1:CV300,142,FALSE)=0,0,HLOOKUP("Headers",A1:CV300,142,FALSE)/HLOOKUP("Shots",A1:CV300,142,FALSE))</f>
      </c>
      <c r="U142" t="n" s="27167">
        <v>2.0</v>
      </c>
      <c r="V142" s="27168">
        <f>IF(HLOOKUP("Shots",A1:CV300,142,FALSE)=0,0,HLOOKUP("SOT",A1:CV300,142,FALSE)/HLOOKUP("Shots",A1:CV300,142,FALSE))</f>
      </c>
      <c r="W142" s="27169">
        <f>IF(HLOOKUP("Shots",A1:CV300,142,FALSE)=0,0,HLOOKUP("Gs",A1:CV300,142,FALSE)/HLOOKUP("Shots",A1:CV300,142,FALSE))</f>
      </c>
      <c r="X142" t="n" s="27170">
        <v>0.0</v>
      </c>
      <c r="Y142" t="n" s="27171">
        <v>3.0</v>
      </c>
      <c r="Z142" t="n" s="27172">
        <v>1.0</v>
      </c>
      <c r="AA142" s="27173">
        <f>IF(HLOOKUP("KP",A1:CV300,142,FALSE)=0,0,HLOOKUP("As",A1:CV300,142,FALSE)/HLOOKUP("KP",A1:CV300,142,FALSE))</f>
      </c>
      <c r="AB142" s="27174"/>
      <c r="AC142" t="n" s="27175">
        <v>0.0</v>
      </c>
      <c r="AD142" t="n" s="27176">
        <v>0.0</v>
      </c>
      <c r="AE142" t="n" s="27177">
        <v>0.0</v>
      </c>
      <c r="AF142" t="n" s="27178">
        <v>0.0</v>
      </c>
      <c r="AG142" s="27179">
        <f>IF(HLOOKUP("BC",A1:CV300,142,FALSE)=0,0,HLOOKUP("Gs - BC",A1:CV300,142,FALSE)/HLOOKUP("BC",A1:CV300,142,FALSE))</f>
      </c>
      <c r="AH142" s="27180">
        <f>HLOOKUP("BC",A1:CV300,142,FALSE) - HLOOKUP("BC Miss",A1:CV300,142,FALSE)</f>
      </c>
      <c r="AI142" s="27181">
        <f>IF(HLOOKUP("Gs",A1:CV300,142,FALSE)=0,0,HLOOKUP("Gs - BC",A1:CV300,142,FALSE)/HLOOKUP("Gs",A1:CV300,142,FALSE))</f>
      </c>
      <c r="AJ142" t="n" s="27182">
        <v>0.0</v>
      </c>
      <c r="AK142" t="n" s="27183">
        <v>0.0</v>
      </c>
      <c r="AL142" s="27184">
        <f>HLOOKUP("BC",A1:CV300,142,FALSE) - (HLOOKUP("PK Gs",A1:CV300,142,FALSE) + HLOOKUP("PK Miss",A1:CV300,142,FALSE))</f>
      </c>
      <c r="AM142" s="27185">
        <f>HLOOKUP("BC Miss",A1:CV300,142,FALSE) - HLOOKUP("PK Miss",A1:CV300,142,FALSE)</f>
      </c>
      <c r="AN142" s="27186">
        <f>IF(HLOOKUP("BC - Open",A1:CV300,142,FALSE)=0,0,HLOOKUP("BC - Open Miss",A1:CV300,142,FALSE)/HLOOKUP("BC - Open",A1:CV300,142,FALSE))</f>
      </c>
      <c r="AO142" t="n" s="27187">
        <v>0.0</v>
      </c>
      <c r="AP142" s="27188">
        <f>IF(HLOOKUP("Gs",A1:CV300,142,FALSE)=0,0,HLOOKUP("GIB",A1:CV300,142,FALSE)/HLOOKUP("Gs",A1:CV300,142,FALSE))</f>
      </c>
      <c r="AQ142" t="n" s="27189">
        <v>0.0</v>
      </c>
      <c r="AR142" s="27190">
        <f>IF(HLOOKUP("Gs",A1:CV300,142,FALSE)=0,0,HLOOKUP("Gs - Open",A1:CV300,142,FALSE)/HLOOKUP("Gs",A1:CV300,142,FALSE))</f>
      </c>
      <c r="AS142" t="n" s="27191">
        <v>0.2</v>
      </c>
      <c r="AT142" t="n" s="27192">
        <v>0.03</v>
      </c>
      <c r="AU142" s="27193">
        <f>IF(HLOOKUP("Mins",A1:CV300,142,FALSE)=0,0,HLOOKUP("Pts",A1:CV300,142,FALSE)/HLOOKUP("Mins",A1:CV300,142,FALSE)* 90)</f>
      </c>
      <c r="AV142" s="27194">
        <f>IF(HLOOKUP("Apps",A1:CV300,142,FALSE)=0,0,HLOOKUP("Pts",A1:CV300,142,FALSE)/HLOOKUP("Apps",A1:CV300,142,FALSE)* 1)</f>
      </c>
      <c r="AW142" s="27195">
        <f>IF(HLOOKUP("Mins",A1:CV300,142,FALSE)=0,0,HLOOKUP("Gs",A1:CV300,142,FALSE)/HLOOKUP("Mins",A1:CV300,142,FALSE)* 90)</f>
      </c>
      <c r="AX142" s="27196">
        <f>IF(HLOOKUP("Mins",A1:CV300,142,FALSE)=0,0,HLOOKUP("Bonus",A1:CV300,142,FALSE)/HLOOKUP("Mins",A1:CV300,142,FALSE)* 90)</f>
      </c>
      <c r="AY142" s="27197">
        <f>IF(HLOOKUP("Mins",A1:CV300,142,FALSE)=0,0,HLOOKUP("BPS",A1:CV300,142,FALSE)/HLOOKUP("Mins",A1:CV300,142,FALSE)* 90)</f>
      </c>
      <c r="AZ142" s="27198">
        <f>IF(HLOOKUP("Mins",A1:CV300,142,FALSE)=0,0,HLOOKUP("Base BPS",A1:CV300,142,FALSE)/HLOOKUP("Mins",A1:CV300,142,FALSE)* 90)</f>
      </c>
      <c r="BA142" s="27199">
        <f>IF(HLOOKUP("Mins",A1:CV300,142,FALSE)=0,0,HLOOKUP("PenTchs",A1:CV300,142,FALSE)/HLOOKUP("Mins",A1:CV300,142,FALSE)* 90)</f>
      </c>
      <c r="BB142" s="27200">
        <f>IF(HLOOKUP("Mins",A1:CV300,142,FALSE)=0,0,HLOOKUP("Shots",A1:CV300,142,FALSE)/HLOOKUP("Mins",A1:CV300,142,FALSE)* 90)</f>
      </c>
      <c r="BC142" s="27201">
        <f>IF(HLOOKUP("Mins",A1:CV300,142,FALSE)=0,0,HLOOKUP("SIB",A1:CV300,142,FALSE)/HLOOKUP("Mins",A1:CV300,142,FALSE)* 90)</f>
      </c>
      <c r="BD142" s="27202">
        <f>IF(HLOOKUP("Mins",A1:CV300,142,FALSE)=0,0,HLOOKUP("S6YD",A1:CV300,142,FALSE)/HLOOKUP("Mins",A1:CV300,142,FALSE)* 90)</f>
      </c>
      <c r="BE142" s="27203">
        <f>IF(HLOOKUP("Mins",A1:CV300,142,FALSE)=0,0,HLOOKUP("Headers",A1:CV300,142,FALSE)/HLOOKUP("Mins",A1:CV300,142,FALSE)* 90)</f>
      </c>
      <c r="BF142" s="27204">
        <f>IF(HLOOKUP("Mins",A1:CV300,142,FALSE)=0,0,HLOOKUP("SOT",A1:CV300,142,FALSE)/HLOOKUP("Mins",A1:CV300,142,FALSE)* 90)</f>
      </c>
      <c r="BG142" s="27205">
        <f>IF(HLOOKUP("Mins",A1:CV300,142,FALSE)=0,0,HLOOKUP("As",A1:CV300,142,FALSE)/HLOOKUP("Mins",A1:CV300,142,FALSE)* 90)</f>
      </c>
      <c r="BH142" s="27206">
        <f>IF(HLOOKUP("Mins",A1:CV300,142,FALSE)=0,0,HLOOKUP("FPL As",A1:CV300,142,FALSE)/HLOOKUP("Mins",A1:CV300,142,FALSE)* 90)</f>
      </c>
      <c r="BI142" s="27207">
        <f>IF(HLOOKUP("Mins",A1:CV300,142,FALSE)=0,0,HLOOKUP("BC Created",A1:CV300,142,FALSE)/HLOOKUP("Mins",A1:CV300,142,FALSE)* 90)</f>
      </c>
      <c r="BJ142" s="27208">
        <f>IF(HLOOKUP("Mins",A1:CV300,142,FALSE)=0,0,HLOOKUP("KP",A1:CV300,142,FALSE)/HLOOKUP("Mins",A1:CV300,142,FALSE)* 90)</f>
      </c>
      <c r="BK142" s="27209">
        <f>IF(HLOOKUP("Mins",A1:CV300,142,FALSE)=0,0,HLOOKUP("BC",A1:CV300,142,FALSE)/HLOOKUP("Mins",A1:CV300,142,FALSE)* 90)</f>
      </c>
      <c r="BL142" s="27210">
        <f>IF(HLOOKUP("Mins",A1:CV300,142,FALSE)=0,0,HLOOKUP("BC Miss",A1:CV300,142,FALSE)/HLOOKUP("Mins",A1:CV300,142,FALSE)* 90)</f>
      </c>
      <c r="BM142" s="27211">
        <f>IF(HLOOKUP("Mins",A1:CV300,142,FALSE)=0,0,HLOOKUP("Gs - BC",A1:CV300,142,FALSE)/HLOOKUP("Mins",A1:CV300,142,FALSE)* 90)</f>
      </c>
      <c r="BN142" s="27212">
        <f>IF(HLOOKUP("Mins",A1:CV300,142,FALSE)=0,0,HLOOKUP("GIB",A1:CV300,142,FALSE)/HLOOKUP("Mins",A1:CV300,142,FALSE)* 90)</f>
      </c>
      <c r="BO142" s="27213">
        <f>IF(HLOOKUP("Mins",A1:CV300,142,FALSE)=0,0,HLOOKUP("Gs - Open",A1:CV300,142,FALSE)/HLOOKUP("Mins",A1:CV300,142,FALSE)* 90)</f>
      </c>
      <c r="BP142" s="27214">
        <f>IF(HLOOKUP("Mins",A1:CV300,142,FALSE)=0,0,HLOOKUP("ICT Index",A1:CV300,142,FALSE)/HLOOKUP("Mins",A1:CV300,142,FALSE)* 90)</f>
      </c>
      <c r="BQ142" s="27215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</c>
      <c r="BR142" s="27216">
        <f>0.0885*HLOOKUP("KP/90",A1:CV300,142,FALSE)</f>
      </c>
      <c r="BS142" s="27217">
        <f>5*HLOOKUP("xG/90",A1:CV300,142,FALSE)+3*HLOOKUP("xA/90",A1:CV300,142,FALSE)</f>
      </c>
      <c r="BT142" s="27218">
        <f>HLOOKUP("xPts/90",A1:CV300,142,FALSE)-(5*0.75*(HLOOKUP("PK Gs",A1:CV300,142,FALSE)+HLOOKUP("PK Miss",A1:CV300,142,FALSE))*90/HLOOKUP("Mins",A1:CV300,142,FALSE))</f>
      </c>
      <c r="BU142" s="27219">
        <f>IF(HLOOKUP("Mins",A1:CV300,142,FALSE)=0,0,HLOOKUP("fsXG",A1:CV300,142,FALSE)/HLOOKUP("Mins",A1:CV300,142,FALSE)* 90)</f>
      </c>
      <c r="BV142" s="27220">
        <f>IF(HLOOKUP("Mins",A1:CV300,142,FALSE)=0,0,HLOOKUP("fsXA",A1:CV300,142,FALSE)/HLOOKUP("Mins",A1:CV300,142,FALSE)* 90)</f>
      </c>
      <c r="BW142" s="27221">
        <f>5*HLOOKUP("fsXG/90",A1:CV300,142,FALSE)+3*HLOOKUP("fsXA/90",A1:CV300,142,FALSE)</f>
      </c>
      <c r="BX142" t="n" s="27222">
        <v>0.3320111036300659</v>
      </c>
      <c r="BY142" t="n" s="27223">
        <v>0.038139671087265015</v>
      </c>
      <c r="BZ142" s="27224">
        <f>5*HLOOKUP("uXG/90",A1:CV300,142,FALSE)+3*HLOOKUP("uXA/90",A1:CV300,142,FALSE)</f>
      </c>
    </row>
    <row r="143">
      <c r="A143" t="s" s="27225">
        <v>446</v>
      </c>
      <c r="B143" t="s" s="27226">
        <v>80</v>
      </c>
      <c r="C143" t="n" s="27227">
        <v>5.300000190734863</v>
      </c>
      <c r="D143" t="n" s="27228">
        <v>29.0</v>
      </c>
      <c r="E143" t="n" s="27229">
        <v>2.0</v>
      </c>
      <c r="F143" t="n" s="27230">
        <v>18.0</v>
      </c>
      <c r="G143" t="n" s="27231">
        <v>0.0</v>
      </c>
      <c r="H143" t="n" s="27232">
        <v>0.0</v>
      </c>
      <c r="I143" t="n" s="27233">
        <v>56.0</v>
      </c>
      <c r="J143" s="27234">
        <f>HLOOKUP("BPS",A1:CV300,143,FALSE)-((-6*HLOOKUP("OG",A1:CV300,143,FALSE))+(-6*HLOOKUP("PK Miss",A1:CV300,143,FALSE))+(9*HLOOKUP("FPL As",A1:CV300,143,FALSE))+(0*HLOOKUP("CS",A1:CV300,143,FALSE))+(18*HLOOKUP("Gs",A1:CV300,143,FALSE)))</f>
      </c>
      <c r="K143" t="n" s="27235">
        <v>0.0</v>
      </c>
      <c r="L143" t="n" s="27236">
        <v>2.0</v>
      </c>
      <c r="M143" t="n" s="27237">
        <v>2.0</v>
      </c>
      <c r="N143" t="n" s="27238">
        <v>1.0</v>
      </c>
      <c r="O143" t="n" s="27239">
        <v>1.0</v>
      </c>
      <c r="P143" s="27240">
        <f>IF(HLOOKUP("Shots",A1:CV300,143,FALSE)=0,0,HLOOKUP("SIB",A1:CV300,143,FALSE)/HLOOKUP("Shots",A1:CV300,143,FALSE))</f>
      </c>
      <c r="Q143" t="n" s="27241">
        <v>0.0</v>
      </c>
      <c r="R143" s="27242">
        <f>IF(HLOOKUP("Shots",A1:CV300,143,FALSE)=0,0,HLOOKUP("S6YD",A1:CV300,143,FALSE)/HLOOKUP("Shots",A1:CV300,143,FALSE))</f>
      </c>
      <c r="S143" t="n" s="27243">
        <v>0.0</v>
      </c>
      <c r="T143" s="27244">
        <f>IF(HLOOKUP("Shots",A1:CV300,143,FALSE)=0,0,HLOOKUP("Headers",A1:CV300,143,FALSE)/HLOOKUP("Shots",A1:CV300,143,FALSE))</f>
      </c>
      <c r="U143" t="n" s="27245">
        <v>0.0</v>
      </c>
      <c r="V143" s="27246">
        <f>IF(HLOOKUP("Shots",A1:CV300,143,FALSE)=0,0,HLOOKUP("SOT",A1:CV300,143,FALSE)/HLOOKUP("Shots",A1:CV300,143,FALSE))</f>
      </c>
      <c r="W143" s="27247">
        <f>IF(HLOOKUP("Shots",A1:CV300,143,FALSE)=0,0,HLOOKUP("Gs",A1:CV300,143,FALSE)/HLOOKUP("Shots",A1:CV300,143,FALSE))</f>
      </c>
      <c r="X143" t="n" s="27248">
        <v>0.0</v>
      </c>
      <c r="Y143" t="n" s="27249">
        <v>1.0</v>
      </c>
      <c r="Z143" t="n" s="27250">
        <v>0.0</v>
      </c>
      <c r="AA143" s="27251">
        <f>IF(HLOOKUP("KP",A1:CV300,143,FALSE)=0,0,HLOOKUP("As",A1:CV300,143,FALSE)/HLOOKUP("KP",A1:CV300,143,FALSE))</f>
      </c>
      <c r="AB143" s="27252"/>
      <c r="AC143" t="n" s="27253">
        <v>0.0</v>
      </c>
      <c r="AD143" t="n" s="27254">
        <v>0.0</v>
      </c>
      <c r="AE143" t="n" s="27255">
        <v>0.0</v>
      </c>
      <c r="AF143" t="n" s="27256">
        <v>0.0</v>
      </c>
      <c r="AG143" s="27257">
        <f>IF(HLOOKUP("BC",A1:CV300,143,FALSE)=0,0,HLOOKUP("Gs - BC",A1:CV300,143,FALSE)/HLOOKUP("BC",A1:CV300,143,FALSE))</f>
      </c>
      <c r="AH143" s="27258">
        <f>HLOOKUP("BC",A1:CV300,143,FALSE) - HLOOKUP("BC Miss",A1:CV300,143,FALSE)</f>
      </c>
      <c r="AI143" s="27259">
        <f>IF(HLOOKUP("Gs",A1:CV300,143,FALSE)=0,0,HLOOKUP("Gs - BC",A1:CV300,143,FALSE)/HLOOKUP("Gs",A1:CV300,143,FALSE))</f>
      </c>
      <c r="AJ143" t="n" s="27260">
        <v>0.0</v>
      </c>
      <c r="AK143" t="n" s="27261">
        <v>0.0</v>
      </c>
      <c r="AL143" s="27262">
        <f>HLOOKUP("BC",A1:CV300,143,FALSE) - (HLOOKUP("PK Gs",A1:CV300,143,FALSE) + HLOOKUP("PK Miss",A1:CV300,143,FALSE))</f>
      </c>
      <c r="AM143" s="27263">
        <f>HLOOKUP("BC Miss",A1:CV300,143,FALSE) - HLOOKUP("PK Miss",A1:CV300,143,FALSE)</f>
      </c>
      <c r="AN143" s="27264">
        <f>IF(HLOOKUP("BC - Open",A1:CV300,143,FALSE)=0,0,HLOOKUP("BC - Open Miss",A1:CV300,143,FALSE)/HLOOKUP("BC - Open",A1:CV300,143,FALSE))</f>
      </c>
      <c r="AO143" t="n" s="27265">
        <v>0.0</v>
      </c>
      <c r="AP143" s="27266">
        <f>IF(HLOOKUP("Gs",A1:CV300,143,FALSE)=0,0,HLOOKUP("GIB",A1:CV300,143,FALSE)/HLOOKUP("Gs",A1:CV300,143,FALSE))</f>
      </c>
      <c r="AQ143" t="n" s="27267">
        <v>0.0</v>
      </c>
      <c r="AR143" s="27268">
        <f>IF(HLOOKUP("Gs",A1:CV300,143,FALSE)=0,0,HLOOKUP("Gs - Open",A1:CV300,143,FALSE)/HLOOKUP("Gs",A1:CV300,143,FALSE))</f>
      </c>
      <c r="AS143" t="n" s="27269">
        <v>0.07</v>
      </c>
      <c r="AT143" t="n" s="27270">
        <v>0.0</v>
      </c>
      <c r="AU143" s="27271">
        <f>IF(HLOOKUP("Mins",A1:CV300,143,FALSE)=0,0,HLOOKUP("Pts",A1:CV300,143,FALSE)/HLOOKUP("Mins",A1:CV300,143,FALSE)* 90)</f>
      </c>
      <c r="AV143" s="27272">
        <f>IF(HLOOKUP("Apps",A1:CV300,143,FALSE)=0,0,HLOOKUP("Pts",A1:CV300,143,FALSE)/HLOOKUP("Apps",A1:CV300,143,FALSE)* 1)</f>
      </c>
      <c r="AW143" s="27273">
        <f>IF(HLOOKUP("Mins",A1:CV300,143,FALSE)=0,0,HLOOKUP("Gs",A1:CV300,143,FALSE)/HLOOKUP("Mins",A1:CV300,143,FALSE)* 90)</f>
      </c>
      <c r="AX143" s="27274">
        <f>IF(HLOOKUP("Mins",A1:CV300,143,FALSE)=0,0,HLOOKUP("Bonus",A1:CV300,143,FALSE)/HLOOKUP("Mins",A1:CV300,143,FALSE)* 90)</f>
      </c>
      <c r="AY143" s="27275">
        <f>IF(HLOOKUP("Mins",A1:CV300,143,FALSE)=0,0,HLOOKUP("BPS",A1:CV300,143,FALSE)/HLOOKUP("Mins",A1:CV300,143,FALSE)* 90)</f>
      </c>
      <c r="AZ143" s="27276">
        <f>IF(HLOOKUP("Mins",A1:CV300,143,FALSE)=0,0,HLOOKUP("Base BPS",A1:CV300,143,FALSE)/HLOOKUP("Mins",A1:CV300,143,FALSE)* 90)</f>
      </c>
      <c r="BA143" s="27277">
        <f>IF(HLOOKUP("Mins",A1:CV300,143,FALSE)=0,0,HLOOKUP("PenTchs",A1:CV300,143,FALSE)/HLOOKUP("Mins",A1:CV300,143,FALSE)* 90)</f>
      </c>
      <c r="BB143" s="27278">
        <f>IF(HLOOKUP("Mins",A1:CV300,143,FALSE)=0,0,HLOOKUP("Shots",A1:CV300,143,FALSE)/HLOOKUP("Mins",A1:CV300,143,FALSE)* 90)</f>
      </c>
      <c r="BC143" s="27279">
        <f>IF(HLOOKUP("Mins",A1:CV300,143,FALSE)=0,0,HLOOKUP("SIB",A1:CV300,143,FALSE)/HLOOKUP("Mins",A1:CV300,143,FALSE)* 90)</f>
      </c>
      <c r="BD143" s="27280">
        <f>IF(HLOOKUP("Mins",A1:CV300,143,FALSE)=0,0,HLOOKUP("S6YD",A1:CV300,143,FALSE)/HLOOKUP("Mins",A1:CV300,143,FALSE)* 90)</f>
      </c>
      <c r="BE143" s="27281">
        <f>IF(HLOOKUP("Mins",A1:CV300,143,FALSE)=0,0,HLOOKUP("Headers",A1:CV300,143,FALSE)/HLOOKUP("Mins",A1:CV300,143,FALSE)* 90)</f>
      </c>
      <c r="BF143" s="27282">
        <f>IF(HLOOKUP("Mins",A1:CV300,143,FALSE)=0,0,HLOOKUP("SOT",A1:CV300,143,FALSE)/HLOOKUP("Mins",A1:CV300,143,FALSE)* 90)</f>
      </c>
      <c r="BG143" s="27283">
        <f>IF(HLOOKUP("Mins",A1:CV300,143,FALSE)=0,0,HLOOKUP("As",A1:CV300,143,FALSE)/HLOOKUP("Mins",A1:CV300,143,FALSE)* 90)</f>
      </c>
      <c r="BH143" s="27284">
        <f>IF(HLOOKUP("Mins",A1:CV300,143,FALSE)=0,0,HLOOKUP("FPL As",A1:CV300,143,FALSE)/HLOOKUP("Mins",A1:CV300,143,FALSE)* 90)</f>
      </c>
      <c r="BI143" s="27285">
        <f>IF(HLOOKUP("Mins",A1:CV300,143,FALSE)=0,0,HLOOKUP("BC Created",A1:CV300,143,FALSE)/HLOOKUP("Mins",A1:CV300,143,FALSE)* 90)</f>
      </c>
      <c r="BJ143" s="27286">
        <f>IF(HLOOKUP("Mins",A1:CV300,143,FALSE)=0,0,HLOOKUP("KP",A1:CV300,143,FALSE)/HLOOKUP("Mins",A1:CV300,143,FALSE)* 90)</f>
      </c>
      <c r="BK143" s="27287">
        <f>IF(HLOOKUP("Mins",A1:CV300,143,FALSE)=0,0,HLOOKUP("BC",A1:CV300,143,FALSE)/HLOOKUP("Mins",A1:CV300,143,FALSE)* 90)</f>
      </c>
      <c r="BL143" s="27288">
        <f>IF(HLOOKUP("Mins",A1:CV300,143,FALSE)=0,0,HLOOKUP("BC Miss",A1:CV300,143,FALSE)/HLOOKUP("Mins",A1:CV300,143,FALSE)* 90)</f>
      </c>
      <c r="BM143" s="27289">
        <f>IF(HLOOKUP("Mins",A1:CV300,143,FALSE)=0,0,HLOOKUP("Gs - BC",A1:CV300,143,FALSE)/HLOOKUP("Mins",A1:CV300,143,FALSE)* 90)</f>
      </c>
      <c r="BN143" s="27290">
        <f>IF(HLOOKUP("Mins",A1:CV300,143,FALSE)=0,0,HLOOKUP("GIB",A1:CV300,143,FALSE)/HLOOKUP("Mins",A1:CV300,143,FALSE)* 90)</f>
      </c>
      <c r="BO143" s="27291">
        <f>IF(HLOOKUP("Mins",A1:CV300,143,FALSE)=0,0,HLOOKUP("Gs - Open",A1:CV300,143,FALSE)/HLOOKUP("Mins",A1:CV300,143,FALSE)* 90)</f>
      </c>
      <c r="BP143" s="27292">
        <f>IF(HLOOKUP("Mins",A1:CV300,143,FALSE)=0,0,HLOOKUP("ICT Index",A1:CV300,143,FALSE)/HLOOKUP("Mins",A1:CV300,143,FALSE)* 90)</f>
      </c>
      <c r="BQ143" s="27293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</c>
      <c r="BR143" s="27294">
        <f>0.0885*HLOOKUP("KP/90",A1:CV300,143,FALSE)</f>
      </c>
      <c r="BS143" s="27295">
        <f>5*HLOOKUP("xG/90",A1:CV300,143,FALSE)+3*HLOOKUP("xA/90",A1:CV300,143,FALSE)</f>
      </c>
      <c r="BT143" s="27296">
        <f>HLOOKUP("xPts/90",A1:CV300,143,FALSE)-(5*0.75*(HLOOKUP("PK Gs",A1:CV300,143,FALSE)+HLOOKUP("PK Miss",A1:CV300,143,FALSE))*90/HLOOKUP("Mins",A1:CV300,143,FALSE))</f>
      </c>
      <c r="BU143" s="27297">
        <f>IF(HLOOKUP("Mins",A1:CV300,143,FALSE)=0,0,HLOOKUP("fsXG",A1:CV300,143,FALSE)/HLOOKUP("Mins",A1:CV300,143,FALSE)* 90)</f>
      </c>
      <c r="BV143" s="27298">
        <f>IF(HLOOKUP("Mins",A1:CV300,143,FALSE)=0,0,HLOOKUP("fsXA",A1:CV300,143,FALSE)/HLOOKUP("Mins",A1:CV300,143,FALSE)* 90)</f>
      </c>
      <c r="BW143" s="27299">
        <f>5*HLOOKUP("fsXG/90",A1:CV300,143,FALSE)+3*HLOOKUP("fsXA/90",A1:CV300,143,FALSE)</f>
      </c>
      <c r="BX143" t="n" s="27300">
        <v>0.34463056921958923</v>
      </c>
      <c r="BY143" t="n" s="27301">
        <v>0.0</v>
      </c>
      <c r="BZ143" s="27302">
        <f>5*HLOOKUP("uXG/90",A1:CV300,143,FALSE)+3*HLOOKUP("uXA/90",A1:CV300,143,FALSE)</f>
      </c>
    </row>
    <row r="144">
      <c r="A144" t="s" s="27303">
        <v>447</v>
      </c>
      <c r="B144" t="s" s="27304">
        <v>102</v>
      </c>
      <c r="C144" t="n" s="27305">
        <v>4.5</v>
      </c>
      <c r="D144" t="n" s="27306">
        <v>185.0</v>
      </c>
      <c r="E144" t="n" s="27307">
        <v>3.0</v>
      </c>
      <c r="F144" t="n" s="27308">
        <v>25.0</v>
      </c>
      <c r="G144" t="n" s="27309">
        <v>0.0</v>
      </c>
      <c r="H144" t="n" s="27310">
        <v>2.0</v>
      </c>
      <c r="I144" t="n" s="27311">
        <v>98.0</v>
      </c>
      <c r="J144" s="27312">
        <f>HLOOKUP("BPS",A1:CV300,144,FALSE)-((-6*HLOOKUP("OG",A1:CV300,144,FALSE))+(-6*HLOOKUP("PK Miss",A1:CV300,144,FALSE))+(9*HLOOKUP("FPL As",A1:CV300,144,FALSE))+(0*HLOOKUP("CS",A1:CV300,144,FALSE))+(18*HLOOKUP("Gs",A1:CV300,144,FALSE)))</f>
      </c>
      <c r="K144" t="n" s="27313">
        <v>0.0</v>
      </c>
      <c r="L144" t="n" s="27314">
        <v>1.0</v>
      </c>
      <c r="M144" t="n" s="27315">
        <v>1.0</v>
      </c>
      <c r="N144" t="n" s="27316">
        <v>0.0</v>
      </c>
      <c r="O144" t="n" s="27317">
        <v>0.0</v>
      </c>
      <c r="P144" s="27318">
        <f>IF(HLOOKUP("Shots",A1:CV300,144,FALSE)=0,0,HLOOKUP("SIB",A1:CV300,144,FALSE)/HLOOKUP("Shots",A1:CV300,144,FALSE))</f>
      </c>
      <c r="Q144" t="n" s="27319">
        <v>0.0</v>
      </c>
      <c r="R144" s="27320">
        <f>IF(HLOOKUP("Shots",A1:CV300,144,FALSE)=0,0,HLOOKUP("S6YD",A1:CV300,144,FALSE)/HLOOKUP("Shots",A1:CV300,144,FALSE))</f>
      </c>
      <c r="S144" t="n" s="27321">
        <v>0.0</v>
      </c>
      <c r="T144" s="27322">
        <f>IF(HLOOKUP("Shots",A1:CV300,144,FALSE)=0,0,HLOOKUP("Headers",A1:CV300,144,FALSE)/HLOOKUP("Shots",A1:CV300,144,FALSE))</f>
      </c>
      <c r="U144" t="n" s="27323">
        <v>0.0</v>
      </c>
      <c r="V144" s="27324">
        <f>IF(HLOOKUP("Shots",A1:CV300,144,FALSE)=0,0,HLOOKUP("SOT",A1:CV300,144,FALSE)/HLOOKUP("Shots",A1:CV300,144,FALSE))</f>
      </c>
      <c r="W144" s="27325">
        <f>IF(HLOOKUP("Shots",A1:CV300,144,FALSE)=0,0,HLOOKUP("Gs",A1:CV300,144,FALSE)/HLOOKUP("Shots",A1:CV300,144,FALSE))</f>
      </c>
      <c r="X144" t="n" s="27326">
        <v>0.0</v>
      </c>
      <c r="Y144" t="n" s="27327">
        <v>0.0</v>
      </c>
      <c r="Z144" t="n" s="27328">
        <v>0.0</v>
      </c>
      <c r="AA144" s="27329">
        <f>IF(HLOOKUP("KP",A1:CV300,144,FALSE)=0,0,HLOOKUP("As",A1:CV300,144,FALSE)/HLOOKUP("KP",A1:CV300,144,FALSE))</f>
      </c>
      <c r="AB144" s="27330"/>
      <c r="AC144" t="n" s="27331">
        <v>0.0</v>
      </c>
      <c r="AD144" t="n" s="27332">
        <v>0.0</v>
      </c>
      <c r="AE144" t="n" s="27333">
        <v>0.0</v>
      </c>
      <c r="AF144" t="n" s="27334">
        <v>0.0</v>
      </c>
      <c r="AG144" s="27335">
        <f>IF(HLOOKUP("BC",A1:CV300,144,FALSE)=0,0,HLOOKUP("Gs - BC",A1:CV300,144,FALSE)/HLOOKUP("BC",A1:CV300,144,FALSE))</f>
      </c>
      <c r="AH144" s="27336">
        <f>HLOOKUP("BC",A1:CV300,144,FALSE) - HLOOKUP("BC Miss",A1:CV300,144,FALSE)</f>
      </c>
      <c r="AI144" s="27337">
        <f>IF(HLOOKUP("Gs",A1:CV300,144,FALSE)=0,0,HLOOKUP("Gs - BC",A1:CV300,144,FALSE)/HLOOKUP("Gs",A1:CV300,144,FALSE))</f>
      </c>
      <c r="AJ144" t="n" s="27338">
        <v>0.0</v>
      </c>
      <c r="AK144" t="n" s="27339">
        <v>0.0</v>
      </c>
      <c r="AL144" s="27340">
        <f>HLOOKUP("BC",A1:CV300,144,FALSE) - (HLOOKUP("PK Gs",A1:CV300,144,FALSE) + HLOOKUP("PK Miss",A1:CV300,144,FALSE))</f>
      </c>
      <c r="AM144" s="27341">
        <f>HLOOKUP("BC Miss",A1:CV300,144,FALSE) - HLOOKUP("PK Miss",A1:CV300,144,FALSE)</f>
      </c>
      <c r="AN144" s="27342">
        <f>IF(HLOOKUP("BC - Open",A1:CV300,144,FALSE)=0,0,HLOOKUP("BC - Open Miss",A1:CV300,144,FALSE)/HLOOKUP("BC - Open",A1:CV300,144,FALSE))</f>
      </c>
      <c r="AO144" t="n" s="27343">
        <v>0.0</v>
      </c>
      <c r="AP144" s="27344">
        <f>IF(HLOOKUP("Gs",A1:CV300,144,FALSE)=0,0,HLOOKUP("GIB",A1:CV300,144,FALSE)/HLOOKUP("Gs",A1:CV300,144,FALSE))</f>
      </c>
      <c r="AQ144" t="n" s="27345">
        <v>0.0</v>
      </c>
      <c r="AR144" s="27346">
        <f>IF(HLOOKUP("Gs",A1:CV300,144,FALSE)=0,0,HLOOKUP("Gs - Open",A1:CV300,144,FALSE)/HLOOKUP("Gs",A1:CV300,144,FALSE))</f>
      </c>
      <c r="AS144" t="n" s="27347">
        <v>0.0</v>
      </c>
      <c r="AT144" t="n" s="27348">
        <v>0.03</v>
      </c>
      <c r="AU144" s="27349">
        <f>IF(HLOOKUP("Mins",A1:CV300,144,FALSE)=0,0,HLOOKUP("Pts",A1:CV300,144,FALSE)/HLOOKUP("Mins",A1:CV300,144,FALSE)* 90)</f>
      </c>
      <c r="AV144" s="27350">
        <f>IF(HLOOKUP("Apps",A1:CV300,144,FALSE)=0,0,HLOOKUP("Pts",A1:CV300,144,FALSE)/HLOOKUP("Apps",A1:CV300,144,FALSE)* 1)</f>
      </c>
      <c r="AW144" s="27351">
        <f>IF(HLOOKUP("Mins",A1:CV300,144,FALSE)=0,0,HLOOKUP("Gs",A1:CV300,144,FALSE)/HLOOKUP("Mins",A1:CV300,144,FALSE)* 90)</f>
      </c>
      <c r="AX144" s="27352">
        <f>IF(HLOOKUP("Mins",A1:CV300,144,FALSE)=0,0,HLOOKUP("Bonus",A1:CV300,144,FALSE)/HLOOKUP("Mins",A1:CV300,144,FALSE)* 90)</f>
      </c>
      <c r="AY144" s="27353">
        <f>IF(HLOOKUP("Mins",A1:CV300,144,FALSE)=0,0,HLOOKUP("BPS",A1:CV300,144,FALSE)/HLOOKUP("Mins",A1:CV300,144,FALSE)* 90)</f>
      </c>
      <c r="AZ144" s="27354">
        <f>IF(HLOOKUP("Mins",A1:CV300,144,FALSE)=0,0,HLOOKUP("Base BPS",A1:CV300,144,FALSE)/HLOOKUP("Mins",A1:CV300,144,FALSE)* 90)</f>
      </c>
      <c r="BA144" s="27355">
        <f>IF(HLOOKUP("Mins",A1:CV300,144,FALSE)=0,0,HLOOKUP("PenTchs",A1:CV300,144,FALSE)/HLOOKUP("Mins",A1:CV300,144,FALSE)* 90)</f>
      </c>
      <c r="BB144" s="27356">
        <f>IF(HLOOKUP("Mins",A1:CV300,144,FALSE)=0,0,HLOOKUP("Shots",A1:CV300,144,FALSE)/HLOOKUP("Mins",A1:CV300,144,FALSE)* 90)</f>
      </c>
      <c r="BC144" s="27357">
        <f>IF(HLOOKUP("Mins",A1:CV300,144,FALSE)=0,0,HLOOKUP("SIB",A1:CV300,144,FALSE)/HLOOKUP("Mins",A1:CV300,144,FALSE)* 90)</f>
      </c>
      <c r="BD144" s="27358">
        <f>IF(HLOOKUP("Mins",A1:CV300,144,FALSE)=0,0,HLOOKUP("S6YD",A1:CV300,144,FALSE)/HLOOKUP("Mins",A1:CV300,144,FALSE)* 90)</f>
      </c>
      <c r="BE144" s="27359">
        <f>IF(HLOOKUP("Mins",A1:CV300,144,FALSE)=0,0,HLOOKUP("Headers",A1:CV300,144,FALSE)/HLOOKUP("Mins",A1:CV300,144,FALSE)* 90)</f>
      </c>
      <c r="BF144" s="27360">
        <f>IF(HLOOKUP("Mins",A1:CV300,144,FALSE)=0,0,HLOOKUP("SOT",A1:CV300,144,FALSE)/HLOOKUP("Mins",A1:CV300,144,FALSE)* 90)</f>
      </c>
      <c r="BG144" s="27361">
        <f>IF(HLOOKUP("Mins",A1:CV300,144,FALSE)=0,0,HLOOKUP("As",A1:CV300,144,FALSE)/HLOOKUP("Mins",A1:CV300,144,FALSE)* 90)</f>
      </c>
      <c r="BH144" s="27362">
        <f>IF(HLOOKUP("Mins",A1:CV300,144,FALSE)=0,0,HLOOKUP("FPL As",A1:CV300,144,FALSE)/HLOOKUP("Mins",A1:CV300,144,FALSE)* 90)</f>
      </c>
      <c r="BI144" s="27363">
        <f>IF(HLOOKUP("Mins",A1:CV300,144,FALSE)=0,0,HLOOKUP("BC Created",A1:CV300,144,FALSE)/HLOOKUP("Mins",A1:CV300,144,FALSE)* 90)</f>
      </c>
      <c r="BJ144" s="27364">
        <f>IF(HLOOKUP("Mins",A1:CV300,144,FALSE)=0,0,HLOOKUP("KP",A1:CV300,144,FALSE)/HLOOKUP("Mins",A1:CV300,144,FALSE)* 90)</f>
      </c>
      <c r="BK144" s="27365">
        <f>IF(HLOOKUP("Mins",A1:CV300,144,FALSE)=0,0,HLOOKUP("BC",A1:CV300,144,FALSE)/HLOOKUP("Mins",A1:CV300,144,FALSE)* 90)</f>
      </c>
      <c r="BL144" s="27366">
        <f>IF(HLOOKUP("Mins",A1:CV300,144,FALSE)=0,0,HLOOKUP("BC Miss",A1:CV300,144,FALSE)/HLOOKUP("Mins",A1:CV300,144,FALSE)* 90)</f>
      </c>
      <c r="BM144" s="27367">
        <f>IF(HLOOKUP("Mins",A1:CV300,144,FALSE)=0,0,HLOOKUP("Gs - BC",A1:CV300,144,FALSE)/HLOOKUP("Mins",A1:CV300,144,FALSE)* 90)</f>
      </c>
      <c r="BN144" s="27368">
        <f>IF(HLOOKUP("Mins",A1:CV300,144,FALSE)=0,0,HLOOKUP("GIB",A1:CV300,144,FALSE)/HLOOKUP("Mins",A1:CV300,144,FALSE)* 90)</f>
      </c>
      <c r="BO144" s="27369">
        <f>IF(HLOOKUP("Mins",A1:CV300,144,FALSE)=0,0,HLOOKUP("Gs - Open",A1:CV300,144,FALSE)/HLOOKUP("Mins",A1:CV300,144,FALSE)* 90)</f>
      </c>
      <c r="BP144" s="27370">
        <f>IF(HLOOKUP("Mins",A1:CV300,144,FALSE)=0,0,HLOOKUP("ICT Index",A1:CV300,144,FALSE)/HLOOKUP("Mins",A1:CV300,144,FALSE)* 90)</f>
      </c>
      <c r="BQ144" s="27371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</c>
      <c r="BR144" s="27372">
        <f>0.0885*HLOOKUP("KP/90",A1:CV300,144,FALSE)</f>
      </c>
      <c r="BS144" s="27373">
        <f>5*HLOOKUP("xG/90",A1:CV300,144,FALSE)+3*HLOOKUP("xA/90",A1:CV300,144,FALSE)</f>
      </c>
      <c r="BT144" s="27374">
        <f>HLOOKUP("xPts/90",A1:CV300,144,FALSE)-(5*0.75*(HLOOKUP("PK Gs",A1:CV300,144,FALSE)+HLOOKUP("PK Miss",A1:CV300,144,FALSE))*90/HLOOKUP("Mins",A1:CV300,144,FALSE))</f>
      </c>
      <c r="BU144" s="27375">
        <f>IF(HLOOKUP("Mins",A1:CV300,144,FALSE)=0,0,HLOOKUP("fsXG",A1:CV300,144,FALSE)/HLOOKUP("Mins",A1:CV300,144,FALSE)* 90)</f>
      </c>
      <c r="BV144" s="27376">
        <f>IF(HLOOKUP("Mins",A1:CV300,144,FALSE)=0,0,HLOOKUP("fsXA",A1:CV300,144,FALSE)/HLOOKUP("Mins",A1:CV300,144,FALSE)* 90)</f>
      </c>
      <c r="BW144" s="27377">
        <f>5*HLOOKUP("fsXG/90",A1:CV300,144,FALSE)+3*HLOOKUP("fsXA/90",A1:CV300,144,FALSE)</f>
      </c>
      <c r="BX144" t="n" s="27378">
        <v>0.0</v>
      </c>
      <c r="BY144" t="n" s="27379">
        <v>0.0</v>
      </c>
      <c r="BZ144" s="27380">
        <f>5*HLOOKUP("uXG/90",A1:CV300,144,FALSE)+3*HLOOKUP("uXA/90",A1:CV300,144,FALSE)</f>
      </c>
    </row>
    <row r="145">
      <c r="A145" t="s" s="27381">
        <v>448</v>
      </c>
      <c r="B145" t="s" s="27382">
        <v>105</v>
      </c>
      <c r="C145" t="n" s="27383">
        <v>7.400000095367432</v>
      </c>
      <c r="D145" t="n" s="27384">
        <v>244.0</v>
      </c>
      <c r="E145" t="n" s="27385">
        <v>4.0</v>
      </c>
      <c r="F145" t="n" s="27386">
        <v>90.0</v>
      </c>
      <c r="G145" t="n" s="27387">
        <v>0.0</v>
      </c>
      <c r="H145" t="n" s="27388">
        <v>8.0</v>
      </c>
      <c r="I145" t="n" s="27389">
        <v>355.0</v>
      </c>
      <c r="J145" s="27390">
        <f>HLOOKUP("BPS",A1:CV300,145,FALSE)-((-6*HLOOKUP("OG",A1:CV300,145,FALSE))+(-6*HLOOKUP("PK Miss",A1:CV300,145,FALSE))+(9*HLOOKUP("FPL As",A1:CV300,145,FALSE))+(0*HLOOKUP("CS",A1:CV300,145,FALSE))+(18*HLOOKUP("Gs",A1:CV300,145,FALSE)))</f>
      </c>
      <c r="K145" t="n" s="27391">
        <v>0.0</v>
      </c>
      <c r="L145" t="n" s="27392">
        <v>7.0</v>
      </c>
      <c r="M145" t="n" s="27393">
        <v>32.0</v>
      </c>
      <c r="N145" t="n" s="27394">
        <v>6.0</v>
      </c>
      <c r="O145" t="n" s="27395">
        <v>4.0</v>
      </c>
      <c r="P145" s="27396">
        <f>IF(HLOOKUP("Shots",A1:CV300,145,FALSE)=0,0,HLOOKUP("SIB",A1:CV300,145,FALSE)/HLOOKUP("Shots",A1:CV300,145,FALSE))</f>
      </c>
      <c r="Q145" t="n" s="27397">
        <v>1.0</v>
      </c>
      <c r="R145" s="27398">
        <f>IF(HLOOKUP("Shots",A1:CV300,145,FALSE)=0,0,HLOOKUP("S6YD",A1:CV300,145,FALSE)/HLOOKUP("Shots",A1:CV300,145,FALSE))</f>
      </c>
      <c r="S145" t="n" s="27399">
        <v>0.0</v>
      </c>
      <c r="T145" s="27400">
        <f>IF(HLOOKUP("Shots",A1:CV300,145,FALSE)=0,0,HLOOKUP("Headers",A1:CV300,145,FALSE)/HLOOKUP("Shots",A1:CV300,145,FALSE))</f>
      </c>
      <c r="U145" t="n" s="27401">
        <v>2.0</v>
      </c>
      <c r="V145" s="27402">
        <f>IF(HLOOKUP("Shots",A1:CV300,145,FALSE)=0,0,HLOOKUP("SOT",A1:CV300,145,FALSE)/HLOOKUP("Shots",A1:CV300,145,FALSE))</f>
      </c>
      <c r="W145" s="27403">
        <f>IF(HLOOKUP("Shots",A1:CV300,145,FALSE)=0,0,HLOOKUP("Gs",A1:CV300,145,FALSE)/HLOOKUP("Shots",A1:CV300,145,FALSE))</f>
      </c>
      <c r="X145" t="n" s="27404">
        <v>1.0</v>
      </c>
      <c r="Y145" t="n" s="27405">
        <v>9.0</v>
      </c>
      <c r="Z145" t="n" s="27406">
        <v>8.0</v>
      </c>
      <c r="AA145" s="27407">
        <f>IF(HLOOKUP("KP",A1:CV300,145,FALSE)=0,0,HLOOKUP("As",A1:CV300,145,FALSE)/HLOOKUP("KP",A1:CV300,145,FALSE))</f>
      </c>
      <c r="AB145" s="27408"/>
      <c r="AC145" t="n" s="27409">
        <v>12.0</v>
      </c>
      <c r="AD145" t="n" s="27410">
        <v>2.0</v>
      </c>
      <c r="AE145" t="n" s="27411">
        <v>0.0</v>
      </c>
      <c r="AF145" t="n" s="27412">
        <v>0.0</v>
      </c>
      <c r="AG145" s="27413">
        <f>IF(HLOOKUP("BC",A1:CV300,145,FALSE)=0,0,HLOOKUP("Gs - BC",A1:CV300,145,FALSE)/HLOOKUP("BC",A1:CV300,145,FALSE))</f>
      </c>
      <c r="AH145" s="27414">
        <f>HLOOKUP("BC",A1:CV300,145,FALSE) - HLOOKUP("BC Miss",A1:CV300,145,FALSE)</f>
      </c>
      <c r="AI145" s="27415">
        <f>IF(HLOOKUP("Gs",A1:CV300,145,FALSE)=0,0,HLOOKUP("Gs - BC",A1:CV300,145,FALSE)/HLOOKUP("Gs",A1:CV300,145,FALSE))</f>
      </c>
      <c r="AJ145" t="n" s="27416">
        <v>0.0</v>
      </c>
      <c r="AK145" t="n" s="27417">
        <v>0.0</v>
      </c>
      <c r="AL145" s="27418">
        <f>HLOOKUP("BC",A1:CV300,145,FALSE) - (HLOOKUP("PK Gs",A1:CV300,145,FALSE) + HLOOKUP("PK Miss",A1:CV300,145,FALSE))</f>
      </c>
      <c r="AM145" s="27419">
        <f>HLOOKUP("BC Miss",A1:CV300,145,FALSE) - HLOOKUP("PK Miss",A1:CV300,145,FALSE)</f>
      </c>
      <c r="AN145" s="27420">
        <f>IF(HLOOKUP("BC - Open",A1:CV300,145,FALSE)=0,0,HLOOKUP("BC - Open Miss",A1:CV300,145,FALSE)/HLOOKUP("BC - Open",A1:CV300,145,FALSE))</f>
      </c>
      <c r="AO145" t="n" s="27421">
        <v>0.0</v>
      </c>
      <c r="AP145" s="27422">
        <f>IF(HLOOKUP("Gs",A1:CV300,145,FALSE)=0,0,HLOOKUP("GIB",A1:CV300,145,FALSE)/HLOOKUP("Gs",A1:CV300,145,FALSE))</f>
      </c>
      <c r="AQ145" t="n" s="27423">
        <v>0.0</v>
      </c>
      <c r="AR145" s="27424">
        <f>IF(HLOOKUP("Gs",A1:CV300,145,FALSE)=0,0,HLOOKUP("Gs - Open",A1:CV300,145,FALSE)/HLOOKUP("Gs",A1:CV300,145,FALSE))</f>
      </c>
      <c r="AS145" t="n" s="27425">
        <v>0.56</v>
      </c>
      <c r="AT145" t="n" s="27426">
        <v>0.96</v>
      </c>
      <c r="AU145" s="27427">
        <f>IF(HLOOKUP("Mins",A1:CV300,145,FALSE)=0,0,HLOOKUP("Pts",A1:CV300,145,FALSE)/HLOOKUP("Mins",A1:CV300,145,FALSE)* 90)</f>
      </c>
      <c r="AV145" s="27428">
        <f>IF(HLOOKUP("Apps",A1:CV300,145,FALSE)=0,0,HLOOKUP("Pts",A1:CV300,145,FALSE)/HLOOKUP("Apps",A1:CV300,145,FALSE)* 1)</f>
      </c>
      <c r="AW145" s="27429">
        <f>IF(HLOOKUP("Mins",A1:CV300,145,FALSE)=0,0,HLOOKUP("Gs",A1:CV300,145,FALSE)/HLOOKUP("Mins",A1:CV300,145,FALSE)* 90)</f>
      </c>
      <c r="AX145" s="27430">
        <f>IF(HLOOKUP("Mins",A1:CV300,145,FALSE)=0,0,HLOOKUP("Bonus",A1:CV300,145,FALSE)/HLOOKUP("Mins",A1:CV300,145,FALSE)* 90)</f>
      </c>
      <c r="AY145" s="27431">
        <f>IF(HLOOKUP("Mins",A1:CV300,145,FALSE)=0,0,HLOOKUP("BPS",A1:CV300,145,FALSE)/HLOOKUP("Mins",A1:CV300,145,FALSE)* 90)</f>
      </c>
      <c r="AZ145" s="27432">
        <f>IF(HLOOKUP("Mins",A1:CV300,145,FALSE)=0,0,HLOOKUP("Base BPS",A1:CV300,145,FALSE)/HLOOKUP("Mins",A1:CV300,145,FALSE)* 90)</f>
      </c>
      <c r="BA145" s="27433">
        <f>IF(HLOOKUP("Mins",A1:CV300,145,FALSE)=0,0,HLOOKUP("PenTchs",A1:CV300,145,FALSE)/HLOOKUP("Mins",A1:CV300,145,FALSE)* 90)</f>
      </c>
      <c r="BB145" s="27434">
        <f>IF(HLOOKUP("Mins",A1:CV300,145,FALSE)=0,0,HLOOKUP("Shots",A1:CV300,145,FALSE)/HLOOKUP("Mins",A1:CV300,145,FALSE)* 90)</f>
      </c>
      <c r="BC145" s="27435">
        <f>IF(HLOOKUP("Mins",A1:CV300,145,FALSE)=0,0,HLOOKUP("SIB",A1:CV300,145,FALSE)/HLOOKUP("Mins",A1:CV300,145,FALSE)* 90)</f>
      </c>
      <c r="BD145" s="27436">
        <f>IF(HLOOKUP("Mins",A1:CV300,145,FALSE)=0,0,HLOOKUP("S6YD",A1:CV300,145,FALSE)/HLOOKUP("Mins",A1:CV300,145,FALSE)* 90)</f>
      </c>
      <c r="BE145" s="27437">
        <f>IF(HLOOKUP("Mins",A1:CV300,145,FALSE)=0,0,HLOOKUP("Headers",A1:CV300,145,FALSE)/HLOOKUP("Mins",A1:CV300,145,FALSE)* 90)</f>
      </c>
      <c r="BF145" s="27438">
        <f>IF(HLOOKUP("Mins",A1:CV300,145,FALSE)=0,0,HLOOKUP("SOT",A1:CV300,145,FALSE)/HLOOKUP("Mins",A1:CV300,145,FALSE)* 90)</f>
      </c>
      <c r="BG145" s="27439">
        <f>IF(HLOOKUP("Mins",A1:CV300,145,FALSE)=0,0,HLOOKUP("As",A1:CV300,145,FALSE)/HLOOKUP("Mins",A1:CV300,145,FALSE)* 90)</f>
      </c>
      <c r="BH145" s="27440">
        <f>IF(HLOOKUP("Mins",A1:CV300,145,FALSE)=0,0,HLOOKUP("FPL As",A1:CV300,145,FALSE)/HLOOKUP("Mins",A1:CV300,145,FALSE)* 90)</f>
      </c>
      <c r="BI145" s="27441">
        <f>IF(HLOOKUP("Mins",A1:CV300,145,FALSE)=0,0,HLOOKUP("BC Created",A1:CV300,145,FALSE)/HLOOKUP("Mins",A1:CV300,145,FALSE)* 90)</f>
      </c>
      <c r="BJ145" s="27442">
        <f>IF(HLOOKUP("Mins",A1:CV300,145,FALSE)=0,0,HLOOKUP("KP",A1:CV300,145,FALSE)/HLOOKUP("Mins",A1:CV300,145,FALSE)* 90)</f>
      </c>
      <c r="BK145" s="27443">
        <f>IF(HLOOKUP("Mins",A1:CV300,145,FALSE)=0,0,HLOOKUP("BC",A1:CV300,145,FALSE)/HLOOKUP("Mins",A1:CV300,145,FALSE)* 90)</f>
      </c>
      <c r="BL145" s="27444">
        <f>IF(HLOOKUP("Mins",A1:CV300,145,FALSE)=0,0,HLOOKUP("BC Miss",A1:CV300,145,FALSE)/HLOOKUP("Mins",A1:CV300,145,FALSE)* 90)</f>
      </c>
      <c r="BM145" s="27445">
        <f>IF(HLOOKUP("Mins",A1:CV300,145,FALSE)=0,0,HLOOKUP("Gs - BC",A1:CV300,145,FALSE)/HLOOKUP("Mins",A1:CV300,145,FALSE)* 90)</f>
      </c>
      <c r="BN145" s="27446">
        <f>IF(HLOOKUP("Mins",A1:CV300,145,FALSE)=0,0,HLOOKUP("GIB",A1:CV300,145,FALSE)/HLOOKUP("Mins",A1:CV300,145,FALSE)* 90)</f>
      </c>
      <c r="BO145" s="27447">
        <f>IF(HLOOKUP("Mins",A1:CV300,145,FALSE)=0,0,HLOOKUP("Gs - Open",A1:CV300,145,FALSE)/HLOOKUP("Mins",A1:CV300,145,FALSE)* 90)</f>
      </c>
      <c r="BP145" s="27448">
        <f>IF(HLOOKUP("Mins",A1:CV300,145,FALSE)=0,0,HLOOKUP("ICT Index",A1:CV300,145,FALSE)/HLOOKUP("Mins",A1:CV300,145,FALSE)* 90)</f>
      </c>
      <c r="BQ145" s="27449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</c>
      <c r="BR145" s="27450">
        <f>0.0885*HLOOKUP("KP/90",A1:CV300,145,FALSE)</f>
      </c>
      <c r="BS145" s="27451">
        <f>5*HLOOKUP("xG/90",A1:CV300,145,FALSE)+3*HLOOKUP("xA/90",A1:CV300,145,FALSE)</f>
      </c>
      <c r="BT145" s="27452">
        <f>HLOOKUP("xPts/90",A1:CV300,145,FALSE)-(5*0.75*(HLOOKUP("PK Gs",A1:CV300,145,FALSE)+HLOOKUP("PK Miss",A1:CV300,145,FALSE))*90/HLOOKUP("Mins",A1:CV300,145,FALSE))</f>
      </c>
      <c r="BU145" s="27453">
        <f>IF(HLOOKUP("Mins",A1:CV300,145,FALSE)=0,0,HLOOKUP("fsXG",A1:CV300,145,FALSE)/HLOOKUP("Mins",A1:CV300,145,FALSE)* 90)</f>
      </c>
      <c r="BV145" s="27454">
        <f>IF(HLOOKUP("Mins",A1:CV300,145,FALSE)=0,0,HLOOKUP("fsXA",A1:CV300,145,FALSE)/HLOOKUP("Mins",A1:CV300,145,FALSE)* 90)</f>
      </c>
      <c r="BW145" s="27455">
        <f>5*HLOOKUP("fsXG/90",A1:CV300,145,FALSE)+3*HLOOKUP("fsXA/90",A1:CV300,145,FALSE)</f>
      </c>
      <c r="BX145" t="n" s="27456">
        <v>0.16294389963150024</v>
      </c>
      <c r="BY145" t="n" s="27457">
        <v>0.3728410601615906</v>
      </c>
      <c r="BZ145" s="27458">
        <f>5*HLOOKUP("uXG/90",A1:CV300,145,FALSE)+3*HLOOKUP("uXA/90",A1:CV300,145,FALSE)</f>
      </c>
    </row>
    <row r="146">
      <c r="A146" t="s" s="27459">
        <v>449</v>
      </c>
      <c r="B146" t="s" s="27460">
        <v>122</v>
      </c>
      <c r="C146" t="n" s="27461">
        <v>7.900000095367432</v>
      </c>
      <c r="D146" t="n" s="27462">
        <v>529.0</v>
      </c>
      <c r="E146" t="n" s="27463">
        <v>6.0</v>
      </c>
      <c r="F146" t="n" s="27464">
        <v>104.0</v>
      </c>
      <c r="G146" t="n" s="27465">
        <v>2.0</v>
      </c>
      <c r="H146" t="n" s="27466">
        <v>7.0</v>
      </c>
      <c r="I146" t="n" s="27467">
        <v>274.0</v>
      </c>
      <c r="J146" s="27468">
        <f>HLOOKUP("BPS",A1:CV300,146,FALSE)-((-6*HLOOKUP("OG",A1:CV300,146,FALSE))+(-6*HLOOKUP("PK Miss",A1:CV300,146,FALSE))+(9*HLOOKUP("FPL As",A1:CV300,146,FALSE))+(0*HLOOKUP("CS",A1:CV300,146,FALSE))+(18*HLOOKUP("Gs",A1:CV300,146,FALSE)))</f>
      </c>
      <c r="K146" t="n" s="27469">
        <v>0.0</v>
      </c>
      <c r="L146" t="n" s="27470">
        <v>7.0</v>
      </c>
      <c r="M146" t="n" s="27471">
        <v>36.0</v>
      </c>
      <c r="N146" t="n" s="27472">
        <v>14.0</v>
      </c>
      <c r="O146" t="n" s="27473">
        <v>10.0</v>
      </c>
      <c r="P146" s="27474">
        <f>IF(HLOOKUP("Shots",A1:CV300,146,FALSE)=0,0,HLOOKUP("SIB",A1:CV300,146,FALSE)/HLOOKUP("Shots",A1:CV300,146,FALSE))</f>
      </c>
      <c r="Q146" t="n" s="27475">
        <v>0.0</v>
      </c>
      <c r="R146" s="27476">
        <f>IF(HLOOKUP("Shots",A1:CV300,146,FALSE)=0,0,HLOOKUP("S6YD",A1:CV300,146,FALSE)/HLOOKUP("Shots",A1:CV300,146,FALSE))</f>
      </c>
      <c r="S146" t="n" s="27477">
        <v>2.0</v>
      </c>
      <c r="T146" s="27478">
        <f>IF(HLOOKUP("Shots",A1:CV300,146,FALSE)=0,0,HLOOKUP("Headers",A1:CV300,146,FALSE)/HLOOKUP("Shots",A1:CV300,146,FALSE))</f>
      </c>
      <c r="U146" t="n" s="27479">
        <v>5.0</v>
      </c>
      <c r="V146" s="27480">
        <f>IF(HLOOKUP("Shots",A1:CV300,146,FALSE)=0,0,HLOOKUP("SOT",A1:CV300,146,FALSE)/HLOOKUP("Shots",A1:CV300,146,FALSE))</f>
      </c>
      <c r="W146" s="27481">
        <f>IF(HLOOKUP("Shots",A1:CV300,146,FALSE)=0,0,HLOOKUP("Gs",A1:CV300,146,FALSE)/HLOOKUP("Shots",A1:CV300,146,FALSE))</f>
      </c>
      <c r="X146" t="n" s="27482">
        <v>0.0</v>
      </c>
      <c r="Y146" t="n" s="27483">
        <v>3.0</v>
      </c>
      <c r="Z146" t="n" s="27484">
        <v>6.0</v>
      </c>
      <c r="AA146" s="27485">
        <f>IF(HLOOKUP("KP",A1:CV300,146,FALSE)=0,0,HLOOKUP("As",A1:CV300,146,FALSE)/HLOOKUP("KP",A1:CV300,146,FALSE))</f>
      </c>
      <c r="AB146" s="27486"/>
      <c r="AC146" t="n" s="27487">
        <v>33.0</v>
      </c>
      <c r="AD146" t="n" s="27488">
        <v>0.0</v>
      </c>
      <c r="AE146" t="n" s="27489">
        <v>2.0</v>
      </c>
      <c r="AF146" t="n" s="27490">
        <v>1.0</v>
      </c>
      <c r="AG146" s="27491">
        <f>IF(HLOOKUP("BC",A1:CV300,146,FALSE)=0,0,HLOOKUP("Gs - BC",A1:CV300,146,FALSE)/HLOOKUP("BC",A1:CV300,146,FALSE))</f>
      </c>
      <c r="AH146" s="27492">
        <f>HLOOKUP("BC",A1:CV300,146,FALSE) - HLOOKUP("BC Miss",A1:CV300,146,FALSE)</f>
      </c>
      <c r="AI146" s="27493">
        <f>IF(HLOOKUP("Gs",A1:CV300,146,FALSE)=0,0,HLOOKUP("Gs - BC",A1:CV300,146,FALSE)/HLOOKUP("Gs",A1:CV300,146,FALSE))</f>
      </c>
      <c r="AJ146" t="n" s="27494">
        <v>0.0</v>
      </c>
      <c r="AK146" t="n" s="27495">
        <v>0.0</v>
      </c>
      <c r="AL146" s="27496">
        <f>HLOOKUP("BC",A1:CV300,146,FALSE) - (HLOOKUP("PK Gs",A1:CV300,146,FALSE) + HLOOKUP("PK Miss",A1:CV300,146,FALSE))</f>
      </c>
      <c r="AM146" s="27497">
        <f>HLOOKUP("BC Miss",A1:CV300,146,FALSE) - HLOOKUP("PK Miss",A1:CV300,146,FALSE)</f>
      </c>
      <c r="AN146" s="27498">
        <f>IF(HLOOKUP("BC - Open",A1:CV300,146,FALSE)=0,0,HLOOKUP("BC - Open Miss",A1:CV300,146,FALSE)/HLOOKUP("BC - Open",A1:CV300,146,FALSE))</f>
      </c>
      <c r="AO146" t="n" s="27499">
        <v>2.0</v>
      </c>
      <c r="AP146" s="27500">
        <f>IF(HLOOKUP("Gs",A1:CV300,146,FALSE)=0,0,HLOOKUP("GIB",A1:CV300,146,FALSE)/HLOOKUP("Gs",A1:CV300,146,FALSE))</f>
      </c>
      <c r="AQ146" t="n" s="27501">
        <v>1.0</v>
      </c>
      <c r="AR146" s="27502">
        <f>IF(HLOOKUP("Gs",A1:CV300,146,FALSE)=0,0,HLOOKUP("Gs - Open",A1:CV300,146,FALSE)/HLOOKUP("Gs",A1:CV300,146,FALSE))</f>
      </c>
      <c r="AS146" t="n" s="27503">
        <v>1.08</v>
      </c>
      <c r="AT146" t="n" s="27504">
        <v>0.52</v>
      </c>
      <c r="AU146" s="27505">
        <f>IF(HLOOKUP("Mins",A1:CV300,146,FALSE)=0,0,HLOOKUP("Pts",A1:CV300,146,FALSE)/HLOOKUP("Mins",A1:CV300,146,FALSE)* 90)</f>
      </c>
      <c r="AV146" s="27506">
        <f>IF(HLOOKUP("Apps",A1:CV300,146,FALSE)=0,0,HLOOKUP("Pts",A1:CV300,146,FALSE)/HLOOKUP("Apps",A1:CV300,146,FALSE)* 1)</f>
      </c>
      <c r="AW146" s="27507">
        <f>IF(HLOOKUP("Mins",A1:CV300,146,FALSE)=0,0,HLOOKUP("Gs",A1:CV300,146,FALSE)/HLOOKUP("Mins",A1:CV300,146,FALSE)* 90)</f>
      </c>
      <c r="AX146" s="27508">
        <f>IF(HLOOKUP("Mins",A1:CV300,146,FALSE)=0,0,HLOOKUP("Bonus",A1:CV300,146,FALSE)/HLOOKUP("Mins",A1:CV300,146,FALSE)* 90)</f>
      </c>
      <c r="AY146" s="27509">
        <f>IF(HLOOKUP("Mins",A1:CV300,146,FALSE)=0,0,HLOOKUP("BPS",A1:CV300,146,FALSE)/HLOOKUP("Mins",A1:CV300,146,FALSE)* 90)</f>
      </c>
      <c r="AZ146" s="27510">
        <f>IF(HLOOKUP("Mins",A1:CV300,146,FALSE)=0,0,HLOOKUP("Base BPS",A1:CV300,146,FALSE)/HLOOKUP("Mins",A1:CV300,146,FALSE)* 90)</f>
      </c>
      <c r="BA146" s="27511">
        <f>IF(HLOOKUP("Mins",A1:CV300,146,FALSE)=0,0,HLOOKUP("PenTchs",A1:CV300,146,FALSE)/HLOOKUP("Mins",A1:CV300,146,FALSE)* 90)</f>
      </c>
      <c r="BB146" s="27512">
        <f>IF(HLOOKUP("Mins",A1:CV300,146,FALSE)=0,0,HLOOKUP("Shots",A1:CV300,146,FALSE)/HLOOKUP("Mins",A1:CV300,146,FALSE)* 90)</f>
      </c>
      <c r="BC146" s="27513">
        <f>IF(HLOOKUP("Mins",A1:CV300,146,FALSE)=0,0,HLOOKUP("SIB",A1:CV300,146,FALSE)/HLOOKUP("Mins",A1:CV300,146,FALSE)* 90)</f>
      </c>
      <c r="BD146" s="27514">
        <f>IF(HLOOKUP("Mins",A1:CV300,146,FALSE)=0,0,HLOOKUP("S6YD",A1:CV300,146,FALSE)/HLOOKUP("Mins",A1:CV300,146,FALSE)* 90)</f>
      </c>
      <c r="BE146" s="27515">
        <f>IF(HLOOKUP("Mins",A1:CV300,146,FALSE)=0,0,HLOOKUP("Headers",A1:CV300,146,FALSE)/HLOOKUP("Mins",A1:CV300,146,FALSE)* 90)</f>
      </c>
      <c r="BF146" s="27516">
        <f>IF(HLOOKUP("Mins",A1:CV300,146,FALSE)=0,0,HLOOKUP("SOT",A1:CV300,146,FALSE)/HLOOKUP("Mins",A1:CV300,146,FALSE)* 90)</f>
      </c>
      <c r="BG146" s="27517">
        <f>IF(HLOOKUP("Mins",A1:CV300,146,FALSE)=0,0,HLOOKUP("As",A1:CV300,146,FALSE)/HLOOKUP("Mins",A1:CV300,146,FALSE)* 90)</f>
      </c>
      <c r="BH146" s="27518">
        <f>IF(HLOOKUP("Mins",A1:CV300,146,FALSE)=0,0,HLOOKUP("FPL As",A1:CV300,146,FALSE)/HLOOKUP("Mins",A1:CV300,146,FALSE)* 90)</f>
      </c>
      <c r="BI146" s="27519">
        <f>IF(HLOOKUP("Mins",A1:CV300,146,FALSE)=0,0,HLOOKUP("BC Created",A1:CV300,146,FALSE)/HLOOKUP("Mins",A1:CV300,146,FALSE)* 90)</f>
      </c>
      <c r="BJ146" s="27520">
        <f>IF(HLOOKUP("Mins",A1:CV300,146,FALSE)=0,0,HLOOKUP("KP",A1:CV300,146,FALSE)/HLOOKUP("Mins",A1:CV300,146,FALSE)* 90)</f>
      </c>
      <c r="BK146" s="27521">
        <f>IF(HLOOKUP("Mins",A1:CV300,146,FALSE)=0,0,HLOOKUP("BC",A1:CV300,146,FALSE)/HLOOKUP("Mins",A1:CV300,146,FALSE)* 90)</f>
      </c>
      <c r="BL146" s="27522">
        <f>IF(HLOOKUP("Mins",A1:CV300,146,FALSE)=0,0,HLOOKUP("BC Miss",A1:CV300,146,FALSE)/HLOOKUP("Mins",A1:CV300,146,FALSE)* 90)</f>
      </c>
      <c r="BM146" s="27523">
        <f>IF(HLOOKUP("Mins",A1:CV300,146,FALSE)=0,0,HLOOKUP("Gs - BC",A1:CV300,146,FALSE)/HLOOKUP("Mins",A1:CV300,146,FALSE)* 90)</f>
      </c>
      <c r="BN146" s="27524">
        <f>IF(HLOOKUP("Mins",A1:CV300,146,FALSE)=0,0,HLOOKUP("GIB",A1:CV300,146,FALSE)/HLOOKUP("Mins",A1:CV300,146,FALSE)* 90)</f>
      </c>
      <c r="BO146" s="27525">
        <f>IF(HLOOKUP("Mins",A1:CV300,146,FALSE)=0,0,HLOOKUP("Gs - Open",A1:CV300,146,FALSE)/HLOOKUP("Mins",A1:CV300,146,FALSE)* 90)</f>
      </c>
      <c r="BP146" s="27526">
        <f>IF(HLOOKUP("Mins",A1:CV300,146,FALSE)=0,0,HLOOKUP("ICT Index",A1:CV300,146,FALSE)/HLOOKUP("Mins",A1:CV300,146,FALSE)* 90)</f>
      </c>
      <c r="BQ146" s="27527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</c>
      <c r="BR146" s="27528">
        <f>0.0885*HLOOKUP("KP/90",A1:CV300,146,FALSE)</f>
      </c>
      <c r="BS146" s="27529">
        <f>5*HLOOKUP("xG/90",A1:CV300,146,FALSE)+3*HLOOKUP("xA/90",A1:CV300,146,FALSE)</f>
      </c>
      <c r="BT146" s="27530">
        <f>HLOOKUP("xPts/90",A1:CV300,146,FALSE)-(5*0.75*(HLOOKUP("PK Gs",A1:CV300,146,FALSE)+HLOOKUP("PK Miss",A1:CV300,146,FALSE))*90/HLOOKUP("Mins",A1:CV300,146,FALSE))</f>
      </c>
      <c r="BU146" s="27531">
        <f>IF(HLOOKUP("Mins",A1:CV300,146,FALSE)=0,0,HLOOKUP("fsXG",A1:CV300,146,FALSE)/HLOOKUP("Mins",A1:CV300,146,FALSE)* 90)</f>
      </c>
      <c r="BV146" s="27532">
        <f>IF(HLOOKUP("Mins",A1:CV300,146,FALSE)=0,0,HLOOKUP("fsXA",A1:CV300,146,FALSE)/HLOOKUP("Mins",A1:CV300,146,FALSE)* 90)</f>
      </c>
      <c r="BW146" s="27533">
        <f>5*HLOOKUP("fsXG/90",A1:CV300,146,FALSE)+3*HLOOKUP("fsXA/90",A1:CV300,146,FALSE)</f>
      </c>
      <c r="BX146" t="n" s="27534">
        <v>0.23765738308429718</v>
      </c>
      <c r="BY146" t="n" s="27535">
        <v>0.03846093639731407</v>
      </c>
      <c r="BZ146" s="27536">
        <f>5*HLOOKUP("uXG/90",A1:CV300,146,FALSE)+3*HLOOKUP("uXA/90",A1:CV300,146,FALSE)</f>
      </c>
    </row>
    <row r="147">
      <c r="A147" t="s" s="27537">
        <v>450</v>
      </c>
      <c r="B147" t="s" s="27538">
        <v>87</v>
      </c>
      <c r="C147" t="n" s="27539">
        <v>4.400000095367432</v>
      </c>
      <c r="D147" t="n" s="27540">
        <v>263.0</v>
      </c>
      <c r="E147" t="n" s="27541">
        <v>4.0</v>
      </c>
      <c r="F147" t="n" s="27542">
        <v>6.0</v>
      </c>
      <c r="G147" t="n" s="27543">
        <v>0.0</v>
      </c>
      <c r="H147" t="n" s="27544">
        <v>0.0</v>
      </c>
      <c r="I147" t="n" s="27545">
        <v>32.0</v>
      </c>
      <c r="J147" s="27546">
        <f>HLOOKUP("BPS",A1:CV300,147,FALSE)-((-6*HLOOKUP("OG",A1:CV300,147,FALSE))+(-6*HLOOKUP("PK Miss",A1:CV300,147,FALSE))+(9*HLOOKUP("FPL As",A1:CV300,147,FALSE))+(0*HLOOKUP("CS",A1:CV300,147,FALSE))+(18*HLOOKUP("Gs",A1:CV300,147,FALSE)))</f>
      </c>
      <c r="K147" t="n" s="27547">
        <v>0.0</v>
      </c>
      <c r="L147" t="n" s="27548">
        <v>0.0</v>
      </c>
      <c r="M147" t="n" s="27549">
        <v>2.0</v>
      </c>
      <c r="N147" t="n" s="27550">
        <v>2.0</v>
      </c>
      <c r="O147" t="n" s="27551">
        <v>2.0</v>
      </c>
      <c r="P147" s="27552">
        <f>IF(HLOOKUP("Shots",A1:CV300,147,FALSE)=0,0,HLOOKUP("SIB",A1:CV300,147,FALSE)/HLOOKUP("Shots",A1:CV300,147,FALSE))</f>
      </c>
      <c r="Q147" t="n" s="27553">
        <v>0.0</v>
      </c>
      <c r="R147" s="27554">
        <f>IF(HLOOKUP("Shots",A1:CV300,147,FALSE)=0,0,HLOOKUP("S6YD",A1:CV300,147,FALSE)/HLOOKUP("Shots",A1:CV300,147,FALSE))</f>
      </c>
      <c r="S147" t="n" s="27555">
        <v>0.0</v>
      </c>
      <c r="T147" s="27556">
        <f>IF(HLOOKUP("Shots",A1:CV300,147,FALSE)=0,0,HLOOKUP("Headers",A1:CV300,147,FALSE)/HLOOKUP("Shots",A1:CV300,147,FALSE))</f>
      </c>
      <c r="U147" t="n" s="27557">
        <v>0.0</v>
      </c>
      <c r="V147" s="27558">
        <f>IF(HLOOKUP("Shots",A1:CV300,147,FALSE)=0,0,HLOOKUP("SOT",A1:CV300,147,FALSE)/HLOOKUP("Shots",A1:CV300,147,FALSE))</f>
      </c>
      <c r="W147" s="27559">
        <f>IF(HLOOKUP("Shots",A1:CV300,147,FALSE)=0,0,HLOOKUP("Gs",A1:CV300,147,FALSE)/HLOOKUP("Shots",A1:CV300,147,FALSE))</f>
      </c>
      <c r="X147" t="n" s="27560">
        <v>0.0</v>
      </c>
      <c r="Y147" t="n" s="27561">
        <v>0.0</v>
      </c>
      <c r="Z147" t="n" s="27562">
        <v>1.0</v>
      </c>
      <c r="AA147" s="27563">
        <f>IF(HLOOKUP("KP",A1:CV300,147,FALSE)=0,0,HLOOKUP("As",A1:CV300,147,FALSE)/HLOOKUP("KP",A1:CV300,147,FALSE))</f>
      </c>
      <c r="AB147" s="27564"/>
      <c r="AC147" t="n" s="27565">
        <v>0.0</v>
      </c>
      <c r="AD147" t="n" s="27566">
        <v>0.0</v>
      </c>
      <c r="AE147" t="n" s="27567">
        <v>0.0</v>
      </c>
      <c r="AF147" t="n" s="27568">
        <v>0.0</v>
      </c>
      <c r="AG147" s="27569">
        <f>IF(HLOOKUP("BC",A1:CV300,147,FALSE)=0,0,HLOOKUP("Gs - BC",A1:CV300,147,FALSE)/HLOOKUP("BC",A1:CV300,147,FALSE))</f>
      </c>
      <c r="AH147" s="27570">
        <f>HLOOKUP("BC",A1:CV300,147,FALSE) - HLOOKUP("BC Miss",A1:CV300,147,FALSE)</f>
      </c>
      <c r="AI147" s="27571">
        <f>IF(HLOOKUP("Gs",A1:CV300,147,FALSE)=0,0,HLOOKUP("Gs - BC",A1:CV300,147,FALSE)/HLOOKUP("Gs",A1:CV300,147,FALSE))</f>
      </c>
      <c r="AJ147" t="n" s="27572">
        <v>0.0</v>
      </c>
      <c r="AK147" t="n" s="27573">
        <v>0.0</v>
      </c>
      <c r="AL147" s="27574">
        <f>HLOOKUP("BC",A1:CV300,147,FALSE) - (HLOOKUP("PK Gs",A1:CV300,147,FALSE) + HLOOKUP("PK Miss",A1:CV300,147,FALSE))</f>
      </c>
      <c r="AM147" s="27575">
        <f>HLOOKUP("BC Miss",A1:CV300,147,FALSE) - HLOOKUP("PK Miss",A1:CV300,147,FALSE)</f>
      </c>
      <c r="AN147" s="27576">
        <f>IF(HLOOKUP("BC - Open",A1:CV300,147,FALSE)=0,0,HLOOKUP("BC - Open Miss",A1:CV300,147,FALSE)/HLOOKUP("BC - Open",A1:CV300,147,FALSE))</f>
      </c>
      <c r="AO147" t="n" s="27577">
        <v>0.0</v>
      </c>
      <c r="AP147" s="27578">
        <f>IF(HLOOKUP("Gs",A1:CV300,147,FALSE)=0,0,HLOOKUP("GIB",A1:CV300,147,FALSE)/HLOOKUP("Gs",A1:CV300,147,FALSE))</f>
      </c>
      <c r="AQ147" t="n" s="27579">
        <v>0.0</v>
      </c>
      <c r="AR147" s="27580">
        <f>IF(HLOOKUP("Gs",A1:CV300,147,FALSE)=0,0,HLOOKUP("Gs - Open",A1:CV300,147,FALSE)/HLOOKUP("Gs",A1:CV300,147,FALSE))</f>
      </c>
      <c r="AS147" t="n" s="27581">
        <v>0.12</v>
      </c>
      <c r="AT147" t="n" s="27582">
        <v>0.06</v>
      </c>
      <c r="AU147" s="27583">
        <f>IF(HLOOKUP("Mins",A1:CV300,147,FALSE)=0,0,HLOOKUP("Pts",A1:CV300,147,FALSE)/HLOOKUP("Mins",A1:CV300,147,FALSE)* 90)</f>
      </c>
      <c r="AV147" s="27584">
        <f>IF(HLOOKUP("Apps",A1:CV300,147,FALSE)=0,0,HLOOKUP("Pts",A1:CV300,147,FALSE)/HLOOKUP("Apps",A1:CV300,147,FALSE)* 1)</f>
      </c>
      <c r="AW147" s="27585">
        <f>IF(HLOOKUP("Mins",A1:CV300,147,FALSE)=0,0,HLOOKUP("Gs",A1:CV300,147,FALSE)/HLOOKUP("Mins",A1:CV300,147,FALSE)* 90)</f>
      </c>
      <c r="AX147" s="27586">
        <f>IF(HLOOKUP("Mins",A1:CV300,147,FALSE)=0,0,HLOOKUP("Bonus",A1:CV300,147,FALSE)/HLOOKUP("Mins",A1:CV300,147,FALSE)* 90)</f>
      </c>
      <c r="AY147" s="27587">
        <f>IF(HLOOKUP("Mins",A1:CV300,147,FALSE)=0,0,HLOOKUP("BPS",A1:CV300,147,FALSE)/HLOOKUP("Mins",A1:CV300,147,FALSE)* 90)</f>
      </c>
      <c r="AZ147" s="27588">
        <f>IF(HLOOKUP("Mins",A1:CV300,147,FALSE)=0,0,HLOOKUP("Base BPS",A1:CV300,147,FALSE)/HLOOKUP("Mins",A1:CV300,147,FALSE)* 90)</f>
      </c>
      <c r="BA147" s="27589">
        <f>IF(HLOOKUP("Mins",A1:CV300,147,FALSE)=0,0,HLOOKUP("PenTchs",A1:CV300,147,FALSE)/HLOOKUP("Mins",A1:CV300,147,FALSE)* 90)</f>
      </c>
      <c r="BB147" s="27590">
        <f>IF(HLOOKUP("Mins",A1:CV300,147,FALSE)=0,0,HLOOKUP("Shots",A1:CV300,147,FALSE)/HLOOKUP("Mins",A1:CV300,147,FALSE)* 90)</f>
      </c>
      <c r="BC147" s="27591">
        <f>IF(HLOOKUP("Mins",A1:CV300,147,FALSE)=0,0,HLOOKUP("SIB",A1:CV300,147,FALSE)/HLOOKUP("Mins",A1:CV300,147,FALSE)* 90)</f>
      </c>
      <c r="BD147" s="27592">
        <f>IF(HLOOKUP("Mins",A1:CV300,147,FALSE)=0,0,HLOOKUP("S6YD",A1:CV300,147,FALSE)/HLOOKUP("Mins",A1:CV300,147,FALSE)* 90)</f>
      </c>
      <c r="BE147" s="27593">
        <f>IF(HLOOKUP("Mins",A1:CV300,147,FALSE)=0,0,HLOOKUP("Headers",A1:CV300,147,FALSE)/HLOOKUP("Mins",A1:CV300,147,FALSE)* 90)</f>
      </c>
      <c r="BF147" s="27594">
        <f>IF(HLOOKUP("Mins",A1:CV300,147,FALSE)=0,0,HLOOKUP("SOT",A1:CV300,147,FALSE)/HLOOKUP("Mins",A1:CV300,147,FALSE)* 90)</f>
      </c>
      <c r="BG147" s="27595">
        <f>IF(HLOOKUP("Mins",A1:CV300,147,FALSE)=0,0,HLOOKUP("As",A1:CV300,147,FALSE)/HLOOKUP("Mins",A1:CV300,147,FALSE)* 90)</f>
      </c>
      <c r="BH147" s="27596">
        <f>IF(HLOOKUP("Mins",A1:CV300,147,FALSE)=0,0,HLOOKUP("FPL As",A1:CV300,147,FALSE)/HLOOKUP("Mins",A1:CV300,147,FALSE)* 90)</f>
      </c>
      <c r="BI147" s="27597">
        <f>IF(HLOOKUP("Mins",A1:CV300,147,FALSE)=0,0,HLOOKUP("BC Created",A1:CV300,147,FALSE)/HLOOKUP("Mins",A1:CV300,147,FALSE)* 90)</f>
      </c>
      <c r="BJ147" s="27598">
        <f>IF(HLOOKUP("Mins",A1:CV300,147,FALSE)=0,0,HLOOKUP("KP",A1:CV300,147,FALSE)/HLOOKUP("Mins",A1:CV300,147,FALSE)* 90)</f>
      </c>
      <c r="BK147" s="27599">
        <f>IF(HLOOKUP("Mins",A1:CV300,147,FALSE)=0,0,HLOOKUP("BC",A1:CV300,147,FALSE)/HLOOKUP("Mins",A1:CV300,147,FALSE)* 90)</f>
      </c>
      <c r="BL147" s="27600">
        <f>IF(HLOOKUP("Mins",A1:CV300,147,FALSE)=0,0,HLOOKUP("BC Miss",A1:CV300,147,FALSE)/HLOOKUP("Mins",A1:CV300,147,FALSE)* 90)</f>
      </c>
      <c r="BM147" s="27601">
        <f>IF(HLOOKUP("Mins",A1:CV300,147,FALSE)=0,0,HLOOKUP("Gs - BC",A1:CV300,147,FALSE)/HLOOKUP("Mins",A1:CV300,147,FALSE)* 90)</f>
      </c>
      <c r="BN147" s="27602">
        <f>IF(HLOOKUP("Mins",A1:CV300,147,FALSE)=0,0,HLOOKUP("GIB",A1:CV300,147,FALSE)/HLOOKUP("Mins",A1:CV300,147,FALSE)* 90)</f>
      </c>
      <c r="BO147" s="27603">
        <f>IF(HLOOKUP("Mins",A1:CV300,147,FALSE)=0,0,HLOOKUP("Gs - Open",A1:CV300,147,FALSE)/HLOOKUP("Mins",A1:CV300,147,FALSE)* 90)</f>
      </c>
      <c r="BP147" s="27604">
        <f>IF(HLOOKUP("Mins",A1:CV300,147,FALSE)=0,0,HLOOKUP("ICT Index",A1:CV300,147,FALSE)/HLOOKUP("Mins",A1:CV300,147,FALSE)* 90)</f>
      </c>
      <c r="BQ147" s="27605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</c>
      <c r="BR147" s="27606">
        <f>0.0885*HLOOKUP("KP/90",A1:CV300,147,FALSE)</f>
      </c>
      <c r="BS147" s="27607">
        <f>5*HLOOKUP("xG/90",A1:CV300,147,FALSE)+3*HLOOKUP("xA/90",A1:CV300,147,FALSE)</f>
      </c>
      <c r="BT147" s="27608">
        <f>HLOOKUP("xPts/90",A1:CV300,147,FALSE)-(5*0.75*(HLOOKUP("PK Gs",A1:CV300,147,FALSE)+HLOOKUP("PK Miss",A1:CV300,147,FALSE))*90/HLOOKUP("Mins",A1:CV300,147,FALSE))</f>
      </c>
      <c r="BU147" s="27609">
        <f>IF(HLOOKUP("Mins",A1:CV300,147,FALSE)=0,0,HLOOKUP("fsXG",A1:CV300,147,FALSE)/HLOOKUP("Mins",A1:CV300,147,FALSE)* 90)</f>
      </c>
      <c r="BV147" s="27610">
        <f>IF(HLOOKUP("Mins",A1:CV300,147,FALSE)=0,0,HLOOKUP("fsXA",A1:CV300,147,FALSE)/HLOOKUP("Mins",A1:CV300,147,FALSE)* 90)</f>
      </c>
      <c r="BW147" s="27611">
        <f>5*HLOOKUP("fsXG/90",A1:CV300,147,FALSE)+3*HLOOKUP("fsXA/90",A1:CV300,147,FALSE)</f>
      </c>
      <c r="BX147" t="n" s="27612">
        <v>0.03278183937072754</v>
      </c>
      <c r="BY147" t="n" s="27613">
        <v>0.013638135977089405</v>
      </c>
      <c r="BZ147" s="27614">
        <f>5*HLOOKUP("uXG/90",A1:CV300,147,FALSE)+3*HLOOKUP("uXA/90",A1:CV300,147,FALSE)</f>
      </c>
    </row>
    <row r="148">
      <c r="A148" t="s" s="27615">
        <v>451</v>
      </c>
      <c r="B148" t="s" s="27616">
        <v>80</v>
      </c>
      <c r="C148" t="n" s="27617">
        <v>4.699999809265137</v>
      </c>
      <c r="D148" t="n" s="27618">
        <v>368.0</v>
      </c>
      <c r="E148" t="n" s="27619">
        <v>6.0</v>
      </c>
      <c r="F148" t="n" s="27620">
        <v>43.0</v>
      </c>
      <c r="G148" t="n" s="27621">
        <v>0.0</v>
      </c>
      <c r="H148" t="n" s="27622">
        <v>0.0</v>
      </c>
      <c r="I148" t="n" s="27623">
        <v>235.0</v>
      </c>
      <c r="J148" s="27624">
        <f>HLOOKUP("BPS",A1:CV300,148,FALSE)-((-6*HLOOKUP("OG",A1:CV300,148,FALSE))+(-6*HLOOKUP("PK Miss",A1:CV300,148,FALSE))+(9*HLOOKUP("FPL As",A1:CV300,148,FALSE))+(0*HLOOKUP("CS",A1:CV300,148,FALSE))+(18*HLOOKUP("Gs",A1:CV300,148,FALSE)))</f>
      </c>
      <c r="K148" t="n" s="27625">
        <v>0.0</v>
      </c>
      <c r="L148" t="n" s="27626">
        <v>3.0</v>
      </c>
      <c r="M148" t="n" s="27627">
        <v>2.0</v>
      </c>
      <c r="N148" t="n" s="27628">
        <v>3.0</v>
      </c>
      <c r="O148" t="n" s="27629">
        <v>1.0</v>
      </c>
      <c r="P148" s="27630">
        <f>IF(HLOOKUP("Shots",A1:CV300,148,FALSE)=0,0,HLOOKUP("SIB",A1:CV300,148,FALSE)/HLOOKUP("Shots",A1:CV300,148,FALSE))</f>
      </c>
      <c r="Q148" t="n" s="27631">
        <v>0.0</v>
      </c>
      <c r="R148" s="27632">
        <f>IF(HLOOKUP("Shots",A1:CV300,148,FALSE)=0,0,HLOOKUP("S6YD",A1:CV300,148,FALSE)/HLOOKUP("Shots",A1:CV300,148,FALSE))</f>
      </c>
      <c r="S148" t="n" s="27633">
        <v>0.0</v>
      </c>
      <c r="T148" s="27634">
        <f>IF(HLOOKUP("Shots",A1:CV300,148,FALSE)=0,0,HLOOKUP("Headers",A1:CV300,148,FALSE)/HLOOKUP("Shots",A1:CV300,148,FALSE))</f>
      </c>
      <c r="U148" t="n" s="27635">
        <v>2.0</v>
      </c>
      <c r="V148" s="27636">
        <f>IF(HLOOKUP("Shots",A1:CV300,148,FALSE)=0,0,HLOOKUP("SOT",A1:CV300,148,FALSE)/HLOOKUP("Shots",A1:CV300,148,FALSE))</f>
      </c>
      <c r="W148" s="27637">
        <f>IF(HLOOKUP("Shots",A1:CV300,148,FALSE)=0,0,HLOOKUP("Gs",A1:CV300,148,FALSE)/HLOOKUP("Shots",A1:CV300,148,FALSE))</f>
      </c>
      <c r="X148" t="n" s="27638">
        <v>1.0</v>
      </c>
      <c r="Y148" t="n" s="27639">
        <v>1.0</v>
      </c>
      <c r="Z148" t="n" s="27640">
        <v>3.0</v>
      </c>
      <c r="AA148" s="27641">
        <f>IF(HLOOKUP("KP",A1:CV300,148,FALSE)=0,0,HLOOKUP("As",A1:CV300,148,FALSE)/HLOOKUP("KP",A1:CV300,148,FALSE))</f>
      </c>
      <c r="AB148" s="27642"/>
      <c r="AC148" t="n" s="27643">
        <v>12.0</v>
      </c>
      <c r="AD148" t="n" s="27644">
        <v>0.0</v>
      </c>
      <c r="AE148" t="n" s="27645">
        <v>0.0</v>
      </c>
      <c r="AF148" t="n" s="27646">
        <v>0.0</v>
      </c>
      <c r="AG148" s="27647">
        <f>IF(HLOOKUP("BC",A1:CV300,148,FALSE)=0,0,HLOOKUP("Gs - BC",A1:CV300,148,FALSE)/HLOOKUP("BC",A1:CV300,148,FALSE))</f>
      </c>
      <c r="AH148" s="27648">
        <f>HLOOKUP("BC",A1:CV300,148,FALSE) - HLOOKUP("BC Miss",A1:CV300,148,FALSE)</f>
      </c>
      <c r="AI148" s="27649">
        <f>IF(HLOOKUP("Gs",A1:CV300,148,FALSE)=0,0,HLOOKUP("Gs - BC",A1:CV300,148,FALSE)/HLOOKUP("Gs",A1:CV300,148,FALSE))</f>
      </c>
      <c r="AJ148" t="n" s="27650">
        <v>0.0</v>
      </c>
      <c r="AK148" t="n" s="27651">
        <v>0.0</v>
      </c>
      <c r="AL148" s="27652">
        <f>HLOOKUP("BC",A1:CV300,148,FALSE) - (HLOOKUP("PK Gs",A1:CV300,148,FALSE) + HLOOKUP("PK Miss",A1:CV300,148,FALSE))</f>
      </c>
      <c r="AM148" s="27653">
        <f>HLOOKUP("BC Miss",A1:CV300,148,FALSE) - HLOOKUP("PK Miss",A1:CV300,148,FALSE)</f>
      </c>
      <c r="AN148" s="27654">
        <f>IF(HLOOKUP("BC - Open",A1:CV300,148,FALSE)=0,0,HLOOKUP("BC - Open Miss",A1:CV300,148,FALSE)/HLOOKUP("BC - Open",A1:CV300,148,FALSE))</f>
      </c>
      <c r="AO148" t="n" s="27655">
        <v>0.0</v>
      </c>
      <c r="AP148" s="27656">
        <f>IF(HLOOKUP("Gs",A1:CV300,148,FALSE)=0,0,HLOOKUP("GIB",A1:CV300,148,FALSE)/HLOOKUP("Gs",A1:CV300,148,FALSE))</f>
      </c>
      <c r="AQ148" t="n" s="27657">
        <v>0.0</v>
      </c>
      <c r="AR148" s="27658">
        <f>IF(HLOOKUP("Gs",A1:CV300,148,FALSE)=0,0,HLOOKUP("Gs - Open",A1:CV300,148,FALSE)/HLOOKUP("Gs",A1:CV300,148,FALSE))</f>
      </c>
      <c r="AS148" t="n" s="27659">
        <v>0.11</v>
      </c>
      <c r="AT148" t="n" s="27660">
        <v>0.28</v>
      </c>
      <c r="AU148" s="27661">
        <f>IF(HLOOKUP("Mins",A1:CV300,148,FALSE)=0,0,HLOOKUP("Pts",A1:CV300,148,FALSE)/HLOOKUP("Mins",A1:CV300,148,FALSE)* 90)</f>
      </c>
      <c r="AV148" s="27662">
        <f>IF(HLOOKUP("Apps",A1:CV300,148,FALSE)=0,0,HLOOKUP("Pts",A1:CV300,148,FALSE)/HLOOKUP("Apps",A1:CV300,148,FALSE)* 1)</f>
      </c>
      <c r="AW148" s="27663">
        <f>IF(HLOOKUP("Mins",A1:CV300,148,FALSE)=0,0,HLOOKUP("Gs",A1:CV300,148,FALSE)/HLOOKUP("Mins",A1:CV300,148,FALSE)* 90)</f>
      </c>
      <c r="AX148" s="27664">
        <f>IF(HLOOKUP("Mins",A1:CV300,148,FALSE)=0,0,HLOOKUP("Bonus",A1:CV300,148,FALSE)/HLOOKUP("Mins",A1:CV300,148,FALSE)* 90)</f>
      </c>
      <c r="AY148" s="27665">
        <f>IF(HLOOKUP("Mins",A1:CV300,148,FALSE)=0,0,HLOOKUP("BPS",A1:CV300,148,FALSE)/HLOOKUP("Mins",A1:CV300,148,FALSE)* 90)</f>
      </c>
      <c r="AZ148" s="27666">
        <f>IF(HLOOKUP("Mins",A1:CV300,148,FALSE)=0,0,HLOOKUP("Base BPS",A1:CV300,148,FALSE)/HLOOKUP("Mins",A1:CV300,148,FALSE)* 90)</f>
      </c>
      <c r="BA148" s="27667">
        <f>IF(HLOOKUP("Mins",A1:CV300,148,FALSE)=0,0,HLOOKUP("PenTchs",A1:CV300,148,FALSE)/HLOOKUP("Mins",A1:CV300,148,FALSE)* 90)</f>
      </c>
      <c r="BB148" s="27668">
        <f>IF(HLOOKUP("Mins",A1:CV300,148,FALSE)=0,0,HLOOKUP("Shots",A1:CV300,148,FALSE)/HLOOKUP("Mins",A1:CV300,148,FALSE)* 90)</f>
      </c>
      <c r="BC148" s="27669">
        <f>IF(HLOOKUP("Mins",A1:CV300,148,FALSE)=0,0,HLOOKUP("SIB",A1:CV300,148,FALSE)/HLOOKUP("Mins",A1:CV300,148,FALSE)* 90)</f>
      </c>
      <c r="BD148" s="27670">
        <f>IF(HLOOKUP("Mins",A1:CV300,148,FALSE)=0,0,HLOOKUP("S6YD",A1:CV300,148,FALSE)/HLOOKUP("Mins",A1:CV300,148,FALSE)* 90)</f>
      </c>
      <c r="BE148" s="27671">
        <f>IF(HLOOKUP("Mins",A1:CV300,148,FALSE)=0,0,HLOOKUP("Headers",A1:CV300,148,FALSE)/HLOOKUP("Mins",A1:CV300,148,FALSE)* 90)</f>
      </c>
      <c r="BF148" s="27672">
        <f>IF(HLOOKUP("Mins",A1:CV300,148,FALSE)=0,0,HLOOKUP("SOT",A1:CV300,148,FALSE)/HLOOKUP("Mins",A1:CV300,148,FALSE)* 90)</f>
      </c>
      <c r="BG148" s="27673">
        <f>IF(HLOOKUP("Mins",A1:CV300,148,FALSE)=0,0,HLOOKUP("As",A1:CV300,148,FALSE)/HLOOKUP("Mins",A1:CV300,148,FALSE)* 90)</f>
      </c>
      <c r="BH148" s="27674">
        <f>IF(HLOOKUP("Mins",A1:CV300,148,FALSE)=0,0,HLOOKUP("FPL As",A1:CV300,148,FALSE)/HLOOKUP("Mins",A1:CV300,148,FALSE)* 90)</f>
      </c>
      <c r="BI148" s="27675">
        <f>IF(HLOOKUP("Mins",A1:CV300,148,FALSE)=0,0,HLOOKUP("BC Created",A1:CV300,148,FALSE)/HLOOKUP("Mins",A1:CV300,148,FALSE)* 90)</f>
      </c>
      <c r="BJ148" s="27676">
        <f>IF(HLOOKUP("Mins",A1:CV300,148,FALSE)=0,0,HLOOKUP("KP",A1:CV300,148,FALSE)/HLOOKUP("Mins",A1:CV300,148,FALSE)* 90)</f>
      </c>
      <c r="BK148" s="27677">
        <f>IF(HLOOKUP("Mins",A1:CV300,148,FALSE)=0,0,HLOOKUP("BC",A1:CV300,148,FALSE)/HLOOKUP("Mins",A1:CV300,148,FALSE)* 90)</f>
      </c>
      <c r="BL148" s="27678">
        <f>IF(HLOOKUP("Mins",A1:CV300,148,FALSE)=0,0,HLOOKUP("BC Miss",A1:CV300,148,FALSE)/HLOOKUP("Mins",A1:CV300,148,FALSE)* 90)</f>
      </c>
      <c r="BM148" s="27679">
        <f>IF(HLOOKUP("Mins",A1:CV300,148,FALSE)=0,0,HLOOKUP("Gs - BC",A1:CV300,148,FALSE)/HLOOKUP("Mins",A1:CV300,148,FALSE)* 90)</f>
      </c>
      <c r="BN148" s="27680">
        <f>IF(HLOOKUP("Mins",A1:CV300,148,FALSE)=0,0,HLOOKUP("GIB",A1:CV300,148,FALSE)/HLOOKUP("Mins",A1:CV300,148,FALSE)* 90)</f>
      </c>
      <c r="BO148" s="27681">
        <f>IF(HLOOKUP("Mins",A1:CV300,148,FALSE)=0,0,HLOOKUP("Gs - Open",A1:CV300,148,FALSE)/HLOOKUP("Mins",A1:CV300,148,FALSE)* 90)</f>
      </c>
      <c r="BP148" s="27682">
        <f>IF(HLOOKUP("Mins",A1:CV300,148,FALSE)=0,0,HLOOKUP("ICT Index",A1:CV300,148,FALSE)/HLOOKUP("Mins",A1:CV300,148,FALSE)* 90)</f>
      </c>
      <c r="BQ148" s="27683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</c>
      <c r="BR148" s="27684">
        <f>0.0885*HLOOKUP("KP/90",A1:CV300,148,FALSE)</f>
      </c>
      <c r="BS148" s="27685">
        <f>5*HLOOKUP("xG/90",A1:CV300,148,FALSE)+3*HLOOKUP("xA/90",A1:CV300,148,FALSE)</f>
      </c>
      <c r="BT148" s="27686">
        <f>HLOOKUP("xPts/90",A1:CV300,148,FALSE)-(5*0.75*(HLOOKUP("PK Gs",A1:CV300,148,FALSE)+HLOOKUP("PK Miss",A1:CV300,148,FALSE))*90/HLOOKUP("Mins",A1:CV300,148,FALSE))</f>
      </c>
      <c r="BU148" s="27687">
        <f>IF(HLOOKUP("Mins",A1:CV300,148,FALSE)=0,0,HLOOKUP("fsXG",A1:CV300,148,FALSE)/HLOOKUP("Mins",A1:CV300,148,FALSE)* 90)</f>
      </c>
      <c r="BV148" s="27688">
        <f>IF(HLOOKUP("Mins",A1:CV300,148,FALSE)=0,0,HLOOKUP("fsXA",A1:CV300,148,FALSE)/HLOOKUP("Mins",A1:CV300,148,FALSE)* 90)</f>
      </c>
      <c r="BW148" s="27689">
        <f>5*HLOOKUP("fsXG/90",A1:CV300,148,FALSE)+3*HLOOKUP("fsXA/90",A1:CV300,148,FALSE)</f>
      </c>
      <c r="BX148" t="n" s="27690">
        <v>0.033900726586580276</v>
      </c>
      <c r="BY148" t="n" s="27691">
        <v>0.093387171626091</v>
      </c>
      <c r="BZ148" s="27692">
        <f>5*HLOOKUP("uXG/90",A1:CV300,148,FALSE)+3*HLOOKUP("uXA/90",A1:CV300,148,FALSE)</f>
      </c>
    </row>
    <row r="149">
      <c r="A149" t="s" s="27693">
        <v>452</v>
      </c>
      <c r="B149" t="s" s="27694">
        <v>122</v>
      </c>
      <c r="C149" t="n" s="27695">
        <v>5.300000190734863</v>
      </c>
      <c r="D149" t="n" s="27696">
        <v>540.0</v>
      </c>
      <c r="E149" t="n" s="27697">
        <v>6.0</v>
      </c>
      <c r="F149" t="n" s="27698">
        <v>40.0</v>
      </c>
      <c r="G149" t="n" s="27699">
        <v>0.0</v>
      </c>
      <c r="H149" t="n" s="27700">
        <v>0.0</v>
      </c>
      <c r="I149" t="n" s="27701">
        <v>286.0</v>
      </c>
      <c r="J149" s="27702">
        <f>HLOOKUP("BPS",A1:CV300,149,FALSE)-((-6*HLOOKUP("OG",A1:CV300,149,FALSE))+(-6*HLOOKUP("PK Miss",A1:CV300,149,FALSE))+(9*HLOOKUP("FPL As",A1:CV300,149,FALSE))+(0*HLOOKUP("CS",A1:CV300,149,FALSE))+(18*HLOOKUP("Gs",A1:CV300,149,FALSE)))</f>
      </c>
      <c r="K149" t="n" s="27703">
        <v>0.0</v>
      </c>
      <c r="L149" t="n" s="27704">
        <v>4.0</v>
      </c>
      <c r="M149" t="n" s="27705">
        <v>6.0</v>
      </c>
      <c r="N149" t="n" s="27706">
        <v>12.0</v>
      </c>
      <c r="O149" t="n" s="27707">
        <v>2.0</v>
      </c>
      <c r="P149" s="27708">
        <f>IF(HLOOKUP("Shots",A1:CV300,149,FALSE)=0,0,HLOOKUP("SIB",A1:CV300,149,FALSE)/HLOOKUP("Shots",A1:CV300,149,FALSE))</f>
      </c>
      <c r="Q149" t="n" s="27709">
        <v>0.0</v>
      </c>
      <c r="R149" s="27710">
        <f>IF(HLOOKUP("Shots",A1:CV300,149,FALSE)=0,0,HLOOKUP("S6YD",A1:CV300,149,FALSE)/HLOOKUP("Shots",A1:CV300,149,FALSE))</f>
      </c>
      <c r="S149" t="n" s="27711">
        <v>0.0</v>
      </c>
      <c r="T149" s="27712">
        <f>IF(HLOOKUP("Shots",A1:CV300,149,FALSE)=0,0,HLOOKUP("Headers",A1:CV300,149,FALSE)/HLOOKUP("Shots",A1:CV300,149,FALSE))</f>
      </c>
      <c r="U149" t="n" s="27713">
        <v>3.0</v>
      </c>
      <c r="V149" s="27714">
        <f>IF(HLOOKUP("Shots",A1:CV300,149,FALSE)=0,0,HLOOKUP("SOT",A1:CV300,149,FALSE)/HLOOKUP("Shots",A1:CV300,149,FALSE))</f>
      </c>
      <c r="W149" s="27715">
        <f>IF(HLOOKUP("Shots",A1:CV300,149,FALSE)=0,0,HLOOKUP("Gs",A1:CV300,149,FALSE)/HLOOKUP("Shots",A1:CV300,149,FALSE))</f>
      </c>
      <c r="X149" t="n" s="27716">
        <v>0.0</v>
      </c>
      <c r="Y149" t="n" s="27717">
        <v>0.0</v>
      </c>
      <c r="Z149" t="n" s="27718">
        <v>8.0</v>
      </c>
      <c r="AA149" s="27719">
        <f>IF(HLOOKUP("KP",A1:CV300,149,FALSE)=0,0,HLOOKUP("As",A1:CV300,149,FALSE)/HLOOKUP("KP",A1:CV300,149,FALSE))</f>
      </c>
      <c r="AB149" s="27720"/>
      <c r="AC149" t="n" s="27721">
        <v>0.0</v>
      </c>
      <c r="AD149" t="n" s="27722">
        <v>2.0</v>
      </c>
      <c r="AE149" t="n" s="27723">
        <v>0.0</v>
      </c>
      <c r="AF149" t="n" s="27724">
        <v>0.0</v>
      </c>
      <c r="AG149" s="27725">
        <f>IF(HLOOKUP("BC",A1:CV300,149,FALSE)=0,0,HLOOKUP("Gs - BC",A1:CV300,149,FALSE)/HLOOKUP("BC",A1:CV300,149,FALSE))</f>
      </c>
      <c r="AH149" s="27726">
        <f>HLOOKUP("BC",A1:CV300,149,FALSE) - HLOOKUP("BC Miss",A1:CV300,149,FALSE)</f>
      </c>
      <c r="AI149" s="27727">
        <f>IF(HLOOKUP("Gs",A1:CV300,149,FALSE)=0,0,HLOOKUP("Gs - BC",A1:CV300,149,FALSE)/HLOOKUP("Gs",A1:CV300,149,FALSE))</f>
      </c>
      <c r="AJ149" t="n" s="27728">
        <v>0.0</v>
      </c>
      <c r="AK149" t="n" s="27729">
        <v>0.0</v>
      </c>
      <c r="AL149" s="27730">
        <f>HLOOKUP("BC",A1:CV300,149,FALSE) - (HLOOKUP("PK Gs",A1:CV300,149,FALSE) + HLOOKUP("PK Miss",A1:CV300,149,FALSE))</f>
      </c>
      <c r="AM149" s="27731">
        <f>HLOOKUP("BC Miss",A1:CV300,149,FALSE) - HLOOKUP("PK Miss",A1:CV300,149,FALSE)</f>
      </c>
      <c r="AN149" s="27732">
        <f>IF(HLOOKUP("BC - Open",A1:CV300,149,FALSE)=0,0,HLOOKUP("BC - Open Miss",A1:CV300,149,FALSE)/HLOOKUP("BC - Open",A1:CV300,149,FALSE))</f>
      </c>
      <c r="AO149" t="n" s="27733">
        <v>0.0</v>
      </c>
      <c r="AP149" s="27734">
        <f>IF(HLOOKUP("Gs",A1:CV300,149,FALSE)=0,0,HLOOKUP("GIB",A1:CV300,149,FALSE)/HLOOKUP("Gs",A1:CV300,149,FALSE))</f>
      </c>
      <c r="AQ149" t="n" s="27735">
        <v>0.0</v>
      </c>
      <c r="AR149" s="27736">
        <f>IF(HLOOKUP("Gs",A1:CV300,149,FALSE)=0,0,HLOOKUP("Gs - Open",A1:CV300,149,FALSE)/HLOOKUP("Gs",A1:CV300,149,FALSE))</f>
      </c>
      <c r="AS149" t="n" s="27737">
        <v>0.5</v>
      </c>
      <c r="AT149" t="n" s="27738">
        <v>0.53</v>
      </c>
      <c r="AU149" s="27739">
        <f>IF(HLOOKUP("Mins",A1:CV300,149,FALSE)=0,0,HLOOKUP("Pts",A1:CV300,149,FALSE)/HLOOKUP("Mins",A1:CV300,149,FALSE)* 90)</f>
      </c>
      <c r="AV149" s="27740">
        <f>IF(HLOOKUP("Apps",A1:CV300,149,FALSE)=0,0,HLOOKUP("Pts",A1:CV300,149,FALSE)/HLOOKUP("Apps",A1:CV300,149,FALSE)* 1)</f>
      </c>
      <c r="AW149" s="27741">
        <f>IF(HLOOKUP("Mins",A1:CV300,149,FALSE)=0,0,HLOOKUP("Gs",A1:CV300,149,FALSE)/HLOOKUP("Mins",A1:CV300,149,FALSE)* 90)</f>
      </c>
      <c r="AX149" s="27742">
        <f>IF(HLOOKUP("Mins",A1:CV300,149,FALSE)=0,0,HLOOKUP("Bonus",A1:CV300,149,FALSE)/HLOOKUP("Mins",A1:CV300,149,FALSE)* 90)</f>
      </c>
      <c r="AY149" s="27743">
        <f>IF(HLOOKUP("Mins",A1:CV300,149,FALSE)=0,0,HLOOKUP("BPS",A1:CV300,149,FALSE)/HLOOKUP("Mins",A1:CV300,149,FALSE)* 90)</f>
      </c>
      <c r="AZ149" s="27744">
        <f>IF(HLOOKUP("Mins",A1:CV300,149,FALSE)=0,0,HLOOKUP("Base BPS",A1:CV300,149,FALSE)/HLOOKUP("Mins",A1:CV300,149,FALSE)* 90)</f>
      </c>
      <c r="BA149" s="27745">
        <f>IF(HLOOKUP("Mins",A1:CV300,149,FALSE)=0,0,HLOOKUP("PenTchs",A1:CV300,149,FALSE)/HLOOKUP("Mins",A1:CV300,149,FALSE)* 90)</f>
      </c>
      <c r="BB149" s="27746">
        <f>IF(HLOOKUP("Mins",A1:CV300,149,FALSE)=0,0,HLOOKUP("Shots",A1:CV300,149,FALSE)/HLOOKUP("Mins",A1:CV300,149,FALSE)* 90)</f>
      </c>
      <c r="BC149" s="27747">
        <f>IF(HLOOKUP("Mins",A1:CV300,149,FALSE)=0,0,HLOOKUP("SIB",A1:CV300,149,FALSE)/HLOOKUP("Mins",A1:CV300,149,FALSE)* 90)</f>
      </c>
      <c r="BD149" s="27748">
        <f>IF(HLOOKUP("Mins",A1:CV300,149,FALSE)=0,0,HLOOKUP("S6YD",A1:CV300,149,FALSE)/HLOOKUP("Mins",A1:CV300,149,FALSE)* 90)</f>
      </c>
      <c r="BE149" s="27749">
        <f>IF(HLOOKUP("Mins",A1:CV300,149,FALSE)=0,0,HLOOKUP("Headers",A1:CV300,149,FALSE)/HLOOKUP("Mins",A1:CV300,149,FALSE)* 90)</f>
      </c>
      <c r="BF149" s="27750">
        <f>IF(HLOOKUP("Mins",A1:CV300,149,FALSE)=0,0,HLOOKUP("SOT",A1:CV300,149,FALSE)/HLOOKUP("Mins",A1:CV300,149,FALSE)* 90)</f>
      </c>
      <c r="BG149" s="27751">
        <f>IF(HLOOKUP("Mins",A1:CV300,149,FALSE)=0,0,HLOOKUP("As",A1:CV300,149,FALSE)/HLOOKUP("Mins",A1:CV300,149,FALSE)* 90)</f>
      </c>
      <c r="BH149" s="27752">
        <f>IF(HLOOKUP("Mins",A1:CV300,149,FALSE)=0,0,HLOOKUP("FPL As",A1:CV300,149,FALSE)/HLOOKUP("Mins",A1:CV300,149,FALSE)* 90)</f>
      </c>
      <c r="BI149" s="27753">
        <f>IF(HLOOKUP("Mins",A1:CV300,149,FALSE)=0,0,HLOOKUP("BC Created",A1:CV300,149,FALSE)/HLOOKUP("Mins",A1:CV300,149,FALSE)* 90)</f>
      </c>
      <c r="BJ149" s="27754">
        <f>IF(HLOOKUP("Mins",A1:CV300,149,FALSE)=0,0,HLOOKUP("KP",A1:CV300,149,FALSE)/HLOOKUP("Mins",A1:CV300,149,FALSE)* 90)</f>
      </c>
      <c r="BK149" s="27755">
        <f>IF(HLOOKUP("Mins",A1:CV300,149,FALSE)=0,0,HLOOKUP("BC",A1:CV300,149,FALSE)/HLOOKUP("Mins",A1:CV300,149,FALSE)* 90)</f>
      </c>
      <c r="BL149" s="27756">
        <f>IF(HLOOKUP("Mins",A1:CV300,149,FALSE)=0,0,HLOOKUP("BC Miss",A1:CV300,149,FALSE)/HLOOKUP("Mins",A1:CV300,149,FALSE)* 90)</f>
      </c>
      <c r="BM149" s="27757">
        <f>IF(HLOOKUP("Mins",A1:CV300,149,FALSE)=0,0,HLOOKUP("Gs - BC",A1:CV300,149,FALSE)/HLOOKUP("Mins",A1:CV300,149,FALSE)* 90)</f>
      </c>
      <c r="BN149" s="27758">
        <f>IF(HLOOKUP("Mins",A1:CV300,149,FALSE)=0,0,HLOOKUP("GIB",A1:CV300,149,FALSE)/HLOOKUP("Mins",A1:CV300,149,FALSE)* 90)</f>
      </c>
      <c r="BO149" s="27759">
        <f>IF(HLOOKUP("Mins",A1:CV300,149,FALSE)=0,0,HLOOKUP("Gs - Open",A1:CV300,149,FALSE)/HLOOKUP("Mins",A1:CV300,149,FALSE)* 90)</f>
      </c>
      <c r="BP149" s="27760">
        <f>IF(HLOOKUP("Mins",A1:CV300,149,FALSE)=0,0,HLOOKUP("ICT Index",A1:CV300,149,FALSE)/HLOOKUP("Mins",A1:CV300,149,FALSE)* 90)</f>
      </c>
      <c r="BQ149" s="27761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</c>
      <c r="BR149" s="27762">
        <f>0.0885*HLOOKUP("KP/90",A1:CV300,149,FALSE)</f>
      </c>
      <c r="BS149" s="27763">
        <f>5*HLOOKUP("xG/90",A1:CV300,149,FALSE)+3*HLOOKUP("xA/90",A1:CV300,149,FALSE)</f>
      </c>
      <c r="BT149" s="27764">
        <f>HLOOKUP("xPts/90",A1:CV300,149,FALSE)-(5*0.75*(HLOOKUP("PK Gs",A1:CV300,149,FALSE)+HLOOKUP("PK Miss",A1:CV300,149,FALSE))*90/HLOOKUP("Mins",A1:CV300,149,FALSE))</f>
      </c>
      <c r="BU149" s="27765">
        <f>IF(HLOOKUP("Mins",A1:CV300,149,FALSE)=0,0,HLOOKUP("fsXG",A1:CV300,149,FALSE)/HLOOKUP("Mins",A1:CV300,149,FALSE)* 90)</f>
      </c>
      <c r="BV149" s="27766">
        <f>IF(HLOOKUP("Mins",A1:CV300,149,FALSE)=0,0,HLOOKUP("fsXA",A1:CV300,149,FALSE)/HLOOKUP("Mins",A1:CV300,149,FALSE)* 90)</f>
      </c>
      <c r="BW149" s="27767">
        <f>5*HLOOKUP("fsXG/90",A1:CV300,149,FALSE)+3*HLOOKUP("fsXA/90",A1:CV300,149,FALSE)</f>
      </c>
      <c r="BX149" t="n" s="27768">
        <v>0.07129503786563873</v>
      </c>
      <c r="BY149" t="n" s="27769">
        <v>0.12300989776849747</v>
      </c>
      <c r="BZ149" s="27770">
        <f>5*HLOOKUP("uXG/90",A1:CV300,149,FALSE)+3*HLOOKUP("uXA/90",A1:CV300,149,FALSE)</f>
      </c>
    </row>
    <row r="150">
      <c r="A150" t="s" s="27771">
        <v>453</v>
      </c>
      <c r="B150" t="s" s="27772">
        <v>92</v>
      </c>
      <c r="C150" t="n" s="27773">
        <v>4.800000190734863</v>
      </c>
      <c r="D150" t="n" s="27774">
        <v>368.0</v>
      </c>
      <c r="E150" t="n" s="27775">
        <v>5.0</v>
      </c>
      <c r="F150" t="n" s="27776">
        <v>36.0</v>
      </c>
      <c r="G150" t="n" s="27777">
        <v>0.0</v>
      </c>
      <c r="H150" t="n" s="27778">
        <v>2.0</v>
      </c>
      <c r="I150" t="n" s="27779">
        <v>233.0</v>
      </c>
      <c r="J150" s="27780">
        <f>HLOOKUP("BPS",A1:CV300,150,FALSE)-((-6*HLOOKUP("OG",A1:CV300,150,FALSE))+(-6*HLOOKUP("PK Miss",A1:CV300,150,FALSE))+(9*HLOOKUP("FPL As",A1:CV300,150,FALSE))+(0*HLOOKUP("CS",A1:CV300,150,FALSE))+(18*HLOOKUP("Gs",A1:CV300,150,FALSE)))</f>
      </c>
      <c r="K150" t="n" s="27781">
        <v>0.0</v>
      </c>
      <c r="L150" t="n" s="27782">
        <v>3.0</v>
      </c>
      <c r="M150" t="n" s="27783">
        <v>1.0</v>
      </c>
      <c r="N150" t="n" s="27784">
        <v>5.0</v>
      </c>
      <c r="O150" t="n" s="27785">
        <v>0.0</v>
      </c>
      <c r="P150" s="27786">
        <f>IF(HLOOKUP("Shots",A1:CV300,150,FALSE)=0,0,HLOOKUP("SIB",A1:CV300,150,FALSE)/HLOOKUP("Shots",A1:CV300,150,FALSE))</f>
      </c>
      <c r="Q150" t="n" s="27787">
        <v>0.0</v>
      </c>
      <c r="R150" s="27788">
        <f>IF(HLOOKUP("Shots",A1:CV300,150,FALSE)=0,0,HLOOKUP("S6YD",A1:CV300,150,FALSE)/HLOOKUP("Shots",A1:CV300,150,FALSE))</f>
      </c>
      <c r="S150" t="n" s="27789">
        <v>0.0</v>
      </c>
      <c r="T150" s="27790">
        <f>IF(HLOOKUP("Shots",A1:CV300,150,FALSE)=0,0,HLOOKUP("Headers",A1:CV300,150,FALSE)/HLOOKUP("Shots",A1:CV300,150,FALSE))</f>
      </c>
      <c r="U150" t="n" s="27791">
        <v>0.0</v>
      </c>
      <c r="V150" s="27792">
        <f>IF(HLOOKUP("Shots",A1:CV300,150,FALSE)=0,0,HLOOKUP("SOT",A1:CV300,150,FALSE)/HLOOKUP("Shots",A1:CV300,150,FALSE))</f>
      </c>
      <c r="W150" s="27793">
        <f>IF(HLOOKUP("Shots",A1:CV300,150,FALSE)=0,0,HLOOKUP("Gs",A1:CV300,150,FALSE)/HLOOKUP("Shots",A1:CV300,150,FALSE))</f>
      </c>
      <c r="X150" t="n" s="27794">
        <v>0.0</v>
      </c>
      <c r="Y150" t="n" s="27795">
        <v>1.0</v>
      </c>
      <c r="Z150" t="n" s="27796">
        <v>0.0</v>
      </c>
      <c r="AA150" s="27797">
        <f>IF(HLOOKUP("KP",A1:CV300,150,FALSE)=0,0,HLOOKUP("As",A1:CV300,150,FALSE)/HLOOKUP("KP",A1:CV300,150,FALSE))</f>
      </c>
      <c r="AB150" s="27798"/>
      <c r="AC150" t="n" s="27799">
        <v>0.0</v>
      </c>
      <c r="AD150" t="n" s="27800">
        <v>0.0</v>
      </c>
      <c r="AE150" t="n" s="27801">
        <v>0.0</v>
      </c>
      <c r="AF150" t="n" s="27802">
        <v>0.0</v>
      </c>
      <c r="AG150" s="27803">
        <f>IF(HLOOKUP("BC",A1:CV300,150,FALSE)=0,0,HLOOKUP("Gs - BC",A1:CV300,150,FALSE)/HLOOKUP("BC",A1:CV300,150,FALSE))</f>
      </c>
      <c r="AH150" s="27804">
        <f>HLOOKUP("BC",A1:CV300,150,FALSE) - HLOOKUP("BC Miss",A1:CV300,150,FALSE)</f>
      </c>
      <c r="AI150" s="27805">
        <f>IF(HLOOKUP("Gs",A1:CV300,150,FALSE)=0,0,HLOOKUP("Gs - BC",A1:CV300,150,FALSE)/HLOOKUP("Gs",A1:CV300,150,FALSE))</f>
      </c>
      <c r="AJ150" t="n" s="27806">
        <v>0.0</v>
      </c>
      <c r="AK150" t="n" s="27807">
        <v>0.0</v>
      </c>
      <c r="AL150" s="27808">
        <f>HLOOKUP("BC",A1:CV300,150,FALSE) - (HLOOKUP("PK Gs",A1:CV300,150,FALSE) + HLOOKUP("PK Miss",A1:CV300,150,FALSE))</f>
      </c>
      <c r="AM150" s="27809">
        <f>HLOOKUP("BC Miss",A1:CV300,150,FALSE) - HLOOKUP("PK Miss",A1:CV300,150,FALSE)</f>
      </c>
      <c r="AN150" s="27810">
        <f>IF(HLOOKUP("BC - Open",A1:CV300,150,FALSE)=0,0,HLOOKUP("BC - Open Miss",A1:CV300,150,FALSE)/HLOOKUP("BC - Open",A1:CV300,150,FALSE))</f>
      </c>
      <c r="AO150" t="n" s="27811">
        <v>0.0</v>
      </c>
      <c r="AP150" s="27812">
        <f>IF(HLOOKUP("Gs",A1:CV300,150,FALSE)=0,0,HLOOKUP("GIB",A1:CV300,150,FALSE)/HLOOKUP("Gs",A1:CV300,150,FALSE))</f>
      </c>
      <c r="AQ150" t="n" s="27813">
        <v>0.0</v>
      </c>
      <c r="AR150" s="27814">
        <f>IF(HLOOKUP("Gs",A1:CV300,150,FALSE)=0,0,HLOOKUP("Gs - Open",A1:CV300,150,FALSE)/HLOOKUP("Gs",A1:CV300,150,FALSE))</f>
      </c>
      <c r="AS150" t="n" s="27815">
        <v>0.13</v>
      </c>
      <c r="AT150" t="n" s="27816">
        <v>0.08</v>
      </c>
      <c r="AU150" s="27817">
        <f>IF(HLOOKUP("Mins",A1:CV300,150,FALSE)=0,0,HLOOKUP("Pts",A1:CV300,150,FALSE)/HLOOKUP("Mins",A1:CV300,150,FALSE)* 90)</f>
      </c>
      <c r="AV150" s="27818">
        <f>IF(HLOOKUP("Apps",A1:CV300,150,FALSE)=0,0,HLOOKUP("Pts",A1:CV300,150,FALSE)/HLOOKUP("Apps",A1:CV300,150,FALSE)* 1)</f>
      </c>
      <c r="AW150" s="27819">
        <f>IF(HLOOKUP("Mins",A1:CV300,150,FALSE)=0,0,HLOOKUP("Gs",A1:CV300,150,FALSE)/HLOOKUP("Mins",A1:CV300,150,FALSE)* 90)</f>
      </c>
      <c r="AX150" s="27820">
        <f>IF(HLOOKUP("Mins",A1:CV300,150,FALSE)=0,0,HLOOKUP("Bonus",A1:CV300,150,FALSE)/HLOOKUP("Mins",A1:CV300,150,FALSE)* 90)</f>
      </c>
      <c r="AY150" s="27821">
        <f>IF(HLOOKUP("Mins",A1:CV300,150,FALSE)=0,0,HLOOKUP("BPS",A1:CV300,150,FALSE)/HLOOKUP("Mins",A1:CV300,150,FALSE)* 90)</f>
      </c>
      <c r="AZ150" s="27822">
        <f>IF(HLOOKUP("Mins",A1:CV300,150,FALSE)=0,0,HLOOKUP("Base BPS",A1:CV300,150,FALSE)/HLOOKUP("Mins",A1:CV300,150,FALSE)* 90)</f>
      </c>
      <c r="BA150" s="27823">
        <f>IF(HLOOKUP("Mins",A1:CV300,150,FALSE)=0,0,HLOOKUP("PenTchs",A1:CV300,150,FALSE)/HLOOKUP("Mins",A1:CV300,150,FALSE)* 90)</f>
      </c>
      <c r="BB150" s="27824">
        <f>IF(HLOOKUP("Mins",A1:CV300,150,FALSE)=0,0,HLOOKUP("Shots",A1:CV300,150,FALSE)/HLOOKUP("Mins",A1:CV300,150,FALSE)* 90)</f>
      </c>
      <c r="BC150" s="27825">
        <f>IF(HLOOKUP("Mins",A1:CV300,150,FALSE)=0,0,HLOOKUP("SIB",A1:CV300,150,FALSE)/HLOOKUP("Mins",A1:CV300,150,FALSE)* 90)</f>
      </c>
      <c r="BD150" s="27826">
        <f>IF(HLOOKUP("Mins",A1:CV300,150,FALSE)=0,0,HLOOKUP("S6YD",A1:CV300,150,FALSE)/HLOOKUP("Mins",A1:CV300,150,FALSE)* 90)</f>
      </c>
      <c r="BE150" s="27827">
        <f>IF(HLOOKUP("Mins",A1:CV300,150,FALSE)=0,0,HLOOKUP("Headers",A1:CV300,150,FALSE)/HLOOKUP("Mins",A1:CV300,150,FALSE)* 90)</f>
      </c>
      <c r="BF150" s="27828">
        <f>IF(HLOOKUP("Mins",A1:CV300,150,FALSE)=0,0,HLOOKUP("SOT",A1:CV300,150,FALSE)/HLOOKUP("Mins",A1:CV300,150,FALSE)* 90)</f>
      </c>
      <c r="BG150" s="27829">
        <f>IF(HLOOKUP("Mins",A1:CV300,150,FALSE)=0,0,HLOOKUP("As",A1:CV300,150,FALSE)/HLOOKUP("Mins",A1:CV300,150,FALSE)* 90)</f>
      </c>
      <c r="BH150" s="27830">
        <f>IF(HLOOKUP("Mins",A1:CV300,150,FALSE)=0,0,HLOOKUP("FPL As",A1:CV300,150,FALSE)/HLOOKUP("Mins",A1:CV300,150,FALSE)* 90)</f>
      </c>
      <c r="BI150" s="27831">
        <f>IF(HLOOKUP("Mins",A1:CV300,150,FALSE)=0,0,HLOOKUP("BC Created",A1:CV300,150,FALSE)/HLOOKUP("Mins",A1:CV300,150,FALSE)* 90)</f>
      </c>
      <c r="BJ150" s="27832">
        <f>IF(HLOOKUP("Mins",A1:CV300,150,FALSE)=0,0,HLOOKUP("KP",A1:CV300,150,FALSE)/HLOOKUP("Mins",A1:CV300,150,FALSE)* 90)</f>
      </c>
      <c r="BK150" s="27833">
        <f>IF(HLOOKUP("Mins",A1:CV300,150,FALSE)=0,0,HLOOKUP("BC",A1:CV300,150,FALSE)/HLOOKUP("Mins",A1:CV300,150,FALSE)* 90)</f>
      </c>
      <c r="BL150" s="27834">
        <f>IF(HLOOKUP("Mins",A1:CV300,150,FALSE)=0,0,HLOOKUP("BC Miss",A1:CV300,150,FALSE)/HLOOKUP("Mins",A1:CV300,150,FALSE)* 90)</f>
      </c>
      <c r="BM150" s="27835">
        <f>IF(HLOOKUP("Mins",A1:CV300,150,FALSE)=0,0,HLOOKUP("Gs - BC",A1:CV300,150,FALSE)/HLOOKUP("Mins",A1:CV300,150,FALSE)* 90)</f>
      </c>
      <c r="BN150" s="27836">
        <f>IF(HLOOKUP("Mins",A1:CV300,150,FALSE)=0,0,HLOOKUP("GIB",A1:CV300,150,FALSE)/HLOOKUP("Mins",A1:CV300,150,FALSE)* 90)</f>
      </c>
      <c r="BO150" s="27837">
        <f>IF(HLOOKUP("Mins",A1:CV300,150,FALSE)=0,0,HLOOKUP("Gs - Open",A1:CV300,150,FALSE)/HLOOKUP("Mins",A1:CV300,150,FALSE)* 90)</f>
      </c>
      <c r="BP150" s="27838">
        <f>IF(HLOOKUP("Mins",A1:CV300,150,FALSE)=0,0,HLOOKUP("ICT Index",A1:CV300,150,FALSE)/HLOOKUP("Mins",A1:CV300,150,FALSE)* 90)</f>
      </c>
      <c r="BQ150" s="27839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</c>
      <c r="BR150" s="27840">
        <f>0.0885*HLOOKUP("KP/90",A1:CV300,150,FALSE)</f>
      </c>
      <c r="BS150" s="27841">
        <f>5*HLOOKUP("xG/90",A1:CV300,150,FALSE)+3*HLOOKUP("xA/90",A1:CV300,150,FALSE)</f>
      </c>
      <c r="BT150" s="27842">
        <f>HLOOKUP("xPts/90",A1:CV300,150,FALSE)-(5*0.75*(HLOOKUP("PK Gs",A1:CV300,150,FALSE)+HLOOKUP("PK Miss",A1:CV300,150,FALSE))*90/HLOOKUP("Mins",A1:CV300,150,FALSE))</f>
      </c>
      <c r="BU150" s="27843">
        <f>IF(HLOOKUP("Mins",A1:CV300,150,FALSE)=0,0,HLOOKUP("fsXG",A1:CV300,150,FALSE)/HLOOKUP("Mins",A1:CV300,150,FALSE)* 90)</f>
      </c>
      <c r="BV150" s="27844">
        <f>IF(HLOOKUP("Mins",A1:CV300,150,FALSE)=0,0,HLOOKUP("fsXA",A1:CV300,150,FALSE)/HLOOKUP("Mins",A1:CV300,150,FALSE)* 90)</f>
      </c>
      <c r="BW150" s="27845">
        <f>5*HLOOKUP("fsXG/90",A1:CV300,150,FALSE)+3*HLOOKUP("fsXA/90",A1:CV300,150,FALSE)</f>
      </c>
      <c r="BX150" t="n" s="27846">
        <v>0.02434304729104042</v>
      </c>
      <c r="BY150" t="n" s="27847">
        <v>0.0</v>
      </c>
      <c r="BZ150" s="27848">
        <f>5*HLOOKUP("uXG/90",A1:CV300,150,FALSE)+3*HLOOKUP("uXA/90",A1:CV300,150,FALSE)</f>
      </c>
    </row>
    <row r="151">
      <c r="A151" t="s" s="27849">
        <v>454</v>
      </c>
      <c r="B151" t="s" s="27850">
        <v>149</v>
      </c>
      <c r="C151" t="n" s="27851">
        <v>5.300000190734863</v>
      </c>
      <c r="D151" t="n" s="27852">
        <v>384.0</v>
      </c>
      <c r="E151" t="n" s="27853">
        <v>5.0</v>
      </c>
      <c r="F151" t="n" s="27854">
        <v>45.0</v>
      </c>
      <c r="G151" t="n" s="27855">
        <v>1.0</v>
      </c>
      <c r="H151" t="n" s="27856">
        <v>3.0</v>
      </c>
      <c r="I151" t="n" s="27857">
        <v>172.0</v>
      </c>
      <c r="J151" s="27858">
        <f>HLOOKUP("BPS",A1:CV300,151,FALSE)-((-6*HLOOKUP("OG",A1:CV300,151,FALSE))+(-6*HLOOKUP("PK Miss",A1:CV300,151,FALSE))+(9*HLOOKUP("FPL As",A1:CV300,151,FALSE))+(0*HLOOKUP("CS",A1:CV300,151,FALSE))+(18*HLOOKUP("Gs",A1:CV300,151,FALSE)))</f>
      </c>
      <c r="K151" t="n" s="27859">
        <v>0.0</v>
      </c>
      <c r="L151" t="n" s="27860">
        <v>2.0</v>
      </c>
      <c r="M151" t="n" s="27861">
        <v>27.0</v>
      </c>
      <c r="N151" t="n" s="27862">
        <v>7.0</v>
      </c>
      <c r="O151" t="n" s="27863">
        <v>5.0</v>
      </c>
      <c r="P151" s="27864">
        <f>IF(HLOOKUP("Shots",A1:CV300,151,FALSE)=0,0,HLOOKUP("SIB",A1:CV300,151,FALSE)/HLOOKUP("Shots",A1:CV300,151,FALSE))</f>
      </c>
      <c r="Q151" t="n" s="27865">
        <v>1.0</v>
      </c>
      <c r="R151" s="27866">
        <f>IF(HLOOKUP("Shots",A1:CV300,151,FALSE)=0,0,HLOOKUP("S6YD",A1:CV300,151,FALSE)/HLOOKUP("Shots",A1:CV300,151,FALSE))</f>
      </c>
      <c r="S151" t="n" s="27867">
        <v>0.0</v>
      </c>
      <c r="T151" s="27868">
        <f>IF(HLOOKUP("Shots",A1:CV300,151,FALSE)=0,0,HLOOKUP("Headers",A1:CV300,151,FALSE)/HLOOKUP("Shots",A1:CV300,151,FALSE))</f>
      </c>
      <c r="U151" t="n" s="27869">
        <v>2.0</v>
      </c>
      <c r="V151" s="27870">
        <f>IF(HLOOKUP("Shots",A1:CV300,151,FALSE)=0,0,HLOOKUP("SOT",A1:CV300,151,FALSE)/HLOOKUP("Shots",A1:CV300,151,FALSE))</f>
      </c>
      <c r="W151" s="27871">
        <f>IF(HLOOKUP("Shots",A1:CV300,151,FALSE)=0,0,HLOOKUP("Gs",A1:CV300,151,FALSE)/HLOOKUP("Shots",A1:CV300,151,FALSE))</f>
      </c>
      <c r="X151" t="n" s="27872">
        <v>1.0</v>
      </c>
      <c r="Y151" t="n" s="27873">
        <v>4.0</v>
      </c>
      <c r="Z151" t="n" s="27874">
        <v>7.0</v>
      </c>
      <c r="AA151" s="27875">
        <f>IF(HLOOKUP("KP",A1:CV300,151,FALSE)=0,0,HLOOKUP("As",A1:CV300,151,FALSE)/HLOOKUP("KP",A1:CV300,151,FALSE))</f>
      </c>
      <c r="AB151" s="27876"/>
      <c r="AC151" t="n" s="27877">
        <v>29.0</v>
      </c>
      <c r="AD151" t="n" s="27878">
        <v>2.0</v>
      </c>
      <c r="AE151" t="n" s="27879">
        <v>1.0</v>
      </c>
      <c r="AF151" t="n" s="27880">
        <v>0.0</v>
      </c>
      <c r="AG151" s="27881">
        <f>IF(HLOOKUP("BC",A1:CV300,151,FALSE)=0,0,HLOOKUP("Gs - BC",A1:CV300,151,FALSE)/HLOOKUP("BC",A1:CV300,151,FALSE))</f>
      </c>
      <c r="AH151" s="27882">
        <f>HLOOKUP("BC",A1:CV300,151,FALSE) - HLOOKUP("BC Miss",A1:CV300,151,FALSE)</f>
      </c>
      <c r="AI151" s="27883">
        <f>IF(HLOOKUP("Gs",A1:CV300,151,FALSE)=0,0,HLOOKUP("Gs - BC",A1:CV300,151,FALSE)/HLOOKUP("Gs",A1:CV300,151,FALSE))</f>
      </c>
      <c r="AJ151" t="n" s="27884">
        <v>0.0</v>
      </c>
      <c r="AK151" t="n" s="27885">
        <v>0.0</v>
      </c>
      <c r="AL151" s="27886">
        <f>HLOOKUP("BC",A1:CV300,151,FALSE) - (HLOOKUP("PK Gs",A1:CV300,151,FALSE) + HLOOKUP("PK Miss",A1:CV300,151,FALSE))</f>
      </c>
      <c r="AM151" s="27887">
        <f>HLOOKUP("BC Miss",A1:CV300,151,FALSE) - HLOOKUP("PK Miss",A1:CV300,151,FALSE)</f>
      </c>
      <c r="AN151" s="27888">
        <f>IF(HLOOKUP("BC - Open",A1:CV300,151,FALSE)=0,0,HLOOKUP("BC - Open Miss",A1:CV300,151,FALSE)/HLOOKUP("BC - Open",A1:CV300,151,FALSE))</f>
      </c>
      <c r="AO151" t="n" s="27889">
        <v>1.0</v>
      </c>
      <c r="AP151" s="27890">
        <f>IF(HLOOKUP("Gs",A1:CV300,151,FALSE)=0,0,HLOOKUP("GIB",A1:CV300,151,FALSE)/HLOOKUP("Gs",A1:CV300,151,FALSE))</f>
      </c>
      <c r="AQ151" t="n" s="27891">
        <v>1.0</v>
      </c>
      <c r="AR151" s="27892">
        <f>IF(HLOOKUP("Gs",A1:CV300,151,FALSE)=0,0,HLOOKUP("Gs - Open",A1:CV300,151,FALSE)/HLOOKUP("Gs",A1:CV300,151,FALSE))</f>
      </c>
      <c r="AS151" t="n" s="27893">
        <v>1.08</v>
      </c>
      <c r="AT151" t="n" s="27894">
        <v>0.96</v>
      </c>
      <c r="AU151" s="27895">
        <f>IF(HLOOKUP("Mins",A1:CV300,151,FALSE)=0,0,HLOOKUP("Pts",A1:CV300,151,FALSE)/HLOOKUP("Mins",A1:CV300,151,FALSE)* 90)</f>
      </c>
      <c r="AV151" s="27896">
        <f>IF(HLOOKUP("Apps",A1:CV300,151,FALSE)=0,0,HLOOKUP("Pts",A1:CV300,151,FALSE)/HLOOKUP("Apps",A1:CV300,151,FALSE)* 1)</f>
      </c>
      <c r="AW151" s="27897">
        <f>IF(HLOOKUP("Mins",A1:CV300,151,FALSE)=0,0,HLOOKUP("Gs",A1:CV300,151,FALSE)/HLOOKUP("Mins",A1:CV300,151,FALSE)* 90)</f>
      </c>
      <c r="AX151" s="27898">
        <f>IF(HLOOKUP("Mins",A1:CV300,151,FALSE)=0,0,HLOOKUP("Bonus",A1:CV300,151,FALSE)/HLOOKUP("Mins",A1:CV300,151,FALSE)* 90)</f>
      </c>
      <c r="AY151" s="27899">
        <f>IF(HLOOKUP("Mins",A1:CV300,151,FALSE)=0,0,HLOOKUP("BPS",A1:CV300,151,FALSE)/HLOOKUP("Mins",A1:CV300,151,FALSE)* 90)</f>
      </c>
      <c r="AZ151" s="27900">
        <f>IF(HLOOKUP("Mins",A1:CV300,151,FALSE)=0,0,HLOOKUP("Base BPS",A1:CV300,151,FALSE)/HLOOKUP("Mins",A1:CV300,151,FALSE)* 90)</f>
      </c>
      <c r="BA151" s="27901">
        <f>IF(HLOOKUP("Mins",A1:CV300,151,FALSE)=0,0,HLOOKUP("PenTchs",A1:CV300,151,FALSE)/HLOOKUP("Mins",A1:CV300,151,FALSE)* 90)</f>
      </c>
      <c r="BB151" s="27902">
        <f>IF(HLOOKUP("Mins",A1:CV300,151,FALSE)=0,0,HLOOKUP("Shots",A1:CV300,151,FALSE)/HLOOKUP("Mins",A1:CV300,151,FALSE)* 90)</f>
      </c>
      <c r="BC151" s="27903">
        <f>IF(HLOOKUP("Mins",A1:CV300,151,FALSE)=0,0,HLOOKUP("SIB",A1:CV300,151,FALSE)/HLOOKUP("Mins",A1:CV300,151,FALSE)* 90)</f>
      </c>
      <c r="BD151" s="27904">
        <f>IF(HLOOKUP("Mins",A1:CV300,151,FALSE)=0,0,HLOOKUP("S6YD",A1:CV300,151,FALSE)/HLOOKUP("Mins",A1:CV300,151,FALSE)* 90)</f>
      </c>
      <c r="BE151" s="27905">
        <f>IF(HLOOKUP("Mins",A1:CV300,151,FALSE)=0,0,HLOOKUP("Headers",A1:CV300,151,FALSE)/HLOOKUP("Mins",A1:CV300,151,FALSE)* 90)</f>
      </c>
      <c r="BF151" s="27906">
        <f>IF(HLOOKUP("Mins",A1:CV300,151,FALSE)=0,0,HLOOKUP("SOT",A1:CV300,151,FALSE)/HLOOKUP("Mins",A1:CV300,151,FALSE)* 90)</f>
      </c>
      <c r="BG151" s="27907">
        <f>IF(HLOOKUP("Mins",A1:CV300,151,FALSE)=0,0,HLOOKUP("As",A1:CV300,151,FALSE)/HLOOKUP("Mins",A1:CV300,151,FALSE)* 90)</f>
      </c>
      <c r="BH151" s="27908">
        <f>IF(HLOOKUP("Mins",A1:CV300,151,FALSE)=0,0,HLOOKUP("FPL As",A1:CV300,151,FALSE)/HLOOKUP("Mins",A1:CV300,151,FALSE)* 90)</f>
      </c>
      <c r="BI151" s="27909">
        <f>IF(HLOOKUP("Mins",A1:CV300,151,FALSE)=0,0,HLOOKUP("BC Created",A1:CV300,151,FALSE)/HLOOKUP("Mins",A1:CV300,151,FALSE)* 90)</f>
      </c>
      <c r="BJ151" s="27910">
        <f>IF(HLOOKUP("Mins",A1:CV300,151,FALSE)=0,0,HLOOKUP("KP",A1:CV300,151,FALSE)/HLOOKUP("Mins",A1:CV300,151,FALSE)* 90)</f>
      </c>
      <c r="BK151" s="27911">
        <f>IF(HLOOKUP("Mins",A1:CV300,151,FALSE)=0,0,HLOOKUP("BC",A1:CV300,151,FALSE)/HLOOKUP("Mins",A1:CV300,151,FALSE)* 90)</f>
      </c>
      <c r="BL151" s="27912">
        <f>IF(HLOOKUP("Mins",A1:CV300,151,FALSE)=0,0,HLOOKUP("BC Miss",A1:CV300,151,FALSE)/HLOOKUP("Mins",A1:CV300,151,FALSE)* 90)</f>
      </c>
      <c r="BM151" s="27913">
        <f>IF(HLOOKUP("Mins",A1:CV300,151,FALSE)=0,0,HLOOKUP("Gs - BC",A1:CV300,151,FALSE)/HLOOKUP("Mins",A1:CV300,151,FALSE)* 90)</f>
      </c>
      <c r="BN151" s="27914">
        <f>IF(HLOOKUP("Mins",A1:CV300,151,FALSE)=0,0,HLOOKUP("GIB",A1:CV300,151,FALSE)/HLOOKUP("Mins",A1:CV300,151,FALSE)* 90)</f>
      </c>
      <c r="BO151" s="27915">
        <f>IF(HLOOKUP("Mins",A1:CV300,151,FALSE)=0,0,HLOOKUP("Gs - Open",A1:CV300,151,FALSE)/HLOOKUP("Mins",A1:CV300,151,FALSE)* 90)</f>
      </c>
      <c r="BP151" s="27916">
        <f>IF(HLOOKUP("Mins",A1:CV300,151,FALSE)=0,0,HLOOKUP("ICT Index",A1:CV300,151,FALSE)/HLOOKUP("Mins",A1:CV300,151,FALSE)* 90)</f>
      </c>
      <c r="BQ151" s="27917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</c>
      <c r="BR151" s="27918">
        <f>0.0885*HLOOKUP("KP/90",A1:CV300,151,FALSE)</f>
      </c>
      <c r="BS151" s="27919">
        <f>5*HLOOKUP("xG/90",A1:CV300,151,FALSE)+3*HLOOKUP("xA/90",A1:CV300,151,FALSE)</f>
      </c>
      <c r="BT151" s="27920">
        <f>HLOOKUP("xPts/90",A1:CV300,151,FALSE)-(5*0.75*(HLOOKUP("PK Gs",A1:CV300,151,FALSE)+HLOOKUP("PK Miss",A1:CV300,151,FALSE))*90/HLOOKUP("Mins",A1:CV300,151,FALSE))</f>
      </c>
      <c r="BU151" s="27921">
        <f>IF(HLOOKUP("Mins",A1:CV300,151,FALSE)=0,0,HLOOKUP("fsXG",A1:CV300,151,FALSE)/HLOOKUP("Mins",A1:CV300,151,FALSE)* 90)</f>
      </c>
      <c r="BV151" s="27922">
        <f>IF(HLOOKUP("Mins",A1:CV300,151,FALSE)=0,0,HLOOKUP("fsXA",A1:CV300,151,FALSE)/HLOOKUP("Mins",A1:CV300,151,FALSE)* 90)</f>
      </c>
      <c r="BW151" s="27923">
        <f>5*HLOOKUP("fsXG/90",A1:CV300,151,FALSE)+3*HLOOKUP("fsXA/90",A1:CV300,151,FALSE)</f>
      </c>
      <c r="BX151" t="n" s="27924">
        <v>0.2299855649471283</v>
      </c>
      <c r="BY151" t="n" s="27925">
        <v>0.22588206827640533</v>
      </c>
      <c r="BZ151" s="27926">
        <f>5*HLOOKUP("uXG/90",A1:CV300,151,FALSE)+3*HLOOKUP("uXA/90",A1:CV300,151,FALSE)</f>
      </c>
    </row>
    <row r="152">
      <c r="A152" t="s" s="27927">
        <v>455</v>
      </c>
      <c r="B152" t="s" s="27928">
        <v>134</v>
      </c>
      <c r="C152" t="n" s="27929">
        <v>5.5</v>
      </c>
      <c r="D152" t="n" s="27930">
        <v>628.0</v>
      </c>
      <c r="E152" t="n" s="27931">
        <v>7.0</v>
      </c>
      <c r="F152" t="n" s="27932">
        <v>99.0</v>
      </c>
      <c r="G152" t="n" s="27933">
        <v>2.0</v>
      </c>
      <c r="H152" t="n" s="27934">
        <v>9.0</v>
      </c>
      <c r="I152" t="n" s="27935">
        <v>453.0</v>
      </c>
      <c r="J152" s="27936">
        <f>HLOOKUP("BPS",A1:CV300,152,FALSE)-((-6*HLOOKUP("OG",A1:CV300,152,FALSE))+(-6*HLOOKUP("PK Miss",A1:CV300,152,FALSE))+(9*HLOOKUP("FPL As",A1:CV300,152,FALSE))+(0*HLOOKUP("CS",A1:CV300,152,FALSE))+(18*HLOOKUP("Gs",A1:CV300,152,FALSE)))</f>
      </c>
      <c r="K152" t="n" s="27937">
        <v>0.0</v>
      </c>
      <c r="L152" t="n" s="27938">
        <v>14.0</v>
      </c>
      <c r="M152" t="n" s="27939">
        <v>14.0</v>
      </c>
      <c r="N152" t="n" s="27940">
        <v>7.0</v>
      </c>
      <c r="O152" t="n" s="27941">
        <v>2.0</v>
      </c>
      <c r="P152" s="27942">
        <f>IF(HLOOKUP("Shots",A1:CV300,152,FALSE)=0,0,HLOOKUP("SIB",A1:CV300,152,FALSE)/HLOOKUP("Shots",A1:CV300,152,FALSE))</f>
      </c>
      <c r="Q152" t="n" s="27943">
        <v>0.0</v>
      </c>
      <c r="R152" s="27944">
        <f>IF(HLOOKUP("Shots",A1:CV300,152,FALSE)=0,0,HLOOKUP("S6YD",A1:CV300,152,FALSE)/HLOOKUP("Shots",A1:CV300,152,FALSE))</f>
      </c>
      <c r="S152" t="n" s="27945">
        <v>1.0</v>
      </c>
      <c r="T152" s="27946">
        <f>IF(HLOOKUP("Shots",A1:CV300,152,FALSE)=0,0,HLOOKUP("Headers",A1:CV300,152,FALSE)/HLOOKUP("Shots",A1:CV300,152,FALSE))</f>
      </c>
      <c r="U152" t="n" s="27947">
        <v>3.0</v>
      </c>
      <c r="V152" s="27948">
        <f>IF(HLOOKUP("Shots",A1:CV300,152,FALSE)=0,0,HLOOKUP("SOT",A1:CV300,152,FALSE)/HLOOKUP("Shots",A1:CV300,152,FALSE))</f>
      </c>
      <c r="W152" s="27949">
        <f>IF(HLOOKUP("Shots",A1:CV300,152,FALSE)=0,0,HLOOKUP("Gs",A1:CV300,152,FALSE)/HLOOKUP("Shots",A1:CV300,152,FALSE))</f>
      </c>
      <c r="X152" t="n" s="27950">
        <v>3.0</v>
      </c>
      <c r="Y152" t="n" s="27951">
        <v>5.0</v>
      </c>
      <c r="Z152" t="n" s="27952">
        <v>13.0</v>
      </c>
      <c r="AA152" s="27953">
        <f>IF(HLOOKUP("KP",A1:CV300,152,FALSE)=0,0,HLOOKUP("As",A1:CV300,152,FALSE)/HLOOKUP("KP",A1:CV300,152,FALSE))</f>
      </c>
      <c r="AB152" s="27954"/>
      <c r="AC152" t="n" s="27955">
        <v>38.0</v>
      </c>
      <c r="AD152" t="n" s="27956">
        <v>2.0</v>
      </c>
      <c r="AE152" t="n" s="27957">
        <v>0.0</v>
      </c>
      <c r="AF152" t="n" s="27958">
        <v>0.0</v>
      </c>
      <c r="AG152" s="27959">
        <f>IF(HLOOKUP("BC",A1:CV300,152,FALSE)=0,0,HLOOKUP("Gs - BC",A1:CV300,152,FALSE)/HLOOKUP("BC",A1:CV300,152,FALSE))</f>
      </c>
      <c r="AH152" s="27960">
        <f>HLOOKUP("BC",A1:CV300,152,FALSE) - HLOOKUP("BC Miss",A1:CV300,152,FALSE)</f>
      </c>
      <c r="AI152" s="27961">
        <f>IF(HLOOKUP("Gs",A1:CV300,152,FALSE)=0,0,HLOOKUP("Gs - BC",A1:CV300,152,FALSE)/HLOOKUP("Gs",A1:CV300,152,FALSE))</f>
      </c>
      <c r="AJ152" t="n" s="27962">
        <v>0.0</v>
      </c>
      <c r="AK152" t="n" s="27963">
        <v>0.0</v>
      </c>
      <c r="AL152" s="27964">
        <f>HLOOKUP("BC",A1:CV300,152,FALSE) - (HLOOKUP("PK Gs",A1:CV300,152,FALSE) + HLOOKUP("PK Miss",A1:CV300,152,FALSE))</f>
      </c>
      <c r="AM152" s="27965">
        <f>HLOOKUP("BC Miss",A1:CV300,152,FALSE) - HLOOKUP("PK Miss",A1:CV300,152,FALSE)</f>
      </c>
      <c r="AN152" s="27966">
        <f>IF(HLOOKUP("BC - Open",A1:CV300,152,FALSE)=0,0,HLOOKUP("BC - Open Miss",A1:CV300,152,FALSE)/HLOOKUP("BC - Open",A1:CV300,152,FALSE))</f>
      </c>
      <c r="AO152" t="n" s="27967">
        <v>2.0</v>
      </c>
      <c r="AP152" s="27968">
        <f>IF(HLOOKUP("Gs",A1:CV300,152,FALSE)=0,0,HLOOKUP("GIB",A1:CV300,152,FALSE)/HLOOKUP("Gs",A1:CV300,152,FALSE))</f>
      </c>
      <c r="AQ152" t="n" s="27969">
        <v>1.0</v>
      </c>
      <c r="AR152" s="27970">
        <f>IF(HLOOKUP("Gs",A1:CV300,152,FALSE)=0,0,HLOOKUP("Gs - Open",A1:CV300,152,FALSE)/HLOOKUP("Gs",A1:CV300,152,FALSE))</f>
      </c>
      <c r="AS152" t="n" s="27971">
        <v>0.4</v>
      </c>
      <c r="AT152" t="n" s="27972">
        <v>1.2</v>
      </c>
      <c r="AU152" s="27973">
        <f>IF(HLOOKUP("Mins",A1:CV300,152,FALSE)=0,0,HLOOKUP("Pts",A1:CV300,152,FALSE)/HLOOKUP("Mins",A1:CV300,152,FALSE)* 90)</f>
      </c>
      <c r="AV152" s="27974">
        <f>IF(HLOOKUP("Apps",A1:CV300,152,FALSE)=0,0,HLOOKUP("Pts",A1:CV300,152,FALSE)/HLOOKUP("Apps",A1:CV300,152,FALSE)* 1)</f>
      </c>
      <c r="AW152" s="27975">
        <f>IF(HLOOKUP("Mins",A1:CV300,152,FALSE)=0,0,HLOOKUP("Gs",A1:CV300,152,FALSE)/HLOOKUP("Mins",A1:CV300,152,FALSE)* 90)</f>
      </c>
      <c r="AX152" s="27976">
        <f>IF(HLOOKUP("Mins",A1:CV300,152,FALSE)=0,0,HLOOKUP("Bonus",A1:CV300,152,FALSE)/HLOOKUP("Mins",A1:CV300,152,FALSE)* 90)</f>
      </c>
      <c r="AY152" s="27977">
        <f>IF(HLOOKUP("Mins",A1:CV300,152,FALSE)=0,0,HLOOKUP("BPS",A1:CV300,152,FALSE)/HLOOKUP("Mins",A1:CV300,152,FALSE)* 90)</f>
      </c>
      <c r="AZ152" s="27978">
        <f>IF(HLOOKUP("Mins",A1:CV300,152,FALSE)=0,0,HLOOKUP("Base BPS",A1:CV300,152,FALSE)/HLOOKUP("Mins",A1:CV300,152,FALSE)* 90)</f>
      </c>
      <c r="BA152" s="27979">
        <f>IF(HLOOKUP("Mins",A1:CV300,152,FALSE)=0,0,HLOOKUP("PenTchs",A1:CV300,152,FALSE)/HLOOKUP("Mins",A1:CV300,152,FALSE)* 90)</f>
      </c>
      <c r="BB152" s="27980">
        <f>IF(HLOOKUP("Mins",A1:CV300,152,FALSE)=0,0,HLOOKUP("Shots",A1:CV300,152,FALSE)/HLOOKUP("Mins",A1:CV300,152,FALSE)* 90)</f>
      </c>
      <c r="BC152" s="27981">
        <f>IF(HLOOKUP("Mins",A1:CV300,152,FALSE)=0,0,HLOOKUP("SIB",A1:CV300,152,FALSE)/HLOOKUP("Mins",A1:CV300,152,FALSE)* 90)</f>
      </c>
      <c r="BD152" s="27982">
        <f>IF(HLOOKUP("Mins",A1:CV300,152,FALSE)=0,0,HLOOKUP("S6YD",A1:CV300,152,FALSE)/HLOOKUP("Mins",A1:CV300,152,FALSE)* 90)</f>
      </c>
      <c r="BE152" s="27983">
        <f>IF(HLOOKUP("Mins",A1:CV300,152,FALSE)=0,0,HLOOKUP("Headers",A1:CV300,152,FALSE)/HLOOKUP("Mins",A1:CV300,152,FALSE)* 90)</f>
      </c>
      <c r="BF152" s="27984">
        <f>IF(HLOOKUP("Mins",A1:CV300,152,FALSE)=0,0,HLOOKUP("SOT",A1:CV300,152,FALSE)/HLOOKUP("Mins",A1:CV300,152,FALSE)* 90)</f>
      </c>
      <c r="BG152" s="27985">
        <f>IF(HLOOKUP("Mins",A1:CV300,152,FALSE)=0,0,HLOOKUP("As",A1:CV300,152,FALSE)/HLOOKUP("Mins",A1:CV300,152,FALSE)* 90)</f>
      </c>
      <c r="BH152" s="27986">
        <f>IF(HLOOKUP("Mins",A1:CV300,152,FALSE)=0,0,HLOOKUP("FPL As",A1:CV300,152,FALSE)/HLOOKUP("Mins",A1:CV300,152,FALSE)* 90)</f>
      </c>
      <c r="BI152" s="27987">
        <f>IF(HLOOKUP("Mins",A1:CV300,152,FALSE)=0,0,HLOOKUP("BC Created",A1:CV300,152,FALSE)/HLOOKUP("Mins",A1:CV300,152,FALSE)* 90)</f>
      </c>
      <c r="BJ152" s="27988">
        <f>IF(HLOOKUP("Mins",A1:CV300,152,FALSE)=0,0,HLOOKUP("KP",A1:CV300,152,FALSE)/HLOOKUP("Mins",A1:CV300,152,FALSE)* 90)</f>
      </c>
      <c r="BK152" s="27989">
        <f>IF(HLOOKUP("Mins",A1:CV300,152,FALSE)=0,0,HLOOKUP("BC",A1:CV300,152,FALSE)/HLOOKUP("Mins",A1:CV300,152,FALSE)* 90)</f>
      </c>
      <c r="BL152" s="27990">
        <f>IF(HLOOKUP("Mins",A1:CV300,152,FALSE)=0,0,HLOOKUP("BC Miss",A1:CV300,152,FALSE)/HLOOKUP("Mins",A1:CV300,152,FALSE)* 90)</f>
      </c>
      <c r="BM152" s="27991">
        <f>IF(HLOOKUP("Mins",A1:CV300,152,FALSE)=0,0,HLOOKUP("Gs - BC",A1:CV300,152,FALSE)/HLOOKUP("Mins",A1:CV300,152,FALSE)* 90)</f>
      </c>
      <c r="BN152" s="27992">
        <f>IF(HLOOKUP("Mins",A1:CV300,152,FALSE)=0,0,HLOOKUP("GIB",A1:CV300,152,FALSE)/HLOOKUP("Mins",A1:CV300,152,FALSE)* 90)</f>
      </c>
      <c r="BO152" s="27993">
        <f>IF(HLOOKUP("Mins",A1:CV300,152,FALSE)=0,0,HLOOKUP("Gs - Open",A1:CV300,152,FALSE)/HLOOKUP("Mins",A1:CV300,152,FALSE)* 90)</f>
      </c>
      <c r="BP152" s="27994">
        <f>IF(HLOOKUP("Mins",A1:CV300,152,FALSE)=0,0,HLOOKUP("ICT Index",A1:CV300,152,FALSE)/HLOOKUP("Mins",A1:CV300,152,FALSE)* 90)</f>
      </c>
      <c r="BQ152" s="27995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</c>
      <c r="BR152" s="27996">
        <f>0.0885*HLOOKUP("KP/90",A1:CV300,152,FALSE)</f>
      </c>
      <c r="BS152" s="27997">
        <f>5*HLOOKUP("xG/90",A1:CV300,152,FALSE)+3*HLOOKUP("xA/90",A1:CV300,152,FALSE)</f>
      </c>
      <c r="BT152" s="27998">
        <f>HLOOKUP("xPts/90",A1:CV300,152,FALSE)-(5*0.75*(HLOOKUP("PK Gs",A1:CV300,152,FALSE)+HLOOKUP("PK Miss",A1:CV300,152,FALSE))*90/HLOOKUP("Mins",A1:CV300,152,FALSE))</f>
      </c>
      <c r="BU152" s="27999">
        <f>IF(HLOOKUP("Mins",A1:CV300,152,FALSE)=0,0,HLOOKUP("fsXG",A1:CV300,152,FALSE)/HLOOKUP("Mins",A1:CV300,152,FALSE)* 90)</f>
      </c>
      <c r="BV152" s="28000">
        <f>IF(HLOOKUP("Mins",A1:CV300,152,FALSE)=0,0,HLOOKUP("fsXA",A1:CV300,152,FALSE)/HLOOKUP("Mins",A1:CV300,152,FALSE)* 90)</f>
      </c>
      <c r="BW152" s="28001">
        <f>5*HLOOKUP("fsXG/90",A1:CV300,152,FALSE)+3*HLOOKUP("fsXA/90",A1:CV300,152,FALSE)</f>
      </c>
      <c r="BX152" t="n" s="28002">
        <v>0.059891603887081146</v>
      </c>
      <c r="BY152" t="n" s="28003">
        <v>0.25958484411239624</v>
      </c>
      <c r="BZ152" s="28004">
        <f>5*HLOOKUP("uXG/90",A1:CV300,152,FALSE)+3*HLOOKUP("uXA/90",A1:CV300,152,FALSE)</f>
      </c>
    </row>
    <row r="153">
      <c r="A153" t="s" s="28005">
        <v>456</v>
      </c>
      <c r="B153" t="s" s="28006">
        <v>82</v>
      </c>
      <c r="C153" t="n" s="28007">
        <v>4.300000190734863</v>
      </c>
      <c r="D153" t="n" s="28008">
        <v>124.0</v>
      </c>
      <c r="E153" t="n" s="28009">
        <v>2.0</v>
      </c>
      <c r="F153" t="n" s="28010">
        <v>6.0</v>
      </c>
      <c r="G153" t="n" s="28011">
        <v>0.0</v>
      </c>
      <c r="H153" t="n" s="28012">
        <v>0.0</v>
      </c>
      <c r="I153" t="n" s="28013">
        <v>49.0</v>
      </c>
      <c r="J153" s="28014">
        <f>HLOOKUP("BPS",A1:CV300,153,FALSE)-((-6*HLOOKUP("OG",A1:CV300,153,FALSE))+(-6*HLOOKUP("PK Miss",A1:CV300,153,FALSE))+(9*HLOOKUP("FPL As",A1:CV300,153,FALSE))+(0*HLOOKUP("CS",A1:CV300,153,FALSE))+(18*HLOOKUP("Gs",A1:CV300,153,FALSE)))</f>
      </c>
      <c r="K153" t="n" s="28015">
        <v>0.0</v>
      </c>
      <c r="L153" t="n" s="28016">
        <v>0.0</v>
      </c>
      <c r="M153" t="n" s="28017">
        <v>1.0</v>
      </c>
      <c r="N153" t="n" s="28018">
        <v>1.0</v>
      </c>
      <c r="O153" t="n" s="28019">
        <v>0.0</v>
      </c>
      <c r="P153" s="28020">
        <f>IF(HLOOKUP("Shots",A1:CV300,153,FALSE)=0,0,HLOOKUP("SIB",A1:CV300,153,FALSE)/HLOOKUP("Shots",A1:CV300,153,FALSE))</f>
      </c>
      <c r="Q153" t="n" s="28021">
        <v>0.0</v>
      </c>
      <c r="R153" s="28022">
        <f>IF(HLOOKUP("Shots",A1:CV300,153,FALSE)=0,0,HLOOKUP("S6YD",A1:CV300,153,FALSE)/HLOOKUP("Shots",A1:CV300,153,FALSE))</f>
      </c>
      <c r="S153" t="n" s="28023">
        <v>0.0</v>
      </c>
      <c r="T153" s="28024">
        <f>IF(HLOOKUP("Shots",A1:CV300,153,FALSE)=0,0,HLOOKUP("Headers",A1:CV300,153,FALSE)/HLOOKUP("Shots",A1:CV300,153,FALSE))</f>
      </c>
      <c r="U153" t="n" s="28025">
        <v>1.0</v>
      </c>
      <c r="V153" s="28026">
        <f>IF(HLOOKUP("Shots",A1:CV300,153,FALSE)=0,0,HLOOKUP("SOT",A1:CV300,153,FALSE)/HLOOKUP("Shots",A1:CV300,153,FALSE))</f>
      </c>
      <c r="W153" s="28027">
        <f>IF(HLOOKUP("Shots",A1:CV300,153,FALSE)=0,0,HLOOKUP("Gs",A1:CV300,153,FALSE)/HLOOKUP("Shots",A1:CV300,153,FALSE))</f>
      </c>
      <c r="X153" t="n" s="28028">
        <v>0.0</v>
      </c>
      <c r="Y153" t="n" s="28029">
        <v>0.0</v>
      </c>
      <c r="Z153" t="n" s="28030">
        <v>1.0</v>
      </c>
      <c r="AA153" s="28031">
        <f>IF(HLOOKUP("KP",A1:CV300,153,FALSE)=0,0,HLOOKUP("As",A1:CV300,153,FALSE)/HLOOKUP("KP",A1:CV300,153,FALSE))</f>
      </c>
      <c r="AB153" s="28032"/>
      <c r="AC153" t="n" s="28033">
        <v>0.0</v>
      </c>
      <c r="AD153" t="n" s="28034">
        <v>0.0</v>
      </c>
      <c r="AE153" t="n" s="28035">
        <v>0.0</v>
      </c>
      <c r="AF153" t="n" s="28036">
        <v>0.0</v>
      </c>
      <c r="AG153" s="28037">
        <f>IF(HLOOKUP("BC",A1:CV300,153,FALSE)=0,0,HLOOKUP("Gs - BC",A1:CV300,153,FALSE)/HLOOKUP("BC",A1:CV300,153,FALSE))</f>
      </c>
      <c r="AH153" s="28038">
        <f>HLOOKUP("BC",A1:CV300,153,FALSE) - HLOOKUP("BC Miss",A1:CV300,153,FALSE)</f>
      </c>
      <c r="AI153" s="28039">
        <f>IF(HLOOKUP("Gs",A1:CV300,153,FALSE)=0,0,HLOOKUP("Gs - BC",A1:CV300,153,FALSE)/HLOOKUP("Gs",A1:CV300,153,FALSE))</f>
      </c>
      <c r="AJ153" t="n" s="28040">
        <v>0.0</v>
      </c>
      <c r="AK153" t="n" s="28041">
        <v>0.0</v>
      </c>
      <c r="AL153" s="28042">
        <f>HLOOKUP("BC",A1:CV300,153,FALSE) - (HLOOKUP("PK Gs",A1:CV300,153,FALSE) + HLOOKUP("PK Miss",A1:CV300,153,FALSE))</f>
      </c>
      <c r="AM153" s="28043">
        <f>HLOOKUP("BC Miss",A1:CV300,153,FALSE) - HLOOKUP("PK Miss",A1:CV300,153,FALSE)</f>
      </c>
      <c r="AN153" s="28044">
        <f>IF(HLOOKUP("BC - Open",A1:CV300,153,FALSE)=0,0,HLOOKUP("BC - Open Miss",A1:CV300,153,FALSE)/HLOOKUP("BC - Open",A1:CV300,153,FALSE))</f>
      </c>
      <c r="AO153" t="n" s="28045">
        <v>0.0</v>
      </c>
      <c r="AP153" s="28046">
        <f>IF(HLOOKUP("Gs",A1:CV300,153,FALSE)=0,0,HLOOKUP("GIB",A1:CV300,153,FALSE)/HLOOKUP("Gs",A1:CV300,153,FALSE))</f>
      </c>
      <c r="AQ153" t="n" s="28047">
        <v>0.0</v>
      </c>
      <c r="AR153" s="28048">
        <f>IF(HLOOKUP("Gs",A1:CV300,153,FALSE)=0,0,HLOOKUP("Gs - Open",A1:CV300,153,FALSE)/HLOOKUP("Gs",A1:CV300,153,FALSE))</f>
      </c>
      <c r="AS153" t="n" s="28049">
        <v>0.03</v>
      </c>
      <c r="AT153" t="n" s="28050">
        <v>0.02</v>
      </c>
      <c r="AU153" s="28051">
        <f>IF(HLOOKUP("Mins",A1:CV300,153,FALSE)=0,0,HLOOKUP("Pts",A1:CV300,153,FALSE)/HLOOKUP("Mins",A1:CV300,153,FALSE)* 90)</f>
      </c>
      <c r="AV153" s="28052">
        <f>IF(HLOOKUP("Apps",A1:CV300,153,FALSE)=0,0,HLOOKUP("Pts",A1:CV300,153,FALSE)/HLOOKUP("Apps",A1:CV300,153,FALSE)* 1)</f>
      </c>
      <c r="AW153" s="28053">
        <f>IF(HLOOKUP("Mins",A1:CV300,153,FALSE)=0,0,HLOOKUP("Gs",A1:CV300,153,FALSE)/HLOOKUP("Mins",A1:CV300,153,FALSE)* 90)</f>
      </c>
      <c r="AX153" s="28054">
        <f>IF(HLOOKUP("Mins",A1:CV300,153,FALSE)=0,0,HLOOKUP("Bonus",A1:CV300,153,FALSE)/HLOOKUP("Mins",A1:CV300,153,FALSE)* 90)</f>
      </c>
      <c r="AY153" s="28055">
        <f>IF(HLOOKUP("Mins",A1:CV300,153,FALSE)=0,0,HLOOKUP("BPS",A1:CV300,153,FALSE)/HLOOKUP("Mins",A1:CV300,153,FALSE)* 90)</f>
      </c>
      <c r="AZ153" s="28056">
        <f>IF(HLOOKUP("Mins",A1:CV300,153,FALSE)=0,0,HLOOKUP("Base BPS",A1:CV300,153,FALSE)/HLOOKUP("Mins",A1:CV300,153,FALSE)* 90)</f>
      </c>
      <c r="BA153" s="28057">
        <f>IF(HLOOKUP("Mins",A1:CV300,153,FALSE)=0,0,HLOOKUP("PenTchs",A1:CV300,153,FALSE)/HLOOKUP("Mins",A1:CV300,153,FALSE)* 90)</f>
      </c>
      <c r="BB153" s="28058">
        <f>IF(HLOOKUP("Mins",A1:CV300,153,FALSE)=0,0,HLOOKUP("Shots",A1:CV300,153,FALSE)/HLOOKUP("Mins",A1:CV300,153,FALSE)* 90)</f>
      </c>
      <c r="BC153" s="28059">
        <f>IF(HLOOKUP("Mins",A1:CV300,153,FALSE)=0,0,HLOOKUP("SIB",A1:CV300,153,FALSE)/HLOOKUP("Mins",A1:CV300,153,FALSE)* 90)</f>
      </c>
      <c r="BD153" s="28060">
        <f>IF(HLOOKUP("Mins",A1:CV300,153,FALSE)=0,0,HLOOKUP("S6YD",A1:CV300,153,FALSE)/HLOOKUP("Mins",A1:CV300,153,FALSE)* 90)</f>
      </c>
      <c r="BE153" s="28061">
        <f>IF(HLOOKUP("Mins",A1:CV300,153,FALSE)=0,0,HLOOKUP("Headers",A1:CV300,153,FALSE)/HLOOKUP("Mins",A1:CV300,153,FALSE)* 90)</f>
      </c>
      <c r="BF153" s="28062">
        <f>IF(HLOOKUP("Mins",A1:CV300,153,FALSE)=0,0,HLOOKUP("SOT",A1:CV300,153,FALSE)/HLOOKUP("Mins",A1:CV300,153,FALSE)* 90)</f>
      </c>
      <c r="BG153" s="28063">
        <f>IF(HLOOKUP("Mins",A1:CV300,153,FALSE)=0,0,HLOOKUP("As",A1:CV300,153,FALSE)/HLOOKUP("Mins",A1:CV300,153,FALSE)* 90)</f>
      </c>
      <c r="BH153" s="28064">
        <f>IF(HLOOKUP("Mins",A1:CV300,153,FALSE)=0,0,HLOOKUP("FPL As",A1:CV300,153,FALSE)/HLOOKUP("Mins",A1:CV300,153,FALSE)* 90)</f>
      </c>
      <c r="BI153" s="28065">
        <f>IF(HLOOKUP("Mins",A1:CV300,153,FALSE)=0,0,HLOOKUP("BC Created",A1:CV300,153,FALSE)/HLOOKUP("Mins",A1:CV300,153,FALSE)* 90)</f>
      </c>
      <c r="BJ153" s="28066">
        <f>IF(HLOOKUP("Mins",A1:CV300,153,FALSE)=0,0,HLOOKUP("KP",A1:CV300,153,FALSE)/HLOOKUP("Mins",A1:CV300,153,FALSE)* 90)</f>
      </c>
      <c r="BK153" s="28067">
        <f>IF(HLOOKUP("Mins",A1:CV300,153,FALSE)=0,0,HLOOKUP("BC",A1:CV300,153,FALSE)/HLOOKUP("Mins",A1:CV300,153,FALSE)* 90)</f>
      </c>
      <c r="BL153" s="28068">
        <f>IF(HLOOKUP("Mins",A1:CV300,153,FALSE)=0,0,HLOOKUP("BC Miss",A1:CV300,153,FALSE)/HLOOKUP("Mins",A1:CV300,153,FALSE)* 90)</f>
      </c>
      <c r="BM153" s="28069">
        <f>IF(HLOOKUP("Mins",A1:CV300,153,FALSE)=0,0,HLOOKUP("Gs - BC",A1:CV300,153,FALSE)/HLOOKUP("Mins",A1:CV300,153,FALSE)* 90)</f>
      </c>
      <c r="BN153" s="28070">
        <f>IF(HLOOKUP("Mins",A1:CV300,153,FALSE)=0,0,HLOOKUP("GIB",A1:CV300,153,FALSE)/HLOOKUP("Mins",A1:CV300,153,FALSE)* 90)</f>
      </c>
      <c r="BO153" s="28071">
        <f>IF(HLOOKUP("Mins",A1:CV300,153,FALSE)=0,0,HLOOKUP("Gs - Open",A1:CV300,153,FALSE)/HLOOKUP("Mins",A1:CV300,153,FALSE)* 90)</f>
      </c>
      <c r="BP153" s="28072">
        <f>IF(HLOOKUP("Mins",A1:CV300,153,FALSE)=0,0,HLOOKUP("ICT Index",A1:CV300,153,FALSE)/HLOOKUP("Mins",A1:CV300,153,FALSE)* 90)</f>
      </c>
      <c r="BQ153" s="28073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</c>
      <c r="BR153" s="28074">
        <f>0.0885*HLOOKUP("KP/90",A1:CV300,153,FALSE)</f>
      </c>
      <c r="BS153" s="28075">
        <f>5*HLOOKUP("xG/90",A1:CV300,153,FALSE)+3*HLOOKUP("xA/90",A1:CV300,153,FALSE)</f>
      </c>
      <c r="BT153" s="28076">
        <f>HLOOKUP("xPts/90",A1:CV300,153,FALSE)-(5*0.75*(HLOOKUP("PK Gs",A1:CV300,153,FALSE)+HLOOKUP("PK Miss",A1:CV300,153,FALSE))*90/HLOOKUP("Mins",A1:CV300,153,FALSE))</f>
      </c>
      <c r="BU153" s="28077">
        <f>IF(HLOOKUP("Mins",A1:CV300,153,FALSE)=0,0,HLOOKUP("fsXG",A1:CV300,153,FALSE)/HLOOKUP("Mins",A1:CV300,153,FALSE)* 90)</f>
      </c>
      <c r="BV153" s="28078">
        <f>IF(HLOOKUP("Mins",A1:CV300,153,FALSE)=0,0,HLOOKUP("fsXA",A1:CV300,153,FALSE)/HLOOKUP("Mins",A1:CV300,153,FALSE)* 90)</f>
      </c>
      <c r="BW153" s="28079">
        <f>5*HLOOKUP("fsXG/90",A1:CV300,153,FALSE)+3*HLOOKUP("fsXA/90",A1:CV300,153,FALSE)</f>
      </c>
      <c r="BX153" t="n" s="28080">
        <v>0.012122977524995804</v>
      </c>
      <c r="BY153" t="n" s="28081">
        <v>0.010286550037562847</v>
      </c>
      <c r="BZ153" s="28082">
        <f>5*HLOOKUP("uXG/90",A1:CV300,153,FALSE)+3*HLOOKUP("uXA/90",A1:CV300,153,FALSE)</f>
      </c>
    </row>
    <row r="154">
      <c r="A154" t="s" s="28083">
        <v>457</v>
      </c>
      <c r="B154" t="s" s="28084">
        <v>87</v>
      </c>
      <c r="C154" t="n" s="28085">
        <v>4.400000095367432</v>
      </c>
      <c r="D154" t="n" s="28086">
        <v>401.0</v>
      </c>
      <c r="E154" t="n" s="28087">
        <v>6.0</v>
      </c>
      <c r="F154" t="n" s="28088">
        <v>31.0</v>
      </c>
      <c r="G154" t="n" s="28089">
        <v>0.0</v>
      </c>
      <c r="H154" t="n" s="28090">
        <v>0.0</v>
      </c>
      <c r="I154" t="n" s="28091">
        <v>220.0</v>
      </c>
      <c r="J154" s="28092">
        <f>HLOOKUP("BPS",A1:CV300,154,FALSE)-((-6*HLOOKUP("OG",A1:CV300,154,FALSE))+(-6*HLOOKUP("PK Miss",A1:CV300,154,FALSE))+(9*HLOOKUP("FPL As",A1:CV300,154,FALSE))+(0*HLOOKUP("CS",A1:CV300,154,FALSE))+(18*HLOOKUP("Gs",A1:CV300,154,FALSE)))</f>
      </c>
      <c r="K154" t="n" s="28093">
        <v>0.0</v>
      </c>
      <c r="L154" t="n" s="28094">
        <v>1.0</v>
      </c>
      <c r="M154" t="n" s="28095">
        <v>0.0</v>
      </c>
      <c r="N154" t="n" s="28096">
        <v>3.0</v>
      </c>
      <c r="O154" t="n" s="28097">
        <v>0.0</v>
      </c>
      <c r="P154" s="28098">
        <f>IF(HLOOKUP("Shots",A1:CV300,154,FALSE)=0,0,HLOOKUP("SIB",A1:CV300,154,FALSE)/HLOOKUP("Shots",A1:CV300,154,FALSE))</f>
      </c>
      <c r="Q154" t="n" s="28099">
        <v>0.0</v>
      </c>
      <c r="R154" s="28100">
        <f>IF(HLOOKUP("Shots",A1:CV300,154,FALSE)=0,0,HLOOKUP("S6YD",A1:CV300,154,FALSE)/HLOOKUP("Shots",A1:CV300,154,FALSE))</f>
      </c>
      <c r="S154" t="n" s="28101">
        <v>0.0</v>
      </c>
      <c r="T154" s="28102">
        <f>IF(HLOOKUP("Shots",A1:CV300,154,FALSE)=0,0,HLOOKUP("Headers",A1:CV300,154,FALSE)/HLOOKUP("Shots",A1:CV300,154,FALSE))</f>
      </c>
      <c r="U154" t="n" s="28103">
        <v>0.0</v>
      </c>
      <c r="V154" s="28104">
        <f>IF(HLOOKUP("Shots",A1:CV300,154,FALSE)=0,0,HLOOKUP("SOT",A1:CV300,154,FALSE)/HLOOKUP("Shots",A1:CV300,154,FALSE))</f>
      </c>
      <c r="W154" s="28105">
        <f>IF(HLOOKUP("Shots",A1:CV300,154,FALSE)=0,0,HLOOKUP("Gs",A1:CV300,154,FALSE)/HLOOKUP("Shots",A1:CV300,154,FALSE))</f>
      </c>
      <c r="X154" t="n" s="28106">
        <v>0.0</v>
      </c>
      <c r="Y154" t="n" s="28107">
        <v>0.0</v>
      </c>
      <c r="Z154" t="n" s="28108">
        <v>1.0</v>
      </c>
      <c r="AA154" s="28109">
        <f>IF(HLOOKUP("KP",A1:CV300,154,FALSE)=0,0,HLOOKUP("As",A1:CV300,154,FALSE)/HLOOKUP("KP",A1:CV300,154,FALSE))</f>
      </c>
      <c r="AB154" s="28110"/>
      <c r="AC154" t="n" s="28111">
        <v>0.0</v>
      </c>
      <c r="AD154" t="n" s="28112">
        <v>0.0</v>
      </c>
      <c r="AE154" t="n" s="28113">
        <v>0.0</v>
      </c>
      <c r="AF154" t="n" s="28114">
        <v>0.0</v>
      </c>
      <c r="AG154" s="28115">
        <f>IF(HLOOKUP("BC",A1:CV300,154,FALSE)=0,0,HLOOKUP("Gs - BC",A1:CV300,154,FALSE)/HLOOKUP("BC",A1:CV300,154,FALSE))</f>
      </c>
      <c r="AH154" s="28116">
        <f>HLOOKUP("BC",A1:CV300,154,FALSE) - HLOOKUP("BC Miss",A1:CV300,154,FALSE)</f>
      </c>
      <c r="AI154" s="28117">
        <f>IF(HLOOKUP("Gs",A1:CV300,154,FALSE)=0,0,HLOOKUP("Gs - BC",A1:CV300,154,FALSE)/HLOOKUP("Gs",A1:CV300,154,FALSE))</f>
      </c>
      <c r="AJ154" t="n" s="28118">
        <v>0.0</v>
      </c>
      <c r="AK154" t="n" s="28119">
        <v>0.0</v>
      </c>
      <c r="AL154" s="28120">
        <f>HLOOKUP("BC",A1:CV300,154,FALSE) - (HLOOKUP("PK Gs",A1:CV300,154,FALSE) + HLOOKUP("PK Miss",A1:CV300,154,FALSE))</f>
      </c>
      <c r="AM154" s="28121">
        <f>HLOOKUP("BC Miss",A1:CV300,154,FALSE) - HLOOKUP("PK Miss",A1:CV300,154,FALSE)</f>
      </c>
      <c r="AN154" s="28122">
        <f>IF(HLOOKUP("BC - Open",A1:CV300,154,FALSE)=0,0,HLOOKUP("BC - Open Miss",A1:CV300,154,FALSE)/HLOOKUP("BC - Open",A1:CV300,154,FALSE))</f>
      </c>
      <c r="AO154" t="n" s="28123">
        <v>0.0</v>
      </c>
      <c r="AP154" s="28124">
        <f>IF(HLOOKUP("Gs",A1:CV300,154,FALSE)=0,0,HLOOKUP("GIB",A1:CV300,154,FALSE)/HLOOKUP("Gs",A1:CV300,154,FALSE))</f>
      </c>
      <c r="AQ154" t="n" s="28125">
        <v>0.0</v>
      </c>
      <c r="AR154" s="28126">
        <f>IF(HLOOKUP("Gs",A1:CV300,154,FALSE)=0,0,HLOOKUP("Gs - Open",A1:CV300,154,FALSE)/HLOOKUP("Gs",A1:CV300,154,FALSE))</f>
      </c>
      <c r="AS154" t="n" s="28127">
        <v>0.09</v>
      </c>
      <c r="AT154" t="n" s="28128">
        <v>0.13</v>
      </c>
      <c r="AU154" s="28129">
        <f>IF(HLOOKUP("Mins",A1:CV300,154,FALSE)=0,0,HLOOKUP("Pts",A1:CV300,154,FALSE)/HLOOKUP("Mins",A1:CV300,154,FALSE)* 90)</f>
      </c>
      <c r="AV154" s="28130">
        <f>IF(HLOOKUP("Apps",A1:CV300,154,FALSE)=0,0,HLOOKUP("Pts",A1:CV300,154,FALSE)/HLOOKUP("Apps",A1:CV300,154,FALSE)* 1)</f>
      </c>
      <c r="AW154" s="28131">
        <f>IF(HLOOKUP("Mins",A1:CV300,154,FALSE)=0,0,HLOOKUP("Gs",A1:CV300,154,FALSE)/HLOOKUP("Mins",A1:CV300,154,FALSE)* 90)</f>
      </c>
      <c r="AX154" s="28132">
        <f>IF(HLOOKUP("Mins",A1:CV300,154,FALSE)=0,0,HLOOKUP("Bonus",A1:CV300,154,FALSE)/HLOOKUP("Mins",A1:CV300,154,FALSE)* 90)</f>
      </c>
      <c r="AY154" s="28133">
        <f>IF(HLOOKUP("Mins",A1:CV300,154,FALSE)=0,0,HLOOKUP("BPS",A1:CV300,154,FALSE)/HLOOKUP("Mins",A1:CV300,154,FALSE)* 90)</f>
      </c>
      <c r="AZ154" s="28134">
        <f>IF(HLOOKUP("Mins",A1:CV300,154,FALSE)=0,0,HLOOKUP("Base BPS",A1:CV300,154,FALSE)/HLOOKUP("Mins",A1:CV300,154,FALSE)* 90)</f>
      </c>
      <c r="BA154" s="28135">
        <f>IF(HLOOKUP("Mins",A1:CV300,154,FALSE)=0,0,HLOOKUP("PenTchs",A1:CV300,154,FALSE)/HLOOKUP("Mins",A1:CV300,154,FALSE)* 90)</f>
      </c>
      <c r="BB154" s="28136">
        <f>IF(HLOOKUP("Mins",A1:CV300,154,FALSE)=0,0,HLOOKUP("Shots",A1:CV300,154,FALSE)/HLOOKUP("Mins",A1:CV300,154,FALSE)* 90)</f>
      </c>
      <c r="BC154" s="28137">
        <f>IF(HLOOKUP("Mins",A1:CV300,154,FALSE)=0,0,HLOOKUP("SIB",A1:CV300,154,FALSE)/HLOOKUP("Mins",A1:CV300,154,FALSE)* 90)</f>
      </c>
      <c r="BD154" s="28138">
        <f>IF(HLOOKUP("Mins",A1:CV300,154,FALSE)=0,0,HLOOKUP("S6YD",A1:CV300,154,FALSE)/HLOOKUP("Mins",A1:CV300,154,FALSE)* 90)</f>
      </c>
      <c r="BE154" s="28139">
        <f>IF(HLOOKUP("Mins",A1:CV300,154,FALSE)=0,0,HLOOKUP("Headers",A1:CV300,154,FALSE)/HLOOKUP("Mins",A1:CV300,154,FALSE)* 90)</f>
      </c>
      <c r="BF154" s="28140">
        <f>IF(HLOOKUP("Mins",A1:CV300,154,FALSE)=0,0,HLOOKUP("SOT",A1:CV300,154,FALSE)/HLOOKUP("Mins",A1:CV300,154,FALSE)* 90)</f>
      </c>
      <c r="BG154" s="28141">
        <f>IF(HLOOKUP("Mins",A1:CV300,154,FALSE)=0,0,HLOOKUP("As",A1:CV300,154,FALSE)/HLOOKUP("Mins",A1:CV300,154,FALSE)* 90)</f>
      </c>
      <c r="BH154" s="28142">
        <f>IF(HLOOKUP("Mins",A1:CV300,154,FALSE)=0,0,HLOOKUP("FPL As",A1:CV300,154,FALSE)/HLOOKUP("Mins",A1:CV300,154,FALSE)* 90)</f>
      </c>
      <c r="BI154" s="28143">
        <f>IF(HLOOKUP("Mins",A1:CV300,154,FALSE)=0,0,HLOOKUP("BC Created",A1:CV300,154,FALSE)/HLOOKUP("Mins",A1:CV300,154,FALSE)* 90)</f>
      </c>
      <c r="BJ154" s="28144">
        <f>IF(HLOOKUP("Mins",A1:CV300,154,FALSE)=0,0,HLOOKUP("KP",A1:CV300,154,FALSE)/HLOOKUP("Mins",A1:CV300,154,FALSE)* 90)</f>
      </c>
      <c r="BK154" s="28145">
        <f>IF(HLOOKUP("Mins",A1:CV300,154,FALSE)=0,0,HLOOKUP("BC",A1:CV300,154,FALSE)/HLOOKUP("Mins",A1:CV300,154,FALSE)* 90)</f>
      </c>
      <c r="BL154" s="28146">
        <f>IF(HLOOKUP("Mins",A1:CV300,154,FALSE)=0,0,HLOOKUP("BC Miss",A1:CV300,154,FALSE)/HLOOKUP("Mins",A1:CV300,154,FALSE)* 90)</f>
      </c>
      <c r="BM154" s="28147">
        <f>IF(HLOOKUP("Mins",A1:CV300,154,FALSE)=0,0,HLOOKUP("Gs - BC",A1:CV300,154,FALSE)/HLOOKUP("Mins",A1:CV300,154,FALSE)* 90)</f>
      </c>
      <c r="BN154" s="28148">
        <f>IF(HLOOKUP("Mins",A1:CV300,154,FALSE)=0,0,HLOOKUP("GIB",A1:CV300,154,FALSE)/HLOOKUP("Mins",A1:CV300,154,FALSE)* 90)</f>
      </c>
      <c r="BO154" s="28149">
        <f>IF(HLOOKUP("Mins",A1:CV300,154,FALSE)=0,0,HLOOKUP("Gs - Open",A1:CV300,154,FALSE)/HLOOKUP("Mins",A1:CV300,154,FALSE)* 90)</f>
      </c>
      <c r="BP154" s="28150">
        <f>IF(HLOOKUP("Mins",A1:CV300,154,FALSE)=0,0,HLOOKUP("ICT Index",A1:CV300,154,FALSE)/HLOOKUP("Mins",A1:CV300,154,FALSE)* 90)</f>
      </c>
      <c r="BQ154" s="28151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</c>
      <c r="BR154" s="28152">
        <f>0.0885*HLOOKUP("KP/90",A1:CV300,154,FALSE)</f>
      </c>
      <c r="BS154" s="28153">
        <f>5*HLOOKUP("xG/90",A1:CV300,154,FALSE)+3*HLOOKUP("xA/90",A1:CV300,154,FALSE)</f>
      </c>
      <c r="BT154" s="28154">
        <f>HLOOKUP("xPts/90",A1:CV300,154,FALSE)-(5*0.75*(HLOOKUP("PK Gs",A1:CV300,154,FALSE)+HLOOKUP("PK Miss",A1:CV300,154,FALSE))*90/HLOOKUP("Mins",A1:CV300,154,FALSE))</f>
      </c>
      <c r="BU154" s="28155">
        <f>IF(HLOOKUP("Mins",A1:CV300,154,FALSE)=0,0,HLOOKUP("fsXG",A1:CV300,154,FALSE)/HLOOKUP("Mins",A1:CV300,154,FALSE)* 90)</f>
      </c>
      <c r="BV154" s="28156">
        <f>IF(HLOOKUP("Mins",A1:CV300,154,FALSE)=0,0,HLOOKUP("fsXA",A1:CV300,154,FALSE)/HLOOKUP("Mins",A1:CV300,154,FALSE)* 90)</f>
      </c>
      <c r="BW154" s="28157">
        <f>5*HLOOKUP("fsXG/90",A1:CV300,154,FALSE)+3*HLOOKUP("fsXA/90",A1:CV300,154,FALSE)</f>
      </c>
      <c r="BX154" t="n" s="28158">
        <v>0.01890602707862854</v>
      </c>
      <c r="BY154" t="n" s="28159">
        <v>0.012418631464242935</v>
      </c>
      <c r="BZ154" s="28160">
        <f>5*HLOOKUP("uXG/90",A1:CV300,154,FALSE)+3*HLOOKUP("uXA/90",A1:CV300,154,FALSE)</f>
      </c>
    </row>
    <row r="155">
      <c r="A155" t="s" s="28161">
        <v>458</v>
      </c>
      <c r="B155" t="s" s="28162">
        <v>97</v>
      </c>
      <c r="C155" t="n" s="28163">
        <v>4.900000095367432</v>
      </c>
      <c r="D155" t="n" s="28164">
        <v>540.0</v>
      </c>
      <c r="E155" t="n" s="28165">
        <v>6.0</v>
      </c>
      <c r="F155" t="n" s="28166">
        <v>55.0</v>
      </c>
      <c r="G155" t="n" s="28167">
        <v>0.0</v>
      </c>
      <c r="H155" t="n" s="28168">
        <v>0.0</v>
      </c>
      <c r="I155" t="n" s="28169">
        <v>243.0</v>
      </c>
      <c r="J155" s="28170">
        <f>HLOOKUP("BPS",A1:CV300,155,FALSE)-((-6*HLOOKUP("OG",A1:CV300,155,FALSE))+(-6*HLOOKUP("PK Miss",A1:CV300,155,FALSE))+(9*HLOOKUP("FPL As",A1:CV300,155,FALSE))+(0*HLOOKUP("CS",A1:CV300,155,FALSE))+(18*HLOOKUP("Gs",A1:CV300,155,FALSE)))</f>
      </c>
      <c r="K155" t="n" s="28171">
        <v>0.0</v>
      </c>
      <c r="L155" t="n" s="28172">
        <v>8.0</v>
      </c>
      <c r="M155" t="n" s="28173">
        <v>8.0</v>
      </c>
      <c r="N155" t="n" s="28174">
        <v>4.0</v>
      </c>
      <c r="O155" t="n" s="28175">
        <v>3.0</v>
      </c>
      <c r="P155" s="28176">
        <f>IF(HLOOKUP("Shots",A1:CV300,155,FALSE)=0,0,HLOOKUP("SIB",A1:CV300,155,FALSE)/HLOOKUP("Shots",A1:CV300,155,FALSE))</f>
      </c>
      <c r="Q155" t="n" s="28177">
        <v>2.0</v>
      </c>
      <c r="R155" s="28178">
        <f>IF(HLOOKUP("Shots",A1:CV300,155,FALSE)=0,0,HLOOKUP("S6YD",A1:CV300,155,FALSE)/HLOOKUP("Shots",A1:CV300,155,FALSE))</f>
      </c>
      <c r="S155" t="n" s="28179">
        <v>1.0</v>
      </c>
      <c r="T155" s="28180">
        <f>IF(HLOOKUP("Shots",A1:CV300,155,FALSE)=0,0,HLOOKUP("Headers",A1:CV300,155,FALSE)/HLOOKUP("Shots",A1:CV300,155,FALSE))</f>
      </c>
      <c r="U155" t="n" s="28181">
        <v>0.0</v>
      </c>
      <c r="V155" s="28182">
        <f>IF(HLOOKUP("Shots",A1:CV300,155,FALSE)=0,0,HLOOKUP("SOT",A1:CV300,155,FALSE)/HLOOKUP("Shots",A1:CV300,155,FALSE))</f>
      </c>
      <c r="W155" s="28183">
        <f>IF(HLOOKUP("Shots",A1:CV300,155,FALSE)=0,0,HLOOKUP("Gs",A1:CV300,155,FALSE)/HLOOKUP("Shots",A1:CV300,155,FALSE))</f>
      </c>
      <c r="X155" t="n" s="28184">
        <v>0.0</v>
      </c>
      <c r="Y155" t="n" s="28185">
        <v>0.0</v>
      </c>
      <c r="Z155" t="n" s="28186">
        <v>3.0</v>
      </c>
      <c r="AA155" s="28187">
        <f>IF(HLOOKUP("KP",A1:CV300,155,FALSE)=0,0,HLOOKUP("As",A1:CV300,155,FALSE)/HLOOKUP("KP",A1:CV300,155,FALSE))</f>
      </c>
      <c r="AB155" s="28188"/>
      <c r="AC155" t="n" s="28189">
        <v>0.0</v>
      </c>
      <c r="AD155" t="n" s="28190">
        <v>0.0</v>
      </c>
      <c r="AE155" t="n" s="28191">
        <v>0.0</v>
      </c>
      <c r="AF155" t="n" s="28192">
        <v>0.0</v>
      </c>
      <c r="AG155" s="28193">
        <f>IF(HLOOKUP("BC",A1:CV300,155,FALSE)=0,0,HLOOKUP("Gs - BC",A1:CV300,155,FALSE)/HLOOKUP("BC",A1:CV300,155,FALSE))</f>
      </c>
      <c r="AH155" s="28194">
        <f>HLOOKUP("BC",A1:CV300,155,FALSE) - HLOOKUP("BC Miss",A1:CV300,155,FALSE)</f>
      </c>
      <c r="AI155" s="28195">
        <f>IF(HLOOKUP("Gs",A1:CV300,155,FALSE)=0,0,HLOOKUP("Gs - BC",A1:CV300,155,FALSE)/HLOOKUP("Gs",A1:CV300,155,FALSE))</f>
      </c>
      <c r="AJ155" t="n" s="28196">
        <v>0.0</v>
      </c>
      <c r="AK155" t="n" s="28197">
        <v>0.0</v>
      </c>
      <c r="AL155" s="28198">
        <f>HLOOKUP("BC",A1:CV300,155,FALSE) - (HLOOKUP("PK Gs",A1:CV300,155,FALSE) + HLOOKUP("PK Miss",A1:CV300,155,FALSE))</f>
      </c>
      <c r="AM155" s="28199">
        <f>HLOOKUP("BC Miss",A1:CV300,155,FALSE) - HLOOKUP("PK Miss",A1:CV300,155,FALSE)</f>
      </c>
      <c r="AN155" s="28200">
        <f>IF(HLOOKUP("BC - Open",A1:CV300,155,FALSE)=0,0,HLOOKUP("BC - Open Miss",A1:CV300,155,FALSE)/HLOOKUP("BC - Open",A1:CV300,155,FALSE))</f>
      </c>
      <c r="AO155" t="n" s="28201">
        <v>0.0</v>
      </c>
      <c r="AP155" s="28202">
        <f>IF(HLOOKUP("Gs",A1:CV300,155,FALSE)=0,0,HLOOKUP("GIB",A1:CV300,155,FALSE)/HLOOKUP("Gs",A1:CV300,155,FALSE))</f>
      </c>
      <c r="AQ155" t="n" s="28203">
        <v>0.0</v>
      </c>
      <c r="AR155" s="28204">
        <f>IF(HLOOKUP("Gs",A1:CV300,155,FALSE)=0,0,HLOOKUP("Gs - Open",A1:CV300,155,FALSE)/HLOOKUP("Gs",A1:CV300,155,FALSE))</f>
      </c>
      <c r="AS155" t="n" s="28205">
        <v>0.45</v>
      </c>
      <c r="AT155" t="n" s="28206">
        <v>0.55</v>
      </c>
      <c r="AU155" s="28207">
        <f>IF(HLOOKUP("Mins",A1:CV300,155,FALSE)=0,0,HLOOKUP("Pts",A1:CV300,155,FALSE)/HLOOKUP("Mins",A1:CV300,155,FALSE)* 90)</f>
      </c>
      <c r="AV155" s="28208">
        <f>IF(HLOOKUP("Apps",A1:CV300,155,FALSE)=0,0,HLOOKUP("Pts",A1:CV300,155,FALSE)/HLOOKUP("Apps",A1:CV300,155,FALSE)* 1)</f>
      </c>
      <c r="AW155" s="28209">
        <f>IF(HLOOKUP("Mins",A1:CV300,155,FALSE)=0,0,HLOOKUP("Gs",A1:CV300,155,FALSE)/HLOOKUP("Mins",A1:CV300,155,FALSE)* 90)</f>
      </c>
      <c r="AX155" s="28210">
        <f>IF(HLOOKUP("Mins",A1:CV300,155,FALSE)=0,0,HLOOKUP("Bonus",A1:CV300,155,FALSE)/HLOOKUP("Mins",A1:CV300,155,FALSE)* 90)</f>
      </c>
      <c r="AY155" s="28211">
        <f>IF(HLOOKUP("Mins",A1:CV300,155,FALSE)=0,0,HLOOKUP("BPS",A1:CV300,155,FALSE)/HLOOKUP("Mins",A1:CV300,155,FALSE)* 90)</f>
      </c>
      <c r="AZ155" s="28212">
        <f>IF(HLOOKUP("Mins",A1:CV300,155,FALSE)=0,0,HLOOKUP("Base BPS",A1:CV300,155,FALSE)/HLOOKUP("Mins",A1:CV300,155,FALSE)* 90)</f>
      </c>
      <c r="BA155" s="28213">
        <f>IF(HLOOKUP("Mins",A1:CV300,155,FALSE)=0,0,HLOOKUP("PenTchs",A1:CV300,155,FALSE)/HLOOKUP("Mins",A1:CV300,155,FALSE)* 90)</f>
      </c>
      <c r="BB155" s="28214">
        <f>IF(HLOOKUP("Mins",A1:CV300,155,FALSE)=0,0,HLOOKUP("Shots",A1:CV300,155,FALSE)/HLOOKUP("Mins",A1:CV300,155,FALSE)* 90)</f>
      </c>
      <c r="BC155" s="28215">
        <f>IF(HLOOKUP("Mins",A1:CV300,155,FALSE)=0,0,HLOOKUP("SIB",A1:CV300,155,FALSE)/HLOOKUP("Mins",A1:CV300,155,FALSE)* 90)</f>
      </c>
      <c r="BD155" s="28216">
        <f>IF(HLOOKUP("Mins",A1:CV300,155,FALSE)=0,0,HLOOKUP("S6YD",A1:CV300,155,FALSE)/HLOOKUP("Mins",A1:CV300,155,FALSE)* 90)</f>
      </c>
      <c r="BE155" s="28217">
        <f>IF(HLOOKUP("Mins",A1:CV300,155,FALSE)=0,0,HLOOKUP("Headers",A1:CV300,155,FALSE)/HLOOKUP("Mins",A1:CV300,155,FALSE)* 90)</f>
      </c>
      <c r="BF155" s="28218">
        <f>IF(HLOOKUP("Mins",A1:CV300,155,FALSE)=0,0,HLOOKUP("SOT",A1:CV300,155,FALSE)/HLOOKUP("Mins",A1:CV300,155,FALSE)* 90)</f>
      </c>
      <c r="BG155" s="28219">
        <f>IF(HLOOKUP("Mins",A1:CV300,155,FALSE)=0,0,HLOOKUP("As",A1:CV300,155,FALSE)/HLOOKUP("Mins",A1:CV300,155,FALSE)* 90)</f>
      </c>
      <c r="BH155" s="28220">
        <f>IF(HLOOKUP("Mins",A1:CV300,155,FALSE)=0,0,HLOOKUP("FPL As",A1:CV300,155,FALSE)/HLOOKUP("Mins",A1:CV300,155,FALSE)* 90)</f>
      </c>
      <c r="BI155" s="28221">
        <f>IF(HLOOKUP("Mins",A1:CV300,155,FALSE)=0,0,HLOOKUP("BC Created",A1:CV300,155,FALSE)/HLOOKUP("Mins",A1:CV300,155,FALSE)* 90)</f>
      </c>
      <c r="BJ155" s="28222">
        <f>IF(HLOOKUP("Mins",A1:CV300,155,FALSE)=0,0,HLOOKUP("KP",A1:CV300,155,FALSE)/HLOOKUP("Mins",A1:CV300,155,FALSE)* 90)</f>
      </c>
      <c r="BK155" s="28223">
        <f>IF(HLOOKUP("Mins",A1:CV300,155,FALSE)=0,0,HLOOKUP("BC",A1:CV300,155,FALSE)/HLOOKUP("Mins",A1:CV300,155,FALSE)* 90)</f>
      </c>
      <c r="BL155" s="28224">
        <f>IF(HLOOKUP("Mins",A1:CV300,155,FALSE)=0,0,HLOOKUP("BC Miss",A1:CV300,155,FALSE)/HLOOKUP("Mins",A1:CV300,155,FALSE)* 90)</f>
      </c>
      <c r="BM155" s="28225">
        <f>IF(HLOOKUP("Mins",A1:CV300,155,FALSE)=0,0,HLOOKUP("Gs - BC",A1:CV300,155,FALSE)/HLOOKUP("Mins",A1:CV300,155,FALSE)* 90)</f>
      </c>
      <c r="BN155" s="28226">
        <f>IF(HLOOKUP("Mins",A1:CV300,155,FALSE)=0,0,HLOOKUP("GIB",A1:CV300,155,FALSE)/HLOOKUP("Mins",A1:CV300,155,FALSE)* 90)</f>
      </c>
      <c r="BO155" s="28227">
        <f>IF(HLOOKUP("Mins",A1:CV300,155,FALSE)=0,0,HLOOKUP("Gs - Open",A1:CV300,155,FALSE)/HLOOKUP("Mins",A1:CV300,155,FALSE)* 90)</f>
      </c>
      <c r="BP155" s="28228">
        <f>IF(HLOOKUP("Mins",A1:CV300,155,FALSE)=0,0,HLOOKUP("ICT Index",A1:CV300,155,FALSE)/HLOOKUP("Mins",A1:CV300,155,FALSE)* 90)</f>
      </c>
      <c r="BQ155" s="28229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</c>
      <c r="BR155" s="28230">
        <f>0.0885*HLOOKUP("KP/90",A1:CV300,155,FALSE)</f>
      </c>
      <c r="BS155" s="28231">
        <f>5*HLOOKUP("xG/90",A1:CV300,155,FALSE)+3*HLOOKUP("xA/90",A1:CV300,155,FALSE)</f>
      </c>
      <c r="BT155" s="28232">
        <f>HLOOKUP("xPts/90",A1:CV300,155,FALSE)-(5*0.75*(HLOOKUP("PK Gs",A1:CV300,155,FALSE)+HLOOKUP("PK Miss",A1:CV300,155,FALSE))*90/HLOOKUP("Mins",A1:CV300,155,FALSE))</f>
      </c>
      <c r="BU155" s="28233">
        <f>IF(HLOOKUP("Mins",A1:CV300,155,FALSE)=0,0,HLOOKUP("fsXG",A1:CV300,155,FALSE)/HLOOKUP("Mins",A1:CV300,155,FALSE)* 90)</f>
      </c>
      <c r="BV155" s="28234">
        <f>IF(HLOOKUP("Mins",A1:CV300,155,FALSE)=0,0,HLOOKUP("fsXA",A1:CV300,155,FALSE)/HLOOKUP("Mins",A1:CV300,155,FALSE)* 90)</f>
      </c>
      <c r="BW155" s="28235">
        <f>5*HLOOKUP("fsXG/90",A1:CV300,155,FALSE)+3*HLOOKUP("fsXA/90",A1:CV300,155,FALSE)</f>
      </c>
      <c r="BX155" t="n" s="28236">
        <v>0.049720413982868195</v>
      </c>
      <c r="BY155" t="n" s="28237">
        <v>0.033572059124708176</v>
      </c>
      <c r="BZ155" s="28238">
        <f>5*HLOOKUP("uXG/90",A1:CV300,155,FALSE)+3*HLOOKUP("uXA/90",A1:CV300,155,FALSE)</f>
      </c>
    </row>
    <row r="156">
      <c r="A156" t="s" s="28239">
        <v>459</v>
      </c>
      <c r="B156" t="s" s="28240">
        <v>134</v>
      </c>
      <c r="C156" t="n" s="28241">
        <v>6.300000190734863</v>
      </c>
      <c r="D156" t="n" s="28242">
        <v>1.0</v>
      </c>
      <c r="E156" t="n" s="28243">
        <v>1.0</v>
      </c>
      <c r="F156" t="n" s="28244">
        <v>14.0</v>
      </c>
      <c r="G156" t="n" s="28245">
        <v>0.0</v>
      </c>
      <c r="H156" t="n" s="28246">
        <v>0.0</v>
      </c>
      <c r="I156" t="n" s="28247">
        <v>51.0</v>
      </c>
      <c r="J156" s="28248">
        <f>HLOOKUP("BPS",A1:CV300,156,FALSE)-((-6*HLOOKUP("OG",A1:CV300,156,FALSE))+(-6*HLOOKUP("PK Miss",A1:CV300,156,FALSE))+(9*HLOOKUP("FPL As",A1:CV300,156,FALSE))+(0*HLOOKUP("CS",A1:CV300,156,FALSE))+(18*HLOOKUP("Gs",A1:CV300,156,FALSE)))</f>
      </c>
      <c r="K156" t="n" s="28249">
        <v>0.0</v>
      </c>
      <c r="L156" t="n" s="28250">
        <v>1.0</v>
      </c>
      <c r="M156" t="n" s="28251">
        <v>0.0</v>
      </c>
      <c r="N156" t="n" s="28252">
        <v>0.0</v>
      </c>
      <c r="O156" t="n" s="28253">
        <v>0.0</v>
      </c>
      <c r="P156" s="28254">
        <f>IF(HLOOKUP("Shots",A1:CV300,156,FALSE)=0,0,HLOOKUP("SIB",A1:CV300,156,FALSE)/HLOOKUP("Shots",A1:CV300,156,FALSE))</f>
      </c>
      <c r="Q156" t="n" s="28255">
        <v>0.0</v>
      </c>
      <c r="R156" s="28256">
        <f>IF(HLOOKUP("Shots",A1:CV300,156,FALSE)=0,0,HLOOKUP("S6YD",A1:CV300,156,FALSE)/HLOOKUP("Shots",A1:CV300,156,FALSE))</f>
      </c>
      <c r="S156" t="n" s="28257">
        <v>0.0</v>
      </c>
      <c r="T156" s="28258">
        <f>IF(HLOOKUP("Shots",A1:CV300,156,FALSE)=0,0,HLOOKUP("Headers",A1:CV300,156,FALSE)/HLOOKUP("Shots",A1:CV300,156,FALSE))</f>
      </c>
      <c r="U156" t="n" s="28259">
        <v>0.0</v>
      </c>
      <c r="V156" s="28260">
        <f>IF(HLOOKUP("Shots",A1:CV300,156,FALSE)=0,0,HLOOKUP("SOT",A1:CV300,156,FALSE)/HLOOKUP("Shots",A1:CV300,156,FALSE))</f>
      </c>
      <c r="W156" s="28261">
        <f>IF(HLOOKUP("Shots",A1:CV300,156,FALSE)=0,0,HLOOKUP("Gs",A1:CV300,156,FALSE)/HLOOKUP("Shots",A1:CV300,156,FALSE))</f>
      </c>
      <c r="X156" t="n" s="28262">
        <v>0.0</v>
      </c>
      <c r="Y156" t="n" s="28263">
        <v>0.0</v>
      </c>
      <c r="Z156" t="n" s="28264">
        <v>1.0</v>
      </c>
      <c r="AA156" s="28265">
        <f>IF(HLOOKUP("KP",A1:CV300,156,FALSE)=0,0,HLOOKUP("As",A1:CV300,156,FALSE)/HLOOKUP("KP",A1:CV300,156,FALSE))</f>
      </c>
      <c r="AB156" s="28266"/>
      <c r="AC156" t="n" s="28267">
        <v>0.0</v>
      </c>
      <c r="AD156" t="n" s="28268">
        <v>0.0</v>
      </c>
      <c r="AE156" t="n" s="28269">
        <v>0.0</v>
      </c>
      <c r="AF156" t="n" s="28270">
        <v>0.0</v>
      </c>
      <c r="AG156" s="28271">
        <f>IF(HLOOKUP("BC",A1:CV300,156,FALSE)=0,0,HLOOKUP("Gs - BC",A1:CV300,156,FALSE)/HLOOKUP("BC",A1:CV300,156,FALSE))</f>
      </c>
      <c r="AH156" s="28272">
        <f>HLOOKUP("BC",A1:CV300,156,FALSE) - HLOOKUP("BC Miss",A1:CV300,156,FALSE)</f>
      </c>
      <c r="AI156" s="28273">
        <f>IF(HLOOKUP("Gs",A1:CV300,156,FALSE)=0,0,HLOOKUP("Gs - BC",A1:CV300,156,FALSE)/HLOOKUP("Gs",A1:CV300,156,FALSE))</f>
      </c>
      <c r="AJ156" t="n" s="28274">
        <v>0.0</v>
      </c>
      <c r="AK156" t="n" s="28275">
        <v>0.0</v>
      </c>
      <c r="AL156" s="28276">
        <f>HLOOKUP("BC",A1:CV300,156,FALSE) - (HLOOKUP("PK Gs",A1:CV300,156,FALSE) + HLOOKUP("PK Miss",A1:CV300,156,FALSE))</f>
      </c>
      <c r="AM156" s="28277">
        <f>HLOOKUP("BC Miss",A1:CV300,156,FALSE) - HLOOKUP("PK Miss",A1:CV300,156,FALSE)</f>
      </c>
      <c r="AN156" s="28278">
        <f>IF(HLOOKUP("BC - Open",A1:CV300,156,FALSE)=0,0,HLOOKUP("BC - Open Miss",A1:CV300,156,FALSE)/HLOOKUP("BC - Open",A1:CV300,156,FALSE))</f>
      </c>
      <c r="AO156" t="n" s="28279">
        <v>0.0</v>
      </c>
      <c r="AP156" s="28280">
        <f>IF(HLOOKUP("Gs",A1:CV300,156,FALSE)=0,0,HLOOKUP("GIB",A1:CV300,156,FALSE)/HLOOKUP("Gs",A1:CV300,156,FALSE))</f>
      </c>
      <c r="AQ156" t="n" s="28281">
        <v>0.0</v>
      </c>
      <c r="AR156" s="28282">
        <f>IF(HLOOKUP("Gs",A1:CV300,156,FALSE)=0,0,HLOOKUP("Gs - Open",A1:CV300,156,FALSE)/HLOOKUP("Gs",A1:CV300,156,FALSE))</f>
      </c>
      <c r="AS156" t="n" s="28283">
        <v>0.0</v>
      </c>
      <c r="AT156" t="n" s="28284">
        <v>0.13</v>
      </c>
      <c r="AU156" s="28285">
        <f>IF(HLOOKUP("Mins",A1:CV300,156,FALSE)=0,0,HLOOKUP("Pts",A1:CV300,156,FALSE)/HLOOKUP("Mins",A1:CV300,156,FALSE)* 90)</f>
      </c>
      <c r="AV156" s="28286">
        <f>IF(HLOOKUP("Apps",A1:CV300,156,FALSE)=0,0,HLOOKUP("Pts",A1:CV300,156,FALSE)/HLOOKUP("Apps",A1:CV300,156,FALSE)* 1)</f>
      </c>
      <c r="AW156" s="28287">
        <f>IF(HLOOKUP("Mins",A1:CV300,156,FALSE)=0,0,HLOOKUP("Gs",A1:CV300,156,FALSE)/HLOOKUP("Mins",A1:CV300,156,FALSE)* 90)</f>
      </c>
      <c r="AX156" s="28288">
        <f>IF(HLOOKUP("Mins",A1:CV300,156,FALSE)=0,0,HLOOKUP("Bonus",A1:CV300,156,FALSE)/HLOOKUP("Mins",A1:CV300,156,FALSE)* 90)</f>
      </c>
      <c r="AY156" s="28289">
        <f>IF(HLOOKUP("Mins",A1:CV300,156,FALSE)=0,0,HLOOKUP("BPS",A1:CV300,156,FALSE)/HLOOKUP("Mins",A1:CV300,156,FALSE)* 90)</f>
      </c>
      <c r="AZ156" s="28290">
        <f>IF(HLOOKUP("Mins",A1:CV300,156,FALSE)=0,0,HLOOKUP("Base BPS",A1:CV300,156,FALSE)/HLOOKUP("Mins",A1:CV300,156,FALSE)* 90)</f>
      </c>
      <c r="BA156" s="28291">
        <f>IF(HLOOKUP("Mins",A1:CV300,156,FALSE)=0,0,HLOOKUP("PenTchs",A1:CV300,156,FALSE)/HLOOKUP("Mins",A1:CV300,156,FALSE)* 90)</f>
      </c>
      <c r="BB156" s="28292">
        <f>IF(HLOOKUP("Mins",A1:CV300,156,FALSE)=0,0,HLOOKUP("Shots",A1:CV300,156,FALSE)/HLOOKUP("Mins",A1:CV300,156,FALSE)* 90)</f>
      </c>
      <c r="BC156" s="28293">
        <f>IF(HLOOKUP("Mins",A1:CV300,156,FALSE)=0,0,HLOOKUP("SIB",A1:CV300,156,FALSE)/HLOOKUP("Mins",A1:CV300,156,FALSE)* 90)</f>
      </c>
      <c r="BD156" s="28294">
        <f>IF(HLOOKUP("Mins",A1:CV300,156,FALSE)=0,0,HLOOKUP("S6YD",A1:CV300,156,FALSE)/HLOOKUP("Mins",A1:CV300,156,FALSE)* 90)</f>
      </c>
      <c r="BE156" s="28295">
        <f>IF(HLOOKUP("Mins",A1:CV300,156,FALSE)=0,0,HLOOKUP("Headers",A1:CV300,156,FALSE)/HLOOKUP("Mins",A1:CV300,156,FALSE)* 90)</f>
      </c>
      <c r="BF156" s="28296">
        <f>IF(HLOOKUP("Mins",A1:CV300,156,FALSE)=0,0,HLOOKUP("SOT",A1:CV300,156,FALSE)/HLOOKUP("Mins",A1:CV300,156,FALSE)* 90)</f>
      </c>
      <c r="BG156" s="28297">
        <f>IF(HLOOKUP("Mins",A1:CV300,156,FALSE)=0,0,HLOOKUP("As",A1:CV300,156,FALSE)/HLOOKUP("Mins",A1:CV300,156,FALSE)* 90)</f>
      </c>
      <c r="BH156" s="28298">
        <f>IF(HLOOKUP("Mins",A1:CV300,156,FALSE)=0,0,HLOOKUP("FPL As",A1:CV300,156,FALSE)/HLOOKUP("Mins",A1:CV300,156,FALSE)* 90)</f>
      </c>
      <c r="BI156" s="28299">
        <f>IF(HLOOKUP("Mins",A1:CV300,156,FALSE)=0,0,HLOOKUP("BC Created",A1:CV300,156,FALSE)/HLOOKUP("Mins",A1:CV300,156,FALSE)* 90)</f>
      </c>
      <c r="BJ156" s="28300">
        <f>IF(HLOOKUP("Mins",A1:CV300,156,FALSE)=0,0,HLOOKUP("KP",A1:CV300,156,FALSE)/HLOOKUP("Mins",A1:CV300,156,FALSE)* 90)</f>
      </c>
      <c r="BK156" s="28301">
        <f>IF(HLOOKUP("Mins",A1:CV300,156,FALSE)=0,0,HLOOKUP("BC",A1:CV300,156,FALSE)/HLOOKUP("Mins",A1:CV300,156,FALSE)* 90)</f>
      </c>
      <c r="BL156" s="28302">
        <f>IF(HLOOKUP("Mins",A1:CV300,156,FALSE)=0,0,HLOOKUP("BC Miss",A1:CV300,156,FALSE)/HLOOKUP("Mins",A1:CV300,156,FALSE)* 90)</f>
      </c>
      <c r="BM156" s="28303">
        <f>IF(HLOOKUP("Mins",A1:CV300,156,FALSE)=0,0,HLOOKUP("Gs - BC",A1:CV300,156,FALSE)/HLOOKUP("Mins",A1:CV300,156,FALSE)* 90)</f>
      </c>
      <c r="BN156" s="28304">
        <f>IF(HLOOKUP("Mins",A1:CV300,156,FALSE)=0,0,HLOOKUP("GIB",A1:CV300,156,FALSE)/HLOOKUP("Mins",A1:CV300,156,FALSE)* 90)</f>
      </c>
      <c r="BO156" s="28305">
        <f>IF(HLOOKUP("Mins",A1:CV300,156,FALSE)=0,0,HLOOKUP("Gs - Open",A1:CV300,156,FALSE)/HLOOKUP("Mins",A1:CV300,156,FALSE)* 90)</f>
      </c>
      <c r="BP156" s="28306">
        <f>IF(HLOOKUP("Mins",A1:CV300,156,FALSE)=0,0,HLOOKUP("ICT Index",A1:CV300,156,FALSE)/HLOOKUP("Mins",A1:CV300,156,FALSE)* 90)</f>
      </c>
      <c r="BQ156" s="28307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</c>
      <c r="BR156" s="28308">
        <f>0.0885*HLOOKUP("KP/90",A1:CV300,156,FALSE)</f>
      </c>
      <c r="BS156" s="28309">
        <f>5*HLOOKUP("xG/90",A1:CV300,156,FALSE)+3*HLOOKUP("xA/90",A1:CV300,156,FALSE)</f>
      </c>
      <c r="BT156" s="28310">
        <f>HLOOKUP("xPts/90",A1:CV300,156,FALSE)-(5*0.75*(HLOOKUP("PK Gs",A1:CV300,156,FALSE)+HLOOKUP("PK Miss",A1:CV300,156,FALSE))*90/HLOOKUP("Mins",A1:CV300,156,FALSE))</f>
      </c>
      <c r="BU156" s="28311">
        <f>IF(HLOOKUP("Mins",A1:CV300,156,FALSE)=0,0,HLOOKUP("fsXG",A1:CV300,156,FALSE)/HLOOKUP("Mins",A1:CV300,156,FALSE)* 90)</f>
      </c>
      <c r="BV156" s="28312">
        <f>IF(HLOOKUP("Mins",A1:CV300,156,FALSE)=0,0,HLOOKUP("fsXA",A1:CV300,156,FALSE)/HLOOKUP("Mins",A1:CV300,156,FALSE)* 90)</f>
      </c>
      <c r="BW156" s="28313">
        <f>5*HLOOKUP("fsXG/90",A1:CV300,156,FALSE)+3*HLOOKUP("fsXA/90",A1:CV300,156,FALSE)</f>
      </c>
      <c r="BX156" t="n" s="28314">
        <v>0.0</v>
      </c>
      <c r="BY156" t="n" s="28315">
        <v>5.319234848022461</v>
      </c>
      <c r="BZ156" s="28316">
        <f>5*HLOOKUP("uXG/90",A1:CV300,156,FALSE)+3*HLOOKUP("uXA/90",A1:CV300,156,FALSE)</f>
      </c>
    </row>
    <row r="157">
      <c r="A157" t="s" s="28317">
        <v>460</v>
      </c>
      <c r="B157" t="s" s="28318">
        <v>134</v>
      </c>
      <c r="C157" t="n" s="28319">
        <v>12.199999809265137</v>
      </c>
      <c r="D157" t="n" s="28320">
        <v>305.0</v>
      </c>
      <c r="E157" t="n" s="28321">
        <v>5.0</v>
      </c>
      <c r="F157" t="n" s="28322">
        <v>152.0</v>
      </c>
      <c r="G157" t="n" s="28323">
        <v>2.0</v>
      </c>
      <c r="H157" t="n" s="28324">
        <v>18.0</v>
      </c>
      <c r="I157" t="n" s="28325">
        <v>443.0</v>
      </c>
      <c r="J157" s="28326">
        <f>HLOOKUP("BPS",A1:CV300,157,FALSE)-((-6*HLOOKUP("OG",A1:CV300,157,FALSE))+(-6*HLOOKUP("PK Miss",A1:CV300,157,FALSE))+(9*HLOOKUP("FPL As",A1:CV300,157,FALSE))+(0*HLOOKUP("CS",A1:CV300,157,FALSE))+(18*HLOOKUP("Gs",A1:CV300,157,FALSE)))</f>
      </c>
      <c r="K157" t="n" s="28327">
        <v>0.0</v>
      </c>
      <c r="L157" t="n" s="28328">
        <v>9.0</v>
      </c>
      <c r="M157" t="n" s="28329">
        <v>33.0</v>
      </c>
      <c r="N157" t="n" s="28330">
        <v>11.0</v>
      </c>
      <c r="O157" t="n" s="28331">
        <v>11.0</v>
      </c>
      <c r="P157" s="28332">
        <f>IF(HLOOKUP("Shots",A1:CV300,157,FALSE)=0,0,HLOOKUP("SIB",A1:CV300,157,FALSE)/HLOOKUP("Shots",A1:CV300,157,FALSE))</f>
      </c>
      <c r="Q157" t="n" s="28333">
        <v>2.0</v>
      </c>
      <c r="R157" s="28334">
        <f>IF(HLOOKUP("Shots",A1:CV300,157,FALSE)=0,0,HLOOKUP("S6YD",A1:CV300,157,FALSE)/HLOOKUP("Shots",A1:CV300,157,FALSE))</f>
      </c>
      <c r="S157" t="n" s="28335">
        <v>3.0</v>
      </c>
      <c r="T157" s="28336">
        <f>IF(HLOOKUP("Shots",A1:CV300,157,FALSE)=0,0,HLOOKUP("Headers",A1:CV300,157,FALSE)/HLOOKUP("Shots",A1:CV300,157,FALSE))</f>
      </c>
      <c r="U157" t="n" s="28337">
        <v>6.0</v>
      </c>
      <c r="V157" s="28338">
        <f>IF(HLOOKUP("Shots",A1:CV300,157,FALSE)=0,0,HLOOKUP("SOT",A1:CV300,157,FALSE)/HLOOKUP("Shots",A1:CV300,157,FALSE))</f>
      </c>
      <c r="W157" s="28339">
        <f>IF(HLOOKUP("Shots",A1:CV300,157,FALSE)=0,0,HLOOKUP("Gs",A1:CV300,157,FALSE)/HLOOKUP("Shots",A1:CV300,157,FALSE))</f>
      </c>
      <c r="X157" t="n" s="28340">
        <v>0.0</v>
      </c>
      <c r="Y157" t="n" s="28341">
        <v>8.0</v>
      </c>
      <c r="Z157" t="n" s="28342">
        <v>4.0</v>
      </c>
      <c r="AA157" s="28343">
        <f>IF(HLOOKUP("KP",A1:CV300,157,FALSE)=0,0,HLOOKUP("As",A1:CV300,157,FALSE)/HLOOKUP("KP",A1:CV300,157,FALSE))</f>
      </c>
      <c r="AB157" s="28344"/>
      <c r="AC157" t="n" s="28345">
        <v>33.0</v>
      </c>
      <c r="AD157" t="n" s="28346">
        <v>0.0</v>
      </c>
      <c r="AE157" t="n" s="28347">
        <v>3.0</v>
      </c>
      <c r="AF157" t="n" s="28348">
        <v>2.0</v>
      </c>
      <c r="AG157" s="28349">
        <f>IF(HLOOKUP("BC",A1:CV300,157,FALSE)=0,0,HLOOKUP("Gs - BC",A1:CV300,157,FALSE)/HLOOKUP("BC",A1:CV300,157,FALSE))</f>
      </c>
      <c r="AH157" s="28350">
        <f>HLOOKUP("BC",A1:CV300,157,FALSE) - HLOOKUP("BC Miss",A1:CV300,157,FALSE)</f>
      </c>
      <c r="AI157" s="28351">
        <f>IF(HLOOKUP("Gs",A1:CV300,157,FALSE)=0,0,HLOOKUP("Gs - BC",A1:CV300,157,FALSE)/HLOOKUP("Gs",A1:CV300,157,FALSE))</f>
      </c>
      <c r="AJ157" t="n" s="28352">
        <v>0.0</v>
      </c>
      <c r="AK157" t="n" s="28353">
        <v>0.0</v>
      </c>
      <c r="AL157" s="28354">
        <f>HLOOKUP("BC",A1:CV300,157,FALSE) - (HLOOKUP("PK Gs",A1:CV300,157,FALSE) + HLOOKUP("PK Miss",A1:CV300,157,FALSE))</f>
      </c>
      <c r="AM157" s="28355">
        <f>HLOOKUP("BC Miss",A1:CV300,157,FALSE) - HLOOKUP("PK Miss",A1:CV300,157,FALSE)</f>
      </c>
      <c r="AN157" s="28356">
        <f>IF(HLOOKUP("BC - Open",A1:CV300,157,FALSE)=0,0,HLOOKUP("BC - Open Miss",A1:CV300,157,FALSE)/HLOOKUP("BC - Open",A1:CV300,157,FALSE))</f>
      </c>
      <c r="AO157" t="n" s="28357">
        <v>2.0</v>
      </c>
      <c r="AP157" s="28358">
        <f>IF(HLOOKUP("Gs",A1:CV300,157,FALSE)=0,0,HLOOKUP("GIB",A1:CV300,157,FALSE)/HLOOKUP("Gs",A1:CV300,157,FALSE))</f>
      </c>
      <c r="AQ157" t="n" s="28359">
        <v>2.0</v>
      </c>
      <c r="AR157" s="28360">
        <f>IF(HLOOKUP("Gs",A1:CV300,157,FALSE)=0,0,HLOOKUP("Gs - Open",A1:CV300,157,FALSE)/HLOOKUP("Gs",A1:CV300,157,FALSE))</f>
      </c>
      <c r="AS157" t="n" s="28361">
        <v>2.44</v>
      </c>
      <c r="AT157" t="n" s="28362">
        <v>0.68</v>
      </c>
      <c r="AU157" s="28363">
        <f>IF(HLOOKUP("Mins",A1:CV300,157,FALSE)=0,0,HLOOKUP("Pts",A1:CV300,157,FALSE)/HLOOKUP("Mins",A1:CV300,157,FALSE)* 90)</f>
      </c>
      <c r="AV157" s="28364">
        <f>IF(HLOOKUP("Apps",A1:CV300,157,FALSE)=0,0,HLOOKUP("Pts",A1:CV300,157,FALSE)/HLOOKUP("Apps",A1:CV300,157,FALSE)* 1)</f>
      </c>
      <c r="AW157" s="28365">
        <f>IF(HLOOKUP("Mins",A1:CV300,157,FALSE)=0,0,HLOOKUP("Gs",A1:CV300,157,FALSE)/HLOOKUP("Mins",A1:CV300,157,FALSE)* 90)</f>
      </c>
      <c r="AX157" s="28366">
        <f>IF(HLOOKUP("Mins",A1:CV300,157,FALSE)=0,0,HLOOKUP("Bonus",A1:CV300,157,FALSE)/HLOOKUP("Mins",A1:CV300,157,FALSE)* 90)</f>
      </c>
      <c r="AY157" s="28367">
        <f>IF(HLOOKUP("Mins",A1:CV300,157,FALSE)=0,0,HLOOKUP("BPS",A1:CV300,157,FALSE)/HLOOKUP("Mins",A1:CV300,157,FALSE)* 90)</f>
      </c>
      <c r="AZ157" s="28368">
        <f>IF(HLOOKUP("Mins",A1:CV300,157,FALSE)=0,0,HLOOKUP("Base BPS",A1:CV300,157,FALSE)/HLOOKUP("Mins",A1:CV300,157,FALSE)* 90)</f>
      </c>
      <c r="BA157" s="28369">
        <f>IF(HLOOKUP("Mins",A1:CV300,157,FALSE)=0,0,HLOOKUP("PenTchs",A1:CV300,157,FALSE)/HLOOKUP("Mins",A1:CV300,157,FALSE)* 90)</f>
      </c>
      <c r="BB157" s="28370">
        <f>IF(HLOOKUP("Mins",A1:CV300,157,FALSE)=0,0,HLOOKUP("Shots",A1:CV300,157,FALSE)/HLOOKUP("Mins",A1:CV300,157,FALSE)* 90)</f>
      </c>
      <c r="BC157" s="28371">
        <f>IF(HLOOKUP("Mins",A1:CV300,157,FALSE)=0,0,HLOOKUP("SIB",A1:CV300,157,FALSE)/HLOOKUP("Mins",A1:CV300,157,FALSE)* 90)</f>
      </c>
      <c r="BD157" s="28372">
        <f>IF(HLOOKUP("Mins",A1:CV300,157,FALSE)=0,0,HLOOKUP("S6YD",A1:CV300,157,FALSE)/HLOOKUP("Mins",A1:CV300,157,FALSE)* 90)</f>
      </c>
      <c r="BE157" s="28373">
        <f>IF(HLOOKUP("Mins",A1:CV300,157,FALSE)=0,0,HLOOKUP("Headers",A1:CV300,157,FALSE)/HLOOKUP("Mins",A1:CV300,157,FALSE)* 90)</f>
      </c>
      <c r="BF157" s="28374">
        <f>IF(HLOOKUP("Mins",A1:CV300,157,FALSE)=0,0,HLOOKUP("SOT",A1:CV300,157,FALSE)/HLOOKUP("Mins",A1:CV300,157,FALSE)* 90)</f>
      </c>
      <c r="BG157" s="28375">
        <f>IF(HLOOKUP("Mins",A1:CV300,157,FALSE)=0,0,HLOOKUP("As",A1:CV300,157,FALSE)/HLOOKUP("Mins",A1:CV300,157,FALSE)* 90)</f>
      </c>
      <c r="BH157" s="28376">
        <f>IF(HLOOKUP("Mins",A1:CV300,157,FALSE)=0,0,HLOOKUP("FPL As",A1:CV300,157,FALSE)/HLOOKUP("Mins",A1:CV300,157,FALSE)* 90)</f>
      </c>
      <c r="BI157" s="28377">
        <f>IF(HLOOKUP("Mins",A1:CV300,157,FALSE)=0,0,HLOOKUP("BC Created",A1:CV300,157,FALSE)/HLOOKUP("Mins",A1:CV300,157,FALSE)* 90)</f>
      </c>
      <c r="BJ157" s="28378">
        <f>IF(HLOOKUP("Mins",A1:CV300,157,FALSE)=0,0,HLOOKUP("KP",A1:CV300,157,FALSE)/HLOOKUP("Mins",A1:CV300,157,FALSE)* 90)</f>
      </c>
      <c r="BK157" s="28379">
        <f>IF(HLOOKUP("Mins",A1:CV300,157,FALSE)=0,0,HLOOKUP("BC",A1:CV300,157,FALSE)/HLOOKUP("Mins",A1:CV300,157,FALSE)* 90)</f>
      </c>
      <c r="BL157" s="28380">
        <f>IF(HLOOKUP("Mins",A1:CV300,157,FALSE)=0,0,HLOOKUP("BC Miss",A1:CV300,157,FALSE)/HLOOKUP("Mins",A1:CV300,157,FALSE)* 90)</f>
      </c>
      <c r="BM157" s="28381">
        <f>IF(HLOOKUP("Mins",A1:CV300,157,FALSE)=0,0,HLOOKUP("Gs - BC",A1:CV300,157,FALSE)/HLOOKUP("Mins",A1:CV300,157,FALSE)* 90)</f>
      </c>
      <c r="BN157" s="28382">
        <f>IF(HLOOKUP("Mins",A1:CV300,157,FALSE)=0,0,HLOOKUP("GIB",A1:CV300,157,FALSE)/HLOOKUP("Mins",A1:CV300,157,FALSE)* 90)</f>
      </c>
      <c r="BO157" s="28383">
        <f>IF(HLOOKUP("Mins",A1:CV300,157,FALSE)=0,0,HLOOKUP("Gs - Open",A1:CV300,157,FALSE)/HLOOKUP("Mins",A1:CV300,157,FALSE)* 90)</f>
      </c>
      <c r="BP157" s="28384">
        <f>IF(HLOOKUP("Mins",A1:CV300,157,FALSE)=0,0,HLOOKUP("ICT Index",A1:CV300,157,FALSE)/HLOOKUP("Mins",A1:CV300,157,FALSE)* 90)</f>
      </c>
      <c r="BQ157" s="28385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</c>
      <c r="BR157" s="28386">
        <f>0.0885*HLOOKUP("KP/90",A1:CV300,157,FALSE)</f>
      </c>
      <c r="BS157" s="28387">
        <f>5*HLOOKUP("xG/90",A1:CV300,157,FALSE)+3*HLOOKUP("xA/90",A1:CV300,157,FALSE)</f>
      </c>
      <c r="BT157" s="28388">
        <f>HLOOKUP("xPts/90",A1:CV300,157,FALSE)-(5*0.75*(HLOOKUP("PK Gs",A1:CV300,157,FALSE)+HLOOKUP("PK Miss",A1:CV300,157,FALSE))*90/HLOOKUP("Mins",A1:CV300,157,FALSE))</f>
      </c>
      <c r="BU157" s="28389">
        <f>IF(HLOOKUP("Mins",A1:CV300,157,FALSE)=0,0,HLOOKUP("fsXG",A1:CV300,157,FALSE)/HLOOKUP("Mins",A1:CV300,157,FALSE)* 90)</f>
      </c>
      <c r="BV157" s="28390">
        <f>IF(HLOOKUP("Mins",A1:CV300,157,FALSE)=0,0,HLOOKUP("fsXA",A1:CV300,157,FALSE)/HLOOKUP("Mins",A1:CV300,157,FALSE)* 90)</f>
      </c>
      <c r="BW157" s="28391">
        <f>5*HLOOKUP("fsXG/90",A1:CV300,157,FALSE)+3*HLOOKUP("fsXA/90",A1:CV300,157,FALSE)</f>
      </c>
      <c r="BX157" t="n" s="28392">
        <v>0.8008801937103271</v>
      </c>
      <c r="BY157" t="n" s="28393">
        <v>0.11717162281274796</v>
      </c>
      <c r="BZ157" s="28394">
        <f>5*HLOOKUP("uXG/90",A1:CV300,157,FALSE)+3*HLOOKUP("uXA/90",A1:CV300,157,FALSE)</f>
      </c>
    </row>
    <row r="158">
      <c r="A158" t="s" s="28395">
        <v>461</v>
      </c>
      <c r="B158" t="s" s="28396">
        <v>95</v>
      </c>
      <c r="C158" t="n" s="28397">
        <v>5.400000095367432</v>
      </c>
      <c r="D158" t="n" s="28398">
        <v>180.0</v>
      </c>
      <c r="E158" t="n" s="28399">
        <v>2.0</v>
      </c>
      <c r="F158" t="n" s="28400">
        <v>9.0</v>
      </c>
      <c r="G158" t="n" s="28401">
        <v>0.0</v>
      </c>
      <c r="H158" t="n" s="28402">
        <v>0.0</v>
      </c>
      <c r="I158" t="n" s="28403">
        <v>41.0</v>
      </c>
      <c r="J158" s="28404">
        <f>HLOOKUP("BPS",A1:CV300,158,FALSE)-((-6*HLOOKUP("OG",A1:CV300,158,FALSE))+(-6*HLOOKUP("PK Miss",A1:CV300,158,FALSE))+(9*HLOOKUP("FPL As",A1:CV300,158,FALSE))+(0*HLOOKUP("CS",A1:CV300,158,FALSE))+(18*HLOOKUP("Gs",A1:CV300,158,FALSE)))</f>
      </c>
      <c r="K158" t="n" s="28405">
        <v>0.0</v>
      </c>
      <c r="L158" t="n" s="28406">
        <v>0.0</v>
      </c>
      <c r="M158" t="n" s="28407">
        <v>4.0</v>
      </c>
      <c r="N158" t="n" s="28408">
        <v>0.0</v>
      </c>
      <c r="O158" t="n" s="28409">
        <v>0.0</v>
      </c>
      <c r="P158" s="28410">
        <f>IF(HLOOKUP("Shots",A1:CV300,158,FALSE)=0,0,HLOOKUP("SIB",A1:CV300,158,FALSE)/HLOOKUP("Shots",A1:CV300,158,FALSE))</f>
      </c>
      <c r="Q158" t="n" s="28411">
        <v>0.0</v>
      </c>
      <c r="R158" s="28412">
        <f>IF(HLOOKUP("Shots",A1:CV300,158,FALSE)=0,0,HLOOKUP("S6YD",A1:CV300,158,FALSE)/HLOOKUP("Shots",A1:CV300,158,FALSE))</f>
      </c>
      <c r="S158" t="n" s="28413">
        <v>0.0</v>
      </c>
      <c r="T158" s="28414">
        <f>IF(HLOOKUP("Shots",A1:CV300,158,FALSE)=0,0,HLOOKUP("Headers",A1:CV300,158,FALSE)/HLOOKUP("Shots",A1:CV300,158,FALSE))</f>
      </c>
      <c r="U158" t="n" s="28415">
        <v>0.0</v>
      </c>
      <c r="V158" s="28416">
        <f>IF(HLOOKUP("Shots",A1:CV300,158,FALSE)=0,0,HLOOKUP("SOT",A1:CV300,158,FALSE)/HLOOKUP("Shots",A1:CV300,158,FALSE))</f>
      </c>
      <c r="W158" s="28417">
        <f>IF(HLOOKUP("Shots",A1:CV300,158,FALSE)=0,0,HLOOKUP("Gs",A1:CV300,158,FALSE)/HLOOKUP("Shots",A1:CV300,158,FALSE))</f>
      </c>
      <c r="X158" t="n" s="28418">
        <v>0.0</v>
      </c>
      <c r="Y158" t="n" s="28419">
        <v>0.0</v>
      </c>
      <c r="Z158" t="n" s="28420">
        <v>0.0</v>
      </c>
      <c r="AA158" s="28421">
        <f>IF(HLOOKUP("KP",A1:CV300,158,FALSE)=0,0,HLOOKUP("As",A1:CV300,158,FALSE)/HLOOKUP("KP",A1:CV300,158,FALSE))</f>
      </c>
      <c r="AB158" s="28422"/>
      <c r="AC158" t="n" s="28423">
        <v>0.0</v>
      </c>
      <c r="AD158" t="n" s="28424">
        <v>0.0</v>
      </c>
      <c r="AE158" t="n" s="28425">
        <v>0.0</v>
      </c>
      <c r="AF158" t="n" s="28426">
        <v>0.0</v>
      </c>
      <c r="AG158" s="28427">
        <f>IF(HLOOKUP("BC",A1:CV300,158,FALSE)=0,0,HLOOKUP("Gs - BC",A1:CV300,158,FALSE)/HLOOKUP("BC",A1:CV300,158,FALSE))</f>
      </c>
      <c r="AH158" s="28428">
        <f>HLOOKUP("BC",A1:CV300,158,FALSE) - HLOOKUP("BC Miss",A1:CV300,158,FALSE)</f>
      </c>
      <c r="AI158" s="28429">
        <f>IF(HLOOKUP("Gs",A1:CV300,158,FALSE)=0,0,HLOOKUP("Gs - BC",A1:CV300,158,FALSE)/HLOOKUP("Gs",A1:CV300,158,FALSE))</f>
      </c>
      <c r="AJ158" t="n" s="28430">
        <v>0.0</v>
      </c>
      <c r="AK158" t="n" s="28431">
        <v>0.0</v>
      </c>
      <c r="AL158" s="28432">
        <f>HLOOKUP("BC",A1:CV300,158,FALSE) - (HLOOKUP("PK Gs",A1:CV300,158,FALSE) + HLOOKUP("PK Miss",A1:CV300,158,FALSE))</f>
      </c>
      <c r="AM158" s="28433">
        <f>HLOOKUP("BC Miss",A1:CV300,158,FALSE) - HLOOKUP("PK Miss",A1:CV300,158,FALSE)</f>
      </c>
      <c r="AN158" s="28434">
        <f>IF(HLOOKUP("BC - Open",A1:CV300,158,FALSE)=0,0,HLOOKUP("BC - Open Miss",A1:CV300,158,FALSE)/HLOOKUP("BC - Open",A1:CV300,158,FALSE))</f>
      </c>
      <c r="AO158" t="n" s="28435">
        <v>0.0</v>
      </c>
      <c r="AP158" s="28436">
        <f>IF(HLOOKUP("Gs",A1:CV300,158,FALSE)=0,0,HLOOKUP("GIB",A1:CV300,158,FALSE)/HLOOKUP("Gs",A1:CV300,158,FALSE))</f>
      </c>
      <c r="AQ158" t="n" s="28437">
        <v>0.0</v>
      </c>
      <c r="AR158" s="28438">
        <f>IF(HLOOKUP("Gs",A1:CV300,158,FALSE)=0,0,HLOOKUP("Gs - Open",A1:CV300,158,FALSE)/HLOOKUP("Gs",A1:CV300,158,FALSE))</f>
      </c>
      <c r="AS158" t="n" s="28439">
        <v>0.0</v>
      </c>
      <c r="AT158" t="n" s="28440">
        <v>0.09</v>
      </c>
      <c r="AU158" s="28441">
        <f>IF(HLOOKUP("Mins",A1:CV300,158,FALSE)=0,0,HLOOKUP("Pts",A1:CV300,158,FALSE)/HLOOKUP("Mins",A1:CV300,158,FALSE)* 90)</f>
      </c>
      <c r="AV158" s="28442">
        <f>IF(HLOOKUP("Apps",A1:CV300,158,FALSE)=0,0,HLOOKUP("Pts",A1:CV300,158,FALSE)/HLOOKUP("Apps",A1:CV300,158,FALSE)* 1)</f>
      </c>
      <c r="AW158" s="28443">
        <f>IF(HLOOKUP("Mins",A1:CV300,158,FALSE)=0,0,HLOOKUP("Gs",A1:CV300,158,FALSE)/HLOOKUP("Mins",A1:CV300,158,FALSE)* 90)</f>
      </c>
      <c r="AX158" s="28444">
        <f>IF(HLOOKUP("Mins",A1:CV300,158,FALSE)=0,0,HLOOKUP("Bonus",A1:CV300,158,FALSE)/HLOOKUP("Mins",A1:CV300,158,FALSE)* 90)</f>
      </c>
      <c r="AY158" s="28445">
        <f>IF(HLOOKUP("Mins",A1:CV300,158,FALSE)=0,0,HLOOKUP("BPS",A1:CV300,158,FALSE)/HLOOKUP("Mins",A1:CV300,158,FALSE)* 90)</f>
      </c>
      <c r="AZ158" s="28446">
        <f>IF(HLOOKUP("Mins",A1:CV300,158,FALSE)=0,0,HLOOKUP("Base BPS",A1:CV300,158,FALSE)/HLOOKUP("Mins",A1:CV300,158,FALSE)* 90)</f>
      </c>
      <c r="BA158" s="28447">
        <f>IF(HLOOKUP("Mins",A1:CV300,158,FALSE)=0,0,HLOOKUP("PenTchs",A1:CV300,158,FALSE)/HLOOKUP("Mins",A1:CV300,158,FALSE)* 90)</f>
      </c>
      <c r="BB158" s="28448">
        <f>IF(HLOOKUP("Mins",A1:CV300,158,FALSE)=0,0,HLOOKUP("Shots",A1:CV300,158,FALSE)/HLOOKUP("Mins",A1:CV300,158,FALSE)* 90)</f>
      </c>
      <c r="BC158" s="28449">
        <f>IF(HLOOKUP("Mins",A1:CV300,158,FALSE)=0,0,HLOOKUP("SIB",A1:CV300,158,FALSE)/HLOOKUP("Mins",A1:CV300,158,FALSE)* 90)</f>
      </c>
      <c r="BD158" s="28450">
        <f>IF(HLOOKUP("Mins",A1:CV300,158,FALSE)=0,0,HLOOKUP("S6YD",A1:CV300,158,FALSE)/HLOOKUP("Mins",A1:CV300,158,FALSE)* 90)</f>
      </c>
      <c r="BE158" s="28451">
        <f>IF(HLOOKUP("Mins",A1:CV300,158,FALSE)=0,0,HLOOKUP("Headers",A1:CV300,158,FALSE)/HLOOKUP("Mins",A1:CV300,158,FALSE)* 90)</f>
      </c>
      <c r="BF158" s="28452">
        <f>IF(HLOOKUP("Mins",A1:CV300,158,FALSE)=0,0,HLOOKUP("SOT",A1:CV300,158,FALSE)/HLOOKUP("Mins",A1:CV300,158,FALSE)* 90)</f>
      </c>
      <c r="BG158" s="28453">
        <f>IF(HLOOKUP("Mins",A1:CV300,158,FALSE)=0,0,HLOOKUP("As",A1:CV300,158,FALSE)/HLOOKUP("Mins",A1:CV300,158,FALSE)* 90)</f>
      </c>
      <c r="BH158" s="28454">
        <f>IF(HLOOKUP("Mins",A1:CV300,158,FALSE)=0,0,HLOOKUP("FPL As",A1:CV300,158,FALSE)/HLOOKUP("Mins",A1:CV300,158,FALSE)* 90)</f>
      </c>
      <c r="BI158" s="28455">
        <f>IF(HLOOKUP("Mins",A1:CV300,158,FALSE)=0,0,HLOOKUP("BC Created",A1:CV300,158,FALSE)/HLOOKUP("Mins",A1:CV300,158,FALSE)* 90)</f>
      </c>
      <c r="BJ158" s="28456">
        <f>IF(HLOOKUP("Mins",A1:CV300,158,FALSE)=0,0,HLOOKUP("KP",A1:CV300,158,FALSE)/HLOOKUP("Mins",A1:CV300,158,FALSE)* 90)</f>
      </c>
      <c r="BK158" s="28457">
        <f>IF(HLOOKUP("Mins",A1:CV300,158,FALSE)=0,0,HLOOKUP("BC",A1:CV300,158,FALSE)/HLOOKUP("Mins",A1:CV300,158,FALSE)* 90)</f>
      </c>
      <c r="BL158" s="28458">
        <f>IF(HLOOKUP("Mins",A1:CV300,158,FALSE)=0,0,HLOOKUP("BC Miss",A1:CV300,158,FALSE)/HLOOKUP("Mins",A1:CV300,158,FALSE)* 90)</f>
      </c>
      <c r="BM158" s="28459">
        <f>IF(HLOOKUP("Mins",A1:CV300,158,FALSE)=0,0,HLOOKUP("Gs - BC",A1:CV300,158,FALSE)/HLOOKUP("Mins",A1:CV300,158,FALSE)* 90)</f>
      </c>
      <c r="BN158" s="28460">
        <f>IF(HLOOKUP("Mins",A1:CV300,158,FALSE)=0,0,HLOOKUP("GIB",A1:CV300,158,FALSE)/HLOOKUP("Mins",A1:CV300,158,FALSE)* 90)</f>
      </c>
      <c r="BO158" s="28461">
        <f>IF(HLOOKUP("Mins",A1:CV300,158,FALSE)=0,0,HLOOKUP("Gs - Open",A1:CV300,158,FALSE)/HLOOKUP("Mins",A1:CV300,158,FALSE)* 90)</f>
      </c>
      <c r="BP158" s="28462">
        <f>IF(HLOOKUP("Mins",A1:CV300,158,FALSE)=0,0,HLOOKUP("ICT Index",A1:CV300,158,FALSE)/HLOOKUP("Mins",A1:CV300,158,FALSE)* 90)</f>
      </c>
      <c r="BQ158" s="28463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</c>
      <c r="BR158" s="28464">
        <f>0.0885*HLOOKUP("KP/90",A1:CV300,158,FALSE)</f>
      </c>
      <c r="BS158" s="28465">
        <f>5*HLOOKUP("xG/90",A1:CV300,158,FALSE)+3*HLOOKUP("xA/90",A1:CV300,158,FALSE)</f>
      </c>
      <c r="BT158" s="28466">
        <f>HLOOKUP("xPts/90",A1:CV300,158,FALSE)-(5*0.75*(HLOOKUP("PK Gs",A1:CV300,158,FALSE)+HLOOKUP("PK Miss",A1:CV300,158,FALSE))*90/HLOOKUP("Mins",A1:CV300,158,FALSE))</f>
      </c>
      <c r="BU158" s="28467">
        <f>IF(HLOOKUP("Mins",A1:CV300,158,FALSE)=0,0,HLOOKUP("fsXG",A1:CV300,158,FALSE)/HLOOKUP("Mins",A1:CV300,158,FALSE)* 90)</f>
      </c>
      <c r="BV158" s="28468">
        <f>IF(HLOOKUP("Mins",A1:CV300,158,FALSE)=0,0,HLOOKUP("fsXA",A1:CV300,158,FALSE)/HLOOKUP("Mins",A1:CV300,158,FALSE)* 90)</f>
      </c>
      <c r="BW158" s="28469">
        <f>5*HLOOKUP("fsXG/90",A1:CV300,158,FALSE)+3*HLOOKUP("fsXA/90",A1:CV300,158,FALSE)</f>
      </c>
      <c r="BX158" t="n" s="28470">
        <v>0.0</v>
      </c>
      <c r="BY158" t="n" s="28471">
        <v>0.0</v>
      </c>
      <c r="BZ158" s="28472">
        <f>5*HLOOKUP("uXG/90",A1:CV300,158,FALSE)+3*HLOOKUP("uXA/90",A1:CV300,158,FALSE)</f>
      </c>
    </row>
    <row r="159">
      <c r="A159" t="s" s="28473">
        <v>462</v>
      </c>
      <c r="B159" t="s" s="28474">
        <v>92</v>
      </c>
      <c r="C159" t="n" s="28475">
        <v>4.900000095367432</v>
      </c>
      <c r="D159" t="n" s="28476">
        <v>398.0</v>
      </c>
      <c r="E159" t="n" s="28477">
        <v>6.0</v>
      </c>
      <c r="F159" t="n" s="28478">
        <v>35.0</v>
      </c>
      <c r="G159" t="n" s="28479">
        <v>0.0</v>
      </c>
      <c r="H159" t="n" s="28480">
        <v>1.0</v>
      </c>
      <c r="I159" t="n" s="28481">
        <v>112.0</v>
      </c>
      <c r="J159" s="28482">
        <f>HLOOKUP("BPS",A1:CV300,159,FALSE)-((-6*HLOOKUP("OG",A1:CV300,159,FALSE))+(-6*HLOOKUP("PK Miss",A1:CV300,159,FALSE))+(9*HLOOKUP("FPL As",A1:CV300,159,FALSE))+(0*HLOOKUP("CS",A1:CV300,159,FALSE))+(18*HLOOKUP("Gs",A1:CV300,159,FALSE)))</f>
      </c>
      <c r="K159" t="n" s="28483">
        <v>0.0</v>
      </c>
      <c r="L159" t="n" s="28484">
        <v>1.0</v>
      </c>
      <c r="M159" t="n" s="28485">
        <v>14.0</v>
      </c>
      <c r="N159" t="n" s="28486">
        <v>2.0</v>
      </c>
      <c r="O159" t="n" s="28487">
        <v>2.0</v>
      </c>
      <c r="P159" s="28488">
        <f>IF(HLOOKUP("Shots",A1:CV300,159,FALSE)=0,0,HLOOKUP("SIB",A1:CV300,159,FALSE)/HLOOKUP("Shots",A1:CV300,159,FALSE))</f>
      </c>
      <c r="Q159" t="n" s="28489">
        <v>0.0</v>
      </c>
      <c r="R159" s="28490">
        <f>IF(HLOOKUP("Shots",A1:CV300,159,FALSE)=0,0,HLOOKUP("S6YD",A1:CV300,159,FALSE)/HLOOKUP("Shots",A1:CV300,159,FALSE))</f>
      </c>
      <c r="S159" t="n" s="28491">
        <v>1.0</v>
      </c>
      <c r="T159" s="28492">
        <f>IF(HLOOKUP("Shots",A1:CV300,159,FALSE)=0,0,HLOOKUP("Headers",A1:CV300,159,FALSE)/HLOOKUP("Shots",A1:CV300,159,FALSE))</f>
      </c>
      <c r="U159" t="n" s="28493">
        <v>1.0</v>
      </c>
      <c r="V159" s="28494">
        <f>IF(HLOOKUP("Shots",A1:CV300,159,FALSE)=0,0,HLOOKUP("SOT",A1:CV300,159,FALSE)/HLOOKUP("Shots",A1:CV300,159,FALSE))</f>
      </c>
      <c r="W159" s="28495">
        <f>IF(HLOOKUP("Shots",A1:CV300,159,FALSE)=0,0,HLOOKUP("Gs",A1:CV300,159,FALSE)/HLOOKUP("Shots",A1:CV300,159,FALSE))</f>
      </c>
      <c r="X159" t="n" s="28496">
        <v>1.0</v>
      </c>
      <c r="Y159" t="n" s="28497">
        <v>1.0</v>
      </c>
      <c r="Z159" t="n" s="28498">
        <v>1.0</v>
      </c>
      <c r="AA159" s="28499">
        <f>IF(HLOOKUP("KP",A1:CV300,159,FALSE)=0,0,HLOOKUP("As",A1:CV300,159,FALSE)/HLOOKUP("KP",A1:CV300,159,FALSE))</f>
      </c>
      <c r="AB159" s="28500"/>
      <c r="AC159" t="n" s="28501">
        <v>33.0</v>
      </c>
      <c r="AD159" t="n" s="28502">
        <v>1.0</v>
      </c>
      <c r="AE159" t="n" s="28503">
        <v>2.0</v>
      </c>
      <c r="AF159" t="n" s="28504">
        <v>2.0</v>
      </c>
      <c r="AG159" s="28505">
        <f>IF(HLOOKUP("BC",A1:CV300,159,FALSE)=0,0,HLOOKUP("Gs - BC",A1:CV300,159,FALSE)/HLOOKUP("BC",A1:CV300,159,FALSE))</f>
      </c>
      <c r="AH159" s="28506">
        <f>HLOOKUP("BC",A1:CV300,159,FALSE) - HLOOKUP("BC Miss",A1:CV300,159,FALSE)</f>
      </c>
      <c r="AI159" s="28507">
        <f>IF(HLOOKUP("Gs",A1:CV300,159,FALSE)=0,0,HLOOKUP("Gs - BC",A1:CV300,159,FALSE)/HLOOKUP("Gs",A1:CV300,159,FALSE))</f>
      </c>
      <c r="AJ159" t="n" s="28508">
        <v>0.0</v>
      </c>
      <c r="AK159" t="n" s="28509">
        <v>0.0</v>
      </c>
      <c r="AL159" s="28510">
        <f>HLOOKUP("BC",A1:CV300,159,FALSE) - (HLOOKUP("PK Gs",A1:CV300,159,FALSE) + HLOOKUP("PK Miss",A1:CV300,159,FALSE))</f>
      </c>
      <c r="AM159" s="28511">
        <f>HLOOKUP("BC Miss",A1:CV300,159,FALSE) - HLOOKUP("PK Miss",A1:CV300,159,FALSE)</f>
      </c>
      <c r="AN159" s="28512">
        <f>IF(HLOOKUP("BC - Open",A1:CV300,159,FALSE)=0,0,HLOOKUP("BC - Open Miss",A1:CV300,159,FALSE)/HLOOKUP("BC - Open",A1:CV300,159,FALSE))</f>
      </c>
      <c r="AO159" t="n" s="28513">
        <v>0.0</v>
      </c>
      <c r="AP159" s="28514">
        <f>IF(HLOOKUP("Gs",A1:CV300,159,FALSE)=0,0,HLOOKUP("GIB",A1:CV300,159,FALSE)/HLOOKUP("Gs",A1:CV300,159,FALSE))</f>
      </c>
      <c r="AQ159" t="n" s="28515">
        <v>0.0</v>
      </c>
      <c r="AR159" s="28516">
        <f>IF(HLOOKUP("Gs",A1:CV300,159,FALSE)=0,0,HLOOKUP("Gs - Open",A1:CV300,159,FALSE)/HLOOKUP("Gs",A1:CV300,159,FALSE))</f>
      </c>
      <c r="AS159" t="n" s="28517">
        <v>0.56</v>
      </c>
      <c r="AT159" t="n" s="28518">
        <v>0.17</v>
      </c>
      <c r="AU159" s="28519">
        <f>IF(HLOOKUP("Mins",A1:CV300,159,FALSE)=0,0,HLOOKUP("Pts",A1:CV300,159,FALSE)/HLOOKUP("Mins",A1:CV300,159,FALSE)* 90)</f>
      </c>
      <c r="AV159" s="28520">
        <f>IF(HLOOKUP("Apps",A1:CV300,159,FALSE)=0,0,HLOOKUP("Pts",A1:CV300,159,FALSE)/HLOOKUP("Apps",A1:CV300,159,FALSE)* 1)</f>
      </c>
      <c r="AW159" s="28521">
        <f>IF(HLOOKUP("Mins",A1:CV300,159,FALSE)=0,0,HLOOKUP("Gs",A1:CV300,159,FALSE)/HLOOKUP("Mins",A1:CV300,159,FALSE)* 90)</f>
      </c>
      <c r="AX159" s="28522">
        <f>IF(HLOOKUP("Mins",A1:CV300,159,FALSE)=0,0,HLOOKUP("Bonus",A1:CV300,159,FALSE)/HLOOKUP("Mins",A1:CV300,159,FALSE)* 90)</f>
      </c>
      <c r="AY159" s="28523">
        <f>IF(HLOOKUP("Mins",A1:CV300,159,FALSE)=0,0,HLOOKUP("BPS",A1:CV300,159,FALSE)/HLOOKUP("Mins",A1:CV300,159,FALSE)* 90)</f>
      </c>
      <c r="AZ159" s="28524">
        <f>IF(HLOOKUP("Mins",A1:CV300,159,FALSE)=0,0,HLOOKUP("Base BPS",A1:CV300,159,FALSE)/HLOOKUP("Mins",A1:CV300,159,FALSE)* 90)</f>
      </c>
      <c r="BA159" s="28525">
        <f>IF(HLOOKUP("Mins",A1:CV300,159,FALSE)=0,0,HLOOKUP("PenTchs",A1:CV300,159,FALSE)/HLOOKUP("Mins",A1:CV300,159,FALSE)* 90)</f>
      </c>
      <c r="BB159" s="28526">
        <f>IF(HLOOKUP("Mins",A1:CV300,159,FALSE)=0,0,HLOOKUP("Shots",A1:CV300,159,FALSE)/HLOOKUP("Mins",A1:CV300,159,FALSE)* 90)</f>
      </c>
      <c r="BC159" s="28527">
        <f>IF(HLOOKUP("Mins",A1:CV300,159,FALSE)=0,0,HLOOKUP("SIB",A1:CV300,159,FALSE)/HLOOKUP("Mins",A1:CV300,159,FALSE)* 90)</f>
      </c>
      <c r="BD159" s="28528">
        <f>IF(HLOOKUP("Mins",A1:CV300,159,FALSE)=0,0,HLOOKUP("S6YD",A1:CV300,159,FALSE)/HLOOKUP("Mins",A1:CV300,159,FALSE)* 90)</f>
      </c>
      <c r="BE159" s="28529">
        <f>IF(HLOOKUP("Mins",A1:CV300,159,FALSE)=0,0,HLOOKUP("Headers",A1:CV300,159,FALSE)/HLOOKUP("Mins",A1:CV300,159,FALSE)* 90)</f>
      </c>
      <c r="BF159" s="28530">
        <f>IF(HLOOKUP("Mins",A1:CV300,159,FALSE)=0,0,HLOOKUP("SOT",A1:CV300,159,FALSE)/HLOOKUP("Mins",A1:CV300,159,FALSE)* 90)</f>
      </c>
      <c r="BG159" s="28531">
        <f>IF(HLOOKUP("Mins",A1:CV300,159,FALSE)=0,0,HLOOKUP("As",A1:CV300,159,FALSE)/HLOOKUP("Mins",A1:CV300,159,FALSE)* 90)</f>
      </c>
      <c r="BH159" s="28532">
        <f>IF(HLOOKUP("Mins",A1:CV300,159,FALSE)=0,0,HLOOKUP("FPL As",A1:CV300,159,FALSE)/HLOOKUP("Mins",A1:CV300,159,FALSE)* 90)</f>
      </c>
      <c r="BI159" s="28533">
        <f>IF(HLOOKUP("Mins",A1:CV300,159,FALSE)=0,0,HLOOKUP("BC Created",A1:CV300,159,FALSE)/HLOOKUP("Mins",A1:CV300,159,FALSE)* 90)</f>
      </c>
      <c r="BJ159" s="28534">
        <f>IF(HLOOKUP("Mins",A1:CV300,159,FALSE)=0,0,HLOOKUP("KP",A1:CV300,159,FALSE)/HLOOKUP("Mins",A1:CV300,159,FALSE)* 90)</f>
      </c>
      <c r="BK159" s="28535">
        <f>IF(HLOOKUP("Mins",A1:CV300,159,FALSE)=0,0,HLOOKUP("BC",A1:CV300,159,FALSE)/HLOOKUP("Mins",A1:CV300,159,FALSE)* 90)</f>
      </c>
      <c r="BL159" s="28536">
        <f>IF(HLOOKUP("Mins",A1:CV300,159,FALSE)=0,0,HLOOKUP("BC Miss",A1:CV300,159,FALSE)/HLOOKUP("Mins",A1:CV300,159,FALSE)* 90)</f>
      </c>
      <c r="BM159" s="28537">
        <f>IF(HLOOKUP("Mins",A1:CV300,159,FALSE)=0,0,HLOOKUP("Gs - BC",A1:CV300,159,FALSE)/HLOOKUP("Mins",A1:CV300,159,FALSE)* 90)</f>
      </c>
      <c r="BN159" s="28538">
        <f>IF(HLOOKUP("Mins",A1:CV300,159,FALSE)=0,0,HLOOKUP("GIB",A1:CV300,159,FALSE)/HLOOKUP("Mins",A1:CV300,159,FALSE)* 90)</f>
      </c>
      <c r="BO159" s="28539">
        <f>IF(HLOOKUP("Mins",A1:CV300,159,FALSE)=0,0,HLOOKUP("Gs - Open",A1:CV300,159,FALSE)/HLOOKUP("Mins",A1:CV300,159,FALSE)* 90)</f>
      </c>
      <c r="BP159" s="28540">
        <f>IF(HLOOKUP("Mins",A1:CV300,159,FALSE)=0,0,HLOOKUP("ICT Index",A1:CV300,159,FALSE)/HLOOKUP("Mins",A1:CV300,159,FALSE)* 90)</f>
      </c>
      <c r="BQ159" s="28541">
        <f>IF(HLOOKUP("Mins",A1:CV300,159,FALSE)=0,0,(0.036*(HLOOKUP("Shots",A1:CV300,159,FALSE)-HLOOKUP("SIB",A1:CV300,159,FALSE))+0.142*(HLOOKUP("SIB",A1:CV300,159,FALSE)-(HLOOKUP("PK Gs",A1:CV300,159,FALSE)+HLOOKUP("PK Miss",A1:CV300,159,FALSE)))+0.75*(HLOOKUP("PK Gs",A1:CV300,159,FALSE)+HLOOKUP("PK Miss",A1:CV300,159,FALSE)))/HLOOKUP("Mins",A1:CV300,159,FALSE)*90)</f>
      </c>
      <c r="BR159" s="28542">
        <f>0.0885*HLOOKUP("KP/90",A1:CV300,159,FALSE)</f>
      </c>
      <c r="BS159" s="28543">
        <f>5*HLOOKUP("xG/90",A1:CV300,159,FALSE)+3*HLOOKUP("xA/90",A1:CV300,159,FALSE)</f>
      </c>
      <c r="BT159" s="28544">
        <f>HLOOKUP("xPts/90",A1:CV300,159,FALSE)-(5*0.75*(HLOOKUP("PK Gs",A1:CV300,159,FALSE)+HLOOKUP("PK Miss",A1:CV300,159,FALSE))*90/HLOOKUP("Mins",A1:CV300,159,FALSE))</f>
      </c>
      <c r="BU159" s="28545">
        <f>IF(HLOOKUP("Mins",A1:CV300,159,FALSE)=0,0,HLOOKUP("fsXG",A1:CV300,159,FALSE)/HLOOKUP("Mins",A1:CV300,159,FALSE)* 90)</f>
      </c>
      <c r="BV159" s="28546">
        <f>IF(HLOOKUP("Mins",A1:CV300,159,FALSE)=0,0,HLOOKUP("fsXA",A1:CV300,159,FALSE)/HLOOKUP("Mins",A1:CV300,159,FALSE)* 90)</f>
      </c>
      <c r="BW159" s="28547">
        <f>5*HLOOKUP("fsXG/90",A1:CV300,159,FALSE)+3*HLOOKUP("fsXA/90",A1:CV300,159,FALSE)</f>
      </c>
      <c r="BX159" t="n" s="28548">
        <v>0.1761673390865326</v>
      </c>
      <c r="BY159" t="n" s="28549">
        <v>0.09059306234121323</v>
      </c>
      <c r="BZ159" s="28550">
        <f>5*HLOOKUP("uXG/90",A1:CV300,159,FALSE)+3*HLOOKUP("uXA/90",A1:CV300,159,FALSE)</f>
      </c>
    </row>
    <row r="160">
      <c r="A160" t="s" s="28551">
        <v>463</v>
      </c>
      <c r="B160" t="s" s="28552">
        <v>131</v>
      </c>
      <c r="C160" t="n" s="28553">
        <v>5.199999809265137</v>
      </c>
      <c r="D160" t="n" s="28554">
        <v>477.0</v>
      </c>
      <c r="E160" t="n" s="28555">
        <v>6.0</v>
      </c>
      <c r="F160" t="n" s="28556">
        <v>63.0</v>
      </c>
      <c r="G160" t="n" s="28557">
        <v>0.0</v>
      </c>
      <c r="H160" t="n" s="28558">
        <v>4.0</v>
      </c>
      <c r="I160" t="n" s="28559">
        <v>327.0</v>
      </c>
      <c r="J160" s="28560">
        <f>HLOOKUP("BPS",A1:CV300,160,FALSE)-((-6*HLOOKUP("OG",A1:CV300,160,FALSE))+(-6*HLOOKUP("PK Miss",A1:CV300,160,FALSE))+(9*HLOOKUP("FPL As",A1:CV300,160,FALSE))+(0*HLOOKUP("CS",A1:CV300,160,FALSE))+(18*HLOOKUP("Gs",A1:CV300,160,FALSE)))</f>
      </c>
      <c r="K160" t="n" s="28561">
        <v>0.0</v>
      </c>
      <c r="L160" t="n" s="28562">
        <v>6.0</v>
      </c>
      <c r="M160" t="n" s="28563">
        <v>0.0</v>
      </c>
      <c r="N160" t="n" s="28564">
        <v>8.0</v>
      </c>
      <c r="O160" t="n" s="28565">
        <v>0.0</v>
      </c>
      <c r="P160" s="28566">
        <f>IF(HLOOKUP("Shots",A1:CV300,160,FALSE)=0,0,HLOOKUP("SIB",A1:CV300,160,FALSE)/HLOOKUP("Shots",A1:CV300,160,FALSE))</f>
      </c>
      <c r="Q160" t="n" s="28567">
        <v>0.0</v>
      </c>
      <c r="R160" s="28568">
        <f>IF(HLOOKUP("Shots",A1:CV300,160,FALSE)=0,0,HLOOKUP("S6YD",A1:CV300,160,FALSE)/HLOOKUP("Shots",A1:CV300,160,FALSE))</f>
      </c>
      <c r="S160" t="n" s="28569">
        <v>0.0</v>
      </c>
      <c r="T160" s="28570">
        <f>IF(HLOOKUP("Shots",A1:CV300,160,FALSE)=0,0,HLOOKUP("Headers",A1:CV300,160,FALSE)/HLOOKUP("Shots",A1:CV300,160,FALSE))</f>
      </c>
      <c r="U160" t="n" s="28571">
        <v>0.0</v>
      </c>
      <c r="V160" s="28572">
        <f>IF(HLOOKUP("Shots",A1:CV300,160,FALSE)=0,0,HLOOKUP("SOT",A1:CV300,160,FALSE)/HLOOKUP("Shots",A1:CV300,160,FALSE))</f>
      </c>
      <c r="W160" s="28573">
        <f>IF(HLOOKUP("Shots",A1:CV300,160,FALSE)=0,0,HLOOKUP("Gs",A1:CV300,160,FALSE)/HLOOKUP("Shots",A1:CV300,160,FALSE))</f>
      </c>
      <c r="X160" t="n" s="28574">
        <v>0.0</v>
      </c>
      <c r="Y160" t="n" s="28575">
        <v>1.0</v>
      </c>
      <c r="Z160" t="n" s="28576">
        <v>1.0</v>
      </c>
      <c r="AA160" s="28577">
        <f>IF(HLOOKUP("KP",A1:CV300,160,FALSE)=0,0,HLOOKUP("As",A1:CV300,160,FALSE)/HLOOKUP("KP",A1:CV300,160,FALSE))</f>
      </c>
      <c r="AB160" s="28578"/>
      <c r="AC160" t="n" s="28579">
        <v>0.0</v>
      </c>
      <c r="AD160" t="n" s="28580">
        <v>1.0</v>
      </c>
      <c r="AE160" t="n" s="28581">
        <v>0.0</v>
      </c>
      <c r="AF160" t="n" s="28582">
        <v>0.0</v>
      </c>
      <c r="AG160" s="28583">
        <f>IF(HLOOKUP("BC",A1:CV300,160,FALSE)=0,0,HLOOKUP("Gs - BC",A1:CV300,160,FALSE)/HLOOKUP("BC",A1:CV300,160,FALSE))</f>
      </c>
      <c r="AH160" s="28584">
        <f>HLOOKUP("BC",A1:CV300,160,FALSE) - HLOOKUP("BC Miss",A1:CV300,160,FALSE)</f>
      </c>
      <c r="AI160" s="28585">
        <f>IF(HLOOKUP("Gs",A1:CV300,160,FALSE)=0,0,HLOOKUP("Gs - BC",A1:CV300,160,FALSE)/HLOOKUP("Gs",A1:CV300,160,FALSE))</f>
      </c>
      <c r="AJ160" t="n" s="28586">
        <v>0.0</v>
      </c>
      <c r="AK160" t="n" s="28587">
        <v>0.0</v>
      </c>
      <c r="AL160" s="28588">
        <f>HLOOKUP("BC",A1:CV300,160,FALSE) - (HLOOKUP("PK Gs",A1:CV300,160,FALSE) + HLOOKUP("PK Miss",A1:CV300,160,FALSE))</f>
      </c>
      <c r="AM160" s="28589">
        <f>HLOOKUP("BC Miss",A1:CV300,160,FALSE) - HLOOKUP("PK Miss",A1:CV300,160,FALSE)</f>
      </c>
      <c r="AN160" s="28590">
        <f>IF(HLOOKUP("BC - Open",A1:CV300,160,FALSE)=0,0,HLOOKUP("BC - Open Miss",A1:CV300,160,FALSE)/HLOOKUP("BC - Open",A1:CV300,160,FALSE))</f>
      </c>
      <c r="AO160" t="n" s="28591">
        <v>0.0</v>
      </c>
      <c r="AP160" s="28592">
        <f>IF(HLOOKUP("Gs",A1:CV300,160,FALSE)=0,0,HLOOKUP("GIB",A1:CV300,160,FALSE)/HLOOKUP("Gs",A1:CV300,160,FALSE))</f>
      </c>
      <c r="AQ160" t="n" s="28593">
        <v>0.0</v>
      </c>
      <c r="AR160" s="28594">
        <f>IF(HLOOKUP("Gs",A1:CV300,160,FALSE)=0,0,HLOOKUP("Gs - Open",A1:CV300,160,FALSE)/HLOOKUP("Gs",A1:CV300,160,FALSE))</f>
      </c>
      <c r="AS160" t="n" s="28595">
        <v>0.26</v>
      </c>
      <c r="AT160" t="n" s="28596">
        <v>0.53</v>
      </c>
      <c r="AU160" s="28597">
        <f>IF(HLOOKUP("Mins",A1:CV300,160,FALSE)=0,0,HLOOKUP("Pts",A1:CV300,160,FALSE)/HLOOKUP("Mins",A1:CV300,160,FALSE)* 90)</f>
      </c>
      <c r="AV160" s="28598">
        <f>IF(HLOOKUP("Apps",A1:CV300,160,FALSE)=0,0,HLOOKUP("Pts",A1:CV300,160,FALSE)/HLOOKUP("Apps",A1:CV300,160,FALSE)* 1)</f>
      </c>
      <c r="AW160" s="28599">
        <f>IF(HLOOKUP("Mins",A1:CV300,160,FALSE)=0,0,HLOOKUP("Gs",A1:CV300,160,FALSE)/HLOOKUP("Mins",A1:CV300,160,FALSE)* 90)</f>
      </c>
      <c r="AX160" s="28600">
        <f>IF(HLOOKUP("Mins",A1:CV300,160,FALSE)=0,0,HLOOKUP("Bonus",A1:CV300,160,FALSE)/HLOOKUP("Mins",A1:CV300,160,FALSE)* 90)</f>
      </c>
      <c r="AY160" s="28601">
        <f>IF(HLOOKUP("Mins",A1:CV300,160,FALSE)=0,0,HLOOKUP("BPS",A1:CV300,160,FALSE)/HLOOKUP("Mins",A1:CV300,160,FALSE)* 90)</f>
      </c>
      <c r="AZ160" s="28602">
        <f>IF(HLOOKUP("Mins",A1:CV300,160,FALSE)=0,0,HLOOKUP("Base BPS",A1:CV300,160,FALSE)/HLOOKUP("Mins",A1:CV300,160,FALSE)* 90)</f>
      </c>
      <c r="BA160" s="28603">
        <f>IF(HLOOKUP("Mins",A1:CV300,160,FALSE)=0,0,HLOOKUP("PenTchs",A1:CV300,160,FALSE)/HLOOKUP("Mins",A1:CV300,160,FALSE)* 90)</f>
      </c>
      <c r="BB160" s="28604">
        <f>IF(HLOOKUP("Mins",A1:CV300,160,FALSE)=0,0,HLOOKUP("Shots",A1:CV300,160,FALSE)/HLOOKUP("Mins",A1:CV300,160,FALSE)* 90)</f>
      </c>
      <c r="BC160" s="28605">
        <f>IF(HLOOKUP("Mins",A1:CV300,160,FALSE)=0,0,HLOOKUP("SIB",A1:CV300,160,FALSE)/HLOOKUP("Mins",A1:CV300,160,FALSE)* 90)</f>
      </c>
      <c r="BD160" s="28606">
        <f>IF(HLOOKUP("Mins",A1:CV300,160,FALSE)=0,0,HLOOKUP("S6YD",A1:CV300,160,FALSE)/HLOOKUP("Mins",A1:CV300,160,FALSE)* 90)</f>
      </c>
      <c r="BE160" s="28607">
        <f>IF(HLOOKUP("Mins",A1:CV300,160,FALSE)=0,0,HLOOKUP("Headers",A1:CV300,160,FALSE)/HLOOKUP("Mins",A1:CV300,160,FALSE)* 90)</f>
      </c>
      <c r="BF160" s="28608">
        <f>IF(HLOOKUP("Mins",A1:CV300,160,FALSE)=0,0,HLOOKUP("SOT",A1:CV300,160,FALSE)/HLOOKUP("Mins",A1:CV300,160,FALSE)* 90)</f>
      </c>
      <c r="BG160" s="28609">
        <f>IF(HLOOKUP("Mins",A1:CV300,160,FALSE)=0,0,HLOOKUP("As",A1:CV300,160,FALSE)/HLOOKUP("Mins",A1:CV300,160,FALSE)* 90)</f>
      </c>
      <c r="BH160" s="28610">
        <f>IF(HLOOKUP("Mins",A1:CV300,160,FALSE)=0,0,HLOOKUP("FPL As",A1:CV300,160,FALSE)/HLOOKUP("Mins",A1:CV300,160,FALSE)* 90)</f>
      </c>
      <c r="BI160" s="28611">
        <f>IF(HLOOKUP("Mins",A1:CV300,160,FALSE)=0,0,HLOOKUP("BC Created",A1:CV300,160,FALSE)/HLOOKUP("Mins",A1:CV300,160,FALSE)* 90)</f>
      </c>
      <c r="BJ160" s="28612">
        <f>IF(HLOOKUP("Mins",A1:CV300,160,FALSE)=0,0,HLOOKUP("KP",A1:CV300,160,FALSE)/HLOOKUP("Mins",A1:CV300,160,FALSE)* 90)</f>
      </c>
      <c r="BK160" s="28613">
        <f>IF(HLOOKUP("Mins",A1:CV300,160,FALSE)=0,0,HLOOKUP("BC",A1:CV300,160,FALSE)/HLOOKUP("Mins",A1:CV300,160,FALSE)* 90)</f>
      </c>
      <c r="BL160" s="28614">
        <f>IF(HLOOKUP("Mins",A1:CV300,160,FALSE)=0,0,HLOOKUP("BC Miss",A1:CV300,160,FALSE)/HLOOKUP("Mins",A1:CV300,160,FALSE)* 90)</f>
      </c>
      <c r="BM160" s="28615">
        <f>IF(HLOOKUP("Mins",A1:CV300,160,FALSE)=0,0,HLOOKUP("Gs - BC",A1:CV300,160,FALSE)/HLOOKUP("Mins",A1:CV300,160,FALSE)* 90)</f>
      </c>
      <c r="BN160" s="28616">
        <f>IF(HLOOKUP("Mins",A1:CV300,160,FALSE)=0,0,HLOOKUP("GIB",A1:CV300,160,FALSE)/HLOOKUP("Mins",A1:CV300,160,FALSE)* 90)</f>
      </c>
      <c r="BO160" s="28617">
        <f>IF(HLOOKUP("Mins",A1:CV300,160,FALSE)=0,0,HLOOKUP("Gs - Open",A1:CV300,160,FALSE)/HLOOKUP("Mins",A1:CV300,160,FALSE)* 90)</f>
      </c>
      <c r="BP160" s="28618">
        <f>IF(HLOOKUP("Mins",A1:CV300,160,FALSE)=0,0,HLOOKUP("ICT Index",A1:CV300,160,FALSE)/HLOOKUP("Mins",A1:CV300,160,FALSE)* 90)</f>
      </c>
      <c r="BQ160" s="28619">
        <f>IF(HLOOKUP("Mins",A1:CV300,160,FALSE)=0,0,(0.036*(HLOOKUP("Shots",A1:CV300,160,FALSE)-HLOOKUP("SIB",A1:CV300,160,FALSE))+0.142*(HLOOKUP("SIB",A1:CV300,160,FALSE)-(HLOOKUP("PK Gs",A1:CV300,160,FALSE)+HLOOKUP("PK Miss",A1:CV300,160,FALSE)))+0.75*(HLOOKUP("PK Gs",A1:CV300,160,FALSE)+HLOOKUP("PK Miss",A1:CV300,160,FALSE)))/HLOOKUP("Mins",A1:CV300,160,FALSE)*90)</f>
      </c>
      <c r="BR160" s="28620">
        <f>0.0885*HLOOKUP("KP/90",A1:CV300,160,FALSE)</f>
      </c>
      <c r="BS160" s="28621">
        <f>5*HLOOKUP("xG/90",A1:CV300,160,FALSE)+3*HLOOKUP("xA/90",A1:CV300,160,FALSE)</f>
      </c>
      <c r="BT160" s="28622">
        <f>HLOOKUP("xPts/90",A1:CV300,160,FALSE)-(5*0.75*(HLOOKUP("PK Gs",A1:CV300,160,FALSE)+HLOOKUP("PK Miss",A1:CV300,160,FALSE))*90/HLOOKUP("Mins",A1:CV300,160,FALSE))</f>
      </c>
      <c r="BU160" s="28623">
        <f>IF(HLOOKUP("Mins",A1:CV300,160,FALSE)=0,0,HLOOKUP("fsXG",A1:CV300,160,FALSE)/HLOOKUP("Mins",A1:CV300,160,FALSE)* 90)</f>
      </c>
      <c r="BV160" s="28624">
        <f>IF(HLOOKUP("Mins",A1:CV300,160,FALSE)=0,0,HLOOKUP("fsXA",A1:CV300,160,FALSE)/HLOOKUP("Mins",A1:CV300,160,FALSE)* 90)</f>
      </c>
      <c r="BW160" s="28625">
        <f>5*HLOOKUP("fsXG/90",A1:CV300,160,FALSE)+3*HLOOKUP("fsXA/90",A1:CV300,160,FALSE)</f>
      </c>
      <c r="BX160" t="n" s="28626">
        <v>0.04157545790076256</v>
      </c>
      <c r="BY160" t="n" s="28627">
        <v>0.04308484122157097</v>
      </c>
      <c r="BZ160" s="28628">
        <f>5*HLOOKUP("uXG/90",A1:CV300,160,FALSE)+3*HLOOKUP("uXA/90",A1:CV300,160,FALSE)</f>
      </c>
    </row>
    <row r="161">
      <c r="A161" t="s" s="28629">
        <v>464</v>
      </c>
      <c r="B161" t="s" s="28630">
        <v>118</v>
      </c>
      <c r="C161" t="n" s="28631">
        <v>5.300000190734863</v>
      </c>
      <c r="D161" t="n" s="28632">
        <v>359.0</v>
      </c>
      <c r="E161" t="n" s="28633">
        <v>5.0</v>
      </c>
      <c r="F161" t="n" s="28634">
        <v>23.0</v>
      </c>
      <c r="G161" t="n" s="28635">
        <v>0.0</v>
      </c>
      <c r="H161" t="n" s="28636">
        <v>2.0</v>
      </c>
      <c r="I161" t="n" s="28637">
        <v>187.0</v>
      </c>
      <c r="J161" s="28638">
        <f>HLOOKUP("BPS",A1:CV300,161,FALSE)-((-6*HLOOKUP("OG",A1:CV300,161,FALSE))+(-6*HLOOKUP("PK Miss",A1:CV300,161,FALSE))+(9*HLOOKUP("FPL As",A1:CV300,161,FALSE))+(0*HLOOKUP("CS",A1:CV300,161,FALSE))+(18*HLOOKUP("Gs",A1:CV300,161,FALSE)))</f>
      </c>
      <c r="K161" t="n" s="28639">
        <v>0.0</v>
      </c>
      <c r="L161" t="n" s="28640">
        <v>2.0</v>
      </c>
      <c r="M161" t="n" s="28641">
        <v>0.0</v>
      </c>
      <c r="N161" t="n" s="28642">
        <v>0.0</v>
      </c>
      <c r="O161" t="n" s="28643">
        <v>0.0</v>
      </c>
      <c r="P161" s="28644">
        <f>IF(HLOOKUP("Shots",A1:CV300,161,FALSE)=0,0,HLOOKUP("SIB",A1:CV300,161,FALSE)/HLOOKUP("Shots",A1:CV300,161,FALSE))</f>
      </c>
      <c r="Q161" t="n" s="28645">
        <v>0.0</v>
      </c>
      <c r="R161" s="28646">
        <f>IF(HLOOKUP("Shots",A1:CV300,161,FALSE)=0,0,HLOOKUP("S6YD",A1:CV300,161,FALSE)/HLOOKUP("Shots",A1:CV300,161,FALSE))</f>
      </c>
      <c r="S161" t="n" s="28647">
        <v>0.0</v>
      </c>
      <c r="T161" s="28648">
        <f>IF(HLOOKUP("Shots",A1:CV300,161,FALSE)=0,0,HLOOKUP("Headers",A1:CV300,161,FALSE)/HLOOKUP("Shots",A1:CV300,161,FALSE))</f>
      </c>
      <c r="U161" t="n" s="28649">
        <v>0.0</v>
      </c>
      <c r="V161" s="28650">
        <f>IF(HLOOKUP("Shots",A1:CV300,161,FALSE)=0,0,HLOOKUP("SOT",A1:CV300,161,FALSE)/HLOOKUP("Shots",A1:CV300,161,FALSE))</f>
      </c>
      <c r="W161" s="28651">
        <f>IF(HLOOKUP("Shots",A1:CV300,161,FALSE)=0,0,HLOOKUP("Gs",A1:CV300,161,FALSE)/HLOOKUP("Shots",A1:CV300,161,FALSE))</f>
      </c>
      <c r="X161" t="n" s="28652">
        <v>0.0</v>
      </c>
      <c r="Y161" t="n" s="28653">
        <v>0.0</v>
      </c>
      <c r="Z161" t="n" s="28654">
        <v>1.0</v>
      </c>
      <c r="AA161" s="28655">
        <f>IF(HLOOKUP("KP",A1:CV300,161,FALSE)=0,0,HLOOKUP("As",A1:CV300,161,FALSE)/HLOOKUP("KP",A1:CV300,161,FALSE))</f>
      </c>
      <c r="AB161" s="28656"/>
      <c r="AC161" t="n" s="28657">
        <v>0.0</v>
      </c>
      <c r="AD161" t="n" s="28658">
        <v>0.0</v>
      </c>
      <c r="AE161" t="n" s="28659">
        <v>0.0</v>
      </c>
      <c r="AF161" t="n" s="28660">
        <v>0.0</v>
      </c>
      <c r="AG161" s="28661">
        <f>IF(HLOOKUP("BC",A1:CV300,161,FALSE)=0,0,HLOOKUP("Gs - BC",A1:CV300,161,FALSE)/HLOOKUP("BC",A1:CV300,161,FALSE))</f>
      </c>
      <c r="AH161" s="28662">
        <f>HLOOKUP("BC",A1:CV300,161,FALSE) - HLOOKUP("BC Miss",A1:CV300,161,FALSE)</f>
      </c>
      <c r="AI161" s="28663">
        <f>IF(HLOOKUP("Gs",A1:CV300,161,FALSE)=0,0,HLOOKUP("Gs - BC",A1:CV300,161,FALSE)/HLOOKUP("Gs",A1:CV300,161,FALSE))</f>
      </c>
      <c r="AJ161" t="n" s="28664">
        <v>0.0</v>
      </c>
      <c r="AK161" t="n" s="28665">
        <v>0.0</v>
      </c>
      <c r="AL161" s="28666">
        <f>HLOOKUP("BC",A1:CV300,161,FALSE) - (HLOOKUP("PK Gs",A1:CV300,161,FALSE) + HLOOKUP("PK Miss",A1:CV300,161,FALSE))</f>
      </c>
      <c r="AM161" s="28667">
        <f>HLOOKUP("BC Miss",A1:CV300,161,FALSE) - HLOOKUP("PK Miss",A1:CV300,161,FALSE)</f>
      </c>
      <c r="AN161" s="28668">
        <f>IF(HLOOKUP("BC - Open",A1:CV300,161,FALSE)=0,0,HLOOKUP("BC - Open Miss",A1:CV300,161,FALSE)/HLOOKUP("BC - Open",A1:CV300,161,FALSE))</f>
      </c>
      <c r="AO161" t="n" s="28669">
        <v>0.0</v>
      </c>
      <c r="AP161" s="28670">
        <f>IF(HLOOKUP("Gs",A1:CV300,161,FALSE)=0,0,HLOOKUP("GIB",A1:CV300,161,FALSE)/HLOOKUP("Gs",A1:CV300,161,FALSE))</f>
      </c>
      <c r="AQ161" t="n" s="28671">
        <v>0.0</v>
      </c>
      <c r="AR161" s="28672">
        <f>IF(HLOOKUP("Gs",A1:CV300,161,FALSE)=0,0,HLOOKUP("Gs - Open",A1:CV300,161,FALSE)/HLOOKUP("Gs",A1:CV300,161,FALSE))</f>
      </c>
      <c r="AS161" t="n" s="28673">
        <v>0.0</v>
      </c>
      <c r="AT161" t="n" s="28674">
        <v>0.27</v>
      </c>
      <c r="AU161" s="28675">
        <f>IF(HLOOKUP("Mins",A1:CV300,161,FALSE)=0,0,HLOOKUP("Pts",A1:CV300,161,FALSE)/HLOOKUP("Mins",A1:CV300,161,FALSE)* 90)</f>
      </c>
      <c r="AV161" s="28676">
        <f>IF(HLOOKUP("Apps",A1:CV300,161,FALSE)=0,0,HLOOKUP("Pts",A1:CV300,161,FALSE)/HLOOKUP("Apps",A1:CV300,161,FALSE)* 1)</f>
      </c>
      <c r="AW161" s="28677">
        <f>IF(HLOOKUP("Mins",A1:CV300,161,FALSE)=0,0,HLOOKUP("Gs",A1:CV300,161,FALSE)/HLOOKUP("Mins",A1:CV300,161,FALSE)* 90)</f>
      </c>
      <c r="AX161" s="28678">
        <f>IF(HLOOKUP("Mins",A1:CV300,161,FALSE)=0,0,HLOOKUP("Bonus",A1:CV300,161,FALSE)/HLOOKUP("Mins",A1:CV300,161,FALSE)* 90)</f>
      </c>
      <c r="AY161" s="28679">
        <f>IF(HLOOKUP("Mins",A1:CV300,161,FALSE)=0,0,HLOOKUP("BPS",A1:CV300,161,FALSE)/HLOOKUP("Mins",A1:CV300,161,FALSE)* 90)</f>
      </c>
      <c r="AZ161" s="28680">
        <f>IF(HLOOKUP("Mins",A1:CV300,161,FALSE)=0,0,HLOOKUP("Base BPS",A1:CV300,161,FALSE)/HLOOKUP("Mins",A1:CV300,161,FALSE)* 90)</f>
      </c>
      <c r="BA161" s="28681">
        <f>IF(HLOOKUP("Mins",A1:CV300,161,FALSE)=0,0,HLOOKUP("PenTchs",A1:CV300,161,FALSE)/HLOOKUP("Mins",A1:CV300,161,FALSE)* 90)</f>
      </c>
      <c r="BB161" s="28682">
        <f>IF(HLOOKUP("Mins",A1:CV300,161,FALSE)=0,0,HLOOKUP("Shots",A1:CV300,161,FALSE)/HLOOKUP("Mins",A1:CV300,161,FALSE)* 90)</f>
      </c>
      <c r="BC161" s="28683">
        <f>IF(HLOOKUP("Mins",A1:CV300,161,FALSE)=0,0,HLOOKUP("SIB",A1:CV300,161,FALSE)/HLOOKUP("Mins",A1:CV300,161,FALSE)* 90)</f>
      </c>
      <c r="BD161" s="28684">
        <f>IF(HLOOKUP("Mins",A1:CV300,161,FALSE)=0,0,HLOOKUP("S6YD",A1:CV300,161,FALSE)/HLOOKUP("Mins",A1:CV300,161,FALSE)* 90)</f>
      </c>
      <c r="BE161" s="28685">
        <f>IF(HLOOKUP("Mins",A1:CV300,161,FALSE)=0,0,HLOOKUP("Headers",A1:CV300,161,FALSE)/HLOOKUP("Mins",A1:CV300,161,FALSE)* 90)</f>
      </c>
      <c r="BF161" s="28686">
        <f>IF(HLOOKUP("Mins",A1:CV300,161,FALSE)=0,0,HLOOKUP("SOT",A1:CV300,161,FALSE)/HLOOKUP("Mins",A1:CV300,161,FALSE)* 90)</f>
      </c>
      <c r="BG161" s="28687">
        <f>IF(HLOOKUP("Mins",A1:CV300,161,FALSE)=0,0,HLOOKUP("As",A1:CV300,161,FALSE)/HLOOKUP("Mins",A1:CV300,161,FALSE)* 90)</f>
      </c>
      <c r="BH161" s="28688">
        <f>IF(HLOOKUP("Mins",A1:CV300,161,FALSE)=0,0,HLOOKUP("FPL As",A1:CV300,161,FALSE)/HLOOKUP("Mins",A1:CV300,161,FALSE)* 90)</f>
      </c>
      <c r="BI161" s="28689">
        <f>IF(HLOOKUP("Mins",A1:CV300,161,FALSE)=0,0,HLOOKUP("BC Created",A1:CV300,161,FALSE)/HLOOKUP("Mins",A1:CV300,161,FALSE)* 90)</f>
      </c>
      <c r="BJ161" s="28690">
        <f>IF(HLOOKUP("Mins",A1:CV300,161,FALSE)=0,0,HLOOKUP("KP",A1:CV300,161,FALSE)/HLOOKUP("Mins",A1:CV300,161,FALSE)* 90)</f>
      </c>
      <c r="BK161" s="28691">
        <f>IF(HLOOKUP("Mins",A1:CV300,161,FALSE)=0,0,HLOOKUP("BC",A1:CV300,161,FALSE)/HLOOKUP("Mins",A1:CV300,161,FALSE)* 90)</f>
      </c>
      <c r="BL161" s="28692">
        <f>IF(HLOOKUP("Mins",A1:CV300,161,FALSE)=0,0,HLOOKUP("BC Miss",A1:CV300,161,FALSE)/HLOOKUP("Mins",A1:CV300,161,FALSE)* 90)</f>
      </c>
      <c r="BM161" s="28693">
        <f>IF(HLOOKUP("Mins",A1:CV300,161,FALSE)=0,0,HLOOKUP("Gs - BC",A1:CV300,161,FALSE)/HLOOKUP("Mins",A1:CV300,161,FALSE)* 90)</f>
      </c>
      <c r="BN161" s="28694">
        <f>IF(HLOOKUP("Mins",A1:CV300,161,FALSE)=0,0,HLOOKUP("GIB",A1:CV300,161,FALSE)/HLOOKUP("Mins",A1:CV300,161,FALSE)* 90)</f>
      </c>
      <c r="BO161" s="28695">
        <f>IF(HLOOKUP("Mins",A1:CV300,161,FALSE)=0,0,HLOOKUP("Gs - Open",A1:CV300,161,FALSE)/HLOOKUP("Mins",A1:CV300,161,FALSE)* 90)</f>
      </c>
      <c r="BP161" s="28696">
        <f>IF(HLOOKUP("Mins",A1:CV300,161,FALSE)=0,0,HLOOKUP("ICT Index",A1:CV300,161,FALSE)/HLOOKUP("Mins",A1:CV300,161,FALSE)* 90)</f>
      </c>
      <c r="BQ161" s="28697">
        <f>IF(HLOOKUP("Mins",A1:CV300,161,FALSE)=0,0,(0.036*(HLOOKUP("Shots",A1:CV300,161,FALSE)-HLOOKUP("SIB",A1:CV300,161,FALSE))+0.142*(HLOOKUP("SIB",A1:CV300,161,FALSE)-(HLOOKUP("PK Gs",A1:CV300,161,FALSE)+HLOOKUP("PK Miss",A1:CV300,161,FALSE)))+0.75*(HLOOKUP("PK Gs",A1:CV300,161,FALSE)+HLOOKUP("PK Miss",A1:CV300,161,FALSE)))/HLOOKUP("Mins",A1:CV300,161,FALSE)*90)</f>
      </c>
      <c r="BR161" s="28698">
        <f>0.0885*HLOOKUP("KP/90",A1:CV300,161,FALSE)</f>
      </c>
      <c r="BS161" s="28699">
        <f>5*HLOOKUP("xG/90",A1:CV300,161,FALSE)+3*HLOOKUP("xA/90",A1:CV300,161,FALSE)</f>
      </c>
      <c r="BT161" s="28700">
        <f>HLOOKUP("xPts/90",A1:CV300,161,FALSE)-(5*0.75*(HLOOKUP("PK Gs",A1:CV300,161,FALSE)+HLOOKUP("PK Miss",A1:CV300,161,FALSE))*90/HLOOKUP("Mins",A1:CV300,161,FALSE))</f>
      </c>
      <c r="BU161" s="28701">
        <f>IF(HLOOKUP("Mins",A1:CV300,161,FALSE)=0,0,HLOOKUP("fsXG",A1:CV300,161,FALSE)/HLOOKUP("Mins",A1:CV300,161,FALSE)* 90)</f>
      </c>
      <c r="BV161" s="28702">
        <f>IF(HLOOKUP("Mins",A1:CV300,161,FALSE)=0,0,HLOOKUP("fsXA",A1:CV300,161,FALSE)/HLOOKUP("Mins",A1:CV300,161,FALSE)* 90)</f>
      </c>
      <c r="BW161" s="28703">
        <f>5*HLOOKUP("fsXG/90",A1:CV300,161,FALSE)+3*HLOOKUP("fsXA/90",A1:CV300,161,FALSE)</f>
      </c>
      <c r="BX161" t="n" s="28704">
        <v>0.0</v>
      </c>
      <c r="BY161" t="n" s="28705">
        <v>0.05258576199412346</v>
      </c>
      <c r="BZ161" s="28706">
        <f>5*HLOOKUP("uXG/90",A1:CV300,161,FALSE)+3*HLOOKUP("uXA/90",A1:CV300,161,FALSE)</f>
      </c>
    </row>
    <row r="162">
      <c r="A162" t="s" s="28707">
        <v>465</v>
      </c>
      <c r="B162" t="s" s="28708">
        <v>80</v>
      </c>
      <c r="C162" t="n" s="28709">
        <v>4.699999809265137</v>
      </c>
      <c r="D162" t="n" s="28710">
        <v>29.0</v>
      </c>
      <c r="E162" t="n" s="28711">
        <v>3.0</v>
      </c>
      <c r="F162" t="n" s="28712">
        <v>23.0</v>
      </c>
      <c r="G162" t="n" s="28713">
        <v>0.0</v>
      </c>
      <c r="H162" t="n" s="28714">
        <v>0.0</v>
      </c>
      <c r="I162" t="n" s="28715">
        <v>95.0</v>
      </c>
      <c r="J162" s="28716">
        <f>HLOOKUP("BPS",A1:CV300,162,FALSE)-((-6*HLOOKUP("OG",A1:CV300,162,FALSE))+(-6*HLOOKUP("PK Miss",A1:CV300,162,FALSE))+(9*HLOOKUP("FPL As",A1:CV300,162,FALSE))+(0*HLOOKUP("CS",A1:CV300,162,FALSE))+(18*HLOOKUP("Gs",A1:CV300,162,FALSE)))</f>
      </c>
      <c r="K162" t="n" s="28717">
        <v>0.0</v>
      </c>
      <c r="L162" t="n" s="28718">
        <v>1.0</v>
      </c>
      <c r="M162" t="n" s="28719">
        <v>2.0</v>
      </c>
      <c r="N162" t="n" s="28720">
        <v>1.0</v>
      </c>
      <c r="O162" t="n" s="28721">
        <v>0.0</v>
      </c>
      <c r="P162" s="28722">
        <f>IF(HLOOKUP("Shots",A1:CV300,162,FALSE)=0,0,HLOOKUP("SIB",A1:CV300,162,FALSE)/HLOOKUP("Shots",A1:CV300,162,FALSE))</f>
      </c>
      <c r="Q162" t="n" s="28723">
        <v>0.0</v>
      </c>
      <c r="R162" s="28724">
        <f>IF(HLOOKUP("Shots",A1:CV300,162,FALSE)=0,0,HLOOKUP("S6YD",A1:CV300,162,FALSE)/HLOOKUP("Shots",A1:CV300,162,FALSE))</f>
      </c>
      <c r="S162" t="n" s="28725">
        <v>0.0</v>
      </c>
      <c r="T162" s="28726">
        <f>IF(HLOOKUP("Shots",A1:CV300,162,FALSE)=0,0,HLOOKUP("Headers",A1:CV300,162,FALSE)/HLOOKUP("Shots",A1:CV300,162,FALSE))</f>
      </c>
      <c r="U162" t="n" s="28727">
        <v>0.0</v>
      </c>
      <c r="V162" s="28728">
        <f>IF(HLOOKUP("Shots",A1:CV300,162,FALSE)=0,0,HLOOKUP("SOT",A1:CV300,162,FALSE)/HLOOKUP("Shots",A1:CV300,162,FALSE))</f>
      </c>
      <c r="W162" s="28729">
        <f>IF(HLOOKUP("Shots",A1:CV300,162,FALSE)=0,0,HLOOKUP("Gs",A1:CV300,162,FALSE)/HLOOKUP("Shots",A1:CV300,162,FALSE))</f>
      </c>
      <c r="X162" t="n" s="28730">
        <v>0.0</v>
      </c>
      <c r="Y162" t="n" s="28731">
        <v>0.0</v>
      </c>
      <c r="Z162" t="n" s="28732">
        <v>1.0</v>
      </c>
      <c r="AA162" s="28733">
        <f>IF(HLOOKUP("KP",A1:CV300,162,FALSE)=0,0,HLOOKUP("As",A1:CV300,162,FALSE)/HLOOKUP("KP",A1:CV300,162,FALSE))</f>
      </c>
      <c r="AB162" s="28734"/>
      <c r="AC162" t="n" s="28735">
        <v>0.0</v>
      </c>
      <c r="AD162" t="n" s="28736">
        <v>0.0</v>
      </c>
      <c r="AE162" t="n" s="28737">
        <v>0.0</v>
      </c>
      <c r="AF162" t="n" s="28738">
        <v>0.0</v>
      </c>
      <c r="AG162" s="28739">
        <f>IF(HLOOKUP("BC",A1:CV300,162,FALSE)=0,0,HLOOKUP("Gs - BC",A1:CV300,162,FALSE)/HLOOKUP("BC",A1:CV300,162,FALSE))</f>
      </c>
      <c r="AH162" s="28740">
        <f>HLOOKUP("BC",A1:CV300,162,FALSE) - HLOOKUP("BC Miss",A1:CV300,162,FALSE)</f>
      </c>
      <c r="AI162" s="28741">
        <f>IF(HLOOKUP("Gs",A1:CV300,162,FALSE)=0,0,HLOOKUP("Gs - BC",A1:CV300,162,FALSE)/HLOOKUP("Gs",A1:CV300,162,FALSE))</f>
      </c>
      <c r="AJ162" t="n" s="28742">
        <v>0.0</v>
      </c>
      <c r="AK162" t="n" s="28743">
        <v>0.0</v>
      </c>
      <c r="AL162" s="28744">
        <f>HLOOKUP("BC",A1:CV300,162,FALSE) - (HLOOKUP("PK Gs",A1:CV300,162,FALSE) + HLOOKUP("PK Miss",A1:CV300,162,FALSE))</f>
      </c>
      <c r="AM162" s="28745">
        <f>HLOOKUP("BC Miss",A1:CV300,162,FALSE) - HLOOKUP("PK Miss",A1:CV300,162,FALSE)</f>
      </c>
      <c r="AN162" s="28746">
        <f>IF(HLOOKUP("BC - Open",A1:CV300,162,FALSE)=0,0,HLOOKUP("BC - Open Miss",A1:CV300,162,FALSE)/HLOOKUP("BC - Open",A1:CV300,162,FALSE))</f>
      </c>
      <c r="AO162" t="n" s="28747">
        <v>0.0</v>
      </c>
      <c r="AP162" s="28748">
        <f>IF(HLOOKUP("Gs",A1:CV300,162,FALSE)=0,0,HLOOKUP("GIB",A1:CV300,162,FALSE)/HLOOKUP("Gs",A1:CV300,162,FALSE))</f>
      </c>
      <c r="AQ162" t="n" s="28749">
        <v>0.0</v>
      </c>
      <c r="AR162" s="28750">
        <f>IF(HLOOKUP("Gs",A1:CV300,162,FALSE)=0,0,HLOOKUP("Gs - Open",A1:CV300,162,FALSE)/HLOOKUP("Gs",A1:CV300,162,FALSE))</f>
      </c>
      <c r="AS162" t="n" s="28751">
        <v>0.03</v>
      </c>
      <c r="AT162" t="n" s="28752">
        <v>0.02</v>
      </c>
      <c r="AU162" s="28753">
        <f>IF(HLOOKUP("Mins",A1:CV300,162,FALSE)=0,0,HLOOKUP("Pts",A1:CV300,162,FALSE)/HLOOKUP("Mins",A1:CV300,162,FALSE)* 90)</f>
      </c>
      <c r="AV162" s="28754">
        <f>IF(HLOOKUP("Apps",A1:CV300,162,FALSE)=0,0,HLOOKUP("Pts",A1:CV300,162,FALSE)/HLOOKUP("Apps",A1:CV300,162,FALSE)* 1)</f>
      </c>
      <c r="AW162" s="28755">
        <f>IF(HLOOKUP("Mins",A1:CV300,162,FALSE)=0,0,HLOOKUP("Gs",A1:CV300,162,FALSE)/HLOOKUP("Mins",A1:CV300,162,FALSE)* 90)</f>
      </c>
      <c r="AX162" s="28756">
        <f>IF(HLOOKUP("Mins",A1:CV300,162,FALSE)=0,0,HLOOKUP("Bonus",A1:CV300,162,FALSE)/HLOOKUP("Mins",A1:CV300,162,FALSE)* 90)</f>
      </c>
      <c r="AY162" s="28757">
        <f>IF(HLOOKUP("Mins",A1:CV300,162,FALSE)=0,0,HLOOKUP("BPS",A1:CV300,162,FALSE)/HLOOKUP("Mins",A1:CV300,162,FALSE)* 90)</f>
      </c>
      <c r="AZ162" s="28758">
        <f>IF(HLOOKUP("Mins",A1:CV300,162,FALSE)=0,0,HLOOKUP("Base BPS",A1:CV300,162,FALSE)/HLOOKUP("Mins",A1:CV300,162,FALSE)* 90)</f>
      </c>
      <c r="BA162" s="28759">
        <f>IF(HLOOKUP("Mins",A1:CV300,162,FALSE)=0,0,HLOOKUP("PenTchs",A1:CV300,162,FALSE)/HLOOKUP("Mins",A1:CV300,162,FALSE)* 90)</f>
      </c>
      <c r="BB162" s="28760">
        <f>IF(HLOOKUP("Mins",A1:CV300,162,FALSE)=0,0,HLOOKUP("Shots",A1:CV300,162,FALSE)/HLOOKUP("Mins",A1:CV300,162,FALSE)* 90)</f>
      </c>
      <c r="BC162" s="28761">
        <f>IF(HLOOKUP("Mins",A1:CV300,162,FALSE)=0,0,HLOOKUP("SIB",A1:CV300,162,FALSE)/HLOOKUP("Mins",A1:CV300,162,FALSE)* 90)</f>
      </c>
      <c r="BD162" s="28762">
        <f>IF(HLOOKUP("Mins",A1:CV300,162,FALSE)=0,0,HLOOKUP("S6YD",A1:CV300,162,FALSE)/HLOOKUP("Mins",A1:CV300,162,FALSE)* 90)</f>
      </c>
      <c r="BE162" s="28763">
        <f>IF(HLOOKUP("Mins",A1:CV300,162,FALSE)=0,0,HLOOKUP("Headers",A1:CV300,162,FALSE)/HLOOKUP("Mins",A1:CV300,162,FALSE)* 90)</f>
      </c>
      <c r="BF162" s="28764">
        <f>IF(HLOOKUP("Mins",A1:CV300,162,FALSE)=0,0,HLOOKUP("SOT",A1:CV300,162,FALSE)/HLOOKUP("Mins",A1:CV300,162,FALSE)* 90)</f>
      </c>
      <c r="BG162" s="28765">
        <f>IF(HLOOKUP("Mins",A1:CV300,162,FALSE)=0,0,HLOOKUP("As",A1:CV300,162,FALSE)/HLOOKUP("Mins",A1:CV300,162,FALSE)* 90)</f>
      </c>
      <c r="BH162" s="28766">
        <f>IF(HLOOKUP("Mins",A1:CV300,162,FALSE)=0,0,HLOOKUP("FPL As",A1:CV300,162,FALSE)/HLOOKUP("Mins",A1:CV300,162,FALSE)* 90)</f>
      </c>
      <c r="BI162" s="28767">
        <f>IF(HLOOKUP("Mins",A1:CV300,162,FALSE)=0,0,HLOOKUP("BC Created",A1:CV300,162,FALSE)/HLOOKUP("Mins",A1:CV300,162,FALSE)* 90)</f>
      </c>
      <c r="BJ162" s="28768">
        <f>IF(HLOOKUP("Mins",A1:CV300,162,FALSE)=0,0,HLOOKUP("KP",A1:CV300,162,FALSE)/HLOOKUP("Mins",A1:CV300,162,FALSE)* 90)</f>
      </c>
      <c r="BK162" s="28769">
        <f>IF(HLOOKUP("Mins",A1:CV300,162,FALSE)=0,0,HLOOKUP("BC",A1:CV300,162,FALSE)/HLOOKUP("Mins",A1:CV300,162,FALSE)* 90)</f>
      </c>
      <c r="BL162" s="28770">
        <f>IF(HLOOKUP("Mins",A1:CV300,162,FALSE)=0,0,HLOOKUP("BC Miss",A1:CV300,162,FALSE)/HLOOKUP("Mins",A1:CV300,162,FALSE)* 90)</f>
      </c>
      <c r="BM162" s="28771">
        <f>IF(HLOOKUP("Mins",A1:CV300,162,FALSE)=0,0,HLOOKUP("Gs - BC",A1:CV300,162,FALSE)/HLOOKUP("Mins",A1:CV300,162,FALSE)* 90)</f>
      </c>
      <c r="BN162" s="28772">
        <f>IF(HLOOKUP("Mins",A1:CV300,162,FALSE)=0,0,HLOOKUP("GIB",A1:CV300,162,FALSE)/HLOOKUP("Mins",A1:CV300,162,FALSE)* 90)</f>
      </c>
      <c r="BO162" s="28773">
        <f>IF(HLOOKUP("Mins",A1:CV300,162,FALSE)=0,0,HLOOKUP("Gs - Open",A1:CV300,162,FALSE)/HLOOKUP("Mins",A1:CV300,162,FALSE)* 90)</f>
      </c>
      <c r="BP162" s="28774">
        <f>IF(HLOOKUP("Mins",A1:CV300,162,FALSE)=0,0,HLOOKUP("ICT Index",A1:CV300,162,FALSE)/HLOOKUP("Mins",A1:CV300,162,FALSE)* 90)</f>
      </c>
      <c r="BQ162" s="28775">
        <f>IF(HLOOKUP("Mins",A1:CV300,162,FALSE)=0,0,(0.036*(HLOOKUP("Shots",A1:CV300,162,FALSE)-HLOOKUP("SIB",A1:CV300,162,FALSE))+0.142*(HLOOKUP("SIB",A1:CV300,162,FALSE)-(HLOOKUP("PK Gs",A1:CV300,162,FALSE)+HLOOKUP("PK Miss",A1:CV300,162,FALSE)))+0.75*(HLOOKUP("PK Gs",A1:CV300,162,FALSE)+HLOOKUP("PK Miss",A1:CV300,162,FALSE)))/HLOOKUP("Mins",A1:CV300,162,FALSE)*90)</f>
      </c>
      <c r="BR162" s="28776">
        <f>0.0885*HLOOKUP("KP/90",A1:CV300,162,FALSE)</f>
      </c>
      <c r="BS162" s="28777">
        <f>5*HLOOKUP("xG/90",A1:CV300,162,FALSE)+3*HLOOKUP("xA/90",A1:CV300,162,FALSE)</f>
      </c>
      <c r="BT162" s="28778">
        <f>HLOOKUP("xPts/90",A1:CV300,162,FALSE)-(5*0.75*(HLOOKUP("PK Gs",A1:CV300,162,FALSE)+HLOOKUP("PK Miss",A1:CV300,162,FALSE))*90/HLOOKUP("Mins",A1:CV300,162,FALSE))</f>
      </c>
      <c r="BU162" s="28779">
        <f>IF(HLOOKUP("Mins",A1:CV300,162,FALSE)=0,0,HLOOKUP("fsXG",A1:CV300,162,FALSE)/HLOOKUP("Mins",A1:CV300,162,FALSE)* 90)</f>
      </c>
      <c r="BV162" s="28780">
        <f>IF(HLOOKUP("Mins",A1:CV300,162,FALSE)=0,0,HLOOKUP("fsXA",A1:CV300,162,FALSE)/HLOOKUP("Mins",A1:CV300,162,FALSE)* 90)</f>
      </c>
      <c r="BW162" s="28781">
        <f>5*HLOOKUP("fsXG/90",A1:CV300,162,FALSE)+3*HLOOKUP("fsXA/90",A1:CV300,162,FALSE)</f>
      </c>
      <c r="BX162" t="n" s="28782">
        <v>0.06889969855546951</v>
      </c>
      <c r="BY162" t="n" s="28783">
        <v>0.04686029627919197</v>
      </c>
      <c r="BZ162" s="28784">
        <f>5*HLOOKUP("uXG/90",A1:CV300,162,FALSE)+3*HLOOKUP("uXA/90",A1:CV300,162,FALSE)</f>
      </c>
    </row>
    <row r="163">
      <c r="A163" t="s" s="28785">
        <v>466</v>
      </c>
      <c r="B163" t="s" s="28786">
        <v>122</v>
      </c>
      <c r="C163" t="n" s="28787">
        <v>6.199999809265137</v>
      </c>
      <c r="D163" t="n" s="28788">
        <v>293.0</v>
      </c>
      <c r="E163" t="n" s="28789">
        <v>5.0</v>
      </c>
      <c r="F163" t="n" s="28790">
        <v>35.0</v>
      </c>
      <c r="G163" t="n" s="28791">
        <v>0.0</v>
      </c>
      <c r="H163" t="n" s="28792">
        <v>2.0</v>
      </c>
      <c r="I163" t="n" s="28793">
        <v>133.0</v>
      </c>
      <c r="J163" s="28794">
        <f>HLOOKUP("BPS",A1:CV300,163,FALSE)-((-6*HLOOKUP("OG",A1:CV300,163,FALSE))+(-6*HLOOKUP("PK Miss",A1:CV300,163,FALSE))+(9*HLOOKUP("FPL As",A1:CV300,163,FALSE))+(0*HLOOKUP("CS",A1:CV300,163,FALSE))+(18*HLOOKUP("Gs",A1:CV300,163,FALSE)))</f>
      </c>
      <c r="K163" t="n" s="28795">
        <v>0.0</v>
      </c>
      <c r="L163" t="n" s="28796">
        <v>4.0</v>
      </c>
      <c r="M163" t="n" s="28797">
        <v>14.0</v>
      </c>
      <c r="N163" t="n" s="28798">
        <v>5.0</v>
      </c>
      <c r="O163" t="n" s="28799">
        <v>2.0</v>
      </c>
      <c r="P163" s="28800">
        <f>IF(HLOOKUP("Shots",A1:CV300,163,FALSE)=0,0,HLOOKUP("SIB",A1:CV300,163,FALSE)/HLOOKUP("Shots",A1:CV300,163,FALSE))</f>
      </c>
      <c r="Q163" t="n" s="28801">
        <v>0.0</v>
      </c>
      <c r="R163" s="28802">
        <f>IF(HLOOKUP("Shots",A1:CV300,163,FALSE)=0,0,HLOOKUP("S6YD",A1:CV300,163,FALSE)/HLOOKUP("Shots",A1:CV300,163,FALSE))</f>
      </c>
      <c r="S163" t="n" s="28803">
        <v>0.0</v>
      </c>
      <c r="T163" s="28804">
        <f>IF(HLOOKUP("Shots",A1:CV300,163,FALSE)=0,0,HLOOKUP("Headers",A1:CV300,163,FALSE)/HLOOKUP("Shots",A1:CV300,163,FALSE))</f>
      </c>
      <c r="U163" t="n" s="28805">
        <v>1.0</v>
      </c>
      <c r="V163" s="28806">
        <f>IF(HLOOKUP("Shots",A1:CV300,163,FALSE)=0,0,HLOOKUP("SOT",A1:CV300,163,FALSE)/HLOOKUP("Shots",A1:CV300,163,FALSE))</f>
      </c>
      <c r="W163" s="28807">
        <f>IF(HLOOKUP("Shots",A1:CV300,163,FALSE)=0,0,HLOOKUP("Gs",A1:CV300,163,FALSE)/HLOOKUP("Shots",A1:CV300,163,FALSE))</f>
      </c>
      <c r="X163" t="n" s="28808">
        <v>2.0</v>
      </c>
      <c r="Y163" t="n" s="28809">
        <v>2.0</v>
      </c>
      <c r="Z163" t="n" s="28810">
        <v>8.0</v>
      </c>
      <c r="AA163" s="28811">
        <f>IF(HLOOKUP("KP",A1:CV300,163,FALSE)=0,0,HLOOKUP("As",A1:CV300,163,FALSE)/HLOOKUP("KP",A1:CV300,163,FALSE))</f>
      </c>
      <c r="AB163" s="28812"/>
      <c r="AC163" t="n" s="28813">
        <v>50.0</v>
      </c>
      <c r="AD163" t="n" s="28814">
        <v>2.0</v>
      </c>
      <c r="AE163" t="n" s="28815">
        <v>0.0</v>
      </c>
      <c r="AF163" t="n" s="28816">
        <v>0.0</v>
      </c>
      <c r="AG163" s="28817">
        <f>IF(HLOOKUP("BC",A1:CV300,163,FALSE)=0,0,HLOOKUP("Gs - BC",A1:CV300,163,FALSE)/HLOOKUP("BC",A1:CV300,163,FALSE))</f>
      </c>
      <c r="AH163" s="28818">
        <f>HLOOKUP("BC",A1:CV300,163,FALSE) - HLOOKUP("BC Miss",A1:CV300,163,FALSE)</f>
      </c>
      <c r="AI163" s="28819">
        <f>IF(HLOOKUP("Gs",A1:CV300,163,FALSE)=0,0,HLOOKUP("Gs - BC",A1:CV300,163,FALSE)/HLOOKUP("Gs",A1:CV300,163,FALSE))</f>
      </c>
      <c r="AJ163" t="n" s="28820">
        <v>0.0</v>
      </c>
      <c r="AK163" t="n" s="28821">
        <v>0.0</v>
      </c>
      <c r="AL163" s="28822">
        <f>HLOOKUP("BC",A1:CV300,163,FALSE) - (HLOOKUP("PK Gs",A1:CV300,163,FALSE) + HLOOKUP("PK Miss",A1:CV300,163,FALSE))</f>
      </c>
      <c r="AM163" s="28823">
        <f>HLOOKUP("BC Miss",A1:CV300,163,FALSE) - HLOOKUP("PK Miss",A1:CV300,163,FALSE)</f>
      </c>
      <c r="AN163" s="28824">
        <f>IF(HLOOKUP("BC - Open",A1:CV300,163,FALSE)=0,0,HLOOKUP("BC - Open Miss",A1:CV300,163,FALSE)/HLOOKUP("BC - Open",A1:CV300,163,FALSE))</f>
      </c>
      <c r="AO163" t="n" s="28825">
        <v>0.0</v>
      </c>
      <c r="AP163" s="28826">
        <f>IF(HLOOKUP("Gs",A1:CV300,163,FALSE)=0,0,HLOOKUP("GIB",A1:CV300,163,FALSE)/HLOOKUP("Gs",A1:CV300,163,FALSE))</f>
      </c>
      <c r="AQ163" t="n" s="28827">
        <v>0.0</v>
      </c>
      <c r="AR163" s="28828">
        <f>IF(HLOOKUP("Gs",A1:CV300,163,FALSE)=0,0,HLOOKUP("Gs - Open",A1:CV300,163,FALSE)/HLOOKUP("Gs",A1:CV300,163,FALSE))</f>
      </c>
      <c r="AS163" t="n" s="28829">
        <v>0.38</v>
      </c>
      <c r="AT163" t="n" s="28830">
        <v>1.72</v>
      </c>
      <c r="AU163" s="28831">
        <f>IF(HLOOKUP("Mins",A1:CV300,163,FALSE)=0,0,HLOOKUP("Pts",A1:CV300,163,FALSE)/HLOOKUP("Mins",A1:CV300,163,FALSE)* 90)</f>
      </c>
      <c r="AV163" s="28832">
        <f>IF(HLOOKUP("Apps",A1:CV300,163,FALSE)=0,0,HLOOKUP("Pts",A1:CV300,163,FALSE)/HLOOKUP("Apps",A1:CV300,163,FALSE)* 1)</f>
      </c>
      <c r="AW163" s="28833">
        <f>IF(HLOOKUP("Mins",A1:CV300,163,FALSE)=0,0,HLOOKUP("Gs",A1:CV300,163,FALSE)/HLOOKUP("Mins",A1:CV300,163,FALSE)* 90)</f>
      </c>
      <c r="AX163" s="28834">
        <f>IF(HLOOKUP("Mins",A1:CV300,163,FALSE)=0,0,HLOOKUP("Bonus",A1:CV300,163,FALSE)/HLOOKUP("Mins",A1:CV300,163,FALSE)* 90)</f>
      </c>
      <c r="AY163" s="28835">
        <f>IF(HLOOKUP("Mins",A1:CV300,163,FALSE)=0,0,HLOOKUP("BPS",A1:CV300,163,FALSE)/HLOOKUP("Mins",A1:CV300,163,FALSE)* 90)</f>
      </c>
      <c r="AZ163" s="28836">
        <f>IF(HLOOKUP("Mins",A1:CV300,163,FALSE)=0,0,HLOOKUP("Base BPS",A1:CV300,163,FALSE)/HLOOKUP("Mins",A1:CV300,163,FALSE)* 90)</f>
      </c>
      <c r="BA163" s="28837">
        <f>IF(HLOOKUP("Mins",A1:CV300,163,FALSE)=0,0,HLOOKUP("PenTchs",A1:CV300,163,FALSE)/HLOOKUP("Mins",A1:CV300,163,FALSE)* 90)</f>
      </c>
      <c r="BB163" s="28838">
        <f>IF(HLOOKUP("Mins",A1:CV300,163,FALSE)=0,0,HLOOKUP("Shots",A1:CV300,163,FALSE)/HLOOKUP("Mins",A1:CV300,163,FALSE)* 90)</f>
      </c>
      <c r="BC163" s="28839">
        <f>IF(HLOOKUP("Mins",A1:CV300,163,FALSE)=0,0,HLOOKUP("SIB",A1:CV300,163,FALSE)/HLOOKUP("Mins",A1:CV300,163,FALSE)* 90)</f>
      </c>
      <c r="BD163" s="28840">
        <f>IF(HLOOKUP("Mins",A1:CV300,163,FALSE)=0,0,HLOOKUP("S6YD",A1:CV300,163,FALSE)/HLOOKUP("Mins",A1:CV300,163,FALSE)* 90)</f>
      </c>
      <c r="BE163" s="28841">
        <f>IF(HLOOKUP("Mins",A1:CV300,163,FALSE)=0,0,HLOOKUP("Headers",A1:CV300,163,FALSE)/HLOOKUP("Mins",A1:CV300,163,FALSE)* 90)</f>
      </c>
      <c r="BF163" s="28842">
        <f>IF(HLOOKUP("Mins",A1:CV300,163,FALSE)=0,0,HLOOKUP("SOT",A1:CV300,163,FALSE)/HLOOKUP("Mins",A1:CV300,163,FALSE)* 90)</f>
      </c>
      <c r="BG163" s="28843">
        <f>IF(HLOOKUP("Mins",A1:CV300,163,FALSE)=0,0,HLOOKUP("As",A1:CV300,163,FALSE)/HLOOKUP("Mins",A1:CV300,163,FALSE)* 90)</f>
      </c>
      <c r="BH163" s="28844">
        <f>IF(HLOOKUP("Mins",A1:CV300,163,FALSE)=0,0,HLOOKUP("FPL As",A1:CV300,163,FALSE)/HLOOKUP("Mins",A1:CV300,163,FALSE)* 90)</f>
      </c>
      <c r="BI163" s="28845">
        <f>IF(HLOOKUP("Mins",A1:CV300,163,FALSE)=0,0,HLOOKUP("BC Created",A1:CV300,163,FALSE)/HLOOKUP("Mins",A1:CV300,163,FALSE)* 90)</f>
      </c>
      <c r="BJ163" s="28846">
        <f>IF(HLOOKUP("Mins",A1:CV300,163,FALSE)=0,0,HLOOKUP("KP",A1:CV300,163,FALSE)/HLOOKUP("Mins",A1:CV300,163,FALSE)* 90)</f>
      </c>
      <c r="BK163" s="28847">
        <f>IF(HLOOKUP("Mins",A1:CV300,163,FALSE)=0,0,HLOOKUP("BC",A1:CV300,163,FALSE)/HLOOKUP("Mins",A1:CV300,163,FALSE)* 90)</f>
      </c>
      <c r="BL163" s="28848">
        <f>IF(HLOOKUP("Mins",A1:CV300,163,FALSE)=0,0,HLOOKUP("BC Miss",A1:CV300,163,FALSE)/HLOOKUP("Mins",A1:CV300,163,FALSE)* 90)</f>
      </c>
      <c r="BM163" s="28849">
        <f>IF(HLOOKUP("Mins",A1:CV300,163,FALSE)=0,0,HLOOKUP("Gs - BC",A1:CV300,163,FALSE)/HLOOKUP("Mins",A1:CV300,163,FALSE)* 90)</f>
      </c>
      <c r="BN163" s="28850">
        <f>IF(HLOOKUP("Mins",A1:CV300,163,FALSE)=0,0,HLOOKUP("GIB",A1:CV300,163,FALSE)/HLOOKUP("Mins",A1:CV300,163,FALSE)* 90)</f>
      </c>
      <c r="BO163" s="28851">
        <f>IF(HLOOKUP("Mins",A1:CV300,163,FALSE)=0,0,HLOOKUP("Gs - Open",A1:CV300,163,FALSE)/HLOOKUP("Mins",A1:CV300,163,FALSE)* 90)</f>
      </c>
      <c r="BP163" s="28852">
        <f>IF(HLOOKUP("Mins",A1:CV300,163,FALSE)=0,0,HLOOKUP("ICT Index",A1:CV300,163,FALSE)/HLOOKUP("Mins",A1:CV300,163,FALSE)* 90)</f>
      </c>
      <c r="BQ163" s="28853">
        <f>IF(HLOOKUP("Mins",A1:CV300,163,FALSE)=0,0,(0.036*(HLOOKUP("Shots",A1:CV300,163,FALSE)-HLOOKUP("SIB",A1:CV300,163,FALSE))+0.142*(HLOOKUP("SIB",A1:CV300,163,FALSE)-(HLOOKUP("PK Gs",A1:CV300,163,FALSE)+HLOOKUP("PK Miss",A1:CV300,163,FALSE)))+0.75*(HLOOKUP("PK Gs",A1:CV300,163,FALSE)+HLOOKUP("PK Miss",A1:CV300,163,FALSE)))/HLOOKUP("Mins",A1:CV300,163,FALSE)*90)</f>
      </c>
      <c r="BR163" s="28854">
        <f>0.0885*HLOOKUP("KP/90",A1:CV300,163,FALSE)</f>
      </c>
      <c r="BS163" s="28855">
        <f>5*HLOOKUP("xG/90",A1:CV300,163,FALSE)+3*HLOOKUP("xA/90",A1:CV300,163,FALSE)</f>
      </c>
      <c r="BT163" s="28856">
        <f>HLOOKUP("xPts/90",A1:CV300,163,FALSE)-(5*0.75*(HLOOKUP("PK Gs",A1:CV300,163,FALSE)+HLOOKUP("PK Miss",A1:CV300,163,FALSE))*90/HLOOKUP("Mins",A1:CV300,163,FALSE))</f>
      </c>
      <c r="BU163" s="28857">
        <f>IF(HLOOKUP("Mins",A1:CV300,163,FALSE)=0,0,HLOOKUP("fsXG",A1:CV300,163,FALSE)/HLOOKUP("Mins",A1:CV300,163,FALSE)* 90)</f>
      </c>
      <c r="BV163" s="28858">
        <f>IF(HLOOKUP("Mins",A1:CV300,163,FALSE)=0,0,HLOOKUP("fsXA",A1:CV300,163,FALSE)/HLOOKUP("Mins",A1:CV300,163,FALSE)* 90)</f>
      </c>
      <c r="BW163" s="28859">
        <f>5*HLOOKUP("fsXG/90",A1:CV300,163,FALSE)+3*HLOOKUP("fsXA/90",A1:CV300,163,FALSE)</f>
      </c>
      <c r="BX163" t="n" s="28860">
        <v>0.13645097613334656</v>
      </c>
      <c r="BY163" t="n" s="28861">
        <v>0.3830457627773285</v>
      </c>
      <c r="BZ163" s="28862">
        <f>5*HLOOKUP("uXG/90",A1:CV300,163,FALSE)+3*HLOOKUP("uXA/90",A1:CV300,163,FALSE)</f>
      </c>
    </row>
    <row r="164">
      <c r="A164" t="s" s="28863">
        <v>467</v>
      </c>
      <c r="B164" t="s" s="28864">
        <v>105</v>
      </c>
      <c r="C164" t="n" s="28865">
        <v>5.400000095367432</v>
      </c>
      <c r="D164" t="n" s="28866">
        <v>432.0</v>
      </c>
      <c r="E164" t="n" s="28867">
        <v>6.0</v>
      </c>
      <c r="F164" t="n" s="28868">
        <v>69.0</v>
      </c>
      <c r="G164" t="n" s="28869">
        <v>1.0</v>
      </c>
      <c r="H164" t="n" s="28870">
        <v>5.0</v>
      </c>
      <c r="I164" t="n" s="28871">
        <v>385.0</v>
      </c>
      <c r="J164" s="28872">
        <f>HLOOKUP("BPS",A1:CV300,164,FALSE)-((-6*HLOOKUP("OG",A1:CV300,164,FALSE))+(-6*HLOOKUP("PK Miss",A1:CV300,164,FALSE))+(9*HLOOKUP("FPL As",A1:CV300,164,FALSE))+(0*HLOOKUP("CS",A1:CV300,164,FALSE))+(18*HLOOKUP("Gs",A1:CV300,164,FALSE)))</f>
      </c>
      <c r="K164" t="n" s="28873">
        <v>0.0</v>
      </c>
      <c r="L164" t="n" s="28874">
        <v>9.0</v>
      </c>
      <c r="M164" t="n" s="28875">
        <v>7.0</v>
      </c>
      <c r="N164" t="n" s="28876">
        <v>7.0</v>
      </c>
      <c r="O164" t="n" s="28877">
        <v>4.0</v>
      </c>
      <c r="P164" s="28878">
        <f>IF(HLOOKUP("Shots",A1:CV300,164,FALSE)=0,0,HLOOKUP("SIB",A1:CV300,164,FALSE)/HLOOKUP("Shots",A1:CV300,164,FALSE))</f>
      </c>
      <c r="Q164" t="n" s="28879">
        <v>1.0</v>
      </c>
      <c r="R164" s="28880">
        <f>IF(HLOOKUP("Shots",A1:CV300,164,FALSE)=0,0,HLOOKUP("S6YD",A1:CV300,164,FALSE)/HLOOKUP("Shots",A1:CV300,164,FALSE))</f>
      </c>
      <c r="S164" t="n" s="28881">
        <v>4.0</v>
      </c>
      <c r="T164" s="28882">
        <f>IF(HLOOKUP("Shots",A1:CV300,164,FALSE)=0,0,HLOOKUP("Headers",A1:CV300,164,FALSE)/HLOOKUP("Shots",A1:CV300,164,FALSE))</f>
      </c>
      <c r="U164" t="n" s="28883">
        <v>1.0</v>
      </c>
      <c r="V164" s="28884">
        <f>IF(HLOOKUP("Shots",A1:CV300,164,FALSE)=0,0,HLOOKUP("SOT",A1:CV300,164,FALSE)/HLOOKUP("Shots",A1:CV300,164,FALSE))</f>
      </c>
      <c r="W164" s="28885">
        <f>IF(HLOOKUP("Shots",A1:CV300,164,FALSE)=0,0,HLOOKUP("Gs",A1:CV300,164,FALSE)/HLOOKUP("Shots",A1:CV300,164,FALSE))</f>
      </c>
      <c r="X164" t="n" s="28886">
        <v>0.0</v>
      </c>
      <c r="Y164" t="n" s="28887">
        <v>1.0</v>
      </c>
      <c r="Z164" t="n" s="28888">
        <v>4.0</v>
      </c>
      <c r="AA164" s="28889">
        <f>IF(HLOOKUP("KP",A1:CV300,164,FALSE)=0,0,HLOOKUP("As",A1:CV300,164,FALSE)/HLOOKUP("KP",A1:CV300,164,FALSE))</f>
      </c>
      <c r="AB164" s="28890"/>
      <c r="AC164" t="n" s="28891">
        <v>10.0</v>
      </c>
      <c r="AD164" t="n" s="28892">
        <v>0.0</v>
      </c>
      <c r="AE164" t="n" s="28893">
        <v>0.0</v>
      </c>
      <c r="AF164" t="n" s="28894">
        <v>0.0</v>
      </c>
      <c r="AG164" s="28895">
        <f>IF(HLOOKUP("BC",A1:CV300,164,FALSE)=0,0,HLOOKUP("Gs - BC",A1:CV300,164,FALSE)/HLOOKUP("BC",A1:CV300,164,FALSE))</f>
      </c>
      <c r="AH164" s="28896">
        <f>HLOOKUP("BC",A1:CV300,164,FALSE) - HLOOKUP("BC Miss",A1:CV300,164,FALSE)</f>
      </c>
      <c r="AI164" s="28897">
        <f>IF(HLOOKUP("Gs",A1:CV300,164,FALSE)=0,0,HLOOKUP("Gs - BC",A1:CV300,164,FALSE)/HLOOKUP("Gs",A1:CV300,164,FALSE))</f>
      </c>
      <c r="AJ164" t="n" s="28898">
        <v>0.0</v>
      </c>
      <c r="AK164" t="n" s="28899">
        <v>0.0</v>
      </c>
      <c r="AL164" s="28900">
        <f>HLOOKUP("BC",A1:CV300,164,FALSE) - (HLOOKUP("PK Gs",A1:CV300,164,FALSE) + HLOOKUP("PK Miss",A1:CV300,164,FALSE))</f>
      </c>
      <c r="AM164" s="28901">
        <f>HLOOKUP("BC Miss",A1:CV300,164,FALSE) - HLOOKUP("PK Miss",A1:CV300,164,FALSE)</f>
      </c>
      <c r="AN164" s="28902">
        <f>IF(HLOOKUP("BC - Open",A1:CV300,164,FALSE)=0,0,HLOOKUP("BC - Open Miss",A1:CV300,164,FALSE)/HLOOKUP("BC - Open",A1:CV300,164,FALSE))</f>
      </c>
      <c r="AO164" t="n" s="28903">
        <v>1.0</v>
      </c>
      <c r="AP164" s="28904">
        <f>IF(HLOOKUP("Gs",A1:CV300,164,FALSE)=0,0,HLOOKUP("GIB",A1:CV300,164,FALSE)/HLOOKUP("Gs",A1:CV300,164,FALSE))</f>
      </c>
      <c r="AQ164" t="n" s="28905">
        <v>0.0</v>
      </c>
      <c r="AR164" s="28906">
        <f>IF(HLOOKUP("Gs",A1:CV300,164,FALSE)=0,0,HLOOKUP("Gs - Open",A1:CV300,164,FALSE)/HLOOKUP("Gs",A1:CV300,164,FALSE))</f>
      </c>
      <c r="AS164" t="n" s="28907">
        <v>0.26</v>
      </c>
      <c r="AT164" t="n" s="28908">
        <v>0.46</v>
      </c>
      <c r="AU164" s="28909">
        <f>IF(HLOOKUP("Mins",A1:CV300,164,FALSE)=0,0,HLOOKUP("Pts",A1:CV300,164,FALSE)/HLOOKUP("Mins",A1:CV300,164,FALSE)* 90)</f>
      </c>
      <c r="AV164" s="28910">
        <f>IF(HLOOKUP("Apps",A1:CV300,164,FALSE)=0,0,HLOOKUP("Pts",A1:CV300,164,FALSE)/HLOOKUP("Apps",A1:CV300,164,FALSE)* 1)</f>
      </c>
      <c r="AW164" s="28911">
        <f>IF(HLOOKUP("Mins",A1:CV300,164,FALSE)=0,0,HLOOKUP("Gs",A1:CV300,164,FALSE)/HLOOKUP("Mins",A1:CV300,164,FALSE)* 90)</f>
      </c>
      <c r="AX164" s="28912">
        <f>IF(HLOOKUP("Mins",A1:CV300,164,FALSE)=0,0,HLOOKUP("Bonus",A1:CV300,164,FALSE)/HLOOKUP("Mins",A1:CV300,164,FALSE)* 90)</f>
      </c>
      <c r="AY164" s="28913">
        <f>IF(HLOOKUP("Mins",A1:CV300,164,FALSE)=0,0,HLOOKUP("BPS",A1:CV300,164,FALSE)/HLOOKUP("Mins",A1:CV300,164,FALSE)* 90)</f>
      </c>
      <c r="AZ164" s="28914">
        <f>IF(HLOOKUP("Mins",A1:CV300,164,FALSE)=0,0,HLOOKUP("Base BPS",A1:CV300,164,FALSE)/HLOOKUP("Mins",A1:CV300,164,FALSE)* 90)</f>
      </c>
      <c r="BA164" s="28915">
        <f>IF(HLOOKUP("Mins",A1:CV300,164,FALSE)=0,0,HLOOKUP("PenTchs",A1:CV300,164,FALSE)/HLOOKUP("Mins",A1:CV300,164,FALSE)* 90)</f>
      </c>
      <c r="BB164" s="28916">
        <f>IF(HLOOKUP("Mins",A1:CV300,164,FALSE)=0,0,HLOOKUP("Shots",A1:CV300,164,FALSE)/HLOOKUP("Mins",A1:CV300,164,FALSE)* 90)</f>
      </c>
      <c r="BC164" s="28917">
        <f>IF(HLOOKUP("Mins",A1:CV300,164,FALSE)=0,0,HLOOKUP("SIB",A1:CV300,164,FALSE)/HLOOKUP("Mins",A1:CV300,164,FALSE)* 90)</f>
      </c>
      <c r="BD164" s="28918">
        <f>IF(HLOOKUP("Mins",A1:CV300,164,FALSE)=0,0,HLOOKUP("S6YD",A1:CV300,164,FALSE)/HLOOKUP("Mins",A1:CV300,164,FALSE)* 90)</f>
      </c>
      <c r="BE164" s="28919">
        <f>IF(HLOOKUP("Mins",A1:CV300,164,FALSE)=0,0,HLOOKUP("Headers",A1:CV300,164,FALSE)/HLOOKUP("Mins",A1:CV300,164,FALSE)* 90)</f>
      </c>
      <c r="BF164" s="28920">
        <f>IF(HLOOKUP("Mins",A1:CV300,164,FALSE)=0,0,HLOOKUP("SOT",A1:CV300,164,FALSE)/HLOOKUP("Mins",A1:CV300,164,FALSE)* 90)</f>
      </c>
      <c r="BG164" s="28921">
        <f>IF(HLOOKUP("Mins",A1:CV300,164,FALSE)=0,0,HLOOKUP("As",A1:CV300,164,FALSE)/HLOOKUP("Mins",A1:CV300,164,FALSE)* 90)</f>
      </c>
      <c r="BH164" s="28922">
        <f>IF(HLOOKUP("Mins",A1:CV300,164,FALSE)=0,0,HLOOKUP("FPL As",A1:CV300,164,FALSE)/HLOOKUP("Mins",A1:CV300,164,FALSE)* 90)</f>
      </c>
      <c r="BI164" s="28923">
        <f>IF(HLOOKUP("Mins",A1:CV300,164,FALSE)=0,0,HLOOKUP("BC Created",A1:CV300,164,FALSE)/HLOOKUP("Mins",A1:CV300,164,FALSE)* 90)</f>
      </c>
      <c r="BJ164" s="28924">
        <f>IF(HLOOKUP("Mins",A1:CV300,164,FALSE)=0,0,HLOOKUP("KP",A1:CV300,164,FALSE)/HLOOKUP("Mins",A1:CV300,164,FALSE)* 90)</f>
      </c>
      <c r="BK164" s="28925">
        <f>IF(HLOOKUP("Mins",A1:CV300,164,FALSE)=0,0,HLOOKUP("BC",A1:CV300,164,FALSE)/HLOOKUP("Mins",A1:CV300,164,FALSE)* 90)</f>
      </c>
      <c r="BL164" s="28926">
        <f>IF(HLOOKUP("Mins",A1:CV300,164,FALSE)=0,0,HLOOKUP("BC Miss",A1:CV300,164,FALSE)/HLOOKUP("Mins",A1:CV300,164,FALSE)* 90)</f>
      </c>
      <c r="BM164" s="28927">
        <f>IF(HLOOKUP("Mins",A1:CV300,164,FALSE)=0,0,HLOOKUP("Gs - BC",A1:CV300,164,FALSE)/HLOOKUP("Mins",A1:CV300,164,FALSE)* 90)</f>
      </c>
      <c r="BN164" s="28928">
        <f>IF(HLOOKUP("Mins",A1:CV300,164,FALSE)=0,0,HLOOKUP("GIB",A1:CV300,164,FALSE)/HLOOKUP("Mins",A1:CV300,164,FALSE)* 90)</f>
      </c>
      <c r="BO164" s="28929">
        <f>IF(HLOOKUP("Mins",A1:CV300,164,FALSE)=0,0,HLOOKUP("Gs - Open",A1:CV300,164,FALSE)/HLOOKUP("Mins",A1:CV300,164,FALSE)* 90)</f>
      </c>
      <c r="BP164" s="28930">
        <f>IF(HLOOKUP("Mins",A1:CV300,164,FALSE)=0,0,HLOOKUP("ICT Index",A1:CV300,164,FALSE)/HLOOKUP("Mins",A1:CV300,164,FALSE)* 90)</f>
      </c>
      <c r="BQ164" s="28931">
        <f>IF(HLOOKUP("Mins",A1:CV300,164,FALSE)=0,0,(0.036*(HLOOKUP("Shots",A1:CV300,164,FALSE)-HLOOKUP("SIB",A1:CV300,164,FALSE))+0.142*(HLOOKUP("SIB",A1:CV300,164,FALSE)-(HLOOKUP("PK Gs",A1:CV300,164,FALSE)+HLOOKUP("PK Miss",A1:CV300,164,FALSE)))+0.75*(HLOOKUP("PK Gs",A1:CV300,164,FALSE)+HLOOKUP("PK Miss",A1:CV300,164,FALSE)))/HLOOKUP("Mins",A1:CV300,164,FALSE)*90)</f>
      </c>
      <c r="BR164" s="28932">
        <f>0.0885*HLOOKUP("KP/90",A1:CV300,164,FALSE)</f>
      </c>
      <c r="BS164" s="28933">
        <f>5*HLOOKUP("xG/90",A1:CV300,164,FALSE)+3*HLOOKUP("xA/90",A1:CV300,164,FALSE)</f>
      </c>
      <c r="BT164" s="28934">
        <f>HLOOKUP("xPts/90",A1:CV300,164,FALSE)-(5*0.75*(HLOOKUP("PK Gs",A1:CV300,164,FALSE)+HLOOKUP("PK Miss",A1:CV300,164,FALSE))*90/HLOOKUP("Mins",A1:CV300,164,FALSE))</f>
      </c>
      <c r="BU164" s="28935">
        <f>IF(HLOOKUP("Mins",A1:CV300,164,FALSE)=0,0,HLOOKUP("fsXG",A1:CV300,164,FALSE)/HLOOKUP("Mins",A1:CV300,164,FALSE)* 90)</f>
      </c>
      <c r="BV164" s="28936">
        <f>IF(HLOOKUP("Mins",A1:CV300,164,FALSE)=0,0,HLOOKUP("fsXA",A1:CV300,164,FALSE)/HLOOKUP("Mins",A1:CV300,164,FALSE)* 90)</f>
      </c>
      <c r="BW164" s="28937">
        <f>5*HLOOKUP("fsXG/90",A1:CV300,164,FALSE)+3*HLOOKUP("fsXA/90",A1:CV300,164,FALSE)</f>
      </c>
      <c r="BX164" t="n" s="28938">
        <v>0.03409485146403313</v>
      </c>
      <c r="BY164" t="n" s="28939">
        <v>0.042674146592617035</v>
      </c>
      <c r="BZ164" s="28940">
        <f>5*HLOOKUP("uXG/90",A1:CV300,164,FALSE)+3*HLOOKUP("uXA/90",A1:CV300,164,FALSE)</f>
      </c>
    </row>
    <row r="165">
      <c r="A165" t="s" s="28941">
        <v>468</v>
      </c>
      <c r="B165" t="s" s="28942">
        <v>100</v>
      </c>
      <c r="C165" t="n" s="28943">
        <v>5.199999809265137</v>
      </c>
      <c r="D165" t="n" s="28944">
        <v>418.0</v>
      </c>
      <c r="E165" t="n" s="28945">
        <v>5.0</v>
      </c>
      <c r="F165" t="n" s="28946">
        <v>47.0</v>
      </c>
      <c r="G165" t="n" s="28947">
        <v>2.0</v>
      </c>
      <c r="H165" t="n" s="28948">
        <v>4.0</v>
      </c>
      <c r="I165" t="n" s="28949">
        <v>126.0</v>
      </c>
      <c r="J165" s="28950">
        <f>HLOOKUP("BPS",A1:CV300,165,FALSE)-((-6*HLOOKUP("OG",A1:CV300,165,FALSE))+(-6*HLOOKUP("PK Miss",A1:CV300,165,FALSE))+(9*HLOOKUP("FPL As",A1:CV300,165,FALSE))+(0*HLOOKUP("CS",A1:CV300,165,FALSE))+(18*HLOOKUP("Gs",A1:CV300,165,FALSE)))</f>
      </c>
      <c r="K165" t="n" s="28951">
        <v>0.0</v>
      </c>
      <c r="L165" t="n" s="28952">
        <v>3.0</v>
      </c>
      <c r="M165" t="n" s="28953">
        <v>8.0</v>
      </c>
      <c r="N165" t="n" s="28954">
        <v>16.0</v>
      </c>
      <c r="O165" t="n" s="28955">
        <v>4.0</v>
      </c>
      <c r="P165" s="28956">
        <f>IF(HLOOKUP("Shots",A1:CV300,165,FALSE)=0,0,HLOOKUP("SIB",A1:CV300,165,FALSE)/HLOOKUP("Shots",A1:CV300,165,FALSE))</f>
      </c>
      <c r="Q165" t="n" s="28957">
        <v>0.0</v>
      </c>
      <c r="R165" s="28958">
        <f>IF(HLOOKUP("Shots",A1:CV300,165,FALSE)=0,0,HLOOKUP("S6YD",A1:CV300,165,FALSE)/HLOOKUP("Shots",A1:CV300,165,FALSE))</f>
      </c>
      <c r="S165" t="n" s="28959">
        <v>1.0</v>
      </c>
      <c r="T165" s="28960">
        <f>IF(HLOOKUP("Shots",A1:CV300,165,FALSE)=0,0,HLOOKUP("Headers",A1:CV300,165,FALSE)/HLOOKUP("Shots",A1:CV300,165,FALSE))</f>
      </c>
      <c r="U165" t="n" s="28961">
        <v>7.0</v>
      </c>
      <c r="V165" s="28962">
        <f>IF(HLOOKUP("Shots",A1:CV300,165,FALSE)=0,0,HLOOKUP("SOT",A1:CV300,165,FALSE)/HLOOKUP("Shots",A1:CV300,165,FALSE))</f>
      </c>
      <c r="W165" s="28963">
        <f>IF(HLOOKUP("Shots",A1:CV300,165,FALSE)=0,0,HLOOKUP("Gs",A1:CV300,165,FALSE)/HLOOKUP("Shots",A1:CV300,165,FALSE))</f>
      </c>
      <c r="X165" t="n" s="28964">
        <v>0.0</v>
      </c>
      <c r="Y165" t="n" s="28965">
        <v>1.0</v>
      </c>
      <c r="Z165" t="n" s="28966">
        <v>5.0</v>
      </c>
      <c r="AA165" s="28967">
        <f>IF(HLOOKUP("KP",A1:CV300,165,FALSE)=0,0,HLOOKUP("As",A1:CV300,165,FALSE)/HLOOKUP("KP",A1:CV300,165,FALSE))</f>
      </c>
      <c r="AB165" s="28968"/>
      <c r="AC165" t="n" s="28969">
        <v>29.0</v>
      </c>
      <c r="AD165" t="n" s="28970">
        <v>0.0</v>
      </c>
      <c r="AE165" t="n" s="28971">
        <v>0.0</v>
      </c>
      <c r="AF165" t="n" s="28972">
        <v>0.0</v>
      </c>
      <c r="AG165" s="28973">
        <f>IF(HLOOKUP("BC",A1:CV300,165,FALSE)=0,0,HLOOKUP("Gs - BC",A1:CV300,165,FALSE)/HLOOKUP("BC",A1:CV300,165,FALSE))</f>
      </c>
      <c r="AH165" s="28974">
        <f>HLOOKUP("BC",A1:CV300,165,FALSE) - HLOOKUP("BC Miss",A1:CV300,165,FALSE)</f>
      </c>
      <c r="AI165" s="28975">
        <f>IF(HLOOKUP("Gs",A1:CV300,165,FALSE)=0,0,HLOOKUP("Gs - BC",A1:CV300,165,FALSE)/HLOOKUP("Gs",A1:CV300,165,FALSE))</f>
      </c>
      <c r="AJ165" t="n" s="28976">
        <v>0.0</v>
      </c>
      <c r="AK165" t="n" s="28977">
        <v>0.0</v>
      </c>
      <c r="AL165" s="28978">
        <f>HLOOKUP("BC",A1:CV300,165,FALSE) - (HLOOKUP("PK Gs",A1:CV300,165,FALSE) + HLOOKUP("PK Miss",A1:CV300,165,FALSE))</f>
      </c>
      <c r="AM165" s="28979">
        <f>HLOOKUP("BC Miss",A1:CV300,165,FALSE) - HLOOKUP("PK Miss",A1:CV300,165,FALSE)</f>
      </c>
      <c r="AN165" s="28980">
        <f>IF(HLOOKUP("BC - Open",A1:CV300,165,FALSE)=0,0,HLOOKUP("BC - Open Miss",A1:CV300,165,FALSE)/HLOOKUP("BC - Open",A1:CV300,165,FALSE))</f>
      </c>
      <c r="AO165" t="n" s="28981">
        <v>1.0</v>
      </c>
      <c r="AP165" s="28982">
        <f>IF(HLOOKUP("Gs",A1:CV300,165,FALSE)=0,0,HLOOKUP("GIB",A1:CV300,165,FALSE)/HLOOKUP("Gs",A1:CV300,165,FALSE))</f>
      </c>
      <c r="AQ165" t="n" s="28983">
        <v>2.0</v>
      </c>
      <c r="AR165" s="28984">
        <f>IF(HLOOKUP("Gs",A1:CV300,165,FALSE)=0,0,HLOOKUP("Gs - Open",A1:CV300,165,FALSE)/HLOOKUP("Gs",A1:CV300,165,FALSE))</f>
      </c>
      <c r="AS165" t="n" s="28985">
        <v>0.6</v>
      </c>
      <c r="AT165" t="n" s="28986">
        <v>0.42</v>
      </c>
      <c r="AU165" s="28987">
        <f>IF(HLOOKUP("Mins",A1:CV300,165,FALSE)=0,0,HLOOKUP("Pts",A1:CV300,165,FALSE)/HLOOKUP("Mins",A1:CV300,165,FALSE)* 90)</f>
      </c>
      <c r="AV165" s="28988">
        <f>IF(HLOOKUP("Apps",A1:CV300,165,FALSE)=0,0,HLOOKUP("Pts",A1:CV300,165,FALSE)/HLOOKUP("Apps",A1:CV300,165,FALSE)* 1)</f>
      </c>
      <c r="AW165" s="28989">
        <f>IF(HLOOKUP("Mins",A1:CV300,165,FALSE)=0,0,HLOOKUP("Gs",A1:CV300,165,FALSE)/HLOOKUP("Mins",A1:CV300,165,FALSE)* 90)</f>
      </c>
      <c r="AX165" s="28990">
        <f>IF(HLOOKUP("Mins",A1:CV300,165,FALSE)=0,0,HLOOKUP("Bonus",A1:CV300,165,FALSE)/HLOOKUP("Mins",A1:CV300,165,FALSE)* 90)</f>
      </c>
      <c r="AY165" s="28991">
        <f>IF(HLOOKUP("Mins",A1:CV300,165,FALSE)=0,0,HLOOKUP("BPS",A1:CV300,165,FALSE)/HLOOKUP("Mins",A1:CV300,165,FALSE)* 90)</f>
      </c>
      <c r="AZ165" s="28992">
        <f>IF(HLOOKUP("Mins",A1:CV300,165,FALSE)=0,0,HLOOKUP("Base BPS",A1:CV300,165,FALSE)/HLOOKUP("Mins",A1:CV300,165,FALSE)* 90)</f>
      </c>
      <c r="BA165" s="28993">
        <f>IF(HLOOKUP("Mins",A1:CV300,165,FALSE)=0,0,HLOOKUP("PenTchs",A1:CV300,165,FALSE)/HLOOKUP("Mins",A1:CV300,165,FALSE)* 90)</f>
      </c>
      <c r="BB165" s="28994">
        <f>IF(HLOOKUP("Mins",A1:CV300,165,FALSE)=0,0,HLOOKUP("Shots",A1:CV300,165,FALSE)/HLOOKUP("Mins",A1:CV300,165,FALSE)* 90)</f>
      </c>
      <c r="BC165" s="28995">
        <f>IF(HLOOKUP("Mins",A1:CV300,165,FALSE)=0,0,HLOOKUP("SIB",A1:CV300,165,FALSE)/HLOOKUP("Mins",A1:CV300,165,FALSE)* 90)</f>
      </c>
      <c r="BD165" s="28996">
        <f>IF(HLOOKUP("Mins",A1:CV300,165,FALSE)=0,0,HLOOKUP("S6YD",A1:CV300,165,FALSE)/HLOOKUP("Mins",A1:CV300,165,FALSE)* 90)</f>
      </c>
      <c r="BE165" s="28997">
        <f>IF(HLOOKUP("Mins",A1:CV300,165,FALSE)=0,0,HLOOKUP("Headers",A1:CV300,165,FALSE)/HLOOKUP("Mins",A1:CV300,165,FALSE)* 90)</f>
      </c>
      <c r="BF165" s="28998">
        <f>IF(HLOOKUP("Mins",A1:CV300,165,FALSE)=0,0,HLOOKUP("SOT",A1:CV300,165,FALSE)/HLOOKUP("Mins",A1:CV300,165,FALSE)* 90)</f>
      </c>
      <c r="BG165" s="28999">
        <f>IF(HLOOKUP("Mins",A1:CV300,165,FALSE)=0,0,HLOOKUP("As",A1:CV300,165,FALSE)/HLOOKUP("Mins",A1:CV300,165,FALSE)* 90)</f>
      </c>
      <c r="BH165" s="29000">
        <f>IF(HLOOKUP("Mins",A1:CV300,165,FALSE)=0,0,HLOOKUP("FPL As",A1:CV300,165,FALSE)/HLOOKUP("Mins",A1:CV300,165,FALSE)* 90)</f>
      </c>
      <c r="BI165" s="29001">
        <f>IF(HLOOKUP("Mins",A1:CV300,165,FALSE)=0,0,HLOOKUP("BC Created",A1:CV300,165,FALSE)/HLOOKUP("Mins",A1:CV300,165,FALSE)* 90)</f>
      </c>
      <c r="BJ165" s="29002">
        <f>IF(HLOOKUP("Mins",A1:CV300,165,FALSE)=0,0,HLOOKUP("KP",A1:CV300,165,FALSE)/HLOOKUP("Mins",A1:CV300,165,FALSE)* 90)</f>
      </c>
      <c r="BK165" s="29003">
        <f>IF(HLOOKUP("Mins",A1:CV300,165,FALSE)=0,0,HLOOKUP("BC",A1:CV300,165,FALSE)/HLOOKUP("Mins",A1:CV300,165,FALSE)* 90)</f>
      </c>
      <c r="BL165" s="29004">
        <f>IF(HLOOKUP("Mins",A1:CV300,165,FALSE)=0,0,HLOOKUP("BC Miss",A1:CV300,165,FALSE)/HLOOKUP("Mins",A1:CV300,165,FALSE)* 90)</f>
      </c>
      <c r="BM165" s="29005">
        <f>IF(HLOOKUP("Mins",A1:CV300,165,FALSE)=0,0,HLOOKUP("Gs - BC",A1:CV300,165,FALSE)/HLOOKUP("Mins",A1:CV300,165,FALSE)* 90)</f>
      </c>
      <c r="BN165" s="29006">
        <f>IF(HLOOKUP("Mins",A1:CV300,165,FALSE)=0,0,HLOOKUP("GIB",A1:CV300,165,FALSE)/HLOOKUP("Mins",A1:CV300,165,FALSE)* 90)</f>
      </c>
      <c r="BO165" s="29007">
        <f>IF(HLOOKUP("Mins",A1:CV300,165,FALSE)=0,0,HLOOKUP("Gs - Open",A1:CV300,165,FALSE)/HLOOKUP("Mins",A1:CV300,165,FALSE)* 90)</f>
      </c>
      <c r="BP165" s="29008">
        <f>IF(HLOOKUP("Mins",A1:CV300,165,FALSE)=0,0,HLOOKUP("ICT Index",A1:CV300,165,FALSE)/HLOOKUP("Mins",A1:CV300,165,FALSE)* 90)</f>
      </c>
      <c r="BQ165" s="29009">
        <f>IF(HLOOKUP("Mins",A1:CV300,165,FALSE)=0,0,(0.036*(HLOOKUP("Shots",A1:CV300,165,FALSE)-HLOOKUP("SIB",A1:CV300,165,FALSE))+0.142*(HLOOKUP("SIB",A1:CV300,165,FALSE)-(HLOOKUP("PK Gs",A1:CV300,165,FALSE)+HLOOKUP("PK Miss",A1:CV300,165,FALSE)))+0.75*(HLOOKUP("PK Gs",A1:CV300,165,FALSE)+HLOOKUP("PK Miss",A1:CV300,165,FALSE)))/HLOOKUP("Mins",A1:CV300,165,FALSE)*90)</f>
      </c>
      <c r="BR165" s="29010">
        <f>0.0885*HLOOKUP("KP/90",A1:CV300,165,FALSE)</f>
      </c>
      <c r="BS165" s="29011">
        <f>5*HLOOKUP("xG/90",A1:CV300,165,FALSE)+3*HLOOKUP("xA/90",A1:CV300,165,FALSE)</f>
      </c>
      <c r="BT165" s="29012">
        <f>HLOOKUP("xPts/90",A1:CV300,165,FALSE)-(5*0.75*(HLOOKUP("PK Gs",A1:CV300,165,FALSE)+HLOOKUP("PK Miss",A1:CV300,165,FALSE))*90/HLOOKUP("Mins",A1:CV300,165,FALSE))</f>
      </c>
      <c r="BU165" s="29013">
        <f>IF(HLOOKUP("Mins",A1:CV300,165,FALSE)=0,0,HLOOKUP("fsXG",A1:CV300,165,FALSE)/HLOOKUP("Mins",A1:CV300,165,FALSE)* 90)</f>
      </c>
      <c r="BV165" s="29014">
        <f>IF(HLOOKUP("Mins",A1:CV300,165,FALSE)=0,0,HLOOKUP("fsXA",A1:CV300,165,FALSE)/HLOOKUP("Mins",A1:CV300,165,FALSE)* 90)</f>
      </c>
      <c r="BW165" s="29015">
        <f>5*HLOOKUP("fsXG/90",A1:CV300,165,FALSE)+3*HLOOKUP("fsXA/90",A1:CV300,165,FALSE)</f>
      </c>
      <c r="BX165" t="n" s="29016">
        <v>0.14728336036205292</v>
      </c>
      <c r="BY165" t="n" s="29017">
        <v>0.09680260717868805</v>
      </c>
      <c r="BZ165" s="29018">
        <f>5*HLOOKUP("uXG/90",A1:CV300,165,FALSE)+3*HLOOKUP("uXA/90",A1:CV300,165,FALSE)</f>
      </c>
    </row>
    <row r="166">
      <c r="A166" t="s" s="29019">
        <v>469</v>
      </c>
      <c r="B166" t="s" s="29020">
        <v>109</v>
      </c>
      <c r="C166" t="n" s="29021">
        <v>4.5</v>
      </c>
      <c r="D166" t="n" s="29022">
        <v>327.0</v>
      </c>
      <c r="E166" t="n" s="29023">
        <v>5.0</v>
      </c>
      <c r="F166" t="n" s="29024">
        <v>32.0</v>
      </c>
      <c r="G166" t="n" s="29025">
        <v>0.0</v>
      </c>
      <c r="H166" t="n" s="29026">
        <v>0.0</v>
      </c>
      <c r="I166" t="n" s="29027">
        <v>175.0</v>
      </c>
      <c r="J166" s="29028">
        <f>HLOOKUP("BPS",A1:CV300,166,FALSE)-((-6*HLOOKUP("OG",A1:CV300,166,FALSE))+(-6*HLOOKUP("PK Miss",A1:CV300,166,FALSE))+(9*HLOOKUP("FPL As",A1:CV300,166,FALSE))+(0*HLOOKUP("CS",A1:CV300,166,FALSE))+(18*HLOOKUP("Gs",A1:CV300,166,FALSE)))</f>
      </c>
      <c r="K166" t="n" s="29029">
        <v>0.0</v>
      </c>
      <c r="L166" t="n" s="29030">
        <v>3.0</v>
      </c>
      <c r="M166" t="n" s="29031">
        <v>9.0</v>
      </c>
      <c r="N166" t="n" s="29032">
        <v>3.0</v>
      </c>
      <c r="O166" t="n" s="29033">
        <v>2.0</v>
      </c>
      <c r="P166" s="29034">
        <f>IF(HLOOKUP("Shots",A1:CV300,166,FALSE)=0,0,HLOOKUP("SIB",A1:CV300,166,FALSE)/HLOOKUP("Shots",A1:CV300,166,FALSE))</f>
      </c>
      <c r="Q166" t="n" s="29035">
        <v>0.0</v>
      </c>
      <c r="R166" s="29036">
        <f>IF(HLOOKUP("Shots",A1:CV300,166,FALSE)=0,0,HLOOKUP("S6YD",A1:CV300,166,FALSE)/HLOOKUP("Shots",A1:CV300,166,FALSE))</f>
      </c>
      <c r="S166" t="n" s="29037">
        <v>0.0</v>
      </c>
      <c r="T166" s="29038">
        <f>IF(HLOOKUP("Shots",A1:CV300,166,FALSE)=0,0,HLOOKUP("Headers",A1:CV300,166,FALSE)/HLOOKUP("Shots",A1:CV300,166,FALSE))</f>
      </c>
      <c r="U166" t="n" s="29039">
        <v>0.0</v>
      </c>
      <c r="V166" s="29040">
        <f>IF(HLOOKUP("Shots",A1:CV300,166,FALSE)=0,0,HLOOKUP("SOT",A1:CV300,166,FALSE)/HLOOKUP("Shots",A1:CV300,166,FALSE))</f>
      </c>
      <c r="W166" s="29041">
        <f>IF(HLOOKUP("Shots",A1:CV300,166,FALSE)=0,0,HLOOKUP("Gs",A1:CV300,166,FALSE)/HLOOKUP("Shots",A1:CV300,166,FALSE))</f>
      </c>
      <c r="X166" t="n" s="29042">
        <v>0.0</v>
      </c>
      <c r="Y166" t="n" s="29043">
        <v>0.0</v>
      </c>
      <c r="Z166" t="n" s="29044">
        <v>2.0</v>
      </c>
      <c r="AA166" s="29045">
        <f>IF(HLOOKUP("KP",A1:CV300,166,FALSE)=0,0,HLOOKUP("As",A1:CV300,166,FALSE)/HLOOKUP("KP",A1:CV300,166,FALSE))</f>
      </c>
      <c r="AB166" s="29046"/>
      <c r="AC166" t="n" s="29047">
        <v>0.0</v>
      </c>
      <c r="AD166" t="n" s="29048">
        <v>0.0</v>
      </c>
      <c r="AE166" t="n" s="29049">
        <v>0.0</v>
      </c>
      <c r="AF166" t="n" s="29050">
        <v>0.0</v>
      </c>
      <c r="AG166" s="29051">
        <f>IF(HLOOKUP("BC",A1:CV300,166,FALSE)=0,0,HLOOKUP("Gs - BC",A1:CV300,166,FALSE)/HLOOKUP("BC",A1:CV300,166,FALSE))</f>
      </c>
      <c r="AH166" s="29052">
        <f>HLOOKUP("BC",A1:CV300,166,FALSE) - HLOOKUP("BC Miss",A1:CV300,166,FALSE)</f>
      </c>
      <c r="AI166" s="29053">
        <f>IF(HLOOKUP("Gs",A1:CV300,166,FALSE)=0,0,HLOOKUP("Gs - BC",A1:CV300,166,FALSE)/HLOOKUP("Gs",A1:CV300,166,FALSE))</f>
      </c>
      <c r="AJ166" t="n" s="29054">
        <v>0.0</v>
      </c>
      <c r="AK166" t="n" s="29055">
        <v>0.0</v>
      </c>
      <c r="AL166" s="29056">
        <f>HLOOKUP("BC",A1:CV300,166,FALSE) - (HLOOKUP("PK Gs",A1:CV300,166,FALSE) + HLOOKUP("PK Miss",A1:CV300,166,FALSE))</f>
      </c>
      <c r="AM166" s="29057">
        <f>HLOOKUP("BC Miss",A1:CV300,166,FALSE) - HLOOKUP("PK Miss",A1:CV300,166,FALSE)</f>
      </c>
      <c r="AN166" s="29058">
        <f>IF(HLOOKUP("BC - Open",A1:CV300,166,FALSE)=0,0,HLOOKUP("BC - Open Miss",A1:CV300,166,FALSE)/HLOOKUP("BC - Open",A1:CV300,166,FALSE))</f>
      </c>
      <c r="AO166" t="n" s="29059">
        <v>0.0</v>
      </c>
      <c r="AP166" s="29060">
        <f>IF(HLOOKUP("Gs",A1:CV300,166,FALSE)=0,0,HLOOKUP("GIB",A1:CV300,166,FALSE)/HLOOKUP("Gs",A1:CV300,166,FALSE))</f>
      </c>
      <c r="AQ166" t="n" s="29061">
        <v>0.0</v>
      </c>
      <c r="AR166" s="29062">
        <f>IF(HLOOKUP("Gs",A1:CV300,166,FALSE)=0,0,HLOOKUP("Gs - Open",A1:CV300,166,FALSE)/HLOOKUP("Gs",A1:CV300,166,FALSE))</f>
      </c>
      <c r="AS166" t="n" s="29063">
        <v>0.17</v>
      </c>
      <c r="AT166" t="n" s="29064">
        <v>0.16</v>
      </c>
      <c r="AU166" s="29065">
        <f>IF(HLOOKUP("Mins",A1:CV300,166,FALSE)=0,0,HLOOKUP("Pts",A1:CV300,166,FALSE)/HLOOKUP("Mins",A1:CV300,166,FALSE)* 90)</f>
      </c>
      <c r="AV166" s="29066">
        <f>IF(HLOOKUP("Apps",A1:CV300,166,FALSE)=0,0,HLOOKUP("Pts",A1:CV300,166,FALSE)/HLOOKUP("Apps",A1:CV300,166,FALSE)* 1)</f>
      </c>
      <c r="AW166" s="29067">
        <f>IF(HLOOKUP("Mins",A1:CV300,166,FALSE)=0,0,HLOOKUP("Gs",A1:CV300,166,FALSE)/HLOOKUP("Mins",A1:CV300,166,FALSE)* 90)</f>
      </c>
      <c r="AX166" s="29068">
        <f>IF(HLOOKUP("Mins",A1:CV300,166,FALSE)=0,0,HLOOKUP("Bonus",A1:CV300,166,FALSE)/HLOOKUP("Mins",A1:CV300,166,FALSE)* 90)</f>
      </c>
      <c r="AY166" s="29069">
        <f>IF(HLOOKUP("Mins",A1:CV300,166,FALSE)=0,0,HLOOKUP("BPS",A1:CV300,166,FALSE)/HLOOKUP("Mins",A1:CV300,166,FALSE)* 90)</f>
      </c>
      <c r="AZ166" s="29070">
        <f>IF(HLOOKUP("Mins",A1:CV300,166,FALSE)=0,0,HLOOKUP("Base BPS",A1:CV300,166,FALSE)/HLOOKUP("Mins",A1:CV300,166,FALSE)* 90)</f>
      </c>
      <c r="BA166" s="29071">
        <f>IF(HLOOKUP("Mins",A1:CV300,166,FALSE)=0,0,HLOOKUP("PenTchs",A1:CV300,166,FALSE)/HLOOKUP("Mins",A1:CV300,166,FALSE)* 90)</f>
      </c>
      <c r="BB166" s="29072">
        <f>IF(HLOOKUP("Mins",A1:CV300,166,FALSE)=0,0,HLOOKUP("Shots",A1:CV300,166,FALSE)/HLOOKUP("Mins",A1:CV300,166,FALSE)* 90)</f>
      </c>
      <c r="BC166" s="29073">
        <f>IF(HLOOKUP("Mins",A1:CV300,166,FALSE)=0,0,HLOOKUP("SIB",A1:CV300,166,FALSE)/HLOOKUP("Mins",A1:CV300,166,FALSE)* 90)</f>
      </c>
      <c r="BD166" s="29074">
        <f>IF(HLOOKUP("Mins",A1:CV300,166,FALSE)=0,0,HLOOKUP("S6YD",A1:CV300,166,FALSE)/HLOOKUP("Mins",A1:CV300,166,FALSE)* 90)</f>
      </c>
      <c r="BE166" s="29075">
        <f>IF(HLOOKUP("Mins",A1:CV300,166,FALSE)=0,0,HLOOKUP("Headers",A1:CV300,166,FALSE)/HLOOKUP("Mins",A1:CV300,166,FALSE)* 90)</f>
      </c>
      <c r="BF166" s="29076">
        <f>IF(HLOOKUP("Mins",A1:CV300,166,FALSE)=0,0,HLOOKUP("SOT",A1:CV300,166,FALSE)/HLOOKUP("Mins",A1:CV300,166,FALSE)* 90)</f>
      </c>
      <c r="BG166" s="29077">
        <f>IF(HLOOKUP("Mins",A1:CV300,166,FALSE)=0,0,HLOOKUP("As",A1:CV300,166,FALSE)/HLOOKUP("Mins",A1:CV300,166,FALSE)* 90)</f>
      </c>
      <c r="BH166" s="29078">
        <f>IF(HLOOKUP("Mins",A1:CV300,166,FALSE)=0,0,HLOOKUP("FPL As",A1:CV300,166,FALSE)/HLOOKUP("Mins",A1:CV300,166,FALSE)* 90)</f>
      </c>
      <c r="BI166" s="29079">
        <f>IF(HLOOKUP("Mins",A1:CV300,166,FALSE)=0,0,HLOOKUP("BC Created",A1:CV300,166,FALSE)/HLOOKUP("Mins",A1:CV300,166,FALSE)* 90)</f>
      </c>
      <c r="BJ166" s="29080">
        <f>IF(HLOOKUP("Mins",A1:CV300,166,FALSE)=0,0,HLOOKUP("KP",A1:CV300,166,FALSE)/HLOOKUP("Mins",A1:CV300,166,FALSE)* 90)</f>
      </c>
      <c r="BK166" s="29081">
        <f>IF(HLOOKUP("Mins",A1:CV300,166,FALSE)=0,0,HLOOKUP("BC",A1:CV300,166,FALSE)/HLOOKUP("Mins",A1:CV300,166,FALSE)* 90)</f>
      </c>
      <c r="BL166" s="29082">
        <f>IF(HLOOKUP("Mins",A1:CV300,166,FALSE)=0,0,HLOOKUP("BC Miss",A1:CV300,166,FALSE)/HLOOKUP("Mins",A1:CV300,166,FALSE)* 90)</f>
      </c>
      <c r="BM166" s="29083">
        <f>IF(HLOOKUP("Mins",A1:CV300,166,FALSE)=0,0,HLOOKUP("Gs - BC",A1:CV300,166,FALSE)/HLOOKUP("Mins",A1:CV300,166,FALSE)* 90)</f>
      </c>
      <c r="BN166" s="29084">
        <f>IF(HLOOKUP("Mins",A1:CV300,166,FALSE)=0,0,HLOOKUP("GIB",A1:CV300,166,FALSE)/HLOOKUP("Mins",A1:CV300,166,FALSE)* 90)</f>
      </c>
      <c r="BO166" s="29085">
        <f>IF(HLOOKUP("Mins",A1:CV300,166,FALSE)=0,0,HLOOKUP("Gs - Open",A1:CV300,166,FALSE)/HLOOKUP("Mins",A1:CV300,166,FALSE)* 90)</f>
      </c>
      <c r="BP166" s="29086">
        <f>IF(HLOOKUP("Mins",A1:CV300,166,FALSE)=0,0,HLOOKUP("ICT Index",A1:CV300,166,FALSE)/HLOOKUP("Mins",A1:CV300,166,FALSE)* 90)</f>
      </c>
      <c r="BQ166" s="29087">
        <f>IF(HLOOKUP("Mins",A1:CV300,166,FALSE)=0,0,(0.036*(HLOOKUP("Shots",A1:CV300,166,FALSE)-HLOOKUP("SIB",A1:CV300,166,FALSE))+0.142*(HLOOKUP("SIB",A1:CV300,166,FALSE)-(HLOOKUP("PK Gs",A1:CV300,166,FALSE)+HLOOKUP("PK Miss",A1:CV300,166,FALSE)))+0.75*(HLOOKUP("PK Gs",A1:CV300,166,FALSE)+HLOOKUP("PK Miss",A1:CV300,166,FALSE)))/HLOOKUP("Mins",A1:CV300,166,FALSE)*90)</f>
      </c>
      <c r="BR166" s="29088">
        <f>0.0885*HLOOKUP("KP/90",A1:CV300,166,FALSE)</f>
      </c>
      <c r="BS166" s="29089">
        <f>5*HLOOKUP("xG/90",A1:CV300,166,FALSE)+3*HLOOKUP("xA/90",A1:CV300,166,FALSE)</f>
      </c>
      <c r="BT166" s="29090">
        <f>HLOOKUP("xPts/90",A1:CV300,166,FALSE)-(5*0.75*(HLOOKUP("PK Gs",A1:CV300,166,FALSE)+HLOOKUP("PK Miss",A1:CV300,166,FALSE))*90/HLOOKUP("Mins",A1:CV300,166,FALSE))</f>
      </c>
      <c r="BU166" s="29091">
        <f>IF(HLOOKUP("Mins",A1:CV300,166,FALSE)=0,0,HLOOKUP("fsXG",A1:CV300,166,FALSE)/HLOOKUP("Mins",A1:CV300,166,FALSE)* 90)</f>
      </c>
      <c r="BV166" s="29092">
        <f>IF(HLOOKUP("Mins",A1:CV300,166,FALSE)=0,0,HLOOKUP("fsXA",A1:CV300,166,FALSE)/HLOOKUP("Mins",A1:CV300,166,FALSE)* 90)</f>
      </c>
      <c r="BW166" s="29093">
        <f>5*HLOOKUP("fsXG/90",A1:CV300,166,FALSE)+3*HLOOKUP("fsXA/90",A1:CV300,166,FALSE)</f>
      </c>
      <c r="BX166" t="n" s="29094">
        <v>0.04478687047958374</v>
      </c>
      <c r="BY166" t="n" s="29095">
        <v>0.021398868411779404</v>
      </c>
      <c r="BZ166" s="29096">
        <f>5*HLOOKUP("uXG/90",A1:CV300,166,FALSE)+3*HLOOKUP("uXA/90",A1:CV300,166,FALSE)</f>
      </c>
    </row>
    <row r="167">
      <c r="A167" t="s" s="29097">
        <v>470</v>
      </c>
      <c r="B167" t="s" s="29098">
        <v>92</v>
      </c>
      <c r="C167" t="n" s="29099">
        <v>5.0</v>
      </c>
      <c r="D167" t="n" s="29100">
        <v>126.0</v>
      </c>
      <c r="E167" t="n" s="29101">
        <v>4.0</v>
      </c>
      <c r="F167" t="n" s="29102">
        <v>28.0</v>
      </c>
      <c r="G167" t="n" s="29103">
        <v>0.0</v>
      </c>
      <c r="H167" t="n" s="29104">
        <v>0.0</v>
      </c>
      <c r="I167" t="n" s="29105">
        <v>125.0</v>
      </c>
      <c r="J167" s="29106">
        <f>HLOOKUP("BPS",A1:CV300,167,FALSE)-((-6*HLOOKUP("OG",A1:CV300,167,FALSE))+(-6*HLOOKUP("PK Miss",A1:CV300,167,FALSE))+(9*HLOOKUP("FPL As",A1:CV300,167,FALSE))+(0*HLOOKUP("CS",A1:CV300,167,FALSE))+(18*HLOOKUP("Gs",A1:CV300,167,FALSE)))</f>
      </c>
      <c r="K167" t="n" s="29107">
        <v>0.0</v>
      </c>
      <c r="L167" t="n" s="29108">
        <v>2.0</v>
      </c>
      <c r="M167" t="n" s="29109">
        <v>1.0</v>
      </c>
      <c r="N167" t="n" s="29110">
        <v>1.0</v>
      </c>
      <c r="O167" t="n" s="29111">
        <v>0.0</v>
      </c>
      <c r="P167" s="29112">
        <f>IF(HLOOKUP("Shots",A1:CV300,167,FALSE)=0,0,HLOOKUP("SIB",A1:CV300,167,FALSE)/HLOOKUP("Shots",A1:CV300,167,FALSE))</f>
      </c>
      <c r="Q167" t="n" s="29113">
        <v>0.0</v>
      </c>
      <c r="R167" s="29114">
        <f>IF(HLOOKUP("Shots",A1:CV300,167,FALSE)=0,0,HLOOKUP("S6YD",A1:CV300,167,FALSE)/HLOOKUP("Shots",A1:CV300,167,FALSE))</f>
      </c>
      <c r="S167" t="n" s="29115">
        <v>0.0</v>
      </c>
      <c r="T167" s="29116">
        <f>IF(HLOOKUP("Shots",A1:CV300,167,FALSE)=0,0,HLOOKUP("Headers",A1:CV300,167,FALSE)/HLOOKUP("Shots",A1:CV300,167,FALSE))</f>
      </c>
      <c r="U167" t="n" s="29117">
        <v>0.0</v>
      </c>
      <c r="V167" s="29118">
        <f>IF(HLOOKUP("Shots",A1:CV300,167,FALSE)=0,0,HLOOKUP("SOT",A1:CV300,167,FALSE)/HLOOKUP("Shots",A1:CV300,167,FALSE))</f>
      </c>
      <c r="W167" s="29119">
        <f>IF(HLOOKUP("Shots",A1:CV300,167,FALSE)=0,0,HLOOKUP("Gs",A1:CV300,167,FALSE)/HLOOKUP("Shots",A1:CV300,167,FALSE))</f>
      </c>
      <c r="X167" t="n" s="29120">
        <v>0.0</v>
      </c>
      <c r="Y167" t="n" s="29121">
        <v>1.0</v>
      </c>
      <c r="Z167" t="n" s="29122">
        <v>0.0</v>
      </c>
      <c r="AA167" s="29123">
        <f>IF(HLOOKUP("KP",A1:CV300,167,FALSE)=0,0,HLOOKUP("As",A1:CV300,167,FALSE)/HLOOKUP("KP",A1:CV300,167,FALSE))</f>
      </c>
      <c r="AB167" s="29124"/>
      <c r="AC167" t="n" s="29125">
        <v>0.0</v>
      </c>
      <c r="AD167" t="n" s="29126">
        <v>0.0</v>
      </c>
      <c r="AE167" t="n" s="29127">
        <v>0.0</v>
      </c>
      <c r="AF167" t="n" s="29128">
        <v>0.0</v>
      </c>
      <c r="AG167" s="29129">
        <f>IF(HLOOKUP("BC",A1:CV300,167,FALSE)=0,0,HLOOKUP("Gs - BC",A1:CV300,167,FALSE)/HLOOKUP("BC",A1:CV300,167,FALSE))</f>
      </c>
      <c r="AH167" s="29130">
        <f>HLOOKUP("BC",A1:CV300,167,FALSE) - HLOOKUP("BC Miss",A1:CV300,167,FALSE)</f>
      </c>
      <c r="AI167" s="29131">
        <f>IF(HLOOKUP("Gs",A1:CV300,167,FALSE)=0,0,HLOOKUP("Gs - BC",A1:CV300,167,FALSE)/HLOOKUP("Gs",A1:CV300,167,FALSE))</f>
      </c>
      <c r="AJ167" t="n" s="29132">
        <v>0.0</v>
      </c>
      <c r="AK167" t="n" s="29133">
        <v>0.0</v>
      </c>
      <c r="AL167" s="29134">
        <f>HLOOKUP("BC",A1:CV300,167,FALSE) - (HLOOKUP("PK Gs",A1:CV300,167,FALSE) + HLOOKUP("PK Miss",A1:CV300,167,FALSE))</f>
      </c>
      <c r="AM167" s="29135">
        <f>HLOOKUP("BC Miss",A1:CV300,167,FALSE) - HLOOKUP("PK Miss",A1:CV300,167,FALSE)</f>
      </c>
      <c r="AN167" s="29136">
        <f>IF(HLOOKUP("BC - Open",A1:CV300,167,FALSE)=0,0,HLOOKUP("BC - Open Miss",A1:CV300,167,FALSE)/HLOOKUP("BC - Open",A1:CV300,167,FALSE))</f>
      </c>
      <c r="AO167" t="n" s="29137">
        <v>0.0</v>
      </c>
      <c r="AP167" s="29138">
        <f>IF(HLOOKUP("Gs",A1:CV300,167,FALSE)=0,0,HLOOKUP("GIB",A1:CV300,167,FALSE)/HLOOKUP("Gs",A1:CV300,167,FALSE))</f>
      </c>
      <c r="AQ167" t="n" s="29139">
        <v>0.0</v>
      </c>
      <c r="AR167" s="29140">
        <f>IF(HLOOKUP("Gs",A1:CV300,167,FALSE)=0,0,HLOOKUP("Gs - Open",A1:CV300,167,FALSE)/HLOOKUP("Gs",A1:CV300,167,FALSE))</f>
      </c>
      <c r="AS167" t="n" s="29141">
        <v>0.03</v>
      </c>
      <c r="AT167" t="n" s="29142">
        <v>0.3</v>
      </c>
      <c r="AU167" s="29143">
        <f>IF(HLOOKUP("Mins",A1:CV300,167,FALSE)=0,0,HLOOKUP("Pts",A1:CV300,167,FALSE)/HLOOKUP("Mins",A1:CV300,167,FALSE)* 90)</f>
      </c>
      <c r="AV167" s="29144">
        <f>IF(HLOOKUP("Apps",A1:CV300,167,FALSE)=0,0,HLOOKUP("Pts",A1:CV300,167,FALSE)/HLOOKUP("Apps",A1:CV300,167,FALSE)* 1)</f>
      </c>
      <c r="AW167" s="29145">
        <f>IF(HLOOKUP("Mins",A1:CV300,167,FALSE)=0,0,HLOOKUP("Gs",A1:CV300,167,FALSE)/HLOOKUP("Mins",A1:CV300,167,FALSE)* 90)</f>
      </c>
      <c r="AX167" s="29146">
        <f>IF(HLOOKUP("Mins",A1:CV300,167,FALSE)=0,0,HLOOKUP("Bonus",A1:CV300,167,FALSE)/HLOOKUP("Mins",A1:CV300,167,FALSE)* 90)</f>
      </c>
      <c r="AY167" s="29147">
        <f>IF(HLOOKUP("Mins",A1:CV300,167,FALSE)=0,0,HLOOKUP("BPS",A1:CV300,167,FALSE)/HLOOKUP("Mins",A1:CV300,167,FALSE)* 90)</f>
      </c>
      <c r="AZ167" s="29148">
        <f>IF(HLOOKUP("Mins",A1:CV300,167,FALSE)=0,0,HLOOKUP("Base BPS",A1:CV300,167,FALSE)/HLOOKUP("Mins",A1:CV300,167,FALSE)* 90)</f>
      </c>
      <c r="BA167" s="29149">
        <f>IF(HLOOKUP("Mins",A1:CV300,167,FALSE)=0,0,HLOOKUP("PenTchs",A1:CV300,167,FALSE)/HLOOKUP("Mins",A1:CV300,167,FALSE)* 90)</f>
      </c>
      <c r="BB167" s="29150">
        <f>IF(HLOOKUP("Mins",A1:CV300,167,FALSE)=0,0,HLOOKUP("Shots",A1:CV300,167,FALSE)/HLOOKUP("Mins",A1:CV300,167,FALSE)* 90)</f>
      </c>
      <c r="BC167" s="29151">
        <f>IF(HLOOKUP("Mins",A1:CV300,167,FALSE)=0,0,HLOOKUP("SIB",A1:CV300,167,FALSE)/HLOOKUP("Mins",A1:CV300,167,FALSE)* 90)</f>
      </c>
      <c r="BD167" s="29152">
        <f>IF(HLOOKUP("Mins",A1:CV300,167,FALSE)=0,0,HLOOKUP("S6YD",A1:CV300,167,FALSE)/HLOOKUP("Mins",A1:CV300,167,FALSE)* 90)</f>
      </c>
      <c r="BE167" s="29153">
        <f>IF(HLOOKUP("Mins",A1:CV300,167,FALSE)=0,0,HLOOKUP("Headers",A1:CV300,167,FALSE)/HLOOKUP("Mins",A1:CV300,167,FALSE)* 90)</f>
      </c>
      <c r="BF167" s="29154">
        <f>IF(HLOOKUP("Mins",A1:CV300,167,FALSE)=0,0,HLOOKUP("SOT",A1:CV300,167,FALSE)/HLOOKUP("Mins",A1:CV300,167,FALSE)* 90)</f>
      </c>
      <c r="BG167" s="29155">
        <f>IF(HLOOKUP("Mins",A1:CV300,167,FALSE)=0,0,HLOOKUP("As",A1:CV300,167,FALSE)/HLOOKUP("Mins",A1:CV300,167,FALSE)* 90)</f>
      </c>
      <c r="BH167" s="29156">
        <f>IF(HLOOKUP("Mins",A1:CV300,167,FALSE)=0,0,HLOOKUP("FPL As",A1:CV300,167,FALSE)/HLOOKUP("Mins",A1:CV300,167,FALSE)* 90)</f>
      </c>
      <c r="BI167" s="29157">
        <f>IF(HLOOKUP("Mins",A1:CV300,167,FALSE)=0,0,HLOOKUP("BC Created",A1:CV300,167,FALSE)/HLOOKUP("Mins",A1:CV300,167,FALSE)* 90)</f>
      </c>
      <c r="BJ167" s="29158">
        <f>IF(HLOOKUP("Mins",A1:CV300,167,FALSE)=0,0,HLOOKUP("KP",A1:CV300,167,FALSE)/HLOOKUP("Mins",A1:CV300,167,FALSE)* 90)</f>
      </c>
      <c r="BK167" s="29159">
        <f>IF(HLOOKUP("Mins",A1:CV300,167,FALSE)=0,0,HLOOKUP("BC",A1:CV300,167,FALSE)/HLOOKUP("Mins",A1:CV300,167,FALSE)* 90)</f>
      </c>
      <c r="BL167" s="29160">
        <f>IF(HLOOKUP("Mins",A1:CV300,167,FALSE)=0,0,HLOOKUP("BC Miss",A1:CV300,167,FALSE)/HLOOKUP("Mins",A1:CV300,167,FALSE)* 90)</f>
      </c>
      <c r="BM167" s="29161">
        <f>IF(HLOOKUP("Mins",A1:CV300,167,FALSE)=0,0,HLOOKUP("Gs - BC",A1:CV300,167,FALSE)/HLOOKUP("Mins",A1:CV300,167,FALSE)* 90)</f>
      </c>
      <c r="BN167" s="29162">
        <f>IF(HLOOKUP("Mins",A1:CV300,167,FALSE)=0,0,HLOOKUP("GIB",A1:CV300,167,FALSE)/HLOOKUP("Mins",A1:CV300,167,FALSE)* 90)</f>
      </c>
      <c r="BO167" s="29163">
        <f>IF(HLOOKUP("Mins",A1:CV300,167,FALSE)=0,0,HLOOKUP("Gs - Open",A1:CV300,167,FALSE)/HLOOKUP("Mins",A1:CV300,167,FALSE)* 90)</f>
      </c>
      <c r="BP167" s="29164">
        <f>IF(HLOOKUP("Mins",A1:CV300,167,FALSE)=0,0,HLOOKUP("ICT Index",A1:CV300,167,FALSE)/HLOOKUP("Mins",A1:CV300,167,FALSE)* 90)</f>
      </c>
      <c r="BQ167" s="29165">
        <f>IF(HLOOKUP("Mins",A1:CV300,167,FALSE)=0,0,(0.036*(HLOOKUP("Shots",A1:CV300,167,FALSE)-HLOOKUP("SIB",A1:CV300,167,FALSE))+0.142*(HLOOKUP("SIB",A1:CV300,167,FALSE)-(HLOOKUP("PK Gs",A1:CV300,167,FALSE)+HLOOKUP("PK Miss",A1:CV300,167,FALSE)))+0.75*(HLOOKUP("PK Gs",A1:CV300,167,FALSE)+HLOOKUP("PK Miss",A1:CV300,167,FALSE)))/HLOOKUP("Mins",A1:CV300,167,FALSE)*90)</f>
      </c>
      <c r="BR167" s="29166">
        <f>0.0885*HLOOKUP("KP/90",A1:CV300,167,FALSE)</f>
      </c>
      <c r="BS167" s="29167">
        <f>5*HLOOKUP("xG/90",A1:CV300,167,FALSE)+3*HLOOKUP("xA/90",A1:CV300,167,FALSE)</f>
      </c>
      <c r="BT167" s="29168">
        <f>HLOOKUP("xPts/90",A1:CV300,167,FALSE)-(5*0.75*(HLOOKUP("PK Gs",A1:CV300,167,FALSE)+HLOOKUP("PK Miss",A1:CV300,167,FALSE))*90/HLOOKUP("Mins",A1:CV300,167,FALSE))</f>
      </c>
      <c r="BU167" s="29169">
        <f>IF(HLOOKUP("Mins",A1:CV300,167,FALSE)=0,0,HLOOKUP("fsXG",A1:CV300,167,FALSE)/HLOOKUP("Mins",A1:CV300,167,FALSE)* 90)</f>
      </c>
      <c r="BV167" s="29170">
        <f>IF(HLOOKUP("Mins",A1:CV300,167,FALSE)=0,0,HLOOKUP("fsXA",A1:CV300,167,FALSE)/HLOOKUP("Mins",A1:CV300,167,FALSE)* 90)</f>
      </c>
      <c r="BW167" s="29171">
        <f>5*HLOOKUP("fsXG/90",A1:CV300,167,FALSE)+3*HLOOKUP("fsXA/90",A1:CV300,167,FALSE)</f>
      </c>
      <c r="BX167" t="n" s="29172">
        <v>0.011846252717077732</v>
      </c>
      <c r="BY167" t="n" s="29173">
        <v>0.0</v>
      </c>
      <c r="BZ167" s="29174">
        <f>5*HLOOKUP("uXG/90",A1:CV300,167,FALSE)+3*HLOOKUP("uXA/90",A1:CV300,167,FALSE)</f>
      </c>
    </row>
    <row r="168">
      <c r="A168" t="s" s="29175">
        <v>471</v>
      </c>
      <c r="B168" t="s" s="29176">
        <v>97</v>
      </c>
      <c r="C168" t="n" s="29177">
        <v>5.900000095367432</v>
      </c>
      <c r="D168" t="n" s="29178">
        <v>45.0</v>
      </c>
      <c r="E168" t="n" s="29179">
        <v>1.0</v>
      </c>
      <c r="F168" t="n" s="29180">
        <v>20.0</v>
      </c>
      <c r="G168" t="n" s="29181">
        <v>0.0</v>
      </c>
      <c r="H168" t="n" s="29182">
        <v>1.0</v>
      </c>
      <c r="I168" t="n" s="29183">
        <v>66.0</v>
      </c>
      <c r="J168" s="29184">
        <f>HLOOKUP("BPS",A1:CV300,168,FALSE)-((-6*HLOOKUP("OG",A1:CV300,168,FALSE))+(-6*HLOOKUP("PK Miss",A1:CV300,168,FALSE))+(9*HLOOKUP("FPL As",A1:CV300,168,FALSE))+(0*HLOOKUP("CS",A1:CV300,168,FALSE))+(18*HLOOKUP("Gs",A1:CV300,168,FALSE)))</f>
      </c>
      <c r="K168" t="n" s="29185">
        <v>0.0</v>
      </c>
      <c r="L168" t="n" s="29186">
        <v>3.0</v>
      </c>
      <c r="M168" t="n" s="29187">
        <v>4.0</v>
      </c>
      <c r="N168" t="n" s="29188">
        <v>1.0</v>
      </c>
      <c r="O168" t="n" s="29189">
        <v>1.0</v>
      </c>
      <c r="P168" s="29190">
        <f>IF(HLOOKUP("Shots",A1:CV300,168,FALSE)=0,0,HLOOKUP("SIB",A1:CV300,168,FALSE)/HLOOKUP("Shots",A1:CV300,168,FALSE))</f>
      </c>
      <c r="Q168" t="n" s="29191">
        <v>0.0</v>
      </c>
      <c r="R168" s="29192">
        <f>IF(HLOOKUP("Shots",A1:CV300,168,FALSE)=0,0,HLOOKUP("S6YD",A1:CV300,168,FALSE)/HLOOKUP("Shots",A1:CV300,168,FALSE))</f>
      </c>
      <c r="S168" t="n" s="29193">
        <v>1.0</v>
      </c>
      <c r="T168" s="29194">
        <f>IF(HLOOKUP("Shots",A1:CV300,168,FALSE)=0,0,HLOOKUP("Headers",A1:CV300,168,FALSE)/HLOOKUP("Shots",A1:CV300,168,FALSE))</f>
      </c>
      <c r="U168" t="n" s="29195">
        <v>0.0</v>
      </c>
      <c r="V168" s="29196">
        <f>IF(HLOOKUP("Shots",A1:CV300,168,FALSE)=0,0,HLOOKUP("SOT",A1:CV300,168,FALSE)/HLOOKUP("Shots",A1:CV300,168,FALSE))</f>
      </c>
      <c r="W168" s="29197">
        <f>IF(HLOOKUP("Shots",A1:CV300,168,FALSE)=0,0,HLOOKUP("Gs",A1:CV300,168,FALSE)/HLOOKUP("Shots",A1:CV300,168,FALSE))</f>
      </c>
      <c r="X168" t="n" s="29198">
        <v>0.0</v>
      </c>
      <c r="Y168" t="n" s="29199">
        <v>0.0</v>
      </c>
      <c r="Z168" t="n" s="29200">
        <v>2.0</v>
      </c>
      <c r="AA168" s="29201">
        <f>IF(HLOOKUP("KP",A1:CV300,168,FALSE)=0,0,HLOOKUP("As",A1:CV300,168,FALSE)/HLOOKUP("KP",A1:CV300,168,FALSE))</f>
      </c>
      <c r="AB168" s="29202"/>
      <c r="AC168" t="n" s="29203">
        <v>0.0</v>
      </c>
      <c r="AD168" t="n" s="29204">
        <v>0.0</v>
      </c>
      <c r="AE168" t="n" s="29205">
        <v>0.0</v>
      </c>
      <c r="AF168" t="n" s="29206">
        <v>0.0</v>
      </c>
      <c r="AG168" s="29207">
        <f>IF(HLOOKUP("BC",A1:CV300,168,FALSE)=0,0,HLOOKUP("Gs - BC",A1:CV300,168,FALSE)/HLOOKUP("BC",A1:CV300,168,FALSE))</f>
      </c>
      <c r="AH168" s="29208">
        <f>HLOOKUP("BC",A1:CV300,168,FALSE) - HLOOKUP("BC Miss",A1:CV300,168,FALSE)</f>
      </c>
      <c r="AI168" s="29209">
        <f>IF(HLOOKUP("Gs",A1:CV300,168,FALSE)=0,0,HLOOKUP("Gs - BC",A1:CV300,168,FALSE)/HLOOKUP("Gs",A1:CV300,168,FALSE))</f>
      </c>
      <c r="AJ168" t="n" s="29210">
        <v>0.0</v>
      </c>
      <c r="AK168" t="n" s="29211">
        <v>0.0</v>
      </c>
      <c r="AL168" s="29212">
        <f>HLOOKUP("BC",A1:CV300,168,FALSE) - (HLOOKUP("PK Gs",A1:CV300,168,FALSE) + HLOOKUP("PK Miss",A1:CV300,168,FALSE))</f>
      </c>
      <c r="AM168" s="29213">
        <f>HLOOKUP("BC Miss",A1:CV300,168,FALSE) - HLOOKUP("PK Miss",A1:CV300,168,FALSE)</f>
      </c>
      <c r="AN168" s="29214">
        <f>IF(HLOOKUP("BC - Open",A1:CV300,168,FALSE)=0,0,HLOOKUP("BC - Open Miss",A1:CV300,168,FALSE)/HLOOKUP("BC - Open",A1:CV300,168,FALSE))</f>
      </c>
      <c r="AO168" t="n" s="29215">
        <v>0.0</v>
      </c>
      <c r="AP168" s="29216">
        <f>IF(HLOOKUP("Gs",A1:CV300,168,FALSE)=0,0,HLOOKUP("GIB",A1:CV300,168,FALSE)/HLOOKUP("Gs",A1:CV300,168,FALSE))</f>
      </c>
      <c r="AQ168" t="n" s="29217">
        <v>0.0</v>
      </c>
      <c r="AR168" s="29218">
        <f>IF(HLOOKUP("Gs",A1:CV300,168,FALSE)=0,0,HLOOKUP("Gs - Open",A1:CV300,168,FALSE)/HLOOKUP("Gs",A1:CV300,168,FALSE))</f>
      </c>
      <c r="AS168" t="n" s="29219">
        <v>0.07</v>
      </c>
      <c r="AT168" t="n" s="29220">
        <v>0.52</v>
      </c>
      <c r="AU168" s="29221">
        <f>IF(HLOOKUP("Mins",A1:CV300,168,FALSE)=0,0,HLOOKUP("Pts",A1:CV300,168,FALSE)/HLOOKUP("Mins",A1:CV300,168,FALSE)* 90)</f>
      </c>
      <c r="AV168" s="29222">
        <f>IF(HLOOKUP("Apps",A1:CV300,168,FALSE)=0,0,HLOOKUP("Pts",A1:CV300,168,FALSE)/HLOOKUP("Apps",A1:CV300,168,FALSE)* 1)</f>
      </c>
      <c r="AW168" s="29223">
        <f>IF(HLOOKUP("Mins",A1:CV300,168,FALSE)=0,0,HLOOKUP("Gs",A1:CV300,168,FALSE)/HLOOKUP("Mins",A1:CV300,168,FALSE)* 90)</f>
      </c>
      <c r="AX168" s="29224">
        <f>IF(HLOOKUP("Mins",A1:CV300,168,FALSE)=0,0,HLOOKUP("Bonus",A1:CV300,168,FALSE)/HLOOKUP("Mins",A1:CV300,168,FALSE)* 90)</f>
      </c>
      <c r="AY168" s="29225">
        <f>IF(HLOOKUP("Mins",A1:CV300,168,FALSE)=0,0,HLOOKUP("BPS",A1:CV300,168,FALSE)/HLOOKUP("Mins",A1:CV300,168,FALSE)* 90)</f>
      </c>
      <c r="AZ168" s="29226">
        <f>IF(HLOOKUP("Mins",A1:CV300,168,FALSE)=0,0,HLOOKUP("Base BPS",A1:CV300,168,FALSE)/HLOOKUP("Mins",A1:CV300,168,FALSE)* 90)</f>
      </c>
      <c r="BA168" s="29227">
        <f>IF(HLOOKUP("Mins",A1:CV300,168,FALSE)=0,0,HLOOKUP("PenTchs",A1:CV300,168,FALSE)/HLOOKUP("Mins",A1:CV300,168,FALSE)* 90)</f>
      </c>
      <c r="BB168" s="29228">
        <f>IF(HLOOKUP("Mins",A1:CV300,168,FALSE)=0,0,HLOOKUP("Shots",A1:CV300,168,FALSE)/HLOOKUP("Mins",A1:CV300,168,FALSE)* 90)</f>
      </c>
      <c r="BC168" s="29229">
        <f>IF(HLOOKUP("Mins",A1:CV300,168,FALSE)=0,0,HLOOKUP("SIB",A1:CV300,168,FALSE)/HLOOKUP("Mins",A1:CV300,168,FALSE)* 90)</f>
      </c>
      <c r="BD168" s="29230">
        <f>IF(HLOOKUP("Mins",A1:CV300,168,FALSE)=0,0,HLOOKUP("S6YD",A1:CV300,168,FALSE)/HLOOKUP("Mins",A1:CV300,168,FALSE)* 90)</f>
      </c>
      <c r="BE168" s="29231">
        <f>IF(HLOOKUP("Mins",A1:CV300,168,FALSE)=0,0,HLOOKUP("Headers",A1:CV300,168,FALSE)/HLOOKUP("Mins",A1:CV300,168,FALSE)* 90)</f>
      </c>
      <c r="BF168" s="29232">
        <f>IF(HLOOKUP("Mins",A1:CV300,168,FALSE)=0,0,HLOOKUP("SOT",A1:CV300,168,FALSE)/HLOOKUP("Mins",A1:CV300,168,FALSE)* 90)</f>
      </c>
      <c r="BG168" s="29233">
        <f>IF(HLOOKUP("Mins",A1:CV300,168,FALSE)=0,0,HLOOKUP("As",A1:CV300,168,FALSE)/HLOOKUP("Mins",A1:CV300,168,FALSE)* 90)</f>
      </c>
      <c r="BH168" s="29234">
        <f>IF(HLOOKUP("Mins",A1:CV300,168,FALSE)=0,0,HLOOKUP("FPL As",A1:CV300,168,FALSE)/HLOOKUP("Mins",A1:CV300,168,FALSE)* 90)</f>
      </c>
      <c r="BI168" s="29235">
        <f>IF(HLOOKUP("Mins",A1:CV300,168,FALSE)=0,0,HLOOKUP("BC Created",A1:CV300,168,FALSE)/HLOOKUP("Mins",A1:CV300,168,FALSE)* 90)</f>
      </c>
      <c r="BJ168" s="29236">
        <f>IF(HLOOKUP("Mins",A1:CV300,168,FALSE)=0,0,HLOOKUP("KP",A1:CV300,168,FALSE)/HLOOKUP("Mins",A1:CV300,168,FALSE)* 90)</f>
      </c>
      <c r="BK168" s="29237">
        <f>IF(HLOOKUP("Mins",A1:CV300,168,FALSE)=0,0,HLOOKUP("BC",A1:CV300,168,FALSE)/HLOOKUP("Mins",A1:CV300,168,FALSE)* 90)</f>
      </c>
      <c r="BL168" s="29238">
        <f>IF(HLOOKUP("Mins",A1:CV300,168,FALSE)=0,0,HLOOKUP("BC Miss",A1:CV300,168,FALSE)/HLOOKUP("Mins",A1:CV300,168,FALSE)* 90)</f>
      </c>
      <c r="BM168" s="29239">
        <f>IF(HLOOKUP("Mins",A1:CV300,168,FALSE)=0,0,HLOOKUP("Gs - BC",A1:CV300,168,FALSE)/HLOOKUP("Mins",A1:CV300,168,FALSE)* 90)</f>
      </c>
      <c r="BN168" s="29240">
        <f>IF(HLOOKUP("Mins",A1:CV300,168,FALSE)=0,0,HLOOKUP("GIB",A1:CV300,168,FALSE)/HLOOKUP("Mins",A1:CV300,168,FALSE)* 90)</f>
      </c>
      <c r="BO168" s="29241">
        <f>IF(HLOOKUP("Mins",A1:CV300,168,FALSE)=0,0,HLOOKUP("Gs - Open",A1:CV300,168,FALSE)/HLOOKUP("Mins",A1:CV300,168,FALSE)* 90)</f>
      </c>
      <c r="BP168" s="29242">
        <f>IF(HLOOKUP("Mins",A1:CV300,168,FALSE)=0,0,HLOOKUP("ICT Index",A1:CV300,168,FALSE)/HLOOKUP("Mins",A1:CV300,168,FALSE)* 90)</f>
      </c>
      <c r="BQ168" s="29243">
        <f>IF(HLOOKUP("Mins",A1:CV300,168,FALSE)=0,0,(0.036*(HLOOKUP("Shots",A1:CV300,168,FALSE)-HLOOKUP("SIB",A1:CV300,168,FALSE))+0.142*(HLOOKUP("SIB",A1:CV300,168,FALSE)-(HLOOKUP("PK Gs",A1:CV300,168,FALSE)+HLOOKUP("PK Miss",A1:CV300,168,FALSE)))+0.75*(HLOOKUP("PK Gs",A1:CV300,168,FALSE)+HLOOKUP("PK Miss",A1:CV300,168,FALSE)))/HLOOKUP("Mins",A1:CV300,168,FALSE)*90)</f>
      </c>
      <c r="BR168" s="29244">
        <f>0.0885*HLOOKUP("KP/90",A1:CV300,168,FALSE)</f>
      </c>
      <c r="BS168" s="29245">
        <f>5*HLOOKUP("xG/90",A1:CV300,168,FALSE)+3*HLOOKUP("xA/90",A1:CV300,168,FALSE)</f>
      </c>
      <c r="BT168" s="29246">
        <f>HLOOKUP("xPts/90",A1:CV300,168,FALSE)-(5*0.75*(HLOOKUP("PK Gs",A1:CV300,168,FALSE)+HLOOKUP("PK Miss",A1:CV300,168,FALSE))*90/HLOOKUP("Mins",A1:CV300,168,FALSE))</f>
      </c>
      <c r="BU168" s="29247">
        <f>IF(HLOOKUP("Mins",A1:CV300,168,FALSE)=0,0,HLOOKUP("fsXG",A1:CV300,168,FALSE)/HLOOKUP("Mins",A1:CV300,168,FALSE)* 90)</f>
      </c>
      <c r="BV168" s="29248">
        <f>IF(HLOOKUP("Mins",A1:CV300,168,FALSE)=0,0,HLOOKUP("fsXA",A1:CV300,168,FALSE)/HLOOKUP("Mins",A1:CV300,168,FALSE)* 90)</f>
      </c>
      <c r="BW168" s="29249">
        <f>5*HLOOKUP("fsXG/90",A1:CV300,168,FALSE)+3*HLOOKUP("fsXA/90",A1:CV300,168,FALSE)</f>
      </c>
      <c r="BX168" t="n" s="29250">
        <v>0.21947923302650452</v>
      </c>
      <c r="BY168" t="n" s="29251">
        <v>0.23492111265659332</v>
      </c>
      <c r="BZ168" s="29252">
        <f>5*HLOOKUP("uXG/90",A1:CV300,168,FALSE)+3*HLOOKUP("uXA/90",A1:CV300,168,FALSE)</f>
      </c>
    </row>
    <row r="169">
      <c r="A169" t="s" s="29253">
        <v>472</v>
      </c>
      <c r="B169" t="s" s="29254">
        <v>87</v>
      </c>
      <c r="C169" t="n" s="29255">
        <v>5.199999809265137</v>
      </c>
      <c r="D169" t="n" s="29256">
        <v>271.0</v>
      </c>
      <c r="E169" t="n" s="29257">
        <v>6.0</v>
      </c>
      <c r="F169" t="n" s="29258">
        <v>56.0</v>
      </c>
      <c r="G169" t="n" s="29259">
        <v>0.0</v>
      </c>
      <c r="H169" t="n" s="29260">
        <v>2.0</v>
      </c>
      <c r="I169" t="n" s="29261">
        <v>163.0</v>
      </c>
      <c r="J169" s="29262">
        <f>HLOOKUP("BPS",A1:CV300,169,FALSE)-((-6*HLOOKUP("OG",A1:CV300,169,FALSE))+(-6*HLOOKUP("PK Miss",A1:CV300,169,FALSE))+(9*HLOOKUP("FPL As",A1:CV300,169,FALSE))+(0*HLOOKUP("CS",A1:CV300,169,FALSE))+(18*HLOOKUP("Gs",A1:CV300,169,FALSE)))</f>
      </c>
      <c r="K169" t="n" s="29263">
        <v>0.0</v>
      </c>
      <c r="L169" t="n" s="29264">
        <v>3.0</v>
      </c>
      <c r="M169" t="n" s="29265">
        <v>13.0</v>
      </c>
      <c r="N169" t="n" s="29266">
        <v>4.0</v>
      </c>
      <c r="O169" t="n" s="29267">
        <v>2.0</v>
      </c>
      <c r="P169" s="29268">
        <f>IF(HLOOKUP("Shots",A1:CV300,169,FALSE)=0,0,HLOOKUP("SIB",A1:CV300,169,FALSE)/HLOOKUP("Shots",A1:CV300,169,FALSE))</f>
      </c>
      <c r="Q169" t="n" s="29269">
        <v>0.0</v>
      </c>
      <c r="R169" s="29270">
        <f>IF(HLOOKUP("Shots",A1:CV300,169,FALSE)=0,0,HLOOKUP("S6YD",A1:CV300,169,FALSE)/HLOOKUP("Shots",A1:CV300,169,FALSE))</f>
      </c>
      <c r="S169" t="n" s="29271">
        <v>0.0</v>
      </c>
      <c r="T169" s="29272">
        <f>IF(HLOOKUP("Shots",A1:CV300,169,FALSE)=0,0,HLOOKUP("Headers",A1:CV300,169,FALSE)/HLOOKUP("Shots",A1:CV300,169,FALSE))</f>
      </c>
      <c r="U169" t="n" s="29273">
        <v>0.0</v>
      </c>
      <c r="V169" s="29274">
        <f>IF(HLOOKUP("Shots",A1:CV300,169,FALSE)=0,0,HLOOKUP("SOT",A1:CV300,169,FALSE)/HLOOKUP("Shots",A1:CV300,169,FALSE))</f>
      </c>
      <c r="W169" s="29275">
        <f>IF(HLOOKUP("Shots",A1:CV300,169,FALSE)=0,0,HLOOKUP("Gs",A1:CV300,169,FALSE)/HLOOKUP("Shots",A1:CV300,169,FALSE))</f>
      </c>
      <c r="X169" t="n" s="29276">
        <v>0.0</v>
      </c>
      <c r="Y169" t="n" s="29277">
        <v>2.0</v>
      </c>
      <c r="Z169" t="n" s="29278">
        <v>6.0</v>
      </c>
      <c r="AA169" s="29279">
        <f>IF(HLOOKUP("KP",A1:CV300,169,FALSE)=0,0,HLOOKUP("As",A1:CV300,169,FALSE)/HLOOKUP("KP",A1:CV300,169,FALSE))</f>
      </c>
      <c r="AB169" s="29280"/>
      <c r="AC169" t="n" s="29281">
        <v>25.0</v>
      </c>
      <c r="AD169" t="n" s="29282">
        <v>0.0</v>
      </c>
      <c r="AE169" t="n" s="29283">
        <v>0.0</v>
      </c>
      <c r="AF169" t="n" s="29284">
        <v>0.0</v>
      </c>
      <c r="AG169" s="29285">
        <f>IF(HLOOKUP("BC",A1:CV300,169,FALSE)=0,0,HLOOKUP("Gs - BC",A1:CV300,169,FALSE)/HLOOKUP("BC",A1:CV300,169,FALSE))</f>
      </c>
      <c r="AH169" s="29286">
        <f>HLOOKUP("BC",A1:CV300,169,FALSE) - HLOOKUP("BC Miss",A1:CV300,169,FALSE)</f>
      </c>
      <c r="AI169" s="29287">
        <f>IF(HLOOKUP("Gs",A1:CV300,169,FALSE)=0,0,HLOOKUP("Gs - BC",A1:CV300,169,FALSE)/HLOOKUP("Gs",A1:CV300,169,FALSE))</f>
      </c>
      <c r="AJ169" t="n" s="29288">
        <v>0.0</v>
      </c>
      <c r="AK169" t="n" s="29289">
        <v>0.0</v>
      </c>
      <c r="AL169" s="29290">
        <f>HLOOKUP("BC",A1:CV300,169,FALSE) - (HLOOKUP("PK Gs",A1:CV300,169,FALSE) + HLOOKUP("PK Miss",A1:CV300,169,FALSE))</f>
      </c>
      <c r="AM169" s="29291">
        <f>HLOOKUP("BC Miss",A1:CV300,169,FALSE) - HLOOKUP("PK Miss",A1:CV300,169,FALSE)</f>
      </c>
      <c r="AN169" s="29292">
        <f>IF(HLOOKUP("BC - Open",A1:CV300,169,FALSE)=0,0,HLOOKUP("BC - Open Miss",A1:CV300,169,FALSE)/HLOOKUP("BC - Open",A1:CV300,169,FALSE))</f>
      </c>
      <c r="AO169" t="n" s="29293">
        <v>0.0</v>
      </c>
      <c r="AP169" s="29294">
        <f>IF(HLOOKUP("Gs",A1:CV300,169,FALSE)=0,0,HLOOKUP("GIB",A1:CV300,169,FALSE)/HLOOKUP("Gs",A1:CV300,169,FALSE))</f>
      </c>
      <c r="AQ169" t="n" s="29295">
        <v>0.0</v>
      </c>
      <c r="AR169" s="29296">
        <f>IF(HLOOKUP("Gs",A1:CV300,169,FALSE)=0,0,HLOOKUP("Gs - Open",A1:CV300,169,FALSE)/HLOOKUP("Gs",A1:CV300,169,FALSE))</f>
      </c>
      <c r="AS169" t="n" s="29297">
        <v>0.25</v>
      </c>
      <c r="AT169" t="n" s="29298">
        <v>0.14</v>
      </c>
      <c r="AU169" s="29299">
        <f>IF(HLOOKUP("Mins",A1:CV300,169,FALSE)=0,0,HLOOKUP("Pts",A1:CV300,169,FALSE)/HLOOKUP("Mins",A1:CV300,169,FALSE)* 90)</f>
      </c>
      <c r="AV169" s="29300">
        <f>IF(HLOOKUP("Apps",A1:CV300,169,FALSE)=0,0,HLOOKUP("Pts",A1:CV300,169,FALSE)/HLOOKUP("Apps",A1:CV300,169,FALSE)* 1)</f>
      </c>
      <c r="AW169" s="29301">
        <f>IF(HLOOKUP("Mins",A1:CV300,169,FALSE)=0,0,HLOOKUP("Gs",A1:CV300,169,FALSE)/HLOOKUP("Mins",A1:CV300,169,FALSE)* 90)</f>
      </c>
      <c r="AX169" s="29302">
        <f>IF(HLOOKUP("Mins",A1:CV300,169,FALSE)=0,0,HLOOKUP("Bonus",A1:CV300,169,FALSE)/HLOOKUP("Mins",A1:CV300,169,FALSE)* 90)</f>
      </c>
      <c r="AY169" s="29303">
        <f>IF(HLOOKUP("Mins",A1:CV300,169,FALSE)=0,0,HLOOKUP("BPS",A1:CV300,169,FALSE)/HLOOKUP("Mins",A1:CV300,169,FALSE)* 90)</f>
      </c>
      <c r="AZ169" s="29304">
        <f>IF(HLOOKUP("Mins",A1:CV300,169,FALSE)=0,0,HLOOKUP("Base BPS",A1:CV300,169,FALSE)/HLOOKUP("Mins",A1:CV300,169,FALSE)* 90)</f>
      </c>
      <c r="BA169" s="29305">
        <f>IF(HLOOKUP("Mins",A1:CV300,169,FALSE)=0,0,HLOOKUP("PenTchs",A1:CV300,169,FALSE)/HLOOKUP("Mins",A1:CV300,169,FALSE)* 90)</f>
      </c>
      <c r="BB169" s="29306">
        <f>IF(HLOOKUP("Mins",A1:CV300,169,FALSE)=0,0,HLOOKUP("Shots",A1:CV300,169,FALSE)/HLOOKUP("Mins",A1:CV300,169,FALSE)* 90)</f>
      </c>
      <c r="BC169" s="29307">
        <f>IF(HLOOKUP("Mins",A1:CV300,169,FALSE)=0,0,HLOOKUP("SIB",A1:CV300,169,FALSE)/HLOOKUP("Mins",A1:CV300,169,FALSE)* 90)</f>
      </c>
      <c r="BD169" s="29308">
        <f>IF(HLOOKUP("Mins",A1:CV300,169,FALSE)=0,0,HLOOKUP("S6YD",A1:CV300,169,FALSE)/HLOOKUP("Mins",A1:CV300,169,FALSE)* 90)</f>
      </c>
      <c r="BE169" s="29309">
        <f>IF(HLOOKUP("Mins",A1:CV300,169,FALSE)=0,0,HLOOKUP("Headers",A1:CV300,169,FALSE)/HLOOKUP("Mins",A1:CV300,169,FALSE)* 90)</f>
      </c>
      <c r="BF169" s="29310">
        <f>IF(HLOOKUP("Mins",A1:CV300,169,FALSE)=0,0,HLOOKUP("SOT",A1:CV300,169,FALSE)/HLOOKUP("Mins",A1:CV300,169,FALSE)* 90)</f>
      </c>
      <c r="BG169" s="29311">
        <f>IF(HLOOKUP("Mins",A1:CV300,169,FALSE)=0,0,HLOOKUP("As",A1:CV300,169,FALSE)/HLOOKUP("Mins",A1:CV300,169,FALSE)* 90)</f>
      </c>
      <c r="BH169" s="29312">
        <f>IF(HLOOKUP("Mins",A1:CV300,169,FALSE)=0,0,HLOOKUP("FPL As",A1:CV300,169,FALSE)/HLOOKUP("Mins",A1:CV300,169,FALSE)* 90)</f>
      </c>
      <c r="BI169" s="29313">
        <f>IF(HLOOKUP("Mins",A1:CV300,169,FALSE)=0,0,HLOOKUP("BC Created",A1:CV300,169,FALSE)/HLOOKUP("Mins",A1:CV300,169,FALSE)* 90)</f>
      </c>
      <c r="BJ169" s="29314">
        <f>IF(HLOOKUP("Mins",A1:CV300,169,FALSE)=0,0,HLOOKUP("KP",A1:CV300,169,FALSE)/HLOOKUP("Mins",A1:CV300,169,FALSE)* 90)</f>
      </c>
      <c r="BK169" s="29315">
        <f>IF(HLOOKUP("Mins",A1:CV300,169,FALSE)=0,0,HLOOKUP("BC",A1:CV300,169,FALSE)/HLOOKUP("Mins",A1:CV300,169,FALSE)* 90)</f>
      </c>
      <c r="BL169" s="29316">
        <f>IF(HLOOKUP("Mins",A1:CV300,169,FALSE)=0,0,HLOOKUP("BC Miss",A1:CV300,169,FALSE)/HLOOKUP("Mins",A1:CV300,169,FALSE)* 90)</f>
      </c>
      <c r="BM169" s="29317">
        <f>IF(HLOOKUP("Mins",A1:CV300,169,FALSE)=0,0,HLOOKUP("Gs - BC",A1:CV300,169,FALSE)/HLOOKUP("Mins",A1:CV300,169,FALSE)* 90)</f>
      </c>
      <c r="BN169" s="29318">
        <f>IF(HLOOKUP("Mins",A1:CV300,169,FALSE)=0,0,HLOOKUP("GIB",A1:CV300,169,FALSE)/HLOOKUP("Mins",A1:CV300,169,FALSE)* 90)</f>
      </c>
      <c r="BO169" s="29319">
        <f>IF(HLOOKUP("Mins",A1:CV300,169,FALSE)=0,0,HLOOKUP("Gs - Open",A1:CV300,169,FALSE)/HLOOKUP("Mins",A1:CV300,169,FALSE)* 90)</f>
      </c>
      <c r="BP169" s="29320">
        <f>IF(HLOOKUP("Mins",A1:CV300,169,FALSE)=0,0,HLOOKUP("ICT Index",A1:CV300,169,FALSE)/HLOOKUP("Mins",A1:CV300,169,FALSE)* 90)</f>
      </c>
      <c r="BQ169" s="29321">
        <f>IF(HLOOKUP("Mins",A1:CV300,169,FALSE)=0,0,(0.036*(HLOOKUP("Shots",A1:CV300,169,FALSE)-HLOOKUP("SIB",A1:CV300,169,FALSE))+0.142*(HLOOKUP("SIB",A1:CV300,169,FALSE)-(HLOOKUP("PK Gs",A1:CV300,169,FALSE)+HLOOKUP("PK Miss",A1:CV300,169,FALSE)))+0.75*(HLOOKUP("PK Gs",A1:CV300,169,FALSE)+HLOOKUP("PK Miss",A1:CV300,169,FALSE)))/HLOOKUP("Mins",A1:CV300,169,FALSE)*90)</f>
      </c>
      <c r="BR169" s="29322">
        <f>0.0885*HLOOKUP("KP/90",A1:CV300,169,FALSE)</f>
      </c>
      <c r="BS169" s="29323">
        <f>5*HLOOKUP("xG/90",A1:CV300,169,FALSE)+3*HLOOKUP("xA/90",A1:CV300,169,FALSE)</f>
      </c>
      <c r="BT169" s="29324">
        <f>HLOOKUP("xPts/90",A1:CV300,169,FALSE)-(5*0.75*(HLOOKUP("PK Gs",A1:CV300,169,FALSE)+HLOOKUP("PK Miss",A1:CV300,169,FALSE))*90/HLOOKUP("Mins",A1:CV300,169,FALSE))</f>
      </c>
      <c r="BU169" s="29325">
        <f>IF(HLOOKUP("Mins",A1:CV300,169,FALSE)=0,0,HLOOKUP("fsXG",A1:CV300,169,FALSE)/HLOOKUP("Mins",A1:CV300,169,FALSE)* 90)</f>
      </c>
      <c r="BV169" s="29326">
        <f>IF(HLOOKUP("Mins",A1:CV300,169,FALSE)=0,0,HLOOKUP("fsXA",A1:CV300,169,FALSE)/HLOOKUP("Mins",A1:CV300,169,FALSE)* 90)</f>
      </c>
      <c r="BW169" s="29327">
        <f>5*HLOOKUP("fsXG/90",A1:CV300,169,FALSE)+3*HLOOKUP("fsXA/90",A1:CV300,169,FALSE)</f>
      </c>
      <c r="BX169" t="n" s="29328">
        <v>0.05500814691185951</v>
      </c>
      <c r="BY169" t="n" s="29329">
        <v>0.07253729552030563</v>
      </c>
      <c r="BZ169" s="29330">
        <f>5*HLOOKUP("uXG/90",A1:CV300,169,FALSE)+3*HLOOKUP("uXA/90",A1:CV300,169,FALSE)</f>
      </c>
    </row>
    <row r="170">
      <c r="A170" t="s" s="29331">
        <v>473</v>
      </c>
      <c r="B170" t="s" s="29332">
        <v>95</v>
      </c>
      <c r="C170" t="n" s="29333">
        <v>4.800000190734863</v>
      </c>
      <c r="D170" t="n" s="29334">
        <v>90.0</v>
      </c>
      <c r="E170" t="n" s="29335">
        <v>1.0</v>
      </c>
      <c r="F170" t="n" s="29336">
        <v>49.0</v>
      </c>
      <c r="G170" t="n" s="29337">
        <v>0.0</v>
      </c>
      <c r="H170" t="n" s="29338">
        <v>0.0</v>
      </c>
      <c r="I170" t="n" s="29339">
        <v>272.0</v>
      </c>
      <c r="J170" s="29340">
        <f>HLOOKUP("BPS",A1:CV300,170,FALSE)-((-6*HLOOKUP("OG",A1:CV300,170,FALSE))+(-6*HLOOKUP("PK Miss",A1:CV300,170,FALSE))+(9*HLOOKUP("FPL As",A1:CV300,170,FALSE))+(0*HLOOKUP("CS",A1:CV300,170,FALSE))+(18*HLOOKUP("Gs",A1:CV300,170,FALSE)))</f>
      </c>
      <c r="K170" t="n" s="29341">
        <v>0.0</v>
      </c>
      <c r="L170" t="n" s="29342">
        <v>3.0</v>
      </c>
      <c r="M170" t="n" s="29343">
        <v>0.0</v>
      </c>
      <c r="N170" t="n" s="29344">
        <v>0.0</v>
      </c>
      <c r="O170" t="n" s="29345">
        <v>0.0</v>
      </c>
      <c r="P170" s="29346">
        <f>IF(HLOOKUP("Shots",A1:CV300,170,FALSE)=0,0,HLOOKUP("SIB",A1:CV300,170,FALSE)/HLOOKUP("Shots",A1:CV300,170,FALSE))</f>
      </c>
      <c r="Q170" t="n" s="29347">
        <v>0.0</v>
      </c>
      <c r="R170" s="29348">
        <f>IF(HLOOKUP("Shots",A1:CV300,170,FALSE)=0,0,HLOOKUP("S6YD",A1:CV300,170,FALSE)/HLOOKUP("Shots",A1:CV300,170,FALSE))</f>
      </c>
      <c r="S170" t="n" s="29349">
        <v>0.0</v>
      </c>
      <c r="T170" s="29350">
        <f>IF(HLOOKUP("Shots",A1:CV300,170,FALSE)=0,0,HLOOKUP("Headers",A1:CV300,170,FALSE)/HLOOKUP("Shots",A1:CV300,170,FALSE))</f>
      </c>
      <c r="U170" t="n" s="29351">
        <v>0.0</v>
      </c>
      <c r="V170" s="29352">
        <f>IF(HLOOKUP("Shots",A1:CV300,170,FALSE)=0,0,HLOOKUP("SOT",A1:CV300,170,FALSE)/HLOOKUP("Shots",A1:CV300,170,FALSE))</f>
      </c>
      <c r="W170" s="29353">
        <f>IF(HLOOKUP("Shots",A1:CV300,170,FALSE)=0,0,HLOOKUP("Gs",A1:CV300,170,FALSE)/HLOOKUP("Shots",A1:CV300,170,FALSE))</f>
      </c>
      <c r="X170" t="n" s="29354">
        <v>0.0</v>
      </c>
      <c r="Y170" t="n" s="29355">
        <v>1.0</v>
      </c>
      <c r="Z170" t="n" s="29356">
        <v>0.0</v>
      </c>
      <c r="AA170" s="29357">
        <f>IF(HLOOKUP("KP",A1:CV300,170,FALSE)=0,0,HLOOKUP("As",A1:CV300,170,FALSE)/HLOOKUP("KP",A1:CV300,170,FALSE))</f>
      </c>
      <c r="AB170" s="29358"/>
      <c r="AC170" t="n" s="29359">
        <v>0.0</v>
      </c>
      <c r="AD170" t="n" s="29360">
        <v>0.0</v>
      </c>
      <c r="AE170" t="n" s="29361">
        <v>0.0</v>
      </c>
      <c r="AF170" t="n" s="29362">
        <v>0.0</v>
      </c>
      <c r="AG170" s="29363">
        <f>IF(HLOOKUP("BC",A1:CV300,170,FALSE)=0,0,HLOOKUP("Gs - BC",A1:CV300,170,FALSE)/HLOOKUP("BC",A1:CV300,170,FALSE))</f>
      </c>
      <c r="AH170" s="29364">
        <f>HLOOKUP("BC",A1:CV300,170,FALSE) - HLOOKUP("BC Miss",A1:CV300,170,FALSE)</f>
      </c>
      <c r="AI170" s="29365">
        <f>IF(HLOOKUP("Gs",A1:CV300,170,FALSE)=0,0,HLOOKUP("Gs - BC",A1:CV300,170,FALSE)/HLOOKUP("Gs",A1:CV300,170,FALSE))</f>
      </c>
      <c r="AJ170" t="n" s="29366">
        <v>0.0</v>
      </c>
      <c r="AK170" t="n" s="29367">
        <v>0.0</v>
      </c>
      <c r="AL170" s="29368">
        <f>HLOOKUP("BC",A1:CV300,170,FALSE) - (HLOOKUP("PK Gs",A1:CV300,170,FALSE) + HLOOKUP("PK Miss",A1:CV300,170,FALSE))</f>
      </c>
      <c r="AM170" s="29369">
        <f>HLOOKUP("BC Miss",A1:CV300,170,FALSE) - HLOOKUP("PK Miss",A1:CV300,170,FALSE)</f>
      </c>
      <c r="AN170" s="29370">
        <f>IF(HLOOKUP("BC - Open",A1:CV300,170,FALSE)=0,0,HLOOKUP("BC - Open Miss",A1:CV300,170,FALSE)/HLOOKUP("BC - Open",A1:CV300,170,FALSE))</f>
      </c>
      <c r="AO170" t="n" s="29371">
        <v>0.0</v>
      </c>
      <c r="AP170" s="29372">
        <f>IF(HLOOKUP("Gs",A1:CV300,170,FALSE)=0,0,HLOOKUP("GIB",A1:CV300,170,FALSE)/HLOOKUP("Gs",A1:CV300,170,FALSE))</f>
      </c>
      <c r="AQ170" t="n" s="29373">
        <v>0.0</v>
      </c>
      <c r="AR170" s="29374">
        <f>IF(HLOOKUP("Gs",A1:CV300,170,FALSE)=0,0,HLOOKUP("Gs - Open",A1:CV300,170,FALSE)/HLOOKUP("Gs",A1:CV300,170,FALSE))</f>
      </c>
      <c r="AS170" t="n" s="29375">
        <v>0.0</v>
      </c>
      <c r="AT170" t="n" s="29376">
        <v>0.01</v>
      </c>
      <c r="AU170" s="29377">
        <f>IF(HLOOKUP("Mins",A1:CV300,170,FALSE)=0,0,HLOOKUP("Pts",A1:CV300,170,FALSE)/HLOOKUP("Mins",A1:CV300,170,FALSE)* 90)</f>
      </c>
      <c r="AV170" s="29378">
        <f>IF(HLOOKUP("Apps",A1:CV300,170,FALSE)=0,0,HLOOKUP("Pts",A1:CV300,170,FALSE)/HLOOKUP("Apps",A1:CV300,170,FALSE)* 1)</f>
      </c>
      <c r="AW170" s="29379">
        <f>IF(HLOOKUP("Mins",A1:CV300,170,FALSE)=0,0,HLOOKUP("Gs",A1:CV300,170,FALSE)/HLOOKUP("Mins",A1:CV300,170,FALSE)* 90)</f>
      </c>
      <c r="AX170" s="29380">
        <f>IF(HLOOKUP("Mins",A1:CV300,170,FALSE)=0,0,HLOOKUP("Bonus",A1:CV300,170,FALSE)/HLOOKUP("Mins",A1:CV300,170,FALSE)* 90)</f>
      </c>
      <c r="AY170" s="29381">
        <f>IF(HLOOKUP("Mins",A1:CV300,170,FALSE)=0,0,HLOOKUP("BPS",A1:CV300,170,FALSE)/HLOOKUP("Mins",A1:CV300,170,FALSE)* 90)</f>
      </c>
      <c r="AZ170" s="29382">
        <f>IF(HLOOKUP("Mins",A1:CV300,170,FALSE)=0,0,HLOOKUP("Base BPS",A1:CV300,170,FALSE)/HLOOKUP("Mins",A1:CV300,170,FALSE)* 90)</f>
      </c>
      <c r="BA170" s="29383">
        <f>IF(HLOOKUP("Mins",A1:CV300,170,FALSE)=0,0,HLOOKUP("PenTchs",A1:CV300,170,FALSE)/HLOOKUP("Mins",A1:CV300,170,FALSE)* 90)</f>
      </c>
      <c r="BB170" s="29384">
        <f>IF(HLOOKUP("Mins",A1:CV300,170,FALSE)=0,0,HLOOKUP("Shots",A1:CV300,170,FALSE)/HLOOKUP("Mins",A1:CV300,170,FALSE)* 90)</f>
      </c>
      <c r="BC170" s="29385">
        <f>IF(HLOOKUP("Mins",A1:CV300,170,FALSE)=0,0,HLOOKUP("SIB",A1:CV300,170,FALSE)/HLOOKUP("Mins",A1:CV300,170,FALSE)* 90)</f>
      </c>
      <c r="BD170" s="29386">
        <f>IF(HLOOKUP("Mins",A1:CV300,170,FALSE)=0,0,HLOOKUP("S6YD",A1:CV300,170,FALSE)/HLOOKUP("Mins",A1:CV300,170,FALSE)* 90)</f>
      </c>
      <c r="BE170" s="29387">
        <f>IF(HLOOKUP("Mins",A1:CV300,170,FALSE)=0,0,HLOOKUP("Headers",A1:CV300,170,FALSE)/HLOOKUP("Mins",A1:CV300,170,FALSE)* 90)</f>
      </c>
      <c r="BF170" s="29388">
        <f>IF(HLOOKUP("Mins",A1:CV300,170,FALSE)=0,0,HLOOKUP("SOT",A1:CV300,170,FALSE)/HLOOKUP("Mins",A1:CV300,170,FALSE)* 90)</f>
      </c>
      <c r="BG170" s="29389">
        <f>IF(HLOOKUP("Mins",A1:CV300,170,FALSE)=0,0,HLOOKUP("As",A1:CV300,170,FALSE)/HLOOKUP("Mins",A1:CV300,170,FALSE)* 90)</f>
      </c>
      <c r="BH170" s="29390">
        <f>IF(HLOOKUP("Mins",A1:CV300,170,FALSE)=0,0,HLOOKUP("FPL As",A1:CV300,170,FALSE)/HLOOKUP("Mins",A1:CV300,170,FALSE)* 90)</f>
      </c>
      <c r="BI170" s="29391">
        <f>IF(HLOOKUP("Mins",A1:CV300,170,FALSE)=0,0,HLOOKUP("BC Created",A1:CV300,170,FALSE)/HLOOKUP("Mins",A1:CV300,170,FALSE)* 90)</f>
      </c>
      <c r="BJ170" s="29392">
        <f>IF(HLOOKUP("Mins",A1:CV300,170,FALSE)=0,0,HLOOKUP("KP",A1:CV300,170,FALSE)/HLOOKUP("Mins",A1:CV300,170,FALSE)* 90)</f>
      </c>
      <c r="BK170" s="29393">
        <f>IF(HLOOKUP("Mins",A1:CV300,170,FALSE)=0,0,HLOOKUP("BC",A1:CV300,170,FALSE)/HLOOKUP("Mins",A1:CV300,170,FALSE)* 90)</f>
      </c>
      <c r="BL170" s="29394">
        <f>IF(HLOOKUP("Mins",A1:CV300,170,FALSE)=0,0,HLOOKUP("BC Miss",A1:CV300,170,FALSE)/HLOOKUP("Mins",A1:CV300,170,FALSE)* 90)</f>
      </c>
      <c r="BM170" s="29395">
        <f>IF(HLOOKUP("Mins",A1:CV300,170,FALSE)=0,0,HLOOKUP("Gs - BC",A1:CV300,170,FALSE)/HLOOKUP("Mins",A1:CV300,170,FALSE)* 90)</f>
      </c>
      <c r="BN170" s="29396">
        <f>IF(HLOOKUP("Mins",A1:CV300,170,FALSE)=0,0,HLOOKUP("GIB",A1:CV300,170,FALSE)/HLOOKUP("Mins",A1:CV300,170,FALSE)* 90)</f>
      </c>
      <c r="BO170" s="29397">
        <f>IF(HLOOKUP("Mins",A1:CV300,170,FALSE)=0,0,HLOOKUP("Gs - Open",A1:CV300,170,FALSE)/HLOOKUP("Mins",A1:CV300,170,FALSE)* 90)</f>
      </c>
      <c r="BP170" s="29398">
        <f>IF(HLOOKUP("Mins",A1:CV300,170,FALSE)=0,0,HLOOKUP("ICT Index",A1:CV300,170,FALSE)/HLOOKUP("Mins",A1:CV300,170,FALSE)* 90)</f>
      </c>
      <c r="BQ170" s="29399">
        <f>IF(HLOOKUP("Mins",A1:CV300,170,FALSE)=0,0,(0.036*(HLOOKUP("Shots",A1:CV300,170,FALSE)-HLOOKUP("SIB",A1:CV300,170,FALSE))+0.142*(HLOOKUP("SIB",A1:CV300,170,FALSE)-(HLOOKUP("PK Gs",A1:CV300,170,FALSE)+HLOOKUP("PK Miss",A1:CV300,170,FALSE)))+0.75*(HLOOKUP("PK Gs",A1:CV300,170,FALSE)+HLOOKUP("PK Miss",A1:CV300,170,FALSE)))/HLOOKUP("Mins",A1:CV300,170,FALSE)*90)</f>
      </c>
      <c r="BR170" s="29400">
        <f>0.0885*HLOOKUP("KP/90",A1:CV300,170,FALSE)</f>
      </c>
      <c r="BS170" s="29401">
        <f>5*HLOOKUP("xG/90",A1:CV300,170,FALSE)+3*HLOOKUP("xA/90",A1:CV300,170,FALSE)</f>
      </c>
      <c r="BT170" s="29402">
        <f>HLOOKUP("xPts/90",A1:CV300,170,FALSE)-(5*0.75*(HLOOKUP("PK Gs",A1:CV300,170,FALSE)+HLOOKUP("PK Miss",A1:CV300,170,FALSE))*90/HLOOKUP("Mins",A1:CV300,170,FALSE))</f>
      </c>
      <c r="BU170" s="29403">
        <f>IF(HLOOKUP("Mins",A1:CV300,170,FALSE)=0,0,HLOOKUP("fsXG",A1:CV300,170,FALSE)/HLOOKUP("Mins",A1:CV300,170,FALSE)* 90)</f>
      </c>
      <c r="BV170" s="29404">
        <f>IF(HLOOKUP("Mins",A1:CV300,170,FALSE)=0,0,HLOOKUP("fsXA",A1:CV300,170,FALSE)/HLOOKUP("Mins",A1:CV300,170,FALSE)* 90)</f>
      </c>
      <c r="BW170" s="29405">
        <f>5*HLOOKUP("fsXG/90",A1:CV300,170,FALSE)+3*HLOOKUP("fsXA/90",A1:CV300,170,FALSE)</f>
      </c>
      <c r="BX170" t="n" s="29406">
        <v>0.0</v>
      </c>
      <c r="BY170" t="n" s="29407">
        <v>0.0</v>
      </c>
      <c r="BZ170" s="29408">
        <f>5*HLOOKUP("uXG/90",A1:CV300,170,FALSE)+3*HLOOKUP("uXA/90",A1:CV300,170,FALSE)</f>
      </c>
    </row>
    <row r="171">
      <c r="A171" t="s" s="29409">
        <v>474</v>
      </c>
      <c r="B171" t="s" s="29410">
        <v>149</v>
      </c>
      <c r="C171" t="n" s="29411">
        <v>5.599999904632568</v>
      </c>
      <c r="D171" t="n" s="29412">
        <v>143.0</v>
      </c>
      <c r="E171" t="n" s="29413">
        <v>4.0</v>
      </c>
      <c r="F171" t="n" s="29414">
        <v>15.0</v>
      </c>
      <c r="G171" t="n" s="29415">
        <v>0.0</v>
      </c>
      <c r="H171" t="n" s="29416">
        <v>0.0</v>
      </c>
      <c r="I171" t="n" s="29417">
        <v>60.0</v>
      </c>
      <c r="J171" s="29418">
        <f>HLOOKUP("BPS",A1:CV300,171,FALSE)-((-6*HLOOKUP("OG",A1:CV300,171,FALSE))+(-6*HLOOKUP("PK Miss",A1:CV300,171,FALSE))+(9*HLOOKUP("FPL As",A1:CV300,171,FALSE))+(0*HLOOKUP("CS",A1:CV300,171,FALSE))+(18*HLOOKUP("Gs",A1:CV300,171,FALSE)))</f>
      </c>
      <c r="K171" t="n" s="29419">
        <v>0.0</v>
      </c>
      <c r="L171" t="n" s="29420">
        <v>2.0</v>
      </c>
      <c r="M171" t="n" s="29421">
        <v>8.0</v>
      </c>
      <c r="N171" t="n" s="29422">
        <v>4.0</v>
      </c>
      <c r="O171" t="n" s="29423">
        <v>1.0</v>
      </c>
      <c r="P171" s="29424">
        <f>IF(HLOOKUP("Shots",A1:CV300,171,FALSE)=0,0,HLOOKUP("SIB",A1:CV300,171,FALSE)/HLOOKUP("Shots",A1:CV300,171,FALSE))</f>
      </c>
      <c r="Q171" t="n" s="29425">
        <v>0.0</v>
      </c>
      <c r="R171" s="29426">
        <f>IF(HLOOKUP("Shots",A1:CV300,171,FALSE)=0,0,HLOOKUP("S6YD",A1:CV300,171,FALSE)/HLOOKUP("Shots",A1:CV300,171,FALSE))</f>
      </c>
      <c r="S171" t="n" s="29427">
        <v>1.0</v>
      </c>
      <c r="T171" s="29428">
        <f>IF(HLOOKUP("Shots",A1:CV300,171,FALSE)=0,0,HLOOKUP("Headers",A1:CV300,171,FALSE)/HLOOKUP("Shots",A1:CV300,171,FALSE))</f>
      </c>
      <c r="U171" t="n" s="29429">
        <v>1.0</v>
      </c>
      <c r="V171" s="29430">
        <f>IF(HLOOKUP("Shots",A1:CV300,171,FALSE)=0,0,HLOOKUP("SOT",A1:CV300,171,FALSE)/HLOOKUP("Shots",A1:CV300,171,FALSE))</f>
      </c>
      <c r="W171" s="29431">
        <f>IF(HLOOKUP("Shots",A1:CV300,171,FALSE)=0,0,HLOOKUP("Gs",A1:CV300,171,FALSE)/HLOOKUP("Shots",A1:CV300,171,FALSE))</f>
      </c>
      <c r="X171" t="n" s="29432">
        <v>0.0</v>
      </c>
      <c r="Y171" t="n" s="29433">
        <v>0.0</v>
      </c>
      <c r="Z171" t="n" s="29434">
        <v>1.0</v>
      </c>
      <c r="AA171" s="29435">
        <f>IF(HLOOKUP("KP",A1:CV300,171,FALSE)=0,0,HLOOKUP("As",A1:CV300,171,FALSE)/HLOOKUP("KP",A1:CV300,171,FALSE))</f>
      </c>
      <c r="AB171" s="29436"/>
      <c r="AC171" t="n" s="29437">
        <v>0.0</v>
      </c>
      <c r="AD171" t="n" s="29438">
        <v>0.0</v>
      </c>
      <c r="AE171" t="n" s="29439">
        <v>1.0</v>
      </c>
      <c r="AF171" t="n" s="29440">
        <v>1.0</v>
      </c>
      <c r="AG171" s="29441">
        <f>IF(HLOOKUP("BC",A1:CV300,171,FALSE)=0,0,HLOOKUP("Gs - BC",A1:CV300,171,FALSE)/HLOOKUP("BC",A1:CV300,171,FALSE))</f>
      </c>
      <c r="AH171" s="29442">
        <f>HLOOKUP("BC",A1:CV300,171,FALSE) - HLOOKUP("BC Miss",A1:CV300,171,FALSE)</f>
      </c>
      <c r="AI171" s="29443">
        <f>IF(HLOOKUP("Gs",A1:CV300,171,FALSE)=0,0,HLOOKUP("Gs - BC",A1:CV300,171,FALSE)/HLOOKUP("Gs",A1:CV300,171,FALSE))</f>
      </c>
      <c r="AJ171" t="n" s="29444">
        <v>0.0</v>
      </c>
      <c r="AK171" t="n" s="29445">
        <v>0.0</v>
      </c>
      <c r="AL171" s="29446">
        <f>HLOOKUP("BC",A1:CV300,171,FALSE) - (HLOOKUP("PK Gs",A1:CV300,171,FALSE) + HLOOKUP("PK Miss",A1:CV300,171,FALSE))</f>
      </c>
      <c r="AM171" s="29447">
        <f>HLOOKUP("BC Miss",A1:CV300,171,FALSE) - HLOOKUP("PK Miss",A1:CV300,171,FALSE)</f>
      </c>
      <c r="AN171" s="29448">
        <f>IF(HLOOKUP("BC - Open",A1:CV300,171,FALSE)=0,0,HLOOKUP("BC - Open Miss",A1:CV300,171,FALSE)/HLOOKUP("BC - Open",A1:CV300,171,FALSE))</f>
      </c>
      <c r="AO171" t="n" s="29449">
        <v>0.0</v>
      </c>
      <c r="AP171" s="29450">
        <f>IF(HLOOKUP("Gs",A1:CV300,171,FALSE)=0,0,HLOOKUP("GIB",A1:CV300,171,FALSE)/HLOOKUP("Gs",A1:CV300,171,FALSE))</f>
      </c>
      <c r="AQ171" t="n" s="29451">
        <v>0.0</v>
      </c>
      <c r="AR171" s="29452">
        <f>IF(HLOOKUP("Gs",A1:CV300,171,FALSE)=0,0,HLOOKUP("Gs - Open",A1:CV300,171,FALSE)/HLOOKUP("Gs",A1:CV300,171,FALSE))</f>
      </c>
      <c r="AS171" t="n" s="29453">
        <v>0.55</v>
      </c>
      <c r="AT171" t="n" s="29454">
        <v>0.14</v>
      </c>
      <c r="AU171" s="29455">
        <f>IF(HLOOKUP("Mins",A1:CV300,171,FALSE)=0,0,HLOOKUP("Pts",A1:CV300,171,FALSE)/HLOOKUP("Mins",A1:CV300,171,FALSE)* 90)</f>
      </c>
      <c r="AV171" s="29456">
        <f>IF(HLOOKUP("Apps",A1:CV300,171,FALSE)=0,0,HLOOKUP("Pts",A1:CV300,171,FALSE)/HLOOKUP("Apps",A1:CV300,171,FALSE)* 1)</f>
      </c>
      <c r="AW171" s="29457">
        <f>IF(HLOOKUP("Mins",A1:CV300,171,FALSE)=0,0,HLOOKUP("Gs",A1:CV300,171,FALSE)/HLOOKUP("Mins",A1:CV300,171,FALSE)* 90)</f>
      </c>
      <c r="AX171" s="29458">
        <f>IF(HLOOKUP("Mins",A1:CV300,171,FALSE)=0,0,HLOOKUP("Bonus",A1:CV300,171,FALSE)/HLOOKUP("Mins",A1:CV300,171,FALSE)* 90)</f>
      </c>
      <c r="AY171" s="29459">
        <f>IF(HLOOKUP("Mins",A1:CV300,171,FALSE)=0,0,HLOOKUP("BPS",A1:CV300,171,FALSE)/HLOOKUP("Mins",A1:CV300,171,FALSE)* 90)</f>
      </c>
      <c r="AZ171" s="29460">
        <f>IF(HLOOKUP("Mins",A1:CV300,171,FALSE)=0,0,HLOOKUP("Base BPS",A1:CV300,171,FALSE)/HLOOKUP("Mins",A1:CV300,171,FALSE)* 90)</f>
      </c>
      <c r="BA171" s="29461">
        <f>IF(HLOOKUP("Mins",A1:CV300,171,FALSE)=0,0,HLOOKUP("PenTchs",A1:CV300,171,FALSE)/HLOOKUP("Mins",A1:CV300,171,FALSE)* 90)</f>
      </c>
      <c r="BB171" s="29462">
        <f>IF(HLOOKUP("Mins",A1:CV300,171,FALSE)=0,0,HLOOKUP("Shots",A1:CV300,171,FALSE)/HLOOKUP("Mins",A1:CV300,171,FALSE)* 90)</f>
      </c>
      <c r="BC171" s="29463">
        <f>IF(HLOOKUP("Mins",A1:CV300,171,FALSE)=0,0,HLOOKUP("SIB",A1:CV300,171,FALSE)/HLOOKUP("Mins",A1:CV300,171,FALSE)* 90)</f>
      </c>
      <c r="BD171" s="29464">
        <f>IF(HLOOKUP("Mins",A1:CV300,171,FALSE)=0,0,HLOOKUP("S6YD",A1:CV300,171,FALSE)/HLOOKUP("Mins",A1:CV300,171,FALSE)* 90)</f>
      </c>
      <c r="BE171" s="29465">
        <f>IF(HLOOKUP("Mins",A1:CV300,171,FALSE)=0,0,HLOOKUP("Headers",A1:CV300,171,FALSE)/HLOOKUP("Mins",A1:CV300,171,FALSE)* 90)</f>
      </c>
      <c r="BF171" s="29466">
        <f>IF(HLOOKUP("Mins",A1:CV300,171,FALSE)=0,0,HLOOKUP("SOT",A1:CV300,171,FALSE)/HLOOKUP("Mins",A1:CV300,171,FALSE)* 90)</f>
      </c>
      <c r="BG171" s="29467">
        <f>IF(HLOOKUP("Mins",A1:CV300,171,FALSE)=0,0,HLOOKUP("As",A1:CV300,171,FALSE)/HLOOKUP("Mins",A1:CV300,171,FALSE)* 90)</f>
      </c>
      <c r="BH171" s="29468">
        <f>IF(HLOOKUP("Mins",A1:CV300,171,FALSE)=0,0,HLOOKUP("FPL As",A1:CV300,171,FALSE)/HLOOKUP("Mins",A1:CV300,171,FALSE)* 90)</f>
      </c>
      <c r="BI171" s="29469">
        <f>IF(HLOOKUP("Mins",A1:CV300,171,FALSE)=0,0,HLOOKUP("BC Created",A1:CV300,171,FALSE)/HLOOKUP("Mins",A1:CV300,171,FALSE)* 90)</f>
      </c>
      <c r="BJ171" s="29470">
        <f>IF(HLOOKUP("Mins",A1:CV300,171,FALSE)=0,0,HLOOKUP("KP",A1:CV300,171,FALSE)/HLOOKUP("Mins",A1:CV300,171,FALSE)* 90)</f>
      </c>
      <c r="BK171" s="29471">
        <f>IF(HLOOKUP("Mins",A1:CV300,171,FALSE)=0,0,HLOOKUP("BC",A1:CV300,171,FALSE)/HLOOKUP("Mins",A1:CV300,171,FALSE)* 90)</f>
      </c>
      <c r="BL171" s="29472">
        <f>IF(HLOOKUP("Mins",A1:CV300,171,FALSE)=0,0,HLOOKUP("BC Miss",A1:CV300,171,FALSE)/HLOOKUP("Mins",A1:CV300,171,FALSE)* 90)</f>
      </c>
      <c r="BM171" s="29473">
        <f>IF(HLOOKUP("Mins",A1:CV300,171,FALSE)=0,0,HLOOKUP("Gs - BC",A1:CV300,171,FALSE)/HLOOKUP("Mins",A1:CV300,171,FALSE)* 90)</f>
      </c>
      <c r="BN171" s="29474">
        <f>IF(HLOOKUP("Mins",A1:CV300,171,FALSE)=0,0,HLOOKUP("GIB",A1:CV300,171,FALSE)/HLOOKUP("Mins",A1:CV300,171,FALSE)* 90)</f>
      </c>
      <c r="BO171" s="29475">
        <f>IF(HLOOKUP("Mins",A1:CV300,171,FALSE)=0,0,HLOOKUP("Gs - Open",A1:CV300,171,FALSE)/HLOOKUP("Mins",A1:CV300,171,FALSE)* 90)</f>
      </c>
      <c r="BP171" s="29476">
        <f>IF(HLOOKUP("Mins",A1:CV300,171,FALSE)=0,0,HLOOKUP("ICT Index",A1:CV300,171,FALSE)/HLOOKUP("Mins",A1:CV300,171,FALSE)* 90)</f>
      </c>
      <c r="BQ171" s="29477">
        <f>IF(HLOOKUP("Mins",A1:CV300,171,FALSE)=0,0,(0.036*(HLOOKUP("Shots",A1:CV300,171,FALSE)-HLOOKUP("SIB",A1:CV300,171,FALSE))+0.142*(HLOOKUP("SIB",A1:CV300,171,FALSE)-(HLOOKUP("PK Gs",A1:CV300,171,FALSE)+HLOOKUP("PK Miss",A1:CV300,171,FALSE)))+0.75*(HLOOKUP("PK Gs",A1:CV300,171,FALSE)+HLOOKUP("PK Miss",A1:CV300,171,FALSE)))/HLOOKUP("Mins",A1:CV300,171,FALSE)*90)</f>
      </c>
      <c r="BR171" s="29478">
        <f>0.0885*HLOOKUP("KP/90",A1:CV300,171,FALSE)</f>
      </c>
      <c r="BS171" s="29479">
        <f>5*HLOOKUP("xG/90",A1:CV300,171,FALSE)+3*HLOOKUP("xA/90",A1:CV300,171,FALSE)</f>
      </c>
      <c r="BT171" s="29480">
        <f>HLOOKUP("xPts/90",A1:CV300,171,FALSE)-(5*0.75*(HLOOKUP("PK Gs",A1:CV300,171,FALSE)+HLOOKUP("PK Miss",A1:CV300,171,FALSE))*90/HLOOKUP("Mins",A1:CV300,171,FALSE))</f>
      </c>
      <c r="BU171" s="29481">
        <f>IF(HLOOKUP("Mins",A1:CV300,171,FALSE)=0,0,HLOOKUP("fsXG",A1:CV300,171,FALSE)/HLOOKUP("Mins",A1:CV300,171,FALSE)* 90)</f>
      </c>
      <c r="BV171" s="29482">
        <f>IF(HLOOKUP("Mins",A1:CV300,171,FALSE)=0,0,HLOOKUP("fsXA",A1:CV300,171,FALSE)/HLOOKUP("Mins",A1:CV300,171,FALSE)* 90)</f>
      </c>
      <c r="BW171" s="29483">
        <f>5*HLOOKUP("fsXG/90",A1:CV300,171,FALSE)+3*HLOOKUP("fsXA/90",A1:CV300,171,FALSE)</f>
      </c>
      <c r="BX171" t="n" s="29484">
        <v>0.321098655462265</v>
      </c>
      <c r="BY171" t="n" s="29485">
        <v>0.07341186702251434</v>
      </c>
      <c r="BZ171" s="29486">
        <f>5*HLOOKUP("uXG/90",A1:CV300,171,FALSE)+3*HLOOKUP("uXA/90",A1:CV300,171,FALSE)</f>
      </c>
    </row>
    <row r="172">
      <c r="A172" t="s" s="29487">
        <v>475</v>
      </c>
      <c r="B172" t="s" s="29488">
        <v>80</v>
      </c>
      <c r="C172" t="n" s="29489">
        <v>9.100000381469727</v>
      </c>
      <c r="D172" t="n" s="29490">
        <v>413.0</v>
      </c>
      <c r="E172" t="n" s="29491">
        <v>5.0</v>
      </c>
      <c r="F172" t="n" s="29492">
        <v>80.0</v>
      </c>
      <c r="G172" t="n" s="29493">
        <v>2.0</v>
      </c>
      <c r="H172" t="n" s="29494">
        <v>8.0</v>
      </c>
      <c r="I172" t="n" s="29495">
        <v>284.0</v>
      </c>
      <c r="J172" s="29496">
        <f>HLOOKUP("BPS",A1:CV300,172,FALSE)-((-6*HLOOKUP("OG",A1:CV300,172,FALSE))+(-6*HLOOKUP("PK Miss",A1:CV300,172,FALSE))+(9*HLOOKUP("FPL As",A1:CV300,172,FALSE))+(0*HLOOKUP("CS",A1:CV300,172,FALSE))+(18*HLOOKUP("Gs",A1:CV300,172,FALSE)))</f>
      </c>
      <c r="K172" t="n" s="29497">
        <v>0.0</v>
      </c>
      <c r="L172" t="n" s="29498">
        <v>3.0</v>
      </c>
      <c r="M172" t="n" s="29499">
        <v>24.0</v>
      </c>
      <c r="N172" t="n" s="29500">
        <v>9.0</v>
      </c>
      <c r="O172" t="n" s="29501">
        <v>5.0</v>
      </c>
      <c r="P172" s="29502">
        <f>IF(HLOOKUP("Shots",A1:CV300,172,FALSE)=0,0,HLOOKUP("SIB",A1:CV300,172,FALSE)/HLOOKUP("Shots",A1:CV300,172,FALSE))</f>
      </c>
      <c r="Q172" t="n" s="29503">
        <v>0.0</v>
      </c>
      <c r="R172" s="29504">
        <f>IF(HLOOKUP("Shots",A1:CV300,172,FALSE)=0,0,HLOOKUP("S6YD",A1:CV300,172,FALSE)/HLOOKUP("Shots",A1:CV300,172,FALSE))</f>
      </c>
      <c r="S172" t="n" s="29505">
        <v>0.0</v>
      </c>
      <c r="T172" s="29506">
        <f>IF(HLOOKUP("Shots",A1:CV300,172,FALSE)=0,0,HLOOKUP("Headers",A1:CV300,172,FALSE)/HLOOKUP("Shots",A1:CV300,172,FALSE))</f>
      </c>
      <c r="U172" t="n" s="29507">
        <v>5.0</v>
      </c>
      <c r="V172" s="29508">
        <f>IF(HLOOKUP("Shots",A1:CV300,172,FALSE)=0,0,HLOOKUP("SOT",A1:CV300,172,FALSE)/HLOOKUP("Shots",A1:CV300,172,FALSE))</f>
      </c>
      <c r="W172" s="29509">
        <f>IF(HLOOKUP("Shots",A1:CV300,172,FALSE)=0,0,HLOOKUP("Gs",A1:CV300,172,FALSE)/HLOOKUP("Shots",A1:CV300,172,FALSE))</f>
      </c>
      <c r="X172" t="n" s="29510">
        <v>2.0</v>
      </c>
      <c r="Y172" t="n" s="29511">
        <v>5.0</v>
      </c>
      <c r="Z172" t="n" s="29512">
        <v>11.0</v>
      </c>
      <c r="AA172" s="29513">
        <f>IF(HLOOKUP("KP",A1:CV300,172,FALSE)=0,0,HLOOKUP("As",A1:CV300,172,FALSE)/HLOOKUP("KP",A1:CV300,172,FALSE))</f>
      </c>
      <c r="AB172" s="29514"/>
      <c r="AC172" t="n" s="29515">
        <v>44.0</v>
      </c>
      <c r="AD172" t="n" s="29516">
        <v>3.0</v>
      </c>
      <c r="AE172" t="n" s="29517">
        <v>2.0</v>
      </c>
      <c r="AF172" t="n" s="29518">
        <v>0.0</v>
      </c>
      <c r="AG172" s="29519">
        <f>IF(HLOOKUP("BC",A1:CV300,172,FALSE)=0,0,HLOOKUP("Gs - BC",A1:CV300,172,FALSE)/HLOOKUP("BC",A1:CV300,172,FALSE))</f>
      </c>
      <c r="AH172" s="29520">
        <f>HLOOKUP("BC",A1:CV300,172,FALSE) - HLOOKUP("BC Miss",A1:CV300,172,FALSE)</f>
      </c>
      <c r="AI172" s="29521">
        <f>IF(HLOOKUP("Gs",A1:CV300,172,FALSE)=0,0,HLOOKUP("Gs - BC",A1:CV300,172,FALSE)/HLOOKUP("Gs",A1:CV300,172,FALSE))</f>
      </c>
      <c r="AJ172" t="n" s="29522">
        <v>0.0</v>
      </c>
      <c r="AK172" t="n" s="29523">
        <v>0.0</v>
      </c>
      <c r="AL172" s="29524">
        <f>HLOOKUP("BC",A1:CV300,172,FALSE) - (HLOOKUP("PK Gs",A1:CV300,172,FALSE) + HLOOKUP("PK Miss",A1:CV300,172,FALSE))</f>
      </c>
      <c r="AM172" s="29525">
        <f>HLOOKUP("BC Miss",A1:CV300,172,FALSE) - HLOOKUP("PK Miss",A1:CV300,172,FALSE)</f>
      </c>
      <c r="AN172" s="29526">
        <f>IF(HLOOKUP("BC - Open",A1:CV300,172,FALSE)=0,0,HLOOKUP("BC - Open Miss",A1:CV300,172,FALSE)/HLOOKUP("BC - Open",A1:CV300,172,FALSE))</f>
      </c>
      <c r="AO172" t="n" s="29527">
        <v>2.0</v>
      </c>
      <c r="AP172" s="29528">
        <f>IF(HLOOKUP("Gs",A1:CV300,172,FALSE)=0,0,HLOOKUP("GIB",A1:CV300,172,FALSE)/HLOOKUP("Gs",A1:CV300,172,FALSE))</f>
      </c>
      <c r="AQ172" t="n" s="29529">
        <v>2.0</v>
      </c>
      <c r="AR172" s="29530">
        <f>IF(HLOOKUP("Gs",A1:CV300,172,FALSE)=0,0,HLOOKUP("Gs - Open",A1:CV300,172,FALSE)/HLOOKUP("Gs",A1:CV300,172,FALSE))</f>
      </c>
      <c r="AS172" t="n" s="29531">
        <v>1.16</v>
      </c>
      <c r="AT172" t="n" s="29532">
        <v>1.17</v>
      </c>
      <c r="AU172" s="29533">
        <f>IF(HLOOKUP("Mins",A1:CV300,172,FALSE)=0,0,HLOOKUP("Pts",A1:CV300,172,FALSE)/HLOOKUP("Mins",A1:CV300,172,FALSE)* 90)</f>
      </c>
      <c r="AV172" s="29534">
        <f>IF(HLOOKUP("Apps",A1:CV300,172,FALSE)=0,0,HLOOKUP("Pts",A1:CV300,172,FALSE)/HLOOKUP("Apps",A1:CV300,172,FALSE)* 1)</f>
      </c>
      <c r="AW172" s="29535">
        <f>IF(HLOOKUP("Mins",A1:CV300,172,FALSE)=0,0,HLOOKUP("Gs",A1:CV300,172,FALSE)/HLOOKUP("Mins",A1:CV300,172,FALSE)* 90)</f>
      </c>
      <c r="AX172" s="29536">
        <f>IF(HLOOKUP("Mins",A1:CV300,172,FALSE)=0,0,HLOOKUP("Bonus",A1:CV300,172,FALSE)/HLOOKUP("Mins",A1:CV300,172,FALSE)* 90)</f>
      </c>
      <c r="AY172" s="29537">
        <f>IF(HLOOKUP("Mins",A1:CV300,172,FALSE)=0,0,HLOOKUP("BPS",A1:CV300,172,FALSE)/HLOOKUP("Mins",A1:CV300,172,FALSE)* 90)</f>
      </c>
      <c r="AZ172" s="29538">
        <f>IF(HLOOKUP("Mins",A1:CV300,172,FALSE)=0,0,HLOOKUP("Base BPS",A1:CV300,172,FALSE)/HLOOKUP("Mins",A1:CV300,172,FALSE)* 90)</f>
      </c>
      <c r="BA172" s="29539">
        <f>IF(HLOOKUP("Mins",A1:CV300,172,FALSE)=0,0,HLOOKUP("PenTchs",A1:CV300,172,FALSE)/HLOOKUP("Mins",A1:CV300,172,FALSE)* 90)</f>
      </c>
      <c r="BB172" s="29540">
        <f>IF(HLOOKUP("Mins",A1:CV300,172,FALSE)=0,0,HLOOKUP("Shots",A1:CV300,172,FALSE)/HLOOKUP("Mins",A1:CV300,172,FALSE)* 90)</f>
      </c>
      <c r="BC172" s="29541">
        <f>IF(HLOOKUP("Mins",A1:CV300,172,FALSE)=0,0,HLOOKUP("SIB",A1:CV300,172,FALSE)/HLOOKUP("Mins",A1:CV300,172,FALSE)* 90)</f>
      </c>
      <c r="BD172" s="29542">
        <f>IF(HLOOKUP("Mins",A1:CV300,172,FALSE)=0,0,HLOOKUP("S6YD",A1:CV300,172,FALSE)/HLOOKUP("Mins",A1:CV300,172,FALSE)* 90)</f>
      </c>
      <c r="BE172" s="29543">
        <f>IF(HLOOKUP("Mins",A1:CV300,172,FALSE)=0,0,HLOOKUP("Headers",A1:CV300,172,FALSE)/HLOOKUP("Mins",A1:CV300,172,FALSE)* 90)</f>
      </c>
      <c r="BF172" s="29544">
        <f>IF(HLOOKUP("Mins",A1:CV300,172,FALSE)=0,0,HLOOKUP("SOT",A1:CV300,172,FALSE)/HLOOKUP("Mins",A1:CV300,172,FALSE)* 90)</f>
      </c>
      <c r="BG172" s="29545">
        <f>IF(HLOOKUP("Mins",A1:CV300,172,FALSE)=0,0,HLOOKUP("As",A1:CV300,172,FALSE)/HLOOKUP("Mins",A1:CV300,172,FALSE)* 90)</f>
      </c>
      <c r="BH172" s="29546">
        <f>IF(HLOOKUP("Mins",A1:CV300,172,FALSE)=0,0,HLOOKUP("FPL As",A1:CV300,172,FALSE)/HLOOKUP("Mins",A1:CV300,172,FALSE)* 90)</f>
      </c>
      <c r="BI172" s="29547">
        <f>IF(HLOOKUP("Mins",A1:CV300,172,FALSE)=0,0,HLOOKUP("BC Created",A1:CV300,172,FALSE)/HLOOKUP("Mins",A1:CV300,172,FALSE)* 90)</f>
      </c>
      <c r="BJ172" s="29548">
        <f>IF(HLOOKUP("Mins",A1:CV300,172,FALSE)=0,0,HLOOKUP("KP",A1:CV300,172,FALSE)/HLOOKUP("Mins",A1:CV300,172,FALSE)* 90)</f>
      </c>
      <c r="BK172" s="29549">
        <f>IF(HLOOKUP("Mins",A1:CV300,172,FALSE)=0,0,HLOOKUP("BC",A1:CV300,172,FALSE)/HLOOKUP("Mins",A1:CV300,172,FALSE)* 90)</f>
      </c>
      <c r="BL172" s="29550">
        <f>IF(HLOOKUP("Mins",A1:CV300,172,FALSE)=0,0,HLOOKUP("BC Miss",A1:CV300,172,FALSE)/HLOOKUP("Mins",A1:CV300,172,FALSE)* 90)</f>
      </c>
      <c r="BM172" s="29551">
        <f>IF(HLOOKUP("Mins",A1:CV300,172,FALSE)=0,0,HLOOKUP("Gs - BC",A1:CV300,172,FALSE)/HLOOKUP("Mins",A1:CV300,172,FALSE)* 90)</f>
      </c>
      <c r="BN172" s="29552">
        <f>IF(HLOOKUP("Mins",A1:CV300,172,FALSE)=0,0,HLOOKUP("GIB",A1:CV300,172,FALSE)/HLOOKUP("Mins",A1:CV300,172,FALSE)* 90)</f>
      </c>
      <c r="BO172" s="29553">
        <f>IF(HLOOKUP("Mins",A1:CV300,172,FALSE)=0,0,HLOOKUP("Gs - Open",A1:CV300,172,FALSE)/HLOOKUP("Mins",A1:CV300,172,FALSE)* 90)</f>
      </c>
      <c r="BP172" s="29554">
        <f>IF(HLOOKUP("Mins",A1:CV300,172,FALSE)=0,0,HLOOKUP("ICT Index",A1:CV300,172,FALSE)/HLOOKUP("Mins",A1:CV300,172,FALSE)* 90)</f>
      </c>
      <c r="BQ172" s="29555">
        <f>IF(HLOOKUP("Mins",A1:CV300,172,FALSE)=0,0,(0.036*(HLOOKUP("Shots",A1:CV300,172,FALSE)-HLOOKUP("SIB",A1:CV300,172,FALSE))+0.142*(HLOOKUP("SIB",A1:CV300,172,FALSE)-(HLOOKUP("PK Gs",A1:CV300,172,FALSE)+HLOOKUP("PK Miss",A1:CV300,172,FALSE)))+0.75*(HLOOKUP("PK Gs",A1:CV300,172,FALSE)+HLOOKUP("PK Miss",A1:CV300,172,FALSE)))/HLOOKUP("Mins",A1:CV300,172,FALSE)*90)</f>
      </c>
      <c r="BR172" s="29556">
        <f>0.0885*HLOOKUP("KP/90",A1:CV300,172,FALSE)</f>
      </c>
      <c r="BS172" s="29557">
        <f>5*HLOOKUP("xG/90",A1:CV300,172,FALSE)+3*HLOOKUP("xA/90",A1:CV300,172,FALSE)</f>
      </c>
      <c r="BT172" s="29558">
        <f>HLOOKUP("xPts/90",A1:CV300,172,FALSE)-(5*0.75*(HLOOKUP("PK Gs",A1:CV300,172,FALSE)+HLOOKUP("PK Miss",A1:CV300,172,FALSE))*90/HLOOKUP("Mins",A1:CV300,172,FALSE))</f>
      </c>
      <c r="BU172" s="29559">
        <f>IF(HLOOKUP("Mins",A1:CV300,172,FALSE)=0,0,HLOOKUP("fsXG",A1:CV300,172,FALSE)/HLOOKUP("Mins",A1:CV300,172,FALSE)* 90)</f>
      </c>
      <c r="BV172" s="29560">
        <f>IF(HLOOKUP("Mins",A1:CV300,172,FALSE)=0,0,HLOOKUP("fsXA",A1:CV300,172,FALSE)/HLOOKUP("Mins",A1:CV300,172,FALSE)* 90)</f>
      </c>
      <c r="BW172" s="29561">
        <f>5*HLOOKUP("fsXG/90",A1:CV300,172,FALSE)+3*HLOOKUP("fsXA/90",A1:CV300,172,FALSE)</f>
      </c>
      <c r="BX172" t="n" s="29562">
        <v>0.25990617275238037</v>
      </c>
      <c r="BY172" t="n" s="29563">
        <v>0.47126731276512146</v>
      </c>
      <c r="BZ172" s="29564">
        <f>5*HLOOKUP("uXG/90",A1:CV300,172,FALSE)+3*HLOOKUP("uXA/90",A1:CV300,172,FALSE)</f>
      </c>
    </row>
    <row r="173">
      <c r="A173" t="s" s="29565">
        <v>476</v>
      </c>
      <c r="B173" t="s" s="29566">
        <v>102</v>
      </c>
      <c r="C173" t="n" s="29567">
        <v>5.5</v>
      </c>
      <c r="D173" t="n" s="29568">
        <v>110.0</v>
      </c>
      <c r="E173" t="n" s="29569">
        <v>2.0</v>
      </c>
      <c r="F173" t="n" s="29570">
        <v>3.0</v>
      </c>
      <c r="G173" t="n" s="29571">
        <v>0.0</v>
      </c>
      <c r="H173" t="n" s="29572">
        <v>0.0</v>
      </c>
      <c r="I173" t="n" s="29573">
        <v>12.0</v>
      </c>
      <c r="J173" s="29574">
        <f>HLOOKUP("BPS",A1:CV300,173,FALSE)-((-6*HLOOKUP("OG",A1:CV300,173,FALSE))+(-6*HLOOKUP("PK Miss",A1:CV300,173,FALSE))+(9*HLOOKUP("FPL As",A1:CV300,173,FALSE))+(0*HLOOKUP("CS",A1:CV300,173,FALSE))+(18*HLOOKUP("Gs",A1:CV300,173,FALSE)))</f>
      </c>
      <c r="K173" t="n" s="29575">
        <v>0.0</v>
      </c>
      <c r="L173" t="n" s="29576">
        <v>0.0</v>
      </c>
      <c r="M173" t="n" s="29577">
        <v>3.0</v>
      </c>
      <c r="N173" t="n" s="29578">
        <v>0.0</v>
      </c>
      <c r="O173" t="n" s="29579">
        <v>0.0</v>
      </c>
      <c r="P173" s="29580">
        <f>IF(HLOOKUP("Shots",A1:CV300,173,FALSE)=0,0,HLOOKUP("SIB",A1:CV300,173,FALSE)/HLOOKUP("Shots",A1:CV300,173,FALSE))</f>
      </c>
      <c r="Q173" t="n" s="29581">
        <v>0.0</v>
      </c>
      <c r="R173" s="29582">
        <f>IF(HLOOKUP("Shots",A1:CV300,173,FALSE)=0,0,HLOOKUP("S6YD",A1:CV300,173,FALSE)/HLOOKUP("Shots",A1:CV300,173,FALSE))</f>
      </c>
      <c r="S173" t="n" s="29583">
        <v>0.0</v>
      </c>
      <c r="T173" s="29584">
        <f>IF(HLOOKUP("Shots",A1:CV300,173,FALSE)=0,0,HLOOKUP("Headers",A1:CV300,173,FALSE)/HLOOKUP("Shots",A1:CV300,173,FALSE))</f>
      </c>
      <c r="U173" t="n" s="29585">
        <v>0.0</v>
      </c>
      <c r="V173" s="29586">
        <f>IF(HLOOKUP("Shots",A1:CV300,173,FALSE)=0,0,HLOOKUP("SOT",A1:CV300,173,FALSE)/HLOOKUP("Shots",A1:CV300,173,FALSE))</f>
      </c>
      <c r="W173" s="29587">
        <f>IF(HLOOKUP("Shots",A1:CV300,173,FALSE)=0,0,HLOOKUP("Gs",A1:CV300,173,FALSE)/HLOOKUP("Shots",A1:CV300,173,FALSE))</f>
      </c>
      <c r="X173" t="n" s="29588">
        <v>0.0</v>
      </c>
      <c r="Y173" t="n" s="29589">
        <v>0.0</v>
      </c>
      <c r="Z173" t="n" s="29590">
        <v>1.0</v>
      </c>
      <c r="AA173" s="29591">
        <f>IF(HLOOKUP("KP",A1:CV300,173,FALSE)=0,0,HLOOKUP("As",A1:CV300,173,FALSE)/HLOOKUP("KP",A1:CV300,173,FALSE))</f>
      </c>
      <c r="AB173" s="29592"/>
      <c r="AC173" t="n" s="29593">
        <v>0.0</v>
      </c>
      <c r="AD173" t="n" s="29594">
        <v>0.0</v>
      </c>
      <c r="AE173" t="n" s="29595">
        <v>0.0</v>
      </c>
      <c r="AF173" t="n" s="29596">
        <v>0.0</v>
      </c>
      <c r="AG173" s="29597">
        <f>IF(HLOOKUP("BC",A1:CV300,173,FALSE)=0,0,HLOOKUP("Gs - BC",A1:CV300,173,FALSE)/HLOOKUP("BC",A1:CV300,173,FALSE))</f>
      </c>
      <c r="AH173" s="29598">
        <f>HLOOKUP("BC",A1:CV300,173,FALSE) - HLOOKUP("BC Miss",A1:CV300,173,FALSE)</f>
      </c>
      <c r="AI173" s="29599">
        <f>IF(HLOOKUP("Gs",A1:CV300,173,FALSE)=0,0,HLOOKUP("Gs - BC",A1:CV300,173,FALSE)/HLOOKUP("Gs",A1:CV300,173,FALSE))</f>
      </c>
      <c r="AJ173" t="n" s="29600">
        <v>0.0</v>
      </c>
      <c r="AK173" t="n" s="29601">
        <v>0.0</v>
      </c>
      <c r="AL173" s="29602">
        <f>HLOOKUP("BC",A1:CV300,173,FALSE) - (HLOOKUP("PK Gs",A1:CV300,173,FALSE) + HLOOKUP("PK Miss",A1:CV300,173,FALSE))</f>
      </c>
      <c r="AM173" s="29603">
        <f>HLOOKUP("BC Miss",A1:CV300,173,FALSE) - HLOOKUP("PK Miss",A1:CV300,173,FALSE)</f>
      </c>
      <c r="AN173" s="29604">
        <f>IF(HLOOKUP("BC - Open",A1:CV300,173,FALSE)=0,0,HLOOKUP("BC - Open Miss",A1:CV300,173,FALSE)/HLOOKUP("BC - Open",A1:CV300,173,FALSE))</f>
      </c>
      <c r="AO173" t="n" s="29605">
        <v>0.0</v>
      </c>
      <c r="AP173" s="29606">
        <f>IF(HLOOKUP("Gs",A1:CV300,173,FALSE)=0,0,HLOOKUP("GIB",A1:CV300,173,FALSE)/HLOOKUP("Gs",A1:CV300,173,FALSE))</f>
      </c>
      <c r="AQ173" t="n" s="29607">
        <v>0.0</v>
      </c>
      <c r="AR173" s="29608">
        <f>IF(HLOOKUP("Gs",A1:CV300,173,FALSE)=0,0,HLOOKUP("Gs - Open",A1:CV300,173,FALSE)/HLOOKUP("Gs",A1:CV300,173,FALSE))</f>
      </c>
      <c r="AS173" t="n" s="29609">
        <v>0.0</v>
      </c>
      <c r="AT173" t="n" s="29610">
        <v>0.05</v>
      </c>
      <c r="AU173" s="29611">
        <f>IF(HLOOKUP("Mins",A1:CV300,173,FALSE)=0,0,HLOOKUP("Pts",A1:CV300,173,FALSE)/HLOOKUP("Mins",A1:CV300,173,FALSE)* 90)</f>
      </c>
      <c r="AV173" s="29612">
        <f>IF(HLOOKUP("Apps",A1:CV300,173,FALSE)=0,0,HLOOKUP("Pts",A1:CV300,173,FALSE)/HLOOKUP("Apps",A1:CV300,173,FALSE)* 1)</f>
      </c>
      <c r="AW173" s="29613">
        <f>IF(HLOOKUP("Mins",A1:CV300,173,FALSE)=0,0,HLOOKUP("Gs",A1:CV300,173,FALSE)/HLOOKUP("Mins",A1:CV300,173,FALSE)* 90)</f>
      </c>
      <c r="AX173" s="29614">
        <f>IF(HLOOKUP("Mins",A1:CV300,173,FALSE)=0,0,HLOOKUP("Bonus",A1:CV300,173,FALSE)/HLOOKUP("Mins",A1:CV300,173,FALSE)* 90)</f>
      </c>
      <c r="AY173" s="29615">
        <f>IF(HLOOKUP("Mins",A1:CV300,173,FALSE)=0,0,HLOOKUP("BPS",A1:CV300,173,FALSE)/HLOOKUP("Mins",A1:CV300,173,FALSE)* 90)</f>
      </c>
      <c r="AZ173" s="29616">
        <f>IF(HLOOKUP("Mins",A1:CV300,173,FALSE)=0,0,HLOOKUP("Base BPS",A1:CV300,173,FALSE)/HLOOKUP("Mins",A1:CV300,173,FALSE)* 90)</f>
      </c>
      <c r="BA173" s="29617">
        <f>IF(HLOOKUP("Mins",A1:CV300,173,FALSE)=0,0,HLOOKUP("PenTchs",A1:CV300,173,FALSE)/HLOOKUP("Mins",A1:CV300,173,FALSE)* 90)</f>
      </c>
      <c r="BB173" s="29618">
        <f>IF(HLOOKUP("Mins",A1:CV300,173,FALSE)=0,0,HLOOKUP("Shots",A1:CV300,173,FALSE)/HLOOKUP("Mins",A1:CV300,173,FALSE)* 90)</f>
      </c>
      <c r="BC173" s="29619">
        <f>IF(HLOOKUP("Mins",A1:CV300,173,FALSE)=0,0,HLOOKUP("SIB",A1:CV300,173,FALSE)/HLOOKUP("Mins",A1:CV300,173,FALSE)* 90)</f>
      </c>
      <c r="BD173" s="29620">
        <f>IF(HLOOKUP("Mins",A1:CV300,173,FALSE)=0,0,HLOOKUP("S6YD",A1:CV300,173,FALSE)/HLOOKUP("Mins",A1:CV300,173,FALSE)* 90)</f>
      </c>
      <c r="BE173" s="29621">
        <f>IF(HLOOKUP("Mins",A1:CV300,173,FALSE)=0,0,HLOOKUP("Headers",A1:CV300,173,FALSE)/HLOOKUP("Mins",A1:CV300,173,FALSE)* 90)</f>
      </c>
      <c r="BF173" s="29622">
        <f>IF(HLOOKUP("Mins",A1:CV300,173,FALSE)=0,0,HLOOKUP("SOT",A1:CV300,173,FALSE)/HLOOKUP("Mins",A1:CV300,173,FALSE)* 90)</f>
      </c>
      <c r="BG173" s="29623">
        <f>IF(HLOOKUP("Mins",A1:CV300,173,FALSE)=0,0,HLOOKUP("As",A1:CV300,173,FALSE)/HLOOKUP("Mins",A1:CV300,173,FALSE)* 90)</f>
      </c>
      <c r="BH173" s="29624">
        <f>IF(HLOOKUP("Mins",A1:CV300,173,FALSE)=0,0,HLOOKUP("FPL As",A1:CV300,173,FALSE)/HLOOKUP("Mins",A1:CV300,173,FALSE)* 90)</f>
      </c>
      <c r="BI173" s="29625">
        <f>IF(HLOOKUP("Mins",A1:CV300,173,FALSE)=0,0,HLOOKUP("BC Created",A1:CV300,173,FALSE)/HLOOKUP("Mins",A1:CV300,173,FALSE)* 90)</f>
      </c>
      <c r="BJ173" s="29626">
        <f>IF(HLOOKUP("Mins",A1:CV300,173,FALSE)=0,0,HLOOKUP("KP",A1:CV300,173,FALSE)/HLOOKUP("Mins",A1:CV300,173,FALSE)* 90)</f>
      </c>
      <c r="BK173" s="29627">
        <f>IF(HLOOKUP("Mins",A1:CV300,173,FALSE)=0,0,HLOOKUP("BC",A1:CV300,173,FALSE)/HLOOKUP("Mins",A1:CV300,173,FALSE)* 90)</f>
      </c>
      <c r="BL173" s="29628">
        <f>IF(HLOOKUP("Mins",A1:CV300,173,FALSE)=0,0,HLOOKUP("BC Miss",A1:CV300,173,FALSE)/HLOOKUP("Mins",A1:CV300,173,FALSE)* 90)</f>
      </c>
      <c r="BM173" s="29629">
        <f>IF(HLOOKUP("Mins",A1:CV300,173,FALSE)=0,0,HLOOKUP("Gs - BC",A1:CV300,173,FALSE)/HLOOKUP("Mins",A1:CV300,173,FALSE)* 90)</f>
      </c>
      <c r="BN173" s="29630">
        <f>IF(HLOOKUP("Mins",A1:CV300,173,FALSE)=0,0,HLOOKUP("GIB",A1:CV300,173,FALSE)/HLOOKUP("Mins",A1:CV300,173,FALSE)* 90)</f>
      </c>
      <c r="BO173" s="29631">
        <f>IF(HLOOKUP("Mins",A1:CV300,173,FALSE)=0,0,HLOOKUP("Gs - Open",A1:CV300,173,FALSE)/HLOOKUP("Mins",A1:CV300,173,FALSE)* 90)</f>
      </c>
      <c r="BP173" s="29632">
        <f>IF(HLOOKUP("Mins",A1:CV300,173,FALSE)=0,0,HLOOKUP("ICT Index",A1:CV300,173,FALSE)/HLOOKUP("Mins",A1:CV300,173,FALSE)* 90)</f>
      </c>
      <c r="BQ173" s="29633">
        <f>IF(HLOOKUP("Mins",A1:CV300,173,FALSE)=0,0,(0.036*(HLOOKUP("Shots",A1:CV300,173,FALSE)-HLOOKUP("SIB",A1:CV300,173,FALSE))+0.142*(HLOOKUP("SIB",A1:CV300,173,FALSE)-(HLOOKUP("PK Gs",A1:CV300,173,FALSE)+HLOOKUP("PK Miss",A1:CV300,173,FALSE)))+0.75*(HLOOKUP("PK Gs",A1:CV300,173,FALSE)+HLOOKUP("PK Miss",A1:CV300,173,FALSE)))/HLOOKUP("Mins",A1:CV300,173,FALSE)*90)</f>
      </c>
      <c r="BR173" s="29634">
        <f>0.0885*HLOOKUP("KP/90",A1:CV300,173,FALSE)</f>
      </c>
      <c r="BS173" s="29635">
        <f>5*HLOOKUP("xG/90",A1:CV300,173,FALSE)+3*HLOOKUP("xA/90",A1:CV300,173,FALSE)</f>
      </c>
      <c r="BT173" s="29636">
        <f>HLOOKUP("xPts/90",A1:CV300,173,FALSE)-(5*0.75*(HLOOKUP("PK Gs",A1:CV300,173,FALSE)+HLOOKUP("PK Miss",A1:CV300,173,FALSE))*90/HLOOKUP("Mins",A1:CV300,173,FALSE))</f>
      </c>
      <c r="BU173" s="29637">
        <f>IF(HLOOKUP("Mins",A1:CV300,173,FALSE)=0,0,HLOOKUP("fsXG",A1:CV300,173,FALSE)/HLOOKUP("Mins",A1:CV300,173,FALSE)* 90)</f>
      </c>
      <c r="BV173" s="29638">
        <f>IF(HLOOKUP("Mins",A1:CV300,173,FALSE)=0,0,HLOOKUP("fsXA",A1:CV300,173,FALSE)/HLOOKUP("Mins",A1:CV300,173,FALSE)* 90)</f>
      </c>
      <c r="BW173" s="29639">
        <f>5*HLOOKUP("fsXG/90",A1:CV300,173,FALSE)+3*HLOOKUP("fsXA/90",A1:CV300,173,FALSE)</f>
      </c>
      <c r="BX173" t="n" s="29640">
        <v>0.0</v>
      </c>
      <c r="BY173" t="n" s="29641">
        <v>0.008466682396829128</v>
      </c>
      <c r="BZ173" s="29642">
        <f>5*HLOOKUP("uXG/90",A1:CV300,173,FALSE)+3*HLOOKUP("uXA/90",A1:CV300,173,FALSE)</f>
      </c>
    </row>
    <row r="174">
      <c r="A174" t="s" s="29643">
        <v>477</v>
      </c>
      <c r="B174" t="s" s="29644">
        <v>95</v>
      </c>
      <c r="C174" t="n" s="29645">
        <v>8.600000381469727</v>
      </c>
      <c r="D174" t="n" s="29646">
        <v>204.0</v>
      </c>
      <c r="E174" t="n" s="29647">
        <v>4.0</v>
      </c>
      <c r="F174" t="n" s="29648">
        <v>48.0</v>
      </c>
      <c r="G174" t="n" s="29649">
        <v>0.0</v>
      </c>
      <c r="H174" t="n" s="29650">
        <v>6.0</v>
      </c>
      <c r="I174" t="n" s="29651">
        <v>205.0</v>
      </c>
      <c r="J174" s="29652">
        <f>HLOOKUP("BPS",A1:CV300,174,FALSE)-((-6*HLOOKUP("OG",A1:CV300,174,FALSE))+(-6*HLOOKUP("PK Miss",A1:CV300,174,FALSE))+(9*HLOOKUP("FPL As",A1:CV300,174,FALSE))+(0*HLOOKUP("CS",A1:CV300,174,FALSE))+(18*HLOOKUP("Gs",A1:CV300,174,FALSE)))</f>
      </c>
      <c r="K174" t="n" s="29653">
        <v>0.0</v>
      </c>
      <c r="L174" t="n" s="29654">
        <v>1.0</v>
      </c>
      <c r="M174" t="n" s="29655">
        <v>2.0</v>
      </c>
      <c r="N174" t="n" s="29656">
        <v>4.0</v>
      </c>
      <c r="O174" t="n" s="29657">
        <v>1.0</v>
      </c>
      <c r="P174" s="29658">
        <f>IF(HLOOKUP("Shots",A1:CV300,174,FALSE)=0,0,HLOOKUP("SIB",A1:CV300,174,FALSE)/HLOOKUP("Shots",A1:CV300,174,FALSE))</f>
      </c>
      <c r="Q174" t="n" s="29659">
        <v>0.0</v>
      </c>
      <c r="R174" s="29660">
        <f>IF(HLOOKUP("Shots",A1:CV300,174,FALSE)=0,0,HLOOKUP("S6YD",A1:CV300,174,FALSE)/HLOOKUP("Shots",A1:CV300,174,FALSE))</f>
      </c>
      <c r="S174" t="n" s="29661">
        <v>0.0</v>
      </c>
      <c r="T174" s="29662">
        <f>IF(HLOOKUP("Shots",A1:CV300,174,FALSE)=0,0,HLOOKUP("Headers",A1:CV300,174,FALSE)/HLOOKUP("Shots",A1:CV300,174,FALSE))</f>
      </c>
      <c r="U174" t="n" s="29663">
        <v>1.0</v>
      </c>
      <c r="V174" s="29664">
        <f>IF(HLOOKUP("Shots",A1:CV300,174,FALSE)=0,0,HLOOKUP("SOT",A1:CV300,174,FALSE)/HLOOKUP("Shots",A1:CV300,174,FALSE))</f>
      </c>
      <c r="W174" s="29665">
        <f>IF(HLOOKUP("Shots",A1:CV300,174,FALSE)=0,0,HLOOKUP("Gs",A1:CV300,174,FALSE)/HLOOKUP("Shots",A1:CV300,174,FALSE))</f>
      </c>
      <c r="X174" t="n" s="29666">
        <v>0.0</v>
      </c>
      <c r="Y174" t="n" s="29667">
        <v>2.0</v>
      </c>
      <c r="Z174" t="n" s="29668">
        <v>6.0</v>
      </c>
      <c r="AA174" s="29669">
        <f>IF(HLOOKUP("KP",A1:CV300,174,FALSE)=0,0,HLOOKUP("As",A1:CV300,174,FALSE)/HLOOKUP("KP",A1:CV300,174,FALSE))</f>
      </c>
      <c r="AB174" s="29670"/>
      <c r="AC174" t="n" s="29671">
        <v>0.0</v>
      </c>
      <c r="AD174" t="n" s="29672">
        <v>0.0</v>
      </c>
      <c r="AE174" t="n" s="29673">
        <v>0.0</v>
      </c>
      <c r="AF174" t="n" s="29674">
        <v>0.0</v>
      </c>
      <c r="AG174" s="29675">
        <f>IF(HLOOKUP("BC",A1:CV300,174,FALSE)=0,0,HLOOKUP("Gs - BC",A1:CV300,174,FALSE)/HLOOKUP("BC",A1:CV300,174,FALSE))</f>
      </c>
      <c r="AH174" s="29676">
        <f>HLOOKUP("BC",A1:CV300,174,FALSE) - HLOOKUP("BC Miss",A1:CV300,174,FALSE)</f>
      </c>
      <c r="AI174" s="29677">
        <f>IF(HLOOKUP("Gs",A1:CV300,174,FALSE)=0,0,HLOOKUP("Gs - BC",A1:CV300,174,FALSE)/HLOOKUP("Gs",A1:CV300,174,FALSE))</f>
      </c>
      <c r="AJ174" t="n" s="29678">
        <v>0.0</v>
      </c>
      <c r="AK174" t="n" s="29679">
        <v>0.0</v>
      </c>
      <c r="AL174" s="29680">
        <f>HLOOKUP("BC",A1:CV300,174,FALSE) - (HLOOKUP("PK Gs",A1:CV300,174,FALSE) + HLOOKUP("PK Miss",A1:CV300,174,FALSE))</f>
      </c>
      <c r="AM174" s="29681">
        <f>HLOOKUP("BC Miss",A1:CV300,174,FALSE) - HLOOKUP("PK Miss",A1:CV300,174,FALSE)</f>
      </c>
      <c r="AN174" s="29682">
        <f>IF(HLOOKUP("BC - Open",A1:CV300,174,FALSE)=0,0,HLOOKUP("BC - Open Miss",A1:CV300,174,FALSE)/HLOOKUP("BC - Open",A1:CV300,174,FALSE))</f>
      </c>
      <c r="AO174" t="n" s="29683">
        <v>0.0</v>
      </c>
      <c r="AP174" s="29684">
        <f>IF(HLOOKUP("Gs",A1:CV300,174,FALSE)=0,0,HLOOKUP("GIB",A1:CV300,174,FALSE)/HLOOKUP("Gs",A1:CV300,174,FALSE))</f>
      </c>
      <c r="AQ174" t="n" s="29685">
        <v>0.0</v>
      </c>
      <c r="AR174" s="29686">
        <f>IF(HLOOKUP("Gs",A1:CV300,174,FALSE)=0,0,HLOOKUP("Gs - Open",A1:CV300,174,FALSE)/HLOOKUP("Gs",A1:CV300,174,FALSE))</f>
      </c>
      <c r="AS174" t="n" s="29687">
        <v>0.18</v>
      </c>
      <c r="AT174" t="n" s="29688">
        <v>0.28</v>
      </c>
      <c r="AU174" s="29689">
        <f>IF(HLOOKUP("Mins",A1:CV300,174,FALSE)=0,0,HLOOKUP("Pts",A1:CV300,174,FALSE)/HLOOKUP("Mins",A1:CV300,174,FALSE)* 90)</f>
      </c>
      <c r="AV174" s="29690">
        <f>IF(HLOOKUP("Apps",A1:CV300,174,FALSE)=0,0,HLOOKUP("Pts",A1:CV300,174,FALSE)/HLOOKUP("Apps",A1:CV300,174,FALSE)* 1)</f>
      </c>
      <c r="AW174" s="29691">
        <f>IF(HLOOKUP("Mins",A1:CV300,174,FALSE)=0,0,HLOOKUP("Gs",A1:CV300,174,FALSE)/HLOOKUP("Mins",A1:CV300,174,FALSE)* 90)</f>
      </c>
      <c r="AX174" s="29692">
        <f>IF(HLOOKUP("Mins",A1:CV300,174,FALSE)=0,0,HLOOKUP("Bonus",A1:CV300,174,FALSE)/HLOOKUP("Mins",A1:CV300,174,FALSE)* 90)</f>
      </c>
      <c r="AY174" s="29693">
        <f>IF(HLOOKUP("Mins",A1:CV300,174,FALSE)=0,0,HLOOKUP("BPS",A1:CV300,174,FALSE)/HLOOKUP("Mins",A1:CV300,174,FALSE)* 90)</f>
      </c>
      <c r="AZ174" s="29694">
        <f>IF(HLOOKUP("Mins",A1:CV300,174,FALSE)=0,0,HLOOKUP("Base BPS",A1:CV300,174,FALSE)/HLOOKUP("Mins",A1:CV300,174,FALSE)* 90)</f>
      </c>
      <c r="BA174" s="29695">
        <f>IF(HLOOKUP("Mins",A1:CV300,174,FALSE)=0,0,HLOOKUP("PenTchs",A1:CV300,174,FALSE)/HLOOKUP("Mins",A1:CV300,174,FALSE)* 90)</f>
      </c>
      <c r="BB174" s="29696">
        <f>IF(HLOOKUP("Mins",A1:CV300,174,FALSE)=0,0,HLOOKUP("Shots",A1:CV300,174,FALSE)/HLOOKUP("Mins",A1:CV300,174,FALSE)* 90)</f>
      </c>
      <c r="BC174" s="29697">
        <f>IF(HLOOKUP("Mins",A1:CV300,174,FALSE)=0,0,HLOOKUP("SIB",A1:CV300,174,FALSE)/HLOOKUP("Mins",A1:CV300,174,FALSE)* 90)</f>
      </c>
      <c r="BD174" s="29698">
        <f>IF(HLOOKUP("Mins",A1:CV300,174,FALSE)=0,0,HLOOKUP("S6YD",A1:CV300,174,FALSE)/HLOOKUP("Mins",A1:CV300,174,FALSE)* 90)</f>
      </c>
      <c r="BE174" s="29699">
        <f>IF(HLOOKUP("Mins",A1:CV300,174,FALSE)=0,0,HLOOKUP("Headers",A1:CV300,174,FALSE)/HLOOKUP("Mins",A1:CV300,174,FALSE)* 90)</f>
      </c>
      <c r="BF174" s="29700">
        <f>IF(HLOOKUP("Mins",A1:CV300,174,FALSE)=0,0,HLOOKUP("SOT",A1:CV300,174,FALSE)/HLOOKUP("Mins",A1:CV300,174,FALSE)* 90)</f>
      </c>
      <c r="BG174" s="29701">
        <f>IF(HLOOKUP("Mins",A1:CV300,174,FALSE)=0,0,HLOOKUP("As",A1:CV300,174,FALSE)/HLOOKUP("Mins",A1:CV300,174,FALSE)* 90)</f>
      </c>
      <c r="BH174" s="29702">
        <f>IF(HLOOKUP("Mins",A1:CV300,174,FALSE)=0,0,HLOOKUP("FPL As",A1:CV300,174,FALSE)/HLOOKUP("Mins",A1:CV300,174,FALSE)* 90)</f>
      </c>
      <c r="BI174" s="29703">
        <f>IF(HLOOKUP("Mins",A1:CV300,174,FALSE)=0,0,HLOOKUP("BC Created",A1:CV300,174,FALSE)/HLOOKUP("Mins",A1:CV300,174,FALSE)* 90)</f>
      </c>
      <c r="BJ174" s="29704">
        <f>IF(HLOOKUP("Mins",A1:CV300,174,FALSE)=0,0,HLOOKUP("KP",A1:CV300,174,FALSE)/HLOOKUP("Mins",A1:CV300,174,FALSE)* 90)</f>
      </c>
      <c r="BK174" s="29705">
        <f>IF(HLOOKUP("Mins",A1:CV300,174,FALSE)=0,0,HLOOKUP("BC",A1:CV300,174,FALSE)/HLOOKUP("Mins",A1:CV300,174,FALSE)* 90)</f>
      </c>
      <c r="BL174" s="29706">
        <f>IF(HLOOKUP("Mins",A1:CV300,174,FALSE)=0,0,HLOOKUP("BC Miss",A1:CV300,174,FALSE)/HLOOKUP("Mins",A1:CV300,174,FALSE)* 90)</f>
      </c>
      <c r="BM174" s="29707">
        <f>IF(HLOOKUP("Mins",A1:CV300,174,FALSE)=0,0,HLOOKUP("Gs - BC",A1:CV300,174,FALSE)/HLOOKUP("Mins",A1:CV300,174,FALSE)* 90)</f>
      </c>
      <c r="BN174" s="29708">
        <f>IF(HLOOKUP("Mins",A1:CV300,174,FALSE)=0,0,HLOOKUP("GIB",A1:CV300,174,FALSE)/HLOOKUP("Mins",A1:CV300,174,FALSE)* 90)</f>
      </c>
      <c r="BO174" s="29709">
        <f>IF(HLOOKUP("Mins",A1:CV300,174,FALSE)=0,0,HLOOKUP("Gs - Open",A1:CV300,174,FALSE)/HLOOKUP("Mins",A1:CV300,174,FALSE)* 90)</f>
      </c>
      <c r="BP174" s="29710">
        <f>IF(HLOOKUP("Mins",A1:CV300,174,FALSE)=0,0,HLOOKUP("ICT Index",A1:CV300,174,FALSE)/HLOOKUP("Mins",A1:CV300,174,FALSE)* 90)</f>
      </c>
      <c r="BQ174" s="29711">
        <f>IF(HLOOKUP("Mins",A1:CV300,174,FALSE)=0,0,(0.036*(HLOOKUP("Shots",A1:CV300,174,FALSE)-HLOOKUP("SIB",A1:CV300,174,FALSE))+0.142*(HLOOKUP("SIB",A1:CV300,174,FALSE)-(HLOOKUP("PK Gs",A1:CV300,174,FALSE)+HLOOKUP("PK Miss",A1:CV300,174,FALSE)))+0.75*(HLOOKUP("PK Gs",A1:CV300,174,FALSE)+HLOOKUP("PK Miss",A1:CV300,174,FALSE)))/HLOOKUP("Mins",A1:CV300,174,FALSE)*90)</f>
      </c>
      <c r="BR174" s="29712">
        <f>0.0885*HLOOKUP("KP/90",A1:CV300,174,FALSE)</f>
      </c>
      <c r="BS174" s="29713">
        <f>5*HLOOKUP("xG/90",A1:CV300,174,FALSE)+3*HLOOKUP("xA/90",A1:CV300,174,FALSE)</f>
      </c>
      <c r="BT174" s="29714">
        <f>HLOOKUP("xPts/90",A1:CV300,174,FALSE)-(5*0.75*(HLOOKUP("PK Gs",A1:CV300,174,FALSE)+HLOOKUP("PK Miss",A1:CV300,174,FALSE))*90/HLOOKUP("Mins",A1:CV300,174,FALSE))</f>
      </c>
      <c r="BU174" s="29715">
        <f>IF(HLOOKUP("Mins",A1:CV300,174,FALSE)=0,0,HLOOKUP("fsXG",A1:CV300,174,FALSE)/HLOOKUP("Mins",A1:CV300,174,FALSE)* 90)</f>
      </c>
      <c r="BV174" s="29716">
        <f>IF(HLOOKUP("Mins",A1:CV300,174,FALSE)=0,0,HLOOKUP("fsXA",A1:CV300,174,FALSE)/HLOOKUP("Mins",A1:CV300,174,FALSE)* 90)</f>
      </c>
      <c r="BW174" s="29717">
        <f>5*HLOOKUP("fsXG/90",A1:CV300,174,FALSE)+3*HLOOKUP("fsXA/90",A1:CV300,174,FALSE)</f>
      </c>
      <c r="BX174" t="n" s="29718">
        <v>0.08302760869264603</v>
      </c>
      <c r="BY174" t="n" s="29719">
        <v>0.1353948712348938</v>
      </c>
      <c r="BZ174" s="29720">
        <f>5*HLOOKUP("uXG/90",A1:CV300,174,FALSE)+3*HLOOKUP("uXA/90",A1:CV300,174,FALSE)</f>
      </c>
    </row>
    <row r="175">
      <c r="A175" t="s" s="29721">
        <v>478</v>
      </c>
      <c r="B175" t="s" s="29722">
        <v>116</v>
      </c>
      <c r="C175" t="n" s="29723">
        <v>5.699999809265137</v>
      </c>
      <c r="D175" t="n" s="29724">
        <v>536.0</v>
      </c>
      <c r="E175" t="n" s="29725">
        <v>6.0</v>
      </c>
      <c r="F175" t="n" s="29726">
        <v>84.0</v>
      </c>
      <c r="G175" t="n" s="29727">
        <v>3.0</v>
      </c>
      <c r="H175" t="n" s="29728">
        <v>9.0</v>
      </c>
      <c r="I175" t="n" s="29729">
        <v>345.0</v>
      </c>
      <c r="J175" s="29730">
        <f>HLOOKUP("BPS",A1:CV300,175,FALSE)-((-6*HLOOKUP("OG",A1:CV300,175,FALSE))+(-6*HLOOKUP("PK Miss",A1:CV300,175,FALSE))+(9*HLOOKUP("FPL As",A1:CV300,175,FALSE))+(0*HLOOKUP("CS",A1:CV300,175,FALSE))+(18*HLOOKUP("Gs",A1:CV300,175,FALSE)))</f>
      </c>
      <c r="K175" t="n" s="29731">
        <v>1.0</v>
      </c>
      <c r="L175" t="n" s="29732">
        <v>8.0</v>
      </c>
      <c r="M175" t="n" s="29733">
        <v>20.0</v>
      </c>
      <c r="N175" t="n" s="29734">
        <v>12.0</v>
      </c>
      <c r="O175" t="n" s="29735">
        <v>8.0</v>
      </c>
      <c r="P175" s="29736">
        <f>IF(HLOOKUP("Shots",A1:CV300,175,FALSE)=0,0,HLOOKUP("SIB",A1:CV300,175,FALSE)/HLOOKUP("Shots",A1:CV300,175,FALSE))</f>
      </c>
      <c r="Q175" t="n" s="29737">
        <v>1.0</v>
      </c>
      <c r="R175" s="29738">
        <f>IF(HLOOKUP("Shots",A1:CV300,175,FALSE)=0,0,HLOOKUP("S6YD",A1:CV300,175,FALSE)/HLOOKUP("Shots",A1:CV300,175,FALSE))</f>
      </c>
      <c r="S175" t="n" s="29739">
        <v>1.0</v>
      </c>
      <c r="T175" s="29740">
        <f>IF(HLOOKUP("Shots",A1:CV300,175,FALSE)=0,0,HLOOKUP("Headers",A1:CV300,175,FALSE)/HLOOKUP("Shots",A1:CV300,175,FALSE))</f>
      </c>
      <c r="U175" t="n" s="29741">
        <v>3.0</v>
      </c>
      <c r="V175" s="29742">
        <f>IF(HLOOKUP("Shots",A1:CV300,175,FALSE)=0,0,HLOOKUP("SOT",A1:CV300,175,FALSE)/HLOOKUP("Shots",A1:CV300,175,FALSE))</f>
      </c>
      <c r="W175" s="29743">
        <f>IF(HLOOKUP("Shots",A1:CV300,175,FALSE)=0,0,HLOOKUP("Gs",A1:CV300,175,FALSE)/HLOOKUP("Shots",A1:CV300,175,FALSE))</f>
      </c>
      <c r="X175" t="n" s="29744">
        <v>1.0</v>
      </c>
      <c r="Y175" t="n" s="29745">
        <v>2.0</v>
      </c>
      <c r="Z175" t="n" s="29746">
        <v>9.0</v>
      </c>
      <c r="AA175" s="29747">
        <f>IF(HLOOKUP("KP",A1:CV300,175,FALSE)=0,0,HLOOKUP("As",A1:CV300,175,FALSE)/HLOOKUP("KP",A1:CV300,175,FALSE))</f>
      </c>
      <c r="AB175" s="29748"/>
      <c r="AC175" t="n" s="29749">
        <v>50.0</v>
      </c>
      <c r="AD175" t="n" s="29750">
        <v>2.0</v>
      </c>
      <c r="AE175" t="n" s="29751">
        <v>2.0</v>
      </c>
      <c r="AF175" t="n" s="29752">
        <v>1.0</v>
      </c>
      <c r="AG175" s="29753">
        <f>IF(HLOOKUP("BC",A1:CV300,175,FALSE)=0,0,HLOOKUP("Gs - BC",A1:CV300,175,FALSE)/HLOOKUP("BC",A1:CV300,175,FALSE))</f>
      </c>
      <c r="AH175" s="29754">
        <f>HLOOKUP("BC",A1:CV300,175,FALSE) - HLOOKUP("BC Miss",A1:CV300,175,FALSE)</f>
      </c>
      <c r="AI175" s="29755">
        <f>IF(HLOOKUP("Gs",A1:CV300,175,FALSE)=0,0,HLOOKUP("Gs - BC",A1:CV300,175,FALSE)/HLOOKUP("Gs",A1:CV300,175,FALSE))</f>
      </c>
      <c r="AJ175" t="n" s="29756">
        <v>0.0</v>
      </c>
      <c r="AK175" t="n" s="29757">
        <v>0.0</v>
      </c>
      <c r="AL175" s="29758">
        <f>HLOOKUP("BC",A1:CV300,175,FALSE) - (HLOOKUP("PK Gs",A1:CV300,175,FALSE) + HLOOKUP("PK Miss",A1:CV300,175,FALSE))</f>
      </c>
      <c r="AM175" s="29759">
        <f>HLOOKUP("BC Miss",A1:CV300,175,FALSE) - HLOOKUP("PK Miss",A1:CV300,175,FALSE)</f>
      </c>
      <c r="AN175" s="29760">
        <f>IF(HLOOKUP("BC - Open",A1:CV300,175,FALSE)=0,0,HLOOKUP("BC - Open Miss",A1:CV300,175,FALSE)/HLOOKUP("BC - Open",A1:CV300,175,FALSE))</f>
      </c>
      <c r="AO175" t="n" s="29761">
        <v>3.0</v>
      </c>
      <c r="AP175" s="29762">
        <f>IF(HLOOKUP("Gs",A1:CV300,175,FALSE)=0,0,HLOOKUP("GIB",A1:CV300,175,FALSE)/HLOOKUP("Gs",A1:CV300,175,FALSE))</f>
      </c>
      <c r="AQ175" t="n" s="29763">
        <v>2.0</v>
      </c>
      <c r="AR175" s="29764">
        <f>IF(HLOOKUP("Gs",A1:CV300,175,FALSE)=0,0,HLOOKUP("Gs - Open",A1:CV300,175,FALSE)/HLOOKUP("Gs",A1:CV300,175,FALSE))</f>
      </c>
      <c r="AS175" t="n" s="29765">
        <v>1.45</v>
      </c>
      <c r="AT175" t="n" s="29766">
        <v>0.44</v>
      </c>
      <c r="AU175" s="29767">
        <f>IF(HLOOKUP("Mins",A1:CV300,175,FALSE)=0,0,HLOOKUP("Pts",A1:CV300,175,FALSE)/HLOOKUP("Mins",A1:CV300,175,FALSE)* 90)</f>
      </c>
      <c r="AV175" s="29768">
        <f>IF(HLOOKUP("Apps",A1:CV300,175,FALSE)=0,0,HLOOKUP("Pts",A1:CV300,175,FALSE)/HLOOKUP("Apps",A1:CV300,175,FALSE)* 1)</f>
      </c>
      <c r="AW175" s="29769">
        <f>IF(HLOOKUP("Mins",A1:CV300,175,FALSE)=0,0,HLOOKUP("Gs",A1:CV300,175,FALSE)/HLOOKUP("Mins",A1:CV300,175,FALSE)* 90)</f>
      </c>
      <c r="AX175" s="29770">
        <f>IF(HLOOKUP("Mins",A1:CV300,175,FALSE)=0,0,HLOOKUP("Bonus",A1:CV300,175,FALSE)/HLOOKUP("Mins",A1:CV300,175,FALSE)* 90)</f>
      </c>
      <c r="AY175" s="29771">
        <f>IF(HLOOKUP("Mins",A1:CV300,175,FALSE)=0,0,HLOOKUP("BPS",A1:CV300,175,FALSE)/HLOOKUP("Mins",A1:CV300,175,FALSE)* 90)</f>
      </c>
      <c r="AZ175" s="29772">
        <f>IF(HLOOKUP("Mins",A1:CV300,175,FALSE)=0,0,HLOOKUP("Base BPS",A1:CV300,175,FALSE)/HLOOKUP("Mins",A1:CV300,175,FALSE)* 90)</f>
      </c>
      <c r="BA175" s="29773">
        <f>IF(HLOOKUP("Mins",A1:CV300,175,FALSE)=0,0,HLOOKUP("PenTchs",A1:CV300,175,FALSE)/HLOOKUP("Mins",A1:CV300,175,FALSE)* 90)</f>
      </c>
      <c r="BB175" s="29774">
        <f>IF(HLOOKUP("Mins",A1:CV300,175,FALSE)=0,0,HLOOKUP("Shots",A1:CV300,175,FALSE)/HLOOKUP("Mins",A1:CV300,175,FALSE)* 90)</f>
      </c>
      <c r="BC175" s="29775">
        <f>IF(HLOOKUP("Mins",A1:CV300,175,FALSE)=0,0,HLOOKUP("SIB",A1:CV300,175,FALSE)/HLOOKUP("Mins",A1:CV300,175,FALSE)* 90)</f>
      </c>
      <c r="BD175" s="29776">
        <f>IF(HLOOKUP("Mins",A1:CV300,175,FALSE)=0,0,HLOOKUP("S6YD",A1:CV300,175,FALSE)/HLOOKUP("Mins",A1:CV300,175,FALSE)* 90)</f>
      </c>
      <c r="BE175" s="29777">
        <f>IF(HLOOKUP("Mins",A1:CV300,175,FALSE)=0,0,HLOOKUP("Headers",A1:CV300,175,FALSE)/HLOOKUP("Mins",A1:CV300,175,FALSE)* 90)</f>
      </c>
      <c r="BF175" s="29778">
        <f>IF(HLOOKUP("Mins",A1:CV300,175,FALSE)=0,0,HLOOKUP("SOT",A1:CV300,175,FALSE)/HLOOKUP("Mins",A1:CV300,175,FALSE)* 90)</f>
      </c>
      <c r="BG175" s="29779">
        <f>IF(HLOOKUP("Mins",A1:CV300,175,FALSE)=0,0,HLOOKUP("As",A1:CV300,175,FALSE)/HLOOKUP("Mins",A1:CV300,175,FALSE)* 90)</f>
      </c>
      <c r="BH175" s="29780">
        <f>IF(HLOOKUP("Mins",A1:CV300,175,FALSE)=0,0,HLOOKUP("FPL As",A1:CV300,175,FALSE)/HLOOKUP("Mins",A1:CV300,175,FALSE)* 90)</f>
      </c>
      <c r="BI175" s="29781">
        <f>IF(HLOOKUP("Mins",A1:CV300,175,FALSE)=0,0,HLOOKUP("BC Created",A1:CV300,175,FALSE)/HLOOKUP("Mins",A1:CV300,175,FALSE)* 90)</f>
      </c>
      <c r="BJ175" s="29782">
        <f>IF(HLOOKUP("Mins",A1:CV300,175,FALSE)=0,0,HLOOKUP("KP",A1:CV300,175,FALSE)/HLOOKUP("Mins",A1:CV300,175,FALSE)* 90)</f>
      </c>
      <c r="BK175" s="29783">
        <f>IF(HLOOKUP("Mins",A1:CV300,175,FALSE)=0,0,HLOOKUP("BC",A1:CV300,175,FALSE)/HLOOKUP("Mins",A1:CV300,175,FALSE)* 90)</f>
      </c>
      <c r="BL175" s="29784">
        <f>IF(HLOOKUP("Mins",A1:CV300,175,FALSE)=0,0,HLOOKUP("BC Miss",A1:CV300,175,FALSE)/HLOOKUP("Mins",A1:CV300,175,FALSE)* 90)</f>
      </c>
      <c r="BM175" s="29785">
        <f>IF(HLOOKUP("Mins",A1:CV300,175,FALSE)=0,0,HLOOKUP("Gs - BC",A1:CV300,175,FALSE)/HLOOKUP("Mins",A1:CV300,175,FALSE)* 90)</f>
      </c>
      <c r="BN175" s="29786">
        <f>IF(HLOOKUP("Mins",A1:CV300,175,FALSE)=0,0,HLOOKUP("GIB",A1:CV300,175,FALSE)/HLOOKUP("Mins",A1:CV300,175,FALSE)* 90)</f>
      </c>
      <c r="BO175" s="29787">
        <f>IF(HLOOKUP("Mins",A1:CV300,175,FALSE)=0,0,HLOOKUP("Gs - Open",A1:CV300,175,FALSE)/HLOOKUP("Mins",A1:CV300,175,FALSE)* 90)</f>
      </c>
      <c r="BP175" s="29788">
        <f>IF(HLOOKUP("Mins",A1:CV300,175,FALSE)=0,0,HLOOKUP("ICT Index",A1:CV300,175,FALSE)/HLOOKUP("Mins",A1:CV300,175,FALSE)* 90)</f>
      </c>
      <c r="BQ175" s="29789">
        <f>IF(HLOOKUP("Mins",A1:CV300,175,FALSE)=0,0,(0.036*(HLOOKUP("Shots",A1:CV300,175,FALSE)-HLOOKUP("SIB",A1:CV300,175,FALSE))+0.142*(HLOOKUP("SIB",A1:CV300,175,FALSE)-(HLOOKUP("PK Gs",A1:CV300,175,FALSE)+HLOOKUP("PK Miss",A1:CV300,175,FALSE)))+0.75*(HLOOKUP("PK Gs",A1:CV300,175,FALSE)+HLOOKUP("PK Miss",A1:CV300,175,FALSE)))/HLOOKUP("Mins",A1:CV300,175,FALSE)*90)</f>
      </c>
      <c r="BR175" s="29790">
        <f>0.0885*HLOOKUP("KP/90",A1:CV300,175,FALSE)</f>
      </c>
      <c r="BS175" s="29791">
        <f>5*HLOOKUP("xG/90",A1:CV300,175,FALSE)+3*HLOOKUP("xA/90",A1:CV300,175,FALSE)</f>
      </c>
      <c r="BT175" s="29792">
        <f>HLOOKUP("xPts/90",A1:CV300,175,FALSE)-(5*0.75*(HLOOKUP("PK Gs",A1:CV300,175,FALSE)+HLOOKUP("PK Miss",A1:CV300,175,FALSE))*90/HLOOKUP("Mins",A1:CV300,175,FALSE))</f>
      </c>
      <c r="BU175" s="29793">
        <f>IF(HLOOKUP("Mins",A1:CV300,175,FALSE)=0,0,HLOOKUP("fsXG",A1:CV300,175,FALSE)/HLOOKUP("Mins",A1:CV300,175,FALSE)* 90)</f>
      </c>
      <c r="BV175" s="29794">
        <f>IF(HLOOKUP("Mins",A1:CV300,175,FALSE)=0,0,HLOOKUP("fsXA",A1:CV300,175,FALSE)/HLOOKUP("Mins",A1:CV300,175,FALSE)* 90)</f>
      </c>
      <c r="BW175" s="29795">
        <f>5*HLOOKUP("fsXG/90",A1:CV300,175,FALSE)+3*HLOOKUP("fsXA/90",A1:CV300,175,FALSE)</f>
      </c>
      <c r="BX175" t="n" s="29796">
        <v>0.24475595355033875</v>
      </c>
      <c r="BY175" t="n" s="29797">
        <v>0.18441914021968842</v>
      </c>
      <c r="BZ175" s="29798">
        <f>5*HLOOKUP("uXG/90",A1:CV300,175,FALSE)+3*HLOOKUP("uXA/90",A1:CV300,175,FALSE)</f>
      </c>
    </row>
    <row r="176">
      <c r="A176" t="s" s="29799">
        <v>479</v>
      </c>
      <c r="B176" t="s" s="29800">
        <v>134</v>
      </c>
      <c r="C176" t="n" s="29801">
        <v>5.699999809265137</v>
      </c>
      <c r="D176" t="n" s="29802">
        <v>57.0</v>
      </c>
      <c r="E176" t="n" s="29803">
        <v>4.0</v>
      </c>
      <c r="F176" t="n" s="29804">
        <v>25.0</v>
      </c>
      <c r="G176" t="n" s="29805">
        <v>0.0</v>
      </c>
      <c r="H176" t="n" s="29806">
        <v>1.0</v>
      </c>
      <c r="I176" t="n" s="29807">
        <v>84.0</v>
      </c>
      <c r="J176" s="29808">
        <f>HLOOKUP("BPS",A1:CV300,176,FALSE)-((-6*HLOOKUP("OG",A1:CV300,176,FALSE))+(-6*HLOOKUP("PK Miss",A1:CV300,176,FALSE))+(9*HLOOKUP("FPL As",A1:CV300,176,FALSE))+(0*HLOOKUP("CS",A1:CV300,176,FALSE))+(18*HLOOKUP("Gs",A1:CV300,176,FALSE)))</f>
      </c>
      <c r="K176" t="n" s="29809">
        <v>0.0</v>
      </c>
      <c r="L176" t="n" s="29810">
        <v>1.0</v>
      </c>
      <c r="M176" t="n" s="29811">
        <v>2.0</v>
      </c>
      <c r="N176" t="n" s="29812">
        <v>0.0</v>
      </c>
      <c r="O176" t="n" s="29813">
        <v>0.0</v>
      </c>
      <c r="P176" s="29814">
        <f>IF(HLOOKUP("Shots",A1:CV300,176,FALSE)=0,0,HLOOKUP("SIB",A1:CV300,176,FALSE)/HLOOKUP("Shots",A1:CV300,176,FALSE))</f>
      </c>
      <c r="Q176" t="n" s="29815">
        <v>0.0</v>
      </c>
      <c r="R176" s="29816">
        <f>IF(HLOOKUP("Shots",A1:CV300,176,FALSE)=0,0,HLOOKUP("S6YD",A1:CV300,176,FALSE)/HLOOKUP("Shots",A1:CV300,176,FALSE))</f>
      </c>
      <c r="S176" t="n" s="29817">
        <v>0.0</v>
      </c>
      <c r="T176" s="29818">
        <f>IF(HLOOKUP("Shots",A1:CV300,176,FALSE)=0,0,HLOOKUP("Headers",A1:CV300,176,FALSE)/HLOOKUP("Shots",A1:CV300,176,FALSE))</f>
      </c>
      <c r="U176" t="n" s="29819">
        <v>0.0</v>
      </c>
      <c r="V176" s="29820">
        <f>IF(HLOOKUP("Shots",A1:CV300,176,FALSE)=0,0,HLOOKUP("SOT",A1:CV300,176,FALSE)/HLOOKUP("Shots",A1:CV300,176,FALSE))</f>
      </c>
      <c r="W176" s="29821">
        <f>IF(HLOOKUP("Shots",A1:CV300,176,FALSE)=0,0,HLOOKUP("Gs",A1:CV300,176,FALSE)/HLOOKUP("Shots",A1:CV300,176,FALSE))</f>
      </c>
      <c r="X176" t="n" s="29822">
        <v>0.0</v>
      </c>
      <c r="Y176" t="n" s="29823">
        <v>1.0</v>
      </c>
      <c r="Z176" t="n" s="29824">
        <v>0.0</v>
      </c>
      <c r="AA176" s="29825">
        <f>IF(HLOOKUP("KP",A1:CV300,176,FALSE)=0,0,HLOOKUP("As",A1:CV300,176,FALSE)/HLOOKUP("KP",A1:CV300,176,FALSE))</f>
      </c>
      <c r="AB176" s="29826"/>
      <c r="AC176" t="n" s="29827">
        <v>0.0</v>
      </c>
      <c r="AD176" t="n" s="29828">
        <v>0.0</v>
      </c>
      <c r="AE176" t="n" s="29829">
        <v>0.0</v>
      </c>
      <c r="AF176" t="n" s="29830">
        <v>0.0</v>
      </c>
      <c r="AG176" s="29831">
        <f>IF(HLOOKUP("BC",A1:CV300,176,FALSE)=0,0,HLOOKUP("Gs - BC",A1:CV300,176,FALSE)/HLOOKUP("BC",A1:CV300,176,FALSE))</f>
      </c>
      <c r="AH176" s="29832">
        <f>HLOOKUP("BC",A1:CV300,176,FALSE) - HLOOKUP("BC Miss",A1:CV300,176,FALSE)</f>
      </c>
      <c r="AI176" s="29833">
        <f>IF(HLOOKUP("Gs",A1:CV300,176,FALSE)=0,0,HLOOKUP("Gs - BC",A1:CV300,176,FALSE)/HLOOKUP("Gs",A1:CV300,176,FALSE))</f>
      </c>
      <c r="AJ176" t="n" s="29834">
        <v>0.0</v>
      </c>
      <c r="AK176" t="n" s="29835">
        <v>0.0</v>
      </c>
      <c r="AL176" s="29836">
        <f>HLOOKUP("BC",A1:CV300,176,FALSE) - (HLOOKUP("PK Gs",A1:CV300,176,FALSE) + HLOOKUP("PK Miss",A1:CV300,176,FALSE))</f>
      </c>
      <c r="AM176" s="29837">
        <f>HLOOKUP("BC Miss",A1:CV300,176,FALSE) - HLOOKUP("PK Miss",A1:CV300,176,FALSE)</f>
      </c>
      <c r="AN176" s="29838">
        <f>IF(HLOOKUP("BC - Open",A1:CV300,176,FALSE)=0,0,HLOOKUP("BC - Open Miss",A1:CV300,176,FALSE)/HLOOKUP("BC - Open",A1:CV300,176,FALSE))</f>
      </c>
      <c r="AO176" t="n" s="29839">
        <v>0.0</v>
      </c>
      <c r="AP176" s="29840">
        <f>IF(HLOOKUP("Gs",A1:CV300,176,FALSE)=0,0,HLOOKUP("GIB",A1:CV300,176,FALSE)/HLOOKUP("Gs",A1:CV300,176,FALSE))</f>
      </c>
      <c r="AQ176" t="n" s="29841">
        <v>0.0</v>
      </c>
      <c r="AR176" s="29842">
        <f>IF(HLOOKUP("Gs",A1:CV300,176,FALSE)=0,0,HLOOKUP("Gs - Open",A1:CV300,176,FALSE)/HLOOKUP("Gs",A1:CV300,176,FALSE))</f>
      </c>
      <c r="AS176" t="n" s="29843">
        <v>0.0</v>
      </c>
      <c r="AT176" t="n" s="29844">
        <v>0.07</v>
      </c>
      <c r="AU176" s="29845">
        <f>IF(HLOOKUP("Mins",A1:CV300,176,FALSE)=0,0,HLOOKUP("Pts",A1:CV300,176,FALSE)/HLOOKUP("Mins",A1:CV300,176,FALSE)* 90)</f>
      </c>
      <c r="AV176" s="29846">
        <f>IF(HLOOKUP("Apps",A1:CV300,176,FALSE)=0,0,HLOOKUP("Pts",A1:CV300,176,FALSE)/HLOOKUP("Apps",A1:CV300,176,FALSE)* 1)</f>
      </c>
      <c r="AW176" s="29847">
        <f>IF(HLOOKUP("Mins",A1:CV300,176,FALSE)=0,0,HLOOKUP("Gs",A1:CV300,176,FALSE)/HLOOKUP("Mins",A1:CV300,176,FALSE)* 90)</f>
      </c>
      <c r="AX176" s="29848">
        <f>IF(HLOOKUP("Mins",A1:CV300,176,FALSE)=0,0,HLOOKUP("Bonus",A1:CV300,176,FALSE)/HLOOKUP("Mins",A1:CV300,176,FALSE)* 90)</f>
      </c>
      <c r="AY176" s="29849">
        <f>IF(HLOOKUP("Mins",A1:CV300,176,FALSE)=0,0,HLOOKUP("BPS",A1:CV300,176,FALSE)/HLOOKUP("Mins",A1:CV300,176,FALSE)* 90)</f>
      </c>
      <c r="AZ176" s="29850">
        <f>IF(HLOOKUP("Mins",A1:CV300,176,FALSE)=0,0,HLOOKUP("Base BPS",A1:CV300,176,FALSE)/HLOOKUP("Mins",A1:CV300,176,FALSE)* 90)</f>
      </c>
      <c r="BA176" s="29851">
        <f>IF(HLOOKUP("Mins",A1:CV300,176,FALSE)=0,0,HLOOKUP("PenTchs",A1:CV300,176,FALSE)/HLOOKUP("Mins",A1:CV300,176,FALSE)* 90)</f>
      </c>
      <c r="BB176" s="29852">
        <f>IF(HLOOKUP("Mins",A1:CV300,176,FALSE)=0,0,HLOOKUP("Shots",A1:CV300,176,FALSE)/HLOOKUP("Mins",A1:CV300,176,FALSE)* 90)</f>
      </c>
      <c r="BC176" s="29853">
        <f>IF(HLOOKUP("Mins",A1:CV300,176,FALSE)=0,0,HLOOKUP("SIB",A1:CV300,176,FALSE)/HLOOKUP("Mins",A1:CV300,176,FALSE)* 90)</f>
      </c>
      <c r="BD176" s="29854">
        <f>IF(HLOOKUP("Mins",A1:CV300,176,FALSE)=0,0,HLOOKUP("S6YD",A1:CV300,176,FALSE)/HLOOKUP("Mins",A1:CV300,176,FALSE)* 90)</f>
      </c>
      <c r="BE176" s="29855">
        <f>IF(HLOOKUP("Mins",A1:CV300,176,FALSE)=0,0,HLOOKUP("Headers",A1:CV300,176,FALSE)/HLOOKUP("Mins",A1:CV300,176,FALSE)* 90)</f>
      </c>
      <c r="BF176" s="29856">
        <f>IF(HLOOKUP("Mins",A1:CV300,176,FALSE)=0,0,HLOOKUP("SOT",A1:CV300,176,FALSE)/HLOOKUP("Mins",A1:CV300,176,FALSE)* 90)</f>
      </c>
      <c r="BG176" s="29857">
        <f>IF(HLOOKUP("Mins",A1:CV300,176,FALSE)=0,0,HLOOKUP("As",A1:CV300,176,FALSE)/HLOOKUP("Mins",A1:CV300,176,FALSE)* 90)</f>
      </c>
      <c r="BH176" s="29858">
        <f>IF(HLOOKUP("Mins",A1:CV300,176,FALSE)=0,0,HLOOKUP("FPL As",A1:CV300,176,FALSE)/HLOOKUP("Mins",A1:CV300,176,FALSE)* 90)</f>
      </c>
      <c r="BI176" s="29859">
        <f>IF(HLOOKUP("Mins",A1:CV300,176,FALSE)=0,0,HLOOKUP("BC Created",A1:CV300,176,FALSE)/HLOOKUP("Mins",A1:CV300,176,FALSE)* 90)</f>
      </c>
      <c r="BJ176" s="29860">
        <f>IF(HLOOKUP("Mins",A1:CV300,176,FALSE)=0,0,HLOOKUP("KP",A1:CV300,176,FALSE)/HLOOKUP("Mins",A1:CV300,176,FALSE)* 90)</f>
      </c>
      <c r="BK176" s="29861">
        <f>IF(HLOOKUP("Mins",A1:CV300,176,FALSE)=0,0,HLOOKUP("BC",A1:CV300,176,FALSE)/HLOOKUP("Mins",A1:CV300,176,FALSE)* 90)</f>
      </c>
      <c r="BL176" s="29862">
        <f>IF(HLOOKUP("Mins",A1:CV300,176,FALSE)=0,0,HLOOKUP("BC Miss",A1:CV300,176,FALSE)/HLOOKUP("Mins",A1:CV300,176,FALSE)* 90)</f>
      </c>
      <c r="BM176" s="29863">
        <f>IF(HLOOKUP("Mins",A1:CV300,176,FALSE)=0,0,HLOOKUP("Gs - BC",A1:CV300,176,FALSE)/HLOOKUP("Mins",A1:CV300,176,FALSE)* 90)</f>
      </c>
      <c r="BN176" s="29864">
        <f>IF(HLOOKUP("Mins",A1:CV300,176,FALSE)=0,0,HLOOKUP("GIB",A1:CV300,176,FALSE)/HLOOKUP("Mins",A1:CV300,176,FALSE)* 90)</f>
      </c>
      <c r="BO176" s="29865">
        <f>IF(HLOOKUP("Mins",A1:CV300,176,FALSE)=0,0,HLOOKUP("Gs - Open",A1:CV300,176,FALSE)/HLOOKUP("Mins",A1:CV300,176,FALSE)* 90)</f>
      </c>
      <c r="BP176" s="29866">
        <f>IF(HLOOKUP("Mins",A1:CV300,176,FALSE)=0,0,HLOOKUP("ICT Index",A1:CV300,176,FALSE)/HLOOKUP("Mins",A1:CV300,176,FALSE)* 90)</f>
      </c>
      <c r="BQ176" s="29867">
        <f>IF(HLOOKUP("Mins",A1:CV300,176,FALSE)=0,0,(0.036*(HLOOKUP("Shots",A1:CV300,176,FALSE)-HLOOKUP("SIB",A1:CV300,176,FALSE))+0.142*(HLOOKUP("SIB",A1:CV300,176,FALSE)-(HLOOKUP("PK Gs",A1:CV300,176,FALSE)+HLOOKUP("PK Miss",A1:CV300,176,FALSE)))+0.75*(HLOOKUP("PK Gs",A1:CV300,176,FALSE)+HLOOKUP("PK Miss",A1:CV300,176,FALSE)))/HLOOKUP("Mins",A1:CV300,176,FALSE)*90)</f>
      </c>
      <c r="BR176" s="29868">
        <f>0.0885*HLOOKUP("KP/90",A1:CV300,176,FALSE)</f>
      </c>
      <c r="BS176" s="29869">
        <f>5*HLOOKUP("xG/90",A1:CV300,176,FALSE)+3*HLOOKUP("xA/90",A1:CV300,176,FALSE)</f>
      </c>
      <c r="BT176" s="29870">
        <f>HLOOKUP("xPts/90",A1:CV300,176,FALSE)-(5*0.75*(HLOOKUP("PK Gs",A1:CV300,176,FALSE)+HLOOKUP("PK Miss",A1:CV300,176,FALSE))*90/HLOOKUP("Mins",A1:CV300,176,FALSE))</f>
      </c>
      <c r="BU176" s="29871">
        <f>IF(HLOOKUP("Mins",A1:CV300,176,FALSE)=0,0,HLOOKUP("fsXG",A1:CV300,176,FALSE)/HLOOKUP("Mins",A1:CV300,176,FALSE)* 90)</f>
      </c>
      <c r="BV176" s="29872">
        <f>IF(HLOOKUP("Mins",A1:CV300,176,FALSE)=0,0,HLOOKUP("fsXA",A1:CV300,176,FALSE)/HLOOKUP("Mins",A1:CV300,176,FALSE)* 90)</f>
      </c>
      <c r="BW176" s="29873">
        <f>5*HLOOKUP("fsXG/90",A1:CV300,176,FALSE)+3*HLOOKUP("fsXA/90",A1:CV300,176,FALSE)</f>
      </c>
      <c r="BX176" t="n" s="29874">
        <v>0.0</v>
      </c>
      <c r="BY176" t="n" s="29875">
        <v>0.0</v>
      </c>
      <c r="BZ176" s="29876">
        <f>5*HLOOKUP("uXG/90",A1:CV300,176,FALSE)+3*HLOOKUP("uXA/90",A1:CV300,176,FALSE)</f>
      </c>
    </row>
  </sheetData>
  <autoFilter ref="A1:BZ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2020-02-20T03:44:26Z</dcterms:created>
  <dc:creator>Apache POI</dc:creator>
</cp:coreProperties>
</file>